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4.xml" ContentType="application/vnd.ms-excel.threaded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hidePivotFieldList="1" defaultThemeVersion="124226"/>
  <mc:AlternateContent xmlns:mc="http://schemas.openxmlformats.org/markup-compatibility/2006">
    <mc:Choice Requires="x15">
      <x15ac:absPath xmlns:x15ac="http://schemas.microsoft.com/office/spreadsheetml/2010/11/ac" url="C:\Users\christopher.mickelso\Desktop\"/>
    </mc:Choice>
  </mc:AlternateContent>
  <xr:revisionPtr revIDLastSave="0" documentId="8_{4E70F4BB-13FA-400B-811F-A376B7254D6F}" xr6:coauthVersionLast="45" xr6:coauthVersionMax="45" xr10:uidLastSave="{00000000-0000-0000-0000-000000000000}"/>
  <bookViews>
    <workbookView xWindow="-108" yWindow="-108" windowWidth="23256" windowHeight="12576" tabRatio="832" firstSheet="3" activeTab="6" xr2:uid="{00000000-000D-0000-FFFF-FFFF00000000}"/>
  </bookViews>
  <sheets>
    <sheet name="Cover" sheetId="79" state="hidden" r:id="rId1"/>
    <sheet name="TOC" sheetId="80" state="hidden" r:id="rId2"/>
    <sheet name="Title" sheetId="81" state="hidden" r:id="rId3"/>
    <sheet name="Proof ---&gt;" sheetId="85" r:id="rId4"/>
    <sheet name="Exh 2, Proof of Revenue" sheetId="93" r:id="rId5"/>
    <sheet name="Exh 3, Revenue Adjustments" sheetId="95" r:id="rId6"/>
    <sheet name="Exh 4, Revenue Distribution" sheetId="97" r:id="rId7"/>
    <sheet name="Exh 5, Decoupling" sheetId="99" r:id="rId8"/>
    <sheet name="Proof WPs ---&gt;" sheetId="86" r:id="rId9"/>
    <sheet name="1501 Summary" sheetId="102" r:id="rId10"/>
    <sheet name="Revenue Reconcilliation" sheetId="103" r:id="rId11"/>
    <sheet name="End of Period Calculations" sheetId="104" r:id="rId12"/>
    <sheet name="Allocation Report Summary 2019" sheetId="105" r:id="rId13"/>
    <sheet name="Weather Normalization" sheetId="106" r:id="rId14"/>
    <sheet name="WACAP 2019" sheetId="107" r:id="rId15"/>
    <sheet name="2020 New Customers" sheetId="108" r:id="rId16"/>
    <sheet name="Billing Correction" sheetId="109" r:id="rId17"/>
    <sheet name="Rev Req ---&gt;" sheetId="87" r:id="rId18"/>
    <sheet name="Exh 6, ROO Summary" sheetId="1" r:id="rId19"/>
    <sheet name="Exh 7, Rev Req Calc" sheetId="26" r:id="rId20"/>
    <sheet name="Exh 8, Conversion Factor" sheetId="2" r:id="rId21"/>
    <sheet name="Exh 9, Summary of Adj" sheetId="4" r:id="rId22"/>
    <sheet name="Exh 10, Plant Additions" sheetId="49" r:id="rId23"/>
    <sheet name="Exh 11, Supporting Explanations" sheetId="50" r:id="rId24"/>
    <sheet name="RR WPs ---&gt;" sheetId="88" r:id="rId25"/>
    <sheet name="Plant Summary" sheetId="159" r:id="rId26"/>
    <sheet name="Exhibit PCD-4" sheetId="152" r:id="rId27"/>
    <sheet name="R&amp;R Adjustment" sheetId="160" r:id="rId28"/>
    <sheet name="Operating Report" sheetId="31" r:id="rId29"/>
    <sheet name="Rate Base" sheetId="32" r:id="rId30"/>
    <sheet name="Plant in Serv &amp; Accum Depr" sheetId="58" r:id="rId31"/>
    <sheet name="Adv for Const. &amp; Def Tax" sheetId="59" r:id="rId32"/>
    <sheet name="Capital Structure Calculation" sheetId="3" r:id="rId33"/>
    <sheet name="Long-Term Debt" sheetId="154" r:id="rId34"/>
    <sheet name="State Allocation Formulas" sheetId="60" r:id="rId35"/>
    <sheet name="Annualize CRM Adjustment" sheetId="73" r:id="rId36"/>
    <sheet name="Advertising Adj" sheetId="18" r:id="rId37"/>
    <sheet name="Restate Revenues Adjustment" sheetId="70" r:id="rId38"/>
    <sheet name="EOP Revenue Adjustment" sheetId="74" r:id="rId39"/>
    <sheet name="EOP Depreciation Expense Adj" sheetId="67" r:id="rId40"/>
    <sheet name="Restate &amp; Pro Forma Wage Adjust" sheetId="6" r:id="rId41"/>
    <sheet name="Executive Incentives" sheetId="164" r:id="rId42"/>
    <sheet name="Interest Coord. Adj." sheetId="24" r:id="rId43"/>
    <sheet name="Pro Forma Plant Additions" sheetId="13" r:id="rId44"/>
    <sheet name="MAOP UG-160787 Deferral" sheetId="38" r:id="rId45"/>
    <sheet name=" Working Capital (AMA)" sheetId="62" r:id="rId46"/>
    <sheet name="Rate Design ---&gt;" sheetId="91" state="hidden" r:id="rId47"/>
    <sheet name="Exh 17, Class Revenue" sheetId="75" state="hidden" r:id="rId48"/>
    <sheet name="Exh 18, Class Rates" sheetId="76" state="hidden" r:id="rId49"/>
    <sheet name="Exh 19, RES Monthly Impact" sheetId="77" state="hidden" r:id="rId50"/>
    <sheet name="Exh 20, Bill Impacts" sheetId="78" state="hidden" r:id="rId51"/>
    <sheet name="RD WPs ---&gt;" sheetId="92" state="hidden"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__IntlFixup" hidden="1">TRUE</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d1" localSheetId="41" hidden="1">{"annual",#N/A,FALSE,"Pro Forma";#N/A,#N/A,FALSE,"Golf Operations"}</definedName>
    <definedName name="_cd1" localSheetId="33" hidden="1">{"annual",#N/A,FALSE,"Pro Forma";#N/A,#N/A,FALSE,"Golf Operations"}</definedName>
    <definedName name="_cd1" hidden="1">{"annual",#N/A,FALSE,"Pro Forma";#N/A,#N/A,FALSE,"Golf Operations"}</definedName>
    <definedName name="_Col1">#REF!</definedName>
    <definedName name="_Col2">#REF!</definedName>
    <definedName name="_Dist_Values" localSheetId="33" hidden="1">#REF!</definedName>
    <definedName name="_Dist_Values" localSheetId="2" hidden="1">#REF!</definedName>
    <definedName name="_Dist_Values" hidden="1">#REF!</definedName>
    <definedName name="_Fill" localSheetId="33" hidden="1">[6]Summary!#REF!</definedName>
    <definedName name="_Fill" localSheetId="2" hidden="1">#REF!</definedName>
    <definedName name="_Fill" hidden="1">#REF!</definedName>
    <definedName name="_xlnm._FilterDatabase" localSheetId="22" hidden="1">'Exh 10, Plant Additions'!$A$7:$K$196</definedName>
    <definedName name="_gr1" localSheetId="41" hidden="1">{"three",#N/A,FALSE,"Capital";"four",#N/A,FALSE,"Capital"}</definedName>
    <definedName name="_gr1" localSheetId="33" hidden="1">{"three",#N/A,FALSE,"Capital";"four",#N/A,FALSE,"Capital"}</definedName>
    <definedName name="_gr1" hidden="1">{"three",#N/A,FALSE,"Capital";"four",#N/A,FALSE,"Capital"}</definedName>
    <definedName name="_Key1" hidden="1">[1]RENT!#REF!</definedName>
    <definedName name="_Order1" localSheetId="33" hidden="1">255</definedName>
    <definedName name="_Order1" hidden="1">0</definedName>
    <definedName name="_Order2" hidden="1">255</definedName>
    <definedName name="_Regression_Int" hidden="1">1</definedName>
    <definedName name="_Regression_Out" localSheetId="33" hidden="1">#REF!</definedName>
    <definedName name="_Regression_Out" localSheetId="2" hidden="1">#REF!</definedName>
    <definedName name="_Regression_Out" hidden="1">#REF!</definedName>
    <definedName name="_Regression_X" localSheetId="33" hidden="1">#REF!</definedName>
    <definedName name="_Regression_X" localSheetId="2" hidden="1">#REF!</definedName>
    <definedName name="_Regression_X" hidden="1">#REF!</definedName>
    <definedName name="_Regression_Y" localSheetId="33" hidden="1">#REF!</definedName>
    <definedName name="_Regression_Y" localSheetId="2" hidden="1">#REF!</definedName>
    <definedName name="_Regression_Y" hidden="1">#REF!</definedName>
    <definedName name="_Row1">#REF!</definedName>
    <definedName name="_Row2">#REF!</definedName>
    <definedName name="_Sort" localSheetId="33" hidden="1">#REF!</definedName>
    <definedName name="_Sort" hidden="1">#REF!</definedName>
    <definedName name="_wr1" localSheetId="41" hidden="1">{"Output-3Column",#N/A,FALSE,"Output"}</definedName>
    <definedName name="_wr1" localSheetId="33" hidden="1">{"Output-3Column",#N/A,FALSE,"Output"}</definedName>
    <definedName name="_wr1" hidden="1">{"Output-3Column",#N/A,FALSE,"Output"}</definedName>
    <definedName name="_wrn1" localSheetId="41" hidden="1">{"Inflation-BaseYear",#N/A,FALSE,"Inputs"}</definedName>
    <definedName name="_wrn1" localSheetId="33" hidden="1">{"Inflation-BaseYear",#N/A,FALSE,"Inputs"}</definedName>
    <definedName name="_wrn1" hidden="1">{"Inflation-BaseYear",#N/A,FALSE,"Inputs"}</definedName>
    <definedName name="a" localSheetId="41" hidden="1">{"Print_Detail",#N/A,FALSE,"Redemption_Maturity Extract"}</definedName>
    <definedName name="a" localSheetId="33" hidden="1">{"Print_Detail",#N/A,FALSE,"Redemption_Maturity Extract"}</definedName>
    <definedName name="a" hidden="1">{"Print_Detail",#N/A,FALSE,"Redemption_Maturity Extract"}</definedName>
    <definedName name="AccessCode" hidden="1">""""</definedName>
    <definedName name="AccessDatabase" hidden="1">"C:\ncux\bud\rms_inv.mdb"</definedName>
    <definedName name="ActOrTarget" localSheetId="41">[16]Registry!$E$81</definedName>
    <definedName name="ActOrTarget">#REF!</definedName>
    <definedName name="ActualOrTarget" localSheetId="41">[16]Verify!$E$83</definedName>
    <definedName name="ActualOrTarget">#REF!</definedName>
    <definedName name="ACwvu.allocations." localSheetId="33" hidden="1">#REF!</definedName>
    <definedName name="ACwvu.allocations." hidden="1">#REF!</definedName>
    <definedName name="ACwvu.annual._.hotel." hidden="1">[2]development!$C$5</definedName>
    <definedName name="ACwvu.bottom._.line." hidden="1">[2]development!#REF!</definedName>
    <definedName name="ACwvu.cash._.flow." localSheetId="33" hidden="1">#REF!</definedName>
    <definedName name="ACwvu.cash._.flow." hidden="1">#REF!</definedName>
    <definedName name="ACwvu.combo." hidden="1">[2]development!$B$89</definedName>
    <definedName name="ACwvu.full." localSheetId="33" hidden="1">#REF!</definedName>
    <definedName name="ACwvu.full." hidden="1">#REF!</definedName>
    <definedName name="ACwvu.offsite." localSheetId="33" hidden="1">#REF!</definedName>
    <definedName name="ACwvu.offsite." hidden="1">#REF!</definedName>
    <definedName name="ACwvu.onsite." localSheetId="33" hidden="1">#REF!</definedName>
    <definedName name="ACwvu.onsite." hidden="1">#REF!</definedName>
    <definedName name="AFactor" localSheetId="41">[16]Factors!$D$12:$Z$806</definedName>
    <definedName name="AFactor">#REF!</definedName>
    <definedName name="AFACTORP">#REF!</definedName>
    <definedName name="AFirst" localSheetId="41">[16]Factors!$D$12:$D$804</definedName>
    <definedName name="AFirst">#REF!</definedName>
    <definedName name="AllocRevReq">#REF!</definedName>
    <definedName name="AllocStep">#REF!</definedName>
    <definedName name="AlloRN">#REF!</definedName>
    <definedName name="AlwaysFact">#REF!</definedName>
    <definedName name="anscount" hidden="1">2</definedName>
    <definedName name="AS2DocOpenMode">"AS2DocumentEdit"</definedName>
    <definedName name="b" localSheetId="41" hidden="1">{"One",#N/A,FALSE,"CClub";"Two",#N/A,FALSE,"CClub";"Three",#N/A,FALSE,"CClub";"Four",#N/A,FALSE,"CClub";"Five",#N/A,FALSE,"CClub"}</definedName>
    <definedName name="b" localSheetId="33" hidden="1">{"One",#N/A,FALSE,"CClub";"Two",#N/A,FALSE,"CClub";"Three",#N/A,FALSE,"CClub";"Four",#N/A,FALSE,"CClub";"Five",#N/A,FALSE,"CClub"}</definedName>
    <definedName name="b" hidden="1">{"One",#N/A,FALSE,"CClub";"Two",#N/A,FALSE,"CClub";"Three",#N/A,FALSE,"CClub";"Four",#N/A,FALSE,"CClub";"Five",#N/A,FALSE,"CClub"}</definedName>
    <definedName name="BillRN" localSheetId="41">[16]Registry!$E$138</definedName>
    <definedName name="BillRN">#REF!</definedName>
    <definedName name="BillTargetROR" localSheetId="41">[16]Verify!$E$74</definedName>
    <definedName name="BillTargetROR">#REF!</definedName>
    <definedName name="BNE_MESSAGES_HIDDEN" localSheetId="33" hidden="1">#REF!</definedName>
    <definedName name="BNE_MESSAGES_HIDDEN" hidden="1">#REF!</definedName>
    <definedName name="ByFunct">#REF!</definedName>
    <definedName name="Case" localSheetId="41">[16]Input!$E$5</definedName>
    <definedName name="Case">#REF!</definedName>
    <definedName name="CASE_E">'[11]Named Ranges E'!$C$4</definedName>
    <definedName name="CASE_GAS">'[12]Named Ranges G'!$C$4</definedName>
    <definedName name="CBWorkbookPriority">-2060790043</definedName>
    <definedName name="CCPTargetROR" localSheetId="41">[16]Verify!$E$76</definedName>
    <definedName name="CCPTargetROR">#REF!</definedName>
    <definedName name="cd" localSheetId="41" hidden="1">{"annual",#N/A,FALSE,"Pro Forma";#N/A,#N/A,FALSE,"Golf Operations"}</definedName>
    <definedName name="cd" localSheetId="33" hidden="1">{"annual",#N/A,FALSE,"Pro Forma";#N/A,#N/A,FALSE,"Golf Operations"}</definedName>
    <definedName name="cd" hidden="1">{"annual",#N/A,FALSE,"Pro Forma";#N/A,#N/A,FALSE,"Golf Operations"}</definedName>
    <definedName name="CF">#REF!</definedName>
    <definedName name="CFactor" localSheetId="41">[16]Factors!$AN$12:$AR$258</definedName>
    <definedName name="CFactor">#REF!</definedName>
    <definedName name="CFD">#REF!</definedName>
    <definedName name="CFirst">#REF!</definedName>
    <definedName name="CH">#REF!</definedName>
    <definedName name="CHD">#REF!</definedName>
    <definedName name="ClasRN">#REF!</definedName>
    <definedName name="ClassList">#REF!</definedName>
    <definedName name="ClassNames">#REF!</definedName>
    <definedName name="ClassRRDiff">#REF!</definedName>
    <definedName name="Comp">'[10]Named Ranges'!$C$8</definedName>
    <definedName name="Comp_E">'[11]Named Ranges E'!$C$8</definedName>
    <definedName name="Comp_GAS">'[12]Named Ranges G'!$C$8</definedName>
    <definedName name="Company" hidden="1">[9]Title!$A$2</definedName>
    <definedName name="CompanyD" localSheetId="41">[16]Title!$A$2</definedName>
    <definedName name="CompanyD">Title!$A$2</definedName>
    <definedName name="CoverRange">#REF!</definedName>
    <definedName name="CoverSheetName">#REF!</definedName>
    <definedName name="CPTTargetROR" localSheetId="41">[16]Verify!$E$75</definedName>
    <definedName name="CPTTargetROR">#REF!</definedName>
    <definedName name="CurrentValues">#REF!</definedName>
    <definedName name="Cwvu.annual." localSheetId="33" hidden="1">#REF!,#REF!,#REF!,#REF!,#REF!,#REF!,#REF!,#REF!,#REF!,#REF!,#REF!,#REF!,#REF!,#REF!,#REF!,#REF!,#REF!,#REF!,#REF!,#REF!,#REF!,#REF!,#REF!,#REF!</definedName>
    <definedName name="Cwvu.annual." hidden="1">#REF!,#REF!,#REF!,#REF!,#REF!,#REF!,#REF!,#REF!,#REF!,#REF!,#REF!,#REF!,#REF!,#REF!,#REF!,#REF!,#REF!,#REF!,#REF!,#REF!,#REF!,#REF!,#REF!,#REF!</definedName>
    <definedName name="Cwvu.annual._.hotel." hidden="1">[2]development!$A$16:$IV$16,[2]development!$A$21:$IV$21,[2]development!#REF!,[2]development!#REF!,[2]development!$A$36:$IV$36,[2]development!$A$46:$IV$46,[2]development!#REF!,[2]development!#REF!,[2]development!#REF!,[2]development!#REF!,[2]development!#REF!,[2]development!#REF!,[2]development!#REF!,[2]development!#REF!,[2]development!#REF!,[2]development!$A$89:$IV$89,[2]development!#REF!,[2]development!#REF!,[2]development!#REF!</definedName>
    <definedName name="Cwvu.bottom._.line." hidden="1">[2]development!$A$16:$IV$16,[2]development!$A$21:$IV$21,[2]development!#REF!,[2]development!#REF!,[2]development!$A$36:$IV$36,[2]development!$A$46:$IV$46,[2]development!#REF!,[2]development!#REF!,[2]development!#REF!,[2]development!#REF!,[2]development!#REF!,[2]development!#REF!,[2]development!#REF!,[2]development!#REF!,[2]development!#REF!,[2]development!$A$89:$IV$89,[2]development!#REF!,[2]development!#REF!,[2]development!#REF!,[2]development!#REF!,[2]development!#REF!,[2]development!#REF!</definedName>
    <definedName name="Cwvu.cash._.flow." localSheetId="33" hidden="1">#REF!,#REF!,#REF!,#REF!,#REF!,#REF!,#REF!,#REF!,#REF!,#REF!,#REF!,#REF!,#REF!,#REF!,#REF!,#REF!,#REF!,#REF!,#REF!,#REF!,#REF!,#REF!,#REF!,#REF!,#REF!,#REF!,#REF!,#REF!,#REF!,#REF!,#REF!,#REF!,#REF!,#REF!,#REF!,#REF!,#REF!,#REF!,#REF!,#REF!,#REF!</definedName>
    <definedName name="Cwvu.cash._.flow." hidden="1">#REF!,#REF!,#REF!,#REF!,#REF!,#REF!,#REF!,#REF!,#REF!,#REF!,#REF!,#REF!,#REF!,#REF!,#REF!,#REF!,#REF!,#REF!,#REF!,#REF!,#REF!,#REF!,#REF!,#REF!,#REF!,#REF!,#REF!,#REF!,#REF!,#REF!,#REF!,#REF!,#REF!,#REF!,#REF!,#REF!,#REF!,#REF!,#REF!,#REF!,#REF!</definedName>
    <definedName name="Cwvu.combo." hidden="1">[2]development!$A$16:$IV$16,[2]development!$A$21:$IV$21,[2]development!#REF!,[2]development!#REF!,[2]development!$A$36:$IV$36,[2]development!$A$46:$IV$46,[2]development!#REF!,[2]development!#REF!,[2]development!#REF!,[2]development!#REF!,[2]development!#REF!,[2]development!#REF!,[2]development!#REF!,[2]development!#REF!,[2]development!#REF!,[2]development!$A$85:$IV$85,[2]development!$A$89:$IV$89,[2]development!$A$91:$IV$91,[2]development!#REF!,[2]development!#REF!,[2]development!#REF!,[2]development!#REF!</definedName>
    <definedName name="dd" localSheetId="41" hidden="1">{"Print_Detail",#N/A,FALSE,"Redemption_Maturity Extract"}</definedName>
    <definedName name="dd" localSheetId="33" hidden="1">{"Print_Detail",#N/A,FALSE,"Redemption_Maturity Extract"}</definedName>
    <definedName name="dd" hidden="1">{"Print_Detail",#N/A,FALSE,"Redemption_Maturity Extract"}</definedName>
    <definedName name="ddd" localSheetId="41" hidden="1">{"Full",#N/A,FALSE,"Sec MTN B Summary"}</definedName>
    <definedName name="ddd" localSheetId="33" hidden="1">{"Full",#N/A,FALSE,"Sec MTN B Summary"}</definedName>
    <definedName name="ddd" hidden="1">{"Full",#N/A,FALSE,"Sec MTN B Summary"}</definedName>
    <definedName name="dddd" localSheetId="41" hidden="1">{"RedPrem_InitRed View",#N/A,FALSE,"Sec MTN B Summary"}</definedName>
    <definedName name="dddd" localSheetId="33" hidden="1">{"RedPrem_InitRed View",#N/A,FALSE,"Sec MTN B Summary"}</definedName>
    <definedName name="dddd" hidden="1">{"RedPrem_InitRed View",#N/A,FALSE,"Sec MTN B Summary"}</definedName>
    <definedName name="dddddd" localSheetId="41" hidden="1">{"Pivot1",#N/A,FALSE,"Redemption_Maturity Extract"}</definedName>
    <definedName name="dddddd" localSheetId="33" hidden="1">{"Pivot1",#N/A,FALSE,"Redemption_Maturity Extract"}</definedName>
    <definedName name="dddddd" hidden="1">{"Pivot1",#N/A,FALSE,"Redemption_Maturity Extract"}</definedName>
    <definedName name="dddddddd" localSheetId="41" hidden="1">{"Pivot2",#N/A,FALSE,"Redemption_Maturity Extract"}</definedName>
    <definedName name="dddddddd" localSheetId="33" hidden="1">{"Pivot2",#N/A,FALSE,"Redemption_Maturity Extract"}</definedName>
    <definedName name="dddddddd" hidden="1">{"Pivot2",#N/A,FALSE,"Redemption_Maturity Extract"}</definedName>
    <definedName name="Display_Week" localSheetId="41">[16]Schedule!$G$4</definedName>
    <definedName name="Display_Week">#REF!</definedName>
    <definedName name="DistRN" localSheetId="41">[16]Registry!$E$137</definedName>
    <definedName name="DistRN">#REF!</definedName>
    <definedName name="DistTargetROR" localSheetId="41">[16]Verify!$E$73</definedName>
    <definedName name="DistTargetROR">#REF!</definedName>
    <definedName name="DOCKETNUMBER">'[10]Named Ranges'!$C$6</definedName>
    <definedName name="DOCKETNUMBER_E">'[11]Named Ranges E'!$C$6</definedName>
    <definedName name="DOCKETNUMBER_GAS">'[12]Named Ranges G'!$C$6</definedName>
    <definedName name="EFFECTFIT">#REF!</definedName>
    <definedName name="EFFECTGRT">#REF!</definedName>
    <definedName name="EFFECTROR" localSheetId="41">[16]Verify!$D$61</definedName>
    <definedName name="EFFECTROR">#REF!</definedName>
    <definedName name="EV__ALLOWSTOPEXPAND__" hidden="1">1</definedName>
    <definedName name="EV__EVCOM_OPTIONS__" hidden="1">8</definedName>
    <definedName name="EV__EXPOPTIONS__" hidden="1">0</definedName>
    <definedName name="EV__LASTREFTIME__" hidden="1">40535.431400463</definedName>
    <definedName name="EV__MAXEXPCOLS__" hidden="1">100</definedName>
    <definedName name="EV__MAXEXPROWS__" hidden="1">2000</definedName>
    <definedName name="EV__MEMORYCVW__" hidden="1">0</definedName>
    <definedName name="EV__WBEVMODE__" hidden="1">0</definedName>
    <definedName name="EV__WBREFOPTIONS__" hidden="1">55</definedName>
    <definedName name="EV__WBVERSION__" hidden="1">0</definedName>
    <definedName name="EV__WSINFO__" hidden="1">"kab"</definedName>
    <definedName name="EXPENSE_SUMMARY_BY_FUNCTION">#REF!</definedName>
    <definedName name="f8TargetROR" localSheetId="41">[16]Verify!$E$77</definedName>
    <definedName name="f8TargetROR">#REF!</definedName>
    <definedName name="FACCOUNT">#REF!</definedName>
    <definedName name="FactorNames">#REF!</definedName>
    <definedName name="FFactor" localSheetId="41">[16]Factors!$AC$12:$AL$131</definedName>
    <definedName name="FFactor">#REF!</definedName>
    <definedName name="fffff" localSheetId="41" hidden="1">{"ALL",#N/A,FALSE,"A"}</definedName>
    <definedName name="fffff" localSheetId="33" hidden="1">{"ALL",#N/A,FALSE,"A"}</definedName>
    <definedName name="fffff" localSheetId="2" hidden="1">{"ALL",#N/A,FALSE,"A"}</definedName>
    <definedName name="fffff" hidden="1">{"ALL",#N/A,FALSE,"A"}</definedName>
    <definedName name="FFirst" localSheetId="41">[16]Factors!$AC$12:$AC$131</definedName>
    <definedName name="FFirst">#REF!</definedName>
    <definedName name="first_day">'[13]Historic Data'!$K$3</definedName>
    <definedName name="FIT">'[10]Named Ranges'!$C$3</definedName>
    <definedName name="FIT_E">'[11]Named Ranges E'!$C$3</definedName>
    <definedName name="FIT_GAS">'[12]Named Ranges G'!$C$3</definedName>
    <definedName name="fsdfsad" localSheetId="41" hidden="1">{"ALL",#N/A,FALSE,"A"}</definedName>
    <definedName name="fsdfsad" localSheetId="33" hidden="1">{"ALL",#N/A,FALSE,"A"}</definedName>
    <definedName name="fsdfsad" localSheetId="2" hidden="1">{"ALL",#N/A,FALSE,"A"}</definedName>
    <definedName name="fsdfsad" hidden="1">{"ALL",#N/A,FALSE,"A"}</definedName>
    <definedName name="Func6RN" localSheetId="41">[16]Registry!$E$139</definedName>
    <definedName name="Func6RN">#REF!</definedName>
    <definedName name="Func7RN" localSheetId="41">[16]Registry!$E$140</definedName>
    <definedName name="Func7RN">#REF!</definedName>
    <definedName name="Func8RN" localSheetId="41">[16]Registry!$E$141</definedName>
    <definedName name="Func8RN">#REF!</definedName>
    <definedName name="FuncRN">#REF!</definedName>
    <definedName name="Function1" localSheetId="41">[16]Functions!$G$9</definedName>
    <definedName name="Function1">#REF!</definedName>
    <definedName name="Function2" localSheetId="41">[16]Functions!$H$9</definedName>
    <definedName name="Function2">#REF!</definedName>
    <definedName name="Function3" localSheetId="41">[16]Functions!$I$9</definedName>
    <definedName name="Function3">#REF!</definedName>
    <definedName name="Function4" localSheetId="41">[16]Functions!$J$9</definedName>
    <definedName name="Function4">#REF!</definedName>
    <definedName name="Function5" localSheetId="41">[16]Functions!$K$9</definedName>
    <definedName name="Function5">#REF!</definedName>
    <definedName name="Function6" localSheetId="41">[16]Functions!$L$9</definedName>
    <definedName name="Function6">#REF!</definedName>
    <definedName name="Function7" localSheetId="41">[16]Functions!$M$9</definedName>
    <definedName name="Function7">#REF!</definedName>
    <definedName name="Function8" localSheetId="41">[16]Functions!$N$9</definedName>
    <definedName name="Function8">#REF!</definedName>
    <definedName name="FunctRBDelta">#REF!</definedName>
    <definedName name="FunctRRDelta">#REF!</definedName>
    <definedName name="Global">#REF!</definedName>
    <definedName name="gr" localSheetId="41" hidden="1">{"three",#N/A,FALSE,"Capital";"four",#N/A,FALSE,"Capital"}</definedName>
    <definedName name="gr" localSheetId="33" hidden="1">{"three",#N/A,FALSE,"Capital";"four",#N/A,FALSE,"Capital"}</definedName>
    <definedName name="gr" hidden="1">{"three",#N/A,FALSE,"Capital";"four",#N/A,FALSE,"Capital"}</definedName>
    <definedName name="GRTFctr">#REF!</definedName>
    <definedName name="help" localSheetId="41" hidden="1">{"ALL",#N/A,FALSE,"A"}</definedName>
    <definedName name="help" localSheetId="33" hidden="1">{"ALL",#N/A,FALSE,"A"}</definedName>
    <definedName name="help" localSheetId="2" hidden="1">{"ALL",#N/A,FALSE,"A"}</definedName>
    <definedName name="help" hidden="1">{"ALL",#N/A,FALSE,"A"}</definedName>
    <definedName name="HTML_CodePage">1252</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D_Gas">'[14]DEBT CALC'!#REF!</definedName>
    <definedName name="IncDelta">#REF!</definedName>
    <definedName name="IncTaxFctr">#REF!</definedName>
    <definedName name="InputFile">#REF!</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JIM" localSheetId="41" hidden="1">{#N/A,#N/A,FALSE,"Sheet5"}</definedName>
    <definedName name="JIM" localSheetId="33" hidden="1">{#N/A,#N/A,FALSE,"Sheet5"}</definedName>
    <definedName name="JIM" hidden="1">{#N/A,#N/A,FALSE,"Sheet5"}</definedName>
    <definedName name="June" localSheetId="41" hidden="1">{"three",#N/A,FALSE,"Capital";"four",#N/A,FALSE,"Capital"}</definedName>
    <definedName name="June" localSheetId="33" hidden="1">{"three",#N/A,FALSE,"Capital";"four",#N/A,FALSE,"Capital"}</definedName>
    <definedName name="June" hidden="1">{"three",#N/A,FALSE,"Capital";"four",#N/A,FALSE,"Capital"}</definedName>
    <definedName name="K2_WBEVMODE" hidden="1">0</definedName>
    <definedName name="labCase">#REF!</definedName>
    <definedName name="labMode">#REF!</definedName>
    <definedName name="LF">#REF!</definedName>
    <definedName name="LFD">#REF!</definedName>
    <definedName name="LH">#REF!</definedName>
    <definedName name="LHD">#REF!</definedName>
    <definedName name="limcount" hidden="1">3</definedName>
    <definedName name="MaxActual">#REF!</definedName>
    <definedName name="MaxDiff" localSheetId="41">[16]Registry!$E$77</definedName>
    <definedName name="MaxDiff">#REF!</definedName>
    <definedName name="MaxIter">#REF!</definedName>
    <definedName name="MinIter">#REF!</definedName>
    <definedName name="Mode" localSheetId="41">[16]Registry!$E$89</definedName>
    <definedName name="Mode">#REF!</definedName>
    <definedName name="MuniFctr">#REF!</definedName>
    <definedName name="OPENING">#REF!</definedName>
    <definedName name="OthGRT">#REF!</definedName>
    <definedName name="Pages">#REF!</definedName>
    <definedName name="PagesD">#REF!</definedName>
    <definedName name="Pal_Workbook_GUID" hidden="1">"VX3CWJGNQX2CCGI81U4N2V76"</definedName>
    <definedName name="PPPPPPPPPPPPPPPP" localSheetId="41" hidden="1">{#N/A,#N/A,FALSE,"Sheet5"}</definedName>
    <definedName name="PPPPPPPPPPPPPPPP" localSheetId="33" hidden="1">{#N/A,#N/A,FALSE,"Sheet5"}</definedName>
    <definedName name="PPPPPPPPPPPPPPPP" hidden="1">{#N/A,#N/A,FALSE,"Sheet5"}</definedName>
    <definedName name="_xlnm.Print_Area" localSheetId="9">'1501 Summary'!$A$1:$AE$432</definedName>
    <definedName name="_xlnm.Print_Area" localSheetId="15">'2020 New Customers'!$A$1:$Q$20</definedName>
    <definedName name="_xlnm.Print_Area" localSheetId="12">'Allocation Report Summary 2019'!$A$1:$P$29</definedName>
    <definedName name="_xlnm.Print_Area" localSheetId="35">'Annualize CRM Adjustment'!$A$1:$I$11</definedName>
    <definedName name="_xlnm.Print_Area" localSheetId="16">'Billing Correction'!$A$1:$E$39</definedName>
    <definedName name="_xlnm.Print_Area" localSheetId="32">'Capital Structure Calculation'!$A$1:$J$17</definedName>
    <definedName name="_xlnm.Print_Area" localSheetId="38">'EOP Revenue Adjustment'!$A$1:$F$14</definedName>
    <definedName name="_xlnm.Print_Area" localSheetId="41">'Executive Incentives'!$A$1:$G$42</definedName>
    <definedName name="_xlnm.Print_Area" localSheetId="23">'Exh 11, Supporting Explanations'!$A$1:$C$63</definedName>
    <definedName name="_xlnm.Print_Area" localSheetId="47">'Exh 17, Class Revenue'!$A$1:$G$39</definedName>
    <definedName name="_xlnm.Print_Area" localSheetId="48">'Exh 18, Class Rates'!$B$1:$L$54</definedName>
    <definedName name="_xlnm.Print_Area" localSheetId="49">'Exh 19, RES Monthly Impact'!$A$1:$H$37</definedName>
    <definedName name="_xlnm.Print_Area" localSheetId="4">'Exh 2, Proof of Revenue'!$A$1:$AK$605</definedName>
    <definedName name="_xlnm.Print_Area" localSheetId="50">'Exh 20, Bill Impacts'!$A$1:$H$345</definedName>
    <definedName name="_xlnm.Print_Area" localSheetId="7">'Exh 5, Decoupling'!$A$1:$P$67</definedName>
    <definedName name="_xlnm.Print_Area" localSheetId="18">'Exh 6, ROO Summary'!$B$1:$W$40</definedName>
    <definedName name="_xlnm.Print_Area" localSheetId="21">'Exh 9, Summary of Adj'!$A$1:$AB$41</definedName>
    <definedName name="_xlnm.Print_Area" localSheetId="26">'Exhibit PCD-4'!$A$1:$M$38</definedName>
    <definedName name="_xlnm.Print_Area" localSheetId="33">'Long-Term Debt'!$A$1:$P$24</definedName>
    <definedName name="_xlnm.Print_Area" localSheetId="28">'Operating Report'!$A$1:$H$187,'Operating Report'!$I$1:$AA$158</definedName>
    <definedName name="_xlnm.Print_Area" localSheetId="25">'Plant Summary'!$A$1:$D$35</definedName>
    <definedName name="_xlnm.Print_Area" localSheetId="43">'Pro Forma Plant Additions'!$A$1:$F$32</definedName>
    <definedName name="_xlnm.Print_Area" localSheetId="27">'R&amp;R Adjustment'!$A$1:$C$40</definedName>
    <definedName name="_xlnm.Print_Area" localSheetId="40">'Restate &amp; Pro Forma Wage Adjust'!$A$1:$Q$118</definedName>
    <definedName name="_xlnm.Print_Area" localSheetId="37">'Restate Revenues Adjustment'!$A$1:$H$27</definedName>
    <definedName name="_xlnm.Print_Area" localSheetId="34">'State Allocation Formulas'!$A$1:$T$80</definedName>
    <definedName name="_xlnm.Print_Area" localSheetId="2">Title!$A$2:$I$13</definedName>
    <definedName name="_xlnm.Print_Area" localSheetId="14">'WACAP 2019'!$A$1:$AF$200</definedName>
    <definedName name="Print_for_Checking">'[14]ADJ SUMMARY'!#REF!:'[14]ADJ SUMMARY'!#REF!</definedName>
    <definedName name="_xlnm.Print_Titles" localSheetId="45">' Working Capital (AMA)'!$1:$10</definedName>
    <definedName name="_xlnm.Print_Titles" localSheetId="31">'Adv for Const. &amp; Def Tax'!$A:$A,'Adv for Const. &amp; Def Tax'!$1:$8</definedName>
    <definedName name="_xlnm.Print_Titles" localSheetId="36">'Advertising Adj'!$1:$5</definedName>
    <definedName name="_xlnm.Print_Titles" localSheetId="22">'Exh 10, Plant Additions'!$A:$A,'Exh 10, Plant Additions'!$1:$7</definedName>
    <definedName name="_xlnm.Print_Titles" localSheetId="23">'Exh 11, Supporting Explanations'!$A:$C,'Exh 11, Supporting Explanations'!$1:$7</definedName>
    <definedName name="_xlnm.Print_Titles" localSheetId="4">'Exh 2, Proof of Revenue'!$1:$5</definedName>
    <definedName name="_xlnm.Print_Titles" localSheetId="26">'Exhibit PCD-4'!$A:$M,'Exhibit PCD-4'!$1:$5</definedName>
    <definedName name="_xlnm.Print_Titles" localSheetId="28">'Operating Report'!$A:$A,'Operating Report'!$1:$13</definedName>
    <definedName name="_xlnm.Print_Titles" localSheetId="30">'Plant in Serv &amp; Accum Depr'!$A:$A,'Plant in Serv &amp; Accum Depr'!$1:$8</definedName>
    <definedName name="_xlnm.Print_Titles" localSheetId="40">'Restate &amp; Pro Forma Wage Adjust'!$1:$7</definedName>
    <definedName name="PrintAllocSum">#REF!</definedName>
    <definedName name="PrintClassDet">#REF!</definedName>
    <definedName name="PrintClassGas">#REF!</definedName>
    <definedName name="PrintClassLabor">#REF!</definedName>
    <definedName name="PrintClassMerDel">#REF!</definedName>
    <definedName name="PrintClassRevReq">#REF!</definedName>
    <definedName name="PrintClassSum">#REF!</definedName>
    <definedName name="PrintExpenseMain">#REF!</definedName>
    <definedName name="PrintFunctDet">#REF!</definedName>
    <definedName name="PrintFunctGas">#REF!</definedName>
    <definedName name="PrintFunctLabor">#REF!</definedName>
    <definedName name="PrintFunctMerDel">#REF!</definedName>
    <definedName name="PrintFunctRevReq">#REF!</definedName>
    <definedName name="PrintFunctSum">#REF!</definedName>
    <definedName name="PrintMainDetail">#REF!</definedName>
    <definedName name="PrintMainGas">#REF!</definedName>
    <definedName name="PrintMainLabor">#REF!</definedName>
    <definedName name="PrintMainRevReq">#REF!</definedName>
    <definedName name="PrintMainSum">#REF!</definedName>
    <definedName name="PrintMerDelMain">#REF!</definedName>
    <definedName name="PrintRBMain">#REF!</definedName>
    <definedName name="PrintSumExp">#REF!</definedName>
    <definedName name="PrintVer">#REF!</definedName>
    <definedName name="PriorValues">#REF!</definedName>
    <definedName name="Project_Start" localSheetId="41">[16]Schedule!$G$3</definedName>
    <definedName name="Project_Start">#REF!</definedName>
    <definedName name="Q">#REF!</definedName>
    <definedName name="QUICKLIST">#REF!</definedName>
    <definedName name="rAAllocCols">#REF!</definedName>
    <definedName name="rAcctDol" localSheetId="41">[16]Functions!$E:$E</definedName>
    <definedName name="rAcctDol">#REF!</definedName>
    <definedName name="rAllocCols">#REF!</definedName>
    <definedName name="rAllocFound">#REF!</definedName>
    <definedName name="rAlloChkTot" localSheetId="41">[16]Total!$AB:$AB</definedName>
    <definedName name="rAlloChkTot">#REF!</definedName>
    <definedName name="rAlloList">#REF!</definedName>
    <definedName name="rAlloTemp">#REF!</definedName>
    <definedName name="RBDelta">#REF!</definedName>
    <definedName name="rCellJump">#REF!</definedName>
    <definedName name="rCheck">#REF!</definedName>
    <definedName name="rClasChkTot">#REF!</definedName>
    <definedName name="rClassRR" localSheetId="41">[16]Total!$F$768:$Z$768</definedName>
    <definedName name="rClassRR">#REF!</definedName>
    <definedName name="rCol" localSheetId="41">[16]Total!$F$10:$AA$10</definedName>
    <definedName name="rCol">#REF!</definedName>
    <definedName name="ResGRT">#REF!</definedName>
    <definedName name="RF">#REF!</definedName>
    <definedName name="rFAllocCols">#REF!</definedName>
    <definedName name="RFD">#REF!</definedName>
    <definedName name="rFuncAlloc" localSheetId="41">[16]Functions!$F:$F</definedName>
    <definedName name="rFuncAlloc">#REF!</definedName>
    <definedName name="rFuncChkTot" localSheetId="41">[16]Functions!$P:$P</definedName>
    <definedName name="rFuncChkTot">#REF!</definedName>
    <definedName name="rFuncNum" localSheetId="41">[16]Functions!$C:$C</definedName>
    <definedName name="rFuncNum">#REF!</definedName>
    <definedName name="rFunctCols" localSheetId="41">[16]Functions!$R:$R</definedName>
    <definedName name="rFunctCols">#REF!</definedName>
    <definedName name="rFuncTitle" localSheetId="41">[16]Functions!$B:$B</definedName>
    <definedName name="rFuncTitle">#REF!</definedName>
    <definedName name="rge2Calc">#REF!</definedName>
    <definedName name="rgeClasses">#REF!</definedName>
    <definedName name="rgeClasses1" localSheetId="41">[16]Total!$F$7:$AA$7</definedName>
    <definedName name="rgeClasses1">#REF!</definedName>
    <definedName name="rgeClasses2" localSheetId="41">[16]Total!$F$8:$AA$8</definedName>
    <definedName name="rgeClasses2">#REF!</definedName>
    <definedName name="rgeClasses3" localSheetId="41">[16]Total!$F$9:$AA$9</definedName>
    <definedName name="rgeClasses3">#REF!</definedName>
    <definedName name="RH">#REF!</definedName>
    <definedName name="RHD">#REF!</definedName>
    <definedName name="rInputRang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ine" localSheetId="41">[16]Functions!$A:$A</definedName>
    <definedName name="rLine">#REF!</definedName>
    <definedName name="rQLCrit" localSheetId="41">[16]Registry!$E$119</definedName>
    <definedName name="rQLCrit">#REF!</definedName>
    <definedName name="rQLNonZ" localSheetId="41">[16]Registry!$E$117</definedName>
    <definedName name="rQLNonZ">#REF!</definedName>
    <definedName name="RRDelta">#REF!</definedName>
    <definedName name="RRDiff">#REF!</definedName>
    <definedName name="RRTaxGrUp">#REF!</definedName>
    <definedName name="rSheetTitle">#REF!</definedName>
    <definedName name="rStartAlloc">#REF!</definedName>
    <definedName name="rStep">#REF!</definedName>
    <definedName name="rTotalsIntact">#REF!</definedName>
    <definedName name="rWatch">#REF!</definedName>
    <definedName name="Rwvu.allocations." localSheetId="33" hidden="1">#REF!</definedName>
    <definedName name="Rwvu.allocations." hidden="1">#REF!</definedName>
    <definedName name="Rwvu.annual._.hotel." hidden="1">[2]development!#REF!</definedName>
    <definedName name="Rwvu.bottom._.line." hidden="1">[2]development!#REF!</definedName>
    <definedName name="Rwvu.cash._.flow." localSheetId="33" hidden="1">#REF!</definedName>
    <definedName name="Rwvu.cash._.flow." hidden="1">#REF!</definedName>
    <definedName name="Rwvu.combo." hidden="1">[2]development!#REF!</definedName>
    <definedName name="Rwvu.offsite." localSheetId="33" hidden="1">#REF!</definedName>
    <definedName name="Rwvu.offsite." hidden="1">#REF!</definedName>
    <definedName name="Rwvu.onsite." localSheetId="33" hidden="1">#REF!</definedName>
    <definedName name="Rwvu.onsite." hidden="1">#REF!</definedName>
    <definedName name="SAPBEXhrIndnt" hidden="1">"Wide"</definedName>
    <definedName name="SAPsysID" hidden="1">"708C5W7SBKP804JT78WJ0JNKI"</definedName>
    <definedName name="SAPwbID" hidden="1">"ARS"</definedName>
    <definedName name="SortAll">#REF!</definedName>
    <definedName name="SortClass">#REF!</definedName>
    <definedName name="SortFact">#REF!</definedName>
    <definedName name="SpreadsheetBuilder_2" localSheetId="33" hidden="1">[3]Sheet2!#REF!</definedName>
    <definedName name="SpreadsheetBuilder_2" hidden="1">[3]Sheet2!#REF!</definedName>
    <definedName name="SpreadsheetBuilder_3" localSheetId="33" hidden="1">[4]Sheet2!#REF!</definedName>
    <definedName name="SpreadsheetBuilder_3" hidden="1">[4]Sheet2!#REF!</definedName>
    <definedName name="StatComb" localSheetId="41">[16]Verify!$E$66</definedName>
    <definedName name="StatComb">#REF!</definedName>
    <definedName name="StateTax">#REF!</definedName>
    <definedName name="StatFIT">#REF!</definedName>
    <definedName name="StorRN" localSheetId="41">[16]Registry!$E$135</definedName>
    <definedName name="StorRN">#REF!</definedName>
    <definedName name="StorTargetROR" localSheetId="41">[16]Verify!$E$71</definedName>
    <definedName name="StorTargetROR">#REF!</definedName>
    <definedName name="SumClassNames">#REF!</definedName>
    <definedName name="SumClassRR">#REF!</definedName>
    <definedName name="Summary">#REF!</definedName>
    <definedName name="SumMerchantDel">#REF!</definedName>
    <definedName name="SuppRN" localSheetId="41">[16]Registry!$E$134</definedName>
    <definedName name="SuppRN">#REF!</definedName>
    <definedName name="SuppTargetROR" localSheetId="41">[16]Verify!$E$70</definedName>
    <definedName name="SuppTargetROR">#REF!</definedName>
    <definedName name="Swvu.allocations." localSheetId="33" hidden="1">#REF!</definedName>
    <definedName name="Swvu.allocations." hidden="1">#REF!</definedName>
    <definedName name="Swvu.annual._.hotel." hidden="1">[2]development!$C$5</definedName>
    <definedName name="Swvu.bottom._.line." hidden="1">[2]development!#REF!</definedName>
    <definedName name="Swvu.cash._.flow." localSheetId="33" hidden="1">#REF!</definedName>
    <definedName name="Swvu.cash._.flow." hidden="1">#REF!</definedName>
    <definedName name="Swvu.combo." hidden="1">[2]development!$B$89</definedName>
    <definedName name="Swvu.full." localSheetId="33" hidden="1">#REF!</definedName>
    <definedName name="Swvu.full." hidden="1">#REF!</definedName>
    <definedName name="Swvu.offsite." localSheetId="33" hidden="1">#REF!</definedName>
    <definedName name="Swvu.offsite." hidden="1">#REF!</definedName>
    <definedName name="Swvu.onsite." localSheetId="33" hidden="1">#REF!</definedName>
    <definedName name="Swvu.onsite." hidden="1">#REF!</definedName>
    <definedName name="TableName">"Dummy"</definedName>
    <definedName name="TARGETGRT" localSheetId="41">[16]Verify!$E$63</definedName>
    <definedName name="TARGETGRT">#REF!</definedName>
    <definedName name="TargetList">#REF!</definedName>
    <definedName name="TargetMuni" localSheetId="41">[16]Verify!$E$64</definedName>
    <definedName name="TargetMuni">#REF!</definedName>
    <definedName name="TESTYEAR">'[10]Named Ranges'!$C$5</definedName>
    <definedName name="TESTYEAR_E">'[11]Named Ranges E'!$C$5</definedName>
    <definedName name="TESTYEAR_GAS">'[12]Named Ranges G'!$C$5</definedName>
    <definedName name="ThisFile">#REF!</definedName>
    <definedName name="TimeEnd">#REF!</definedName>
    <definedName name="TimeStart">#REF!</definedName>
    <definedName name="Title" localSheetId="41">[16]Registry!$E$95</definedName>
    <definedName name="Title">#REF!</definedName>
    <definedName name="Title1" hidden="1">[9]Title!$A$3</definedName>
    <definedName name="Title2" hidden="1">[9]Title!$A$4</definedName>
    <definedName name="Title3" localSheetId="41">[16]Title!$A$5</definedName>
    <definedName name="Title3">Title!$A$5</definedName>
    <definedName name="Title4">Title!$A$6</definedName>
    <definedName name="Title5">Title!$A$7</definedName>
    <definedName name="Title6" localSheetId="41">[16]Title!$A$8</definedName>
    <definedName name="Title6">Title!$A$8</definedName>
    <definedName name="Title7">Title!$A$9</definedName>
    <definedName name="TitleBox">#REF!</definedName>
    <definedName name="TitleD">#REF!</definedName>
    <definedName name="TotalStep">#REF!</definedName>
    <definedName name="TotalTargetROR" localSheetId="41">[16]Verify!$E$61</definedName>
    <definedName name="TotalTargetROR">#REF!</definedName>
    <definedName name="TranRN" localSheetId="41">[16]Registry!$E$136</definedName>
    <definedName name="TranRN">#REF!</definedName>
    <definedName name="TranTargetROR" localSheetId="41">[16]Verify!$E$72</definedName>
    <definedName name="TranTargetROR">#REF!</definedName>
    <definedName name="trth" localSheetId="41" hidden="1">{"ALL",#N/A,FALSE,"A"}</definedName>
    <definedName name="trth" localSheetId="33" hidden="1">{"ALL",#N/A,FALSE,"A"}</definedName>
    <definedName name="trth" localSheetId="2" hidden="1">{"ALL",#N/A,FALSE,"A"}</definedName>
    <definedName name="trth" hidden="1">{"ALL",#N/A,FALSE,"A"}</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NIT_STATUTORY">#REF!</definedName>
    <definedName name="VerifyLines">#REF!</definedName>
    <definedName name="VerifySum">#REF!</definedName>
    <definedName name="WA_Gas">'[14]DEBT CALC'!#REF!</definedName>
    <definedName name="wr" localSheetId="41" hidden="1">{"Output-3Column",#N/A,FALSE,"Output"}</definedName>
    <definedName name="wr" localSheetId="33" hidden="1">{"Output-3Column",#N/A,FALSE,"Output"}</definedName>
    <definedName name="wr" hidden="1">{"Output-3Column",#N/A,FALSE,"Output"}</definedName>
    <definedName name="wrn" localSheetId="41" hidden="1">{"Inflation-BaseYear",#N/A,FALSE,"Inputs"}</definedName>
    <definedName name="wrn" localSheetId="33" hidden="1">{"Inflation-BaseYear",#N/A,FALSE,"Inputs"}</definedName>
    <definedName name="wrn" hidden="1">{"Inflation-BaseYear",#N/A,FALSE,"Inputs"}</definedName>
    <definedName name="wrn.ALL." localSheetId="41" hidden="1">{"ALL",#N/A,FALSE,"A"}</definedName>
    <definedName name="wrn.ALL." localSheetId="33" hidden="1">{"ALL",#N/A,FALSE,"A"}</definedName>
    <definedName name="wrn.ALL." localSheetId="2" hidden="1">{"ALL",#N/A,FALSE,"A"}</definedName>
    <definedName name="wrn.ALL." hidden="1">{"ALL",#N/A,FALSE,"A"}</definedName>
    <definedName name="wrn.All._.Sheets." localSheetId="41" hidden="1">{"IncSt",#N/A,FALSE,"IS";"BalSht",#N/A,FALSE,"BS";"IntCash",#N/A,FALSE,"Int. Cash";"Stats",#N/A,FALSE,"Stats"}</definedName>
    <definedName name="wrn.All._.Sheets." localSheetId="33" hidden="1">{"IncSt",#N/A,FALSE,"IS";"BalSht",#N/A,FALSE,"BS";"IntCash",#N/A,FALSE,"Int. Cash";"Stats",#N/A,FALSE,"Stats"}</definedName>
    <definedName name="wrn.All._.Sheets." hidden="1">{"IncSt",#N/A,FALSE,"IS";"BalSht",#N/A,FALSE,"BS";"IntCash",#N/A,FALSE,"Int. Cash";"Stats",#N/A,FALSE,"Stats"}</definedName>
    <definedName name="wrn.annual." localSheetId="41" hidden="1">{"annual",#N/A,FALSE,"Pro Forma"}</definedName>
    <definedName name="wrn.annual." localSheetId="33" hidden="1">{"annual",#N/A,FALSE,"Pro Forma"}</definedName>
    <definedName name="wrn.annual." hidden="1">{"annual",#N/A,FALSE,"Pro Forma"}</definedName>
    <definedName name="wrn.Annual._.Detail." localSheetId="41" hidden="1">{"annualsum",#N/A,FALSE,"Cost Summary";"annual1",#N/A,FALSE,"Phase_1";"annual2",#N/A,FALSE,"Phase_2";"annual3",#N/A,FALSE,"Phase_3";"annual4",#N/A,FALSE,"Phase_4"}</definedName>
    <definedName name="wrn.Annual._.Detail." localSheetId="33" hidden="1">{"annualsum",#N/A,FALSE,"Cost Summary";"annual1",#N/A,FALSE,"Phase_1";"annual2",#N/A,FALSE,"Phase_2";"annual3",#N/A,FALSE,"Phase_3";"annual4",#N/A,FALSE,"Phase_4"}</definedName>
    <definedName name="wrn.Annual._.Detail." hidden="1">{"annualsum",#N/A,FALSE,"Cost Summary";"annual1",#N/A,FALSE,"Phase_1";"annual2",#N/A,FALSE,"Phase_2";"annual3",#N/A,FALSE,"Phase_3";"annual4",#N/A,FALSE,"Phase_4"}</definedName>
    <definedName name="wrn.Annual._.Golf." localSheetId="41" hidden="1">{"a_dev",#N/A,FALSE,"Golf Development";"a_memstats",#N/A,FALSE,"Golf Development";"a_opstats",#N/A,FALSE,"Golf Development";"a_rev",#N/A,FALSE,"Golf Development";"a_return",#N/A,FALSE,"Golf Development"}</definedName>
    <definedName name="wrn.Annual._.Golf." localSheetId="33" hidden="1">{"a_dev",#N/A,FALSE,"Golf Development";"a_memstats",#N/A,FALSE,"Golf Development";"a_opstats",#N/A,FALSE,"Golf Development";"a_rev",#N/A,FALSE,"Golf Development";"a_return",#N/A,FALSE,"Golf Development"}</definedName>
    <definedName name="wrn.Annual._.Golf." hidden="1">{"a_dev",#N/A,FALSE,"Golf Development";"a_memstats",#N/A,FALSE,"Golf Development";"a_opstats",#N/A,FALSE,"Golf Development";"a_rev",#N/A,FALSE,"Golf Development";"a_return",#N/A,FALSE,"Golf Development"}</definedName>
    <definedName name="wrn.Annual._.Hotel." localSheetId="41" hidden="1">{"annual hotel",#N/A,FALSE,"Hotel Development"}</definedName>
    <definedName name="wrn.Annual._.Hotel." localSheetId="33" hidden="1">{"annual hotel",#N/A,FALSE,"Hotel Development"}</definedName>
    <definedName name="wrn.Annual._.Hotel." hidden="1">{"annual hotel",#N/A,FALSE,"Hotel Development"}</definedName>
    <definedName name="wrn.Annual._.Land._.Sales." localSheetId="41" hidden="1">{"annual",#N/A,FALSE,"Land Sales"}</definedName>
    <definedName name="wrn.Annual._.Land._.Sales." localSheetId="33" hidden="1">{"annual",#N/A,FALSE,"Land Sales"}</definedName>
    <definedName name="wrn.Annual._.Land._.Sales." hidden="1">{"annual",#N/A,FALSE,"Land Sales"}</definedName>
    <definedName name="wrn.Annual._.Report." localSheetId="41" hidden="1">{"annual",#N/A,FALSE,"Pro Forma";#N/A,#N/A,FALSE,"Golf Operations"}</definedName>
    <definedName name="wrn.Annual._.Report." localSheetId="33" hidden="1">{"annual",#N/A,FALSE,"Pro Forma";#N/A,#N/A,FALSE,"Golf Operations"}</definedName>
    <definedName name="wrn.Annual._.Report." hidden="1">{"annual",#N/A,FALSE,"Pro Forma";#N/A,#N/A,FALSE,"Golf Operations"}</definedName>
    <definedName name="wrn.Annual._.Report._.no._.releases." localSheetId="41" hidden="1">{"a_sales",#N/A,FALSE,"Summary";"a_debt",#N/A,FALSE,"Summary";"a_cash",#N/A,FALSE,"Summary";"a_accrual",#N/A,FALSE,"Summary"}</definedName>
    <definedName name="wrn.Annual._.Report._.no._.releases." localSheetId="33" hidden="1">{"a_sales",#N/A,FALSE,"Summary";"a_debt",#N/A,FALSE,"Summary";"a_cash",#N/A,FALSE,"Summary";"a_accrual",#N/A,FALSE,"Summary"}</definedName>
    <definedName name="wrn.Annual._.Report._.no._.releases." hidden="1">{"a_sales",#N/A,FALSE,"Summary";"a_debt",#N/A,FALSE,"Summary";"a_cash",#N/A,FALSE,"Summary";"a_accrual",#N/A,FALSE,"Summary"}</definedName>
    <definedName name="wrn.Annual._.Report._.with._.releases." localSheetId="41" hidden="1">{"a_sales",#N/A,FALSE,"Summary";"a_debt",#N/A,FALSE,"Summary";"a_releases",#N/A,FALSE,"Summary";"a_cash",#N/A,FALSE,"Summary";"a_accrual",#N/A,FALSE,"Summary"}</definedName>
    <definedName name="wrn.Annual._.Report._.with._.releases." localSheetId="33" hidden="1">{"a_sales",#N/A,FALSE,"Summary";"a_debt",#N/A,FALSE,"Summary";"a_releases",#N/A,FALSE,"Summary";"a_cash",#N/A,FALSE,"Summary";"a_accrual",#N/A,FALSE,"Summary"}</definedName>
    <definedName name="wrn.Annual._.Report._.with._.releases." hidden="1">{"a_sales",#N/A,FALSE,"Summary";"a_debt",#N/A,FALSE,"Summary";"a_releases",#N/A,FALSE,"Summary";"a_cash",#N/A,FALSE,"Summary";"a_accrual",#N/A,FALSE,"Summary"}</definedName>
    <definedName name="wrn.Annual_5yr." localSheetId="41" hidden="1">{"ISP1Y5",#N/A,TRUE,"Template";"ISP2Y5",#N/A,TRUE,"Template";"BSY5",#N/A,TRUE,"Template";"ICFY5",#N/A,TRUE,"Template";"TPY5",#N/A,TRUE,"Template";"CtrlY5",#N/A,TRUE,"Template"}</definedName>
    <definedName name="wrn.Annual_5yr." localSheetId="33" hidden="1">{"ISP1Y5",#N/A,TRUE,"Template";"ISP2Y5",#N/A,TRUE,"Template";"BSY5",#N/A,TRUE,"Template";"ICFY5",#N/A,TRUE,"Template";"TPY5",#N/A,TRUE,"Template";"CtrlY5",#N/A,TRUE,"Template"}</definedName>
    <definedName name="wrn.Annual_5yr." localSheetId="2" hidden="1">{"ISP1Y5",#N/A,TRUE,"Template";"ISP2Y5",#N/A,TRUE,"Template";"BSY5",#N/A,TRUE,"Template";"ICFY5",#N/A,TRUE,"Template";"TPY5",#N/A,TRUE,"Template";"CtrlY5",#N/A,TRUE,"Template"}</definedName>
    <definedName name="wrn.Annual_5yr." hidden="1">{"ISP1Y5",#N/A,TRUE,"Template";"ISP2Y5",#N/A,TRUE,"Template";"BSY5",#N/A,TRUE,"Template";"ICFY5",#N/A,TRUE,"Template";"TPY5",#N/A,TRUE,"Template";"CtrlY5",#N/A,TRUE,"Template"}</definedName>
    <definedName name="wrn.Assets." localSheetId="41" hidden="1">{"ASSETS",#N/A,FALSE,"Assets"}</definedName>
    <definedName name="wrn.Assets." localSheetId="33" hidden="1">{"ASSETS",#N/A,FALSE,"Assets"}</definedName>
    <definedName name="wrn.Assets." localSheetId="2" hidden="1">{"ASSETS",#N/A,FALSE,"Assets"}</definedName>
    <definedName name="wrn.Assets." hidden="1">{"ASSETS",#N/A,FALSE,"Assets"}</definedName>
    <definedName name="wrn.ASSOC_CO." localSheetId="41" hidden="1">{"ASSC_CO",#N/A,FALSE,"A"}</definedName>
    <definedName name="wrn.ASSOC_CO." localSheetId="33" hidden="1">{"ASSC_CO",#N/A,FALSE,"A"}</definedName>
    <definedName name="wrn.ASSOC_CO." localSheetId="2" hidden="1">{"ASSC_CO",#N/A,FALSE,"A"}</definedName>
    <definedName name="wrn.ASSOC_CO." hidden="1">{"ASSC_CO",#N/A,FALSE,"A"}</definedName>
    <definedName name="wrn.BS." localSheetId="41" hidden="1">{"BS",#N/A,FALSE,"A"}</definedName>
    <definedName name="wrn.BS." localSheetId="33" hidden="1">{"BS",#N/A,FALSE,"A"}</definedName>
    <definedName name="wrn.BS." localSheetId="2" hidden="1">{"BS",#N/A,FALSE,"A"}</definedName>
    <definedName name="wrn.BS." hidden="1">{"BS",#N/A,FALSE,"A"}</definedName>
    <definedName name="wrn.CASH." localSheetId="41" hidden="1">{#N/A,#N/A,FALSE,"Sheet5"}</definedName>
    <definedName name="wrn.CASH." localSheetId="33" hidden="1">{#N/A,#N/A,FALSE,"Sheet5"}</definedName>
    <definedName name="wrn.CASH." hidden="1">{#N/A,#N/A,FALSE,"Sheet5"}</definedName>
    <definedName name="wrn.Cash._.and._.Accrual." localSheetId="41" hidden="1">{"a_cash",#N/A,FALSE,"Summary";"a_accrual",#N/A,FALSE,"Summary"}</definedName>
    <definedName name="wrn.Cash._.and._.Accrual." localSheetId="33" hidden="1">{"a_cash",#N/A,FALSE,"Summary";"a_accrual",#N/A,FALSE,"Summary"}</definedName>
    <definedName name="wrn.Cash._.and._.Accrual." hidden="1">{"a_cash",#N/A,FALSE,"Summary";"a_accrual",#N/A,FALSE,"Summary"}</definedName>
    <definedName name="wrn.Current._.Estimate." localSheetId="41"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33"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2"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Detail." localSheetId="41" hidden="1">{"Print_Detail",#N/A,FALSE,"Redemption_Maturity Extract"}</definedName>
    <definedName name="wrn.Detail." localSheetId="33" hidden="1">{"Print_Detail",#N/A,FALSE,"Redemption_Maturity Extract"}</definedName>
    <definedName name="wrn.Detail." hidden="1">{"Print_Detail",#N/A,FALSE,"Redemption_Maturity Extract"}</definedName>
    <definedName name="wrn.Diane._.s._.Version." localSheetId="41" hidden="1">{"Full",#N/A,FALSE,"Sec MTN B Summary"}</definedName>
    <definedName name="wrn.Diane._.s._.Version." localSheetId="33" hidden="1">{"Full",#N/A,FALSE,"Sec MTN B Summary"}</definedName>
    <definedName name="wrn.Diane._.s._.Version." hidden="1">{"Full",#N/A,FALSE,"Sec MTN B Summary"}</definedName>
    <definedName name="wrn.Distribution._.Version." localSheetId="41" hidden="1">{"RedPrem_InitRed View",#N/A,FALSE,"Sec MTN B Summary"}</definedName>
    <definedName name="wrn.Distribution._.Version." localSheetId="33" hidden="1">{"RedPrem_InitRed View",#N/A,FALSE,"Sec MTN B Summary"}</definedName>
    <definedName name="wrn.Distribution._.Version." hidden="1">{"RedPrem_InitRed View",#N/A,FALSE,"Sec MTN B Summary"}</definedName>
    <definedName name="wrn.Five._.Year._.Test." localSheetId="41" hidden="1">{"Five Year Plan",#N/A,TRUE,"Monthly Summary-IIIXIILP";"Five Year Plan",#N/A,TRUE,"Cash Flow"}</definedName>
    <definedName name="wrn.Five._.Year._.Test." localSheetId="33" hidden="1">{"Five Year Plan",#N/A,TRUE,"Monthly Summary-IIIXIILP";"Five Year Plan",#N/A,TRUE,"Cash Flow"}</definedName>
    <definedName name="wrn.Five._.Year._.Test." localSheetId="2" hidden="1">{"Five Year Plan",#N/A,TRUE,"Monthly Summary-IIIXIILP";"Five Year Plan",#N/A,TRUE,"Cash Flow"}</definedName>
    <definedName name="wrn.Five._.Year._.Test." hidden="1">{"Five Year Plan",#N/A,TRUE,"Monthly Summary-IIIXIILP";"Five Year Plan",#N/A,TRUE,"Cash Flow"}</definedName>
    <definedName name="wrn.greg." localSheetId="41" hidden="1">{"three",#N/A,FALSE,"Capital";"four",#N/A,FALSE,"Capital"}</definedName>
    <definedName name="wrn.greg." localSheetId="33" hidden="1">{"three",#N/A,FALSE,"Capital";"four",#N/A,FALSE,"Capital"}</definedName>
    <definedName name="wrn.greg." hidden="1">{"three",#N/A,FALSE,"Capital";"four",#N/A,FALSE,"Capital"}</definedName>
    <definedName name="wrn.III._.X._.Co._.Five._.Year._.Plan." localSheetId="41"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33"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2"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XCo._.Five._.Year._.Summary._.Reports." localSheetId="41" hidden="1">{#N/A,#N/A,TRUE,"Title Page-Financial Stmts IIIX";#N/A,#N/A,TRUE,"Sumry_Income IIIXCo";#N/A,#N/A,TRUE,"Sumry_Balance Sheet IIIXCo";#N/A,#N/A,TRUE,"Sumry_Cash Flow IIIXCo";#N/A,#N/A,TRUE,"Antelope Creek";#N/A,#N/A,TRUE,"QEP";#N/A,#N/A,TRUE,"Raton"}</definedName>
    <definedName name="wrn.IIIXCo._.Five._.Year._.Summary._.Reports." localSheetId="33" hidden="1">{#N/A,#N/A,TRUE,"Title Page-Financial Stmts IIIX";#N/A,#N/A,TRUE,"Sumry_Income IIIXCo";#N/A,#N/A,TRUE,"Sumry_Balance Sheet IIIXCo";#N/A,#N/A,TRUE,"Sumry_Cash Flow IIIXCo";#N/A,#N/A,TRUE,"Antelope Creek";#N/A,#N/A,TRUE,"QEP";#N/A,#N/A,TRUE,"Raton"}</definedName>
    <definedName name="wrn.IIIXCo._.Five._.Year._.Summary._.Reports." localSheetId="2" hidden="1">{#N/A,#N/A,TRUE,"Title Page-Financial Stmts IIIX";#N/A,#N/A,TRUE,"Sumry_Income IIIXCo";#N/A,#N/A,TRUE,"Sumry_Balance Sheet IIIXCo";#N/A,#N/A,TRUE,"Sumry_Cash Flow IIIXCo";#N/A,#N/A,TRUE,"Antelope Creek";#N/A,#N/A,TRUE,"QEP";#N/A,#N/A,TRUE,"Raton"}</definedName>
    <definedName name="wrn.IIIXCo._.Five._.Year._.Summary._.Reports." hidden="1">{#N/A,#N/A,TRUE,"Title Page-Financial Stmts IIIX";#N/A,#N/A,TRUE,"Sumry_Income IIIXCo";#N/A,#N/A,TRUE,"Sumry_Balance Sheet IIIXCo";#N/A,#N/A,TRUE,"Sumry_Cash Flow IIIXCo";#N/A,#N/A,TRUE,"Antelope Creek";#N/A,#N/A,TRUE,"QEP";#N/A,#N/A,TRUE,"Raton"}</definedName>
    <definedName name="wrn.IIIXCo._.FY._.2004._.Plan." localSheetId="41" hidden="1">{"IIIXCo FY 04 Plan",#N/A,FALSE,"Monthly Summary-IIIXIILP"}</definedName>
    <definedName name="wrn.IIIXCo._.FY._.2004._.Plan." localSheetId="33" hidden="1">{"IIIXCo FY 04 Plan",#N/A,FALSE,"Monthly Summary-IIIXIILP"}</definedName>
    <definedName name="wrn.IIIXCo._.FY._.2004._.Plan." localSheetId="2" hidden="1">{"IIIXCo FY 04 Plan",#N/A,FALSE,"Monthly Summary-IIIXIILP"}</definedName>
    <definedName name="wrn.IIIXCo._.FY._.2004._.Plan." hidden="1">{"IIIXCo FY 04 Plan",#N/A,FALSE,"Monthly Summary-IIIXIILP"}</definedName>
    <definedName name="wrn.Inputs." localSheetId="41" hidden="1">{"Inflation-BaseYear",#N/A,FALSE,"Inputs"}</definedName>
    <definedName name="wrn.Inputs." localSheetId="33" hidden="1">{"Inflation-BaseYear",#N/A,FALSE,"Inputs"}</definedName>
    <definedName name="wrn.Inputs." hidden="1">{"Inflation-BaseYear",#N/A,FALSE,"Inputs"}</definedName>
    <definedName name="wrn.Invested._.Capital." localSheetId="41" hidden="1">{#N/A,#N/A,FALSE,"Invested Capital-Total";#N/A,#N/A,FALSE,"Invested Capital-SEI";#N/A,#N/A,FALSE,"Invested Capital-Utah";#N/A,#N/A,FALSE,"Invested Capital-Raton"}</definedName>
    <definedName name="wrn.Invested._.Capital." localSheetId="33" hidden="1">{#N/A,#N/A,FALSE,"Invested Capital-Total";#N/A,#N/A,FALSE,"Invested Capital-SEI";#N/A,#N/A,FALSE,"Invested Capital-Utah";#N/A,#N/A,FALSE,"Invested Capital-Raton"}</definedName>
    <definedName name="wrn.Invested._.Capital." localSheetId="2" hidden="1">{#N/A,#N/A,FALSE,"Invested Capital-Total";#N/A,#N/A,FALSE,"Invested Capital-SEI";#N/A,#N/A,FALSE,"Invested Capital-Utah";#N/A,#N/A,FALSE,"Invested Capital-Raton"}</definedName>
    <definedName name="wrn.Invested._.Capital." hidden="1">{#N/A,#N/A,FALSE,"Invested Capital-Total";#N/A,#N/A,FALSE,"Invested Capital-SEI";#N/A,#N/A,FALSE,"Invested Capital-Utah";#N/A,#N/A,FALSE,"Invested Capital-Raton"}</definedName>
    <definedName name="wrn.Liab." localSheetId="41" hidden="1">{"LIAB",#N/A,FALSE,"Liab"}</definedName>
    <definedName name="wrn.Liab." localSheetId="33" hidden="1">{"LIAB",#N/A,FALSE,"Liab"}</definedName>
    <definedName name="wrn.Liab." localSheetId="2" hidden="1">{"LIAB",#N/A,FALSE,"Liab"}</definedName>
    <definedName name="wrn.Liab." hidden="1">{"LIAB",#N/A,FALSE,"Liab"}</definedName>
    <definedName name="wrn.Monthly_Yr1." localSheetId="41" hidden="1">{"ISP1Y1",#N/A,TRUE,"Template";"ISP2Y1",#N/A,TRUE,"Template";"BSY1",#N/A,TRUE,"Template";"ICFY1",#N/A,TRUE,"Template";"TPY1",#N/A,TRUE,"Template";"CtrlY1",#N/A,TRUE,"Template"}</definedName>
    <definedName name="wrn.Monthly_Yr1." localSheetId="33" hidden="1">{"ISP1Y1",#N/A,TRUE,"Template";"ISP2Y1",#N/A,TRUE,"Template";"BSY1",#N/A,TRUE,"Template";"ICFY1",#N/A,TRUE,"Template";"TPY1",#N/A,TRUE,"Template";"CtrlY1",#N/A,TRUE,"Template"}</definedName>
    <definedName name="wrn.Monthly_Yr1." localSheetId="2" hidden="1">{"ISP1Y1",#N/A,TRUE,"Template";"ISP2Y1",#N/A,TRUE,"Template";"BSY1",#N/A,TRUE,"Template";"ICFY1",#N/A,TRUE,"Template";"TPY1",#N/A,TRUE,"Template";"CtrlY1",#N/A,TRUE,"Template"}</definedName>
    <definedName name="wrn.Monthly_Yr1." hidden="1">{"ISP1Y1",#N/A,TRUE,"Template";"ISP2Y1",#N/A,TRUE,"Template";"BSY1",#N/A,TRUE,"Template";"ICFY1",#N/A,TRUE,"Template";"TPY1",#N/A,TRUE,"Template";"CtrlY1",#N/A,TRUE,"Template"}</definedName>
    <definedName name="wrn.monthly_yr2" localSheetId="41" hidden="1">{"ISP1Y1",#N/A,TRUE,"Template";"ISP2Y1",#N/A,TRUE,"Template";"BSY1",#N/A,TRUE,"Template";"ICFY1",#N/A,TRUE,"Template";"TPY1",#N/A,TRUE,"Template";"CtrlY1",#N/A,TRUE,"Template"}</definedName>
    <definedName name="wrn.monthly_yr2" localSheetId="33" hidden="1">{"ISP1Y1",#N/A,TRUE,"Template";"ISP2Y1",#N/A,TRUE,"Template";"BSY1",#N/A,TRUE,"Template";"ICFY1",#N/A,TRUE,"Template";"TPY1",#N/A,TRUE,"Template";"CtrlY1",#N/A,TRUE,"Template"}</definedName>
    <definedName name="wrn.monthly_yr2" localSheetId="2" hidden="1">{"ISP1Y1",#N/A,TRUE,"Template";"ISP2Y1",#N/A,TRUE,"Template";"BSY1",#N/A,TRUE,"Template";"ICFY1",#N/A,TRUE,"Template";"TPY1",#N/A,TRUE,"Template";"CtrlY1",#N/A,TRUE,"Template"}</definedName>
    <definedName name="wrn.monthly_yr2" hidden="1">{"ISP1Y1",#N/A,TRUE,"Template";"ISP2Y1",#N/A,TRUE,"Template";"BSY1",#N/A,TRUE,"Template";"ICFY1",#N/A,TRUE,"Template";"TPY1",#N/A,TRUE,"Template";"CtrlY1",#N/A,TRUE,"Template"}</definedName>
    <definedName name="wrn.Monthly_Yr2." localSheetId="41" hidden="1">{"ISP1Y2",#N/A,TRUE,"Template";"ISP2Y2",#N/A,TRUE,"Template";"BSY2",#N/A,TRUE,"Template";"ICFY2",#N/A,TRUE,"Template";"TPY2",#N/A,TRUE,"Template";"CtrlY2",#N/A,TRUE,"Template"}</definedName>
    <definedName name="wrn.Monthly_Yr2." localSheetId="33" hidden="1">{"ISP1Y2",#N/A,TRUE,"Template";"ISP2Y2",#N/A,TRUE,"Template";"BSY2",#N/A,TRUE,"Template";"ICFY2",#N/A,TRUE,"Template";"TPY2",#N/A,TRUE,"Template";"CtrlY2",#N/A,TRUE,"Template"}</definedName>
    <definedName name="wrn.Monthly_Yr2." localSheetId="2" hidden="1">{"ISP1Y2",#N/A,TRUE,"Template";"ISP2Y2",#N/A,TRUE,"Template";"BSY2",#N/A,TRUE,"Template";"ICFY2",#N/A,TRUE,"Template";"TPY2",#N/A,TRUE,"Template";"CtrlY2",#N/A,TRUE,"Template"}</definedName>
    <definedName name="wrn.Monthly_Yr2." hidden="1">{"ISP1Y2",#N/A,TRUE,"Template";"ISP2Y2",#N/A,TRUE,"Template";"BSY2",#N/A,TRUE,"Template";"ICFY2",#N/A,TRUE,"Template";"TPY2",#N/A,TRUE,"Template";"CtrlY2",#N/A,TRUE,"Template"}</definedName>
    <definedName name="wrn.NetWorth." localSheetId="41" hidden="1">{"NW",#N/A,FALSE,"STMT"}</definedName>
    <definedName name="wrn.NetWorth." localSheetId="33" hidden="1">{"NW",#N/A,FALSE,"STMT"}</definedName>
    <definedName name="wrn.NetWorth." localSheetId="2" hidden="1">{"NW",#N/A,FALSE,"STMT"}</definedName>
    <definedName name="wrn.NetWorth." hidden="1">{"NW",#N/A,FALSE,"STMT"}</definedName>
    <definedName name="wrn.Output3Column." localSheetId="41" hidden="1">{"Output-3Column",#N/A,FALSE,"Output"}</definedName>
    <definedName name="wrn.Output3Column." localSheetId="33" hidden="1">{"Output-3Column",#N/A,FALSE,"Output"}</definedName>
    <definedName name="wrn.Output3Column." hidden="1">{"Output-3Column",#N/A,FALSE,"Output"}</definedName>
    <definedName name="wrn.OutputAll." localSheetId="41" hidden="1">{"Output-All",#N/A,FALSE,"Output"}</definedName>
    <definedName name="wrn.OutputAll." localSheetId="33" hidden="1">{"Output-All",#N/A,FALSE,"Output"}</definedName>
    <definedName name="wrn.OutputAll." hidden="1">{"Output-All",#N/A,FALSE,"Output"}</definedName>
    <definedName name="wrn.OutputBaseYear." localSheetId="41" hidden="1">{"Output-BaseYear",#N/A,FALSE,"Output"}</definedName>
    <definedName name="wrn.OutputBaseYear." localSheetId="33" hidden="1">{"Output-BaseYear",#N/A,FALSE,"Output"}</definedName>
    <definedName name="wrn.OutputBaseYear." hidden="1">{"Output-BaseYear",#N/A,FALSE,"Output"}</definedName>
    <definedName name="wrn.OutputMin." localSheetId="41" hidden="1">{"Output-Min",#N/A,FALSE,"Output"}</definedName>
    <definedName name="wrn.OutputMin." localSheetId="33" hidden="1">{"Output-Min",#N/A,FALSE,"Output"}</definedName>
    <definedName name="wrn.OutputMin." hidden="1">{"Output-Min",#N/A,FALSE,"Output"}</definedName>
    <definedName name="wrn.OutputPercent." localSheetId="41" hidden="1">{"Output%",#N/A,FALSE,"Output"}</definedName>
    <definedName name="wrn.OutputPercent." localSheetId="33" hidden="1">{"Output%",#N/A,FALSE,"Output"}</definedName>
    <definedName name="wrn.OutputPercent." hidden="1">{"Output%",#N/A,FALSE,"Output"}</definedName>
    <definedName name="wrn.Pfd." localSheetId="41" hidden="1">{"Pfd",#N/A,FALSE,"Pfd"}</definedName>
    <definedName name="wrn.Pfd." localSheetId="33" hidden="1">{"Pfd",#N/A,FALSE,"Pfd"}</definedName>
    <definedName name="wrn.Pfd." localSheetId="2" hidden="1">{"Pfd",#N/A,FALSE,"Pfd"}</definedName>
    <definedName name="wrn.Pfd." hidden="1">{"Pfd",#N/A,FALSE,"Pfd"}</definedName>
    <definedName name="wrn.Pivot1." localSheetId="41" hidden="1">{"Pivot1",#N/A,FALSE,"Redemption_Maturity Extract"}</definedName>
    <definedName name="wrn.Pivot1." localSheetId="33" hidden="1">{"Pivot1",#N/A,FALSE,"Redemption_Maturity Extract"}</definedName>
    <definedName name="wrn.Pivot1." hidden="1">{"Pivot1",#N/A,FALSE,"Redemption_Maturity Extract"}</definedName>
    <definedName name="wrn.Pivot2." localSheetId="41" hidden="1">{"Pivot2",#N/A,FALSE,"Redemption_Maturity Extract"}</definedName>
    <definedName name="wrn.Pivot2." localSheetId="33" hidden="1">{"Pivot2",#N/A,FALSE,"Redemption_Maturity Extract"}</definedName>
    <definedName name="wrn.Pivot2." hidden="1">{"Pivot2",#N/A,FALSE,"Redemption_Maturity Extract"}</definedName>
    <definedName name="wrn.Plan._.2004." localSheetId="41"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33"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2"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quarterly." localSheetId="41" hidden="1">{"quarterly",#N/A,FALSE,"Pro Forma"}</definedName>
    <definedName name="wrn.quarterly." localSheetId="33" hidden="1">{"quarterly",#N/A,FALSE,"Pro Forma"}</definedName>
    <definedName name="wrn.quarterly." hidden="1">{"quarterly",#N/A,FALSE,"Pro Forma"}</definedName>
    <definedName name="wrn.Releases._.Cash._.Accrual." localSheetId="41" hidden="1">{"a_releases",#N/A,FALSE,"Summary";"a_cash",#N/A,FALSE,"Summary";"a_accrual",#N/A,FALSE,"Summary"}</definedName>
    <definedName name="wrn.Releases._.Cash._.Accrual." localSheetId="33" hidden="1">{"a_releases",#N/A,FALSE,"Summary";"a_cash",#N/A,FALSE,"Summary";"a_accrual",#N/A,FALSE,"Summary"}</definedName>
    <definedName name="wrn.Releases._.Cash._.Accrual." hidden="1">{"a_releases",#N/A,FALSE,"Summary";"a_cash",#N/A,FALSE,"Summary";"a_accrual",#N/A,FALSE,"Summary"}</definedName>
    <definedName name="wrn.rpt96." localSheetId="41" hidden="1">{"rmrev1",#N/A,FALSE,"Forecast96";"rmrev2",#N/A,FALSE,"Forecast96";"rmrev3",#N/A,FALSE,"Forecast96"}</definedName>
    <definedName name="wrn.rpt96." localSheetId="33" hidden="1">{"rmrev1",#N/A,FALSE,"Forecast96";"rmrev2",#N/A,FALSE,"Forecast96";"rmrev3",#N/A,FALSE,"Forecast96"}</definedName>
    <definedName name="wrn.rpt96." hidden="1">{"rmrev1",#N/A,FALSE,"Forecast96";"rmrev2",#N/A,FALSE,"Forecast96";"rmrev3",#N/A,FALSE,"Forecast96"}</definedName>
    <definedName name="wrn.Sales._.and._.Debt." localSheetId="41" hidden="1">{"a_sales",#N/A,FALSE,"Summary";"a_debt",#N/A,FALSE,"Summary"}</definedName>
    <definedName name="wrn.Sales._.and._.Debt." localSheetId="33" hidden="1">{"a_sales",#N/A,FALSE,"Summary";"a_debt",#N/A,FALSE,"Summary"}</definedName>
    <definedName name="wrn.Sales._.and._.Debt." hidden="1">{"a_sales",#N/A,FALSE,"Summary";"a_debt",#N/A,FALSE,"Summary"}</definedName>
    <definedName name="wrn.SCHED._.BC." localSheetId="41" hidden="1">{"SCHED_B&amp;C",#N/A,FALSE,"A"}</definedName>
    <definedName name="wrn.SCHED._.BC." localSheetId="33" hidden="1">{"SCHED_B&amp;C",#N/A,FALSE,"A"}</definedName>
    <definedName name="wrn.SCHED._.BC." localSheetId="2" hidden="1">{"SCHED_B&amp;C",#N/A,FALSE,"A"}</definedName>
    <definedName name="wrn.SCHED._.BC." hidden="1">{"SCHED_B&amp;C",#N/A,FALSE,"A"}</definedName>
    <definedName name="wrn.SCHED._.DE." localSheetId="41" hidden="1">{"SCHED_D&amp;E",#N/A,FALSE,"A"}</definedName>
    <definedName name="wrn.SCHED._.DE." localSheetId="33" hidden="1">{"SCHED_D&amp;E",#N/A,FALSE,"A"}</definedName>
    <definedName name="wrn.SCHED._.DE." localSheetId="2" hidden="1">{"SCHED_D&amp;E",#N/A,FALSE,"A"}</definedName>
    <definedName name="wrn.SCHED._.DE." hidden="1">{"SCHED_D&amp;E",#N/A,FALSE,"A"}</definedName>
    <definedName name="wrn.Shared._.Costs." localSheetId="41" hidden="1">{"cash flow",#N/A,FALSE,"Shared Costs";"allocations",#N/A,FALSE,"Shared Costs"}</definedName>
    <definedName name="wrn.Shared._.Costs." localSheetId="33" hidden="1">{"cash flow",#N/A,FALSE,"Shared Costs";"allocations",#N/A,FALSE,"Shared Costs"}</definedName>
    <definedName name="wrn.Shared._.Costs." hidden="1">{"cash flow",#N/A,FALSE,"Shared Costs";"allocations",#N/A,FALSE,"Shared Costs"}</definedName>
    <definedName name="wrn.SHEDA." localSheetId="41" hidden="1">{"SCHED_A",#N/A,FALSE,"A"}</definedName>
    <definedName name="wrn.SHEDA." localSheetId="33" hidden="1">{"SCHED_A",#N/A,FALSE,"A"}</definedName>
    <definedName name="wrn.SHEDA." localSheetId="2" hidden="1">{"SCHED_A",#N/A,FALSE,"A"}</definedName>
    <definedName name="wrn.SHEDA." hidden="1">{"SCHED_A",#N/A,FALSE,"A"}</definedName>
    <definedName name="wrng" localSheetId="41" hidden="1">{"Output-BaseYear",#N/A,FALSE,"Output"}</definedName>
    <definedName name="wrng" localSheetId="33" hidden="1">{"Output-BaseYear",#N/A,FALSE,"Output"}</definedName>
    <definedName name="wrng" hidden="1">{"Output-BaseYear",#N/A,FALSE,"Output"}</definedName>
    <definedName name="wrnh" localSheetId="41" hidden="1">{"Output-All",#N/A,FALSE,"Output"}</definedName>
    <definedName name="wrnh" localSheetId="33" hidden="1">{"Output-All",#N/A,FALSE,"Output"}</definedName>
    <definedName name="wrnh" hidden="1">{"Output-All",#N/A,FALSE,"Output"}</definedName>
    <definedName name="wvu.allocations." localSheetId="41"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33"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nnual." localSheetId="41"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33"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_.hotel." localSheetId="41"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33"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bottom._.line." localSheetId="41"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33"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cash._.flow." localSheetId="41"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33"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ombo." localSheetId="41"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33"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full." localSheetId="41"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33"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offsite." localSheetId="41"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33"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nsite." localSheetId="41"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33"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quarterly." localSheetId="41"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33"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s>
  <calcPr calcId="191029" iterate="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9" i="75" l="1"/>
  <c r="AC285" i="93"/>
  <c r="N115" i="31" l="1"/>
  <c r="B40" i="164"/>
  <c r="F44" i="164"/>
  <c r="F42" i="164"/>
  <c r="F40" i="164"/>
  <c r="B42" i="164"/>
  <c r="R11" i="3" l="1"/>
  <c r="H41" i="99" l="1"/>
  <c r="G41" i="99"/>
  <c r="F41" i="99"/>
  <c r="E41" i="99"/>
  <c r="D41" i="99"/>
  <c r="H40" i="99"/>
  <c r="G40" i="99"/>
  <c r="F40" i="99"/>
  <c r="E40" i="99"/>
  <c r="D40" i="99"/>
  <c r="H39" i="99"/>
  <c r="G39" i="99"/>
  <c r="F39" i="99"/>
  <c r="E39" i="99"/>
  <c r="D39" i="99"/>
  <c r="H38" i="99"/>
  <c r="G38" i="99"/>
  <c r="F38" i="99"/>
  <c r="E38" i="99"/>
  <c r="D38" i="99"/>
  <c r="H37" i="99"/>
  <c r="G37" i="99"/>
  <c r="F37" i="99"/>
  <c r="E37" i="99"/>
  <c r="D37" i="99"/>
  <c r="H36" i="99"/>
  <c r="G36" i="99"/>
  <c r="F36" i="99"/>
  <c r="E36" i="99"/>
  <c r="D36" i="99"/>
  <c r="H35" i="99"/>
  <c r="G35" i="99"/>
  <c r="F35" i="99"/>
  <c r="E35" i="99"/>
  <c r="D35" i="99"/>
  <c r="H34" i="99"/>
  <c r="G34" i="99"/>
  <c r="F34" i="99"/>
  <c r="E34" i="99"/>
  <c r="D34" i="99"/>
  <c r="H33" i="99"/>
  <c r="G33" i="99"/>
  <c r="F33" i="99"/>
  <c r="E33" i="99"/>
  <c r="D33" i="99"/>
  <c r="H32" i="99"/>
  <c r="G32" i="99"/>
  <c r="F32" i="99"/>
  <c r="E32" i="99"/>
  <c r="D32" i="99"/>
  <c r="D42" i="99" s="1"/>
  <c r="H31" i="99"/>
  <c r="G31" i="99"/>
  <c r="F31" i="99"/>
  <c r="E31" i="99"/>
  <c r="D31" i="99"/>
  <c r="H30" i="99"/>
  <c r="H42" i="99" s="1"/>
  <c r="G30" i="99"/>
  <c r="G42" i="99" s="1"/>
  <c r="F30" i="99"/>
  <c r="F42" i="99" s="1"/>
  <c r="E30" i="99"/>
  <c r="E42" i="99" s="1"/>
  <c r="D30" i="99"/>
  <c r="AA319" i="93" l="1"/>
  <c r="AA318" i="93"/>
  <c r="AA317" i="93"/>
  <c r="W327" i="93"/>
  <c r="AA118" i="93"/>
  <c r="AA117" i="93"/>
  <c r="AA116" i="93"/>
  <c r="AA8" i="93"/>
  <c r="AA44" i="93"/>
  <c r="AA284" i="93" l="1"/>
  <c r="AA283" i="93"/>
  <c r="AA83" i="93"/>
  <c r="AA82" i="93"/>
  <c r="AA81" i="93"/>
  <c r="AA112" i="104"/>
  <c r="AA320" i="93"/>
  <c r="S13" i="93"/>
  <c r="AC588" i="93"/>
  <c r="B27" i="164" l="1"/>
  <c r="R128" i="31" l="1"/>
  <c r="D29" i="160"/>
  <c r="D27" i="160"/>
  <c r="D17" i="160"/>
  <c r="D15" i="160"/>
  <c r="E36" i="164"/>
  <c r="D36" i="164"/>
  <c r="C36" i="164"/>
  <c r="B36" i="164"/>
  <c r="F35" i="164"/>
  <c r="B25" i="164"/>
  <c r="F24" i="164"/>
  <c r="F23" i="164"/>
  <c r="F22" i="164"/>
  <c r="F21" i="164"/>
  <c r="F20" i="164"/>
  <c r="F19" i="164"/>
  <c r="F18" i="164"/>
  <c r="C14" i="164"/>
  <c r="C13" i="164"/>
  <c r="C12" i="164"/>
  <c r="C11" i="164"/>
  <c r="C10" i="164"/>
  <c r="B38" i="164" l="1"/>
  <c r="C15" i="164"/>
  <c r="D31" i="160"/>
  <c r="F25" i="164"/>
  <c r="B30" i="164"/>
  <c r="F34" i="164"/>
  <c r="F36" i="164" s="1"/>
  <c r="F27" i="164"/>
  <c r="B44" i="164" l="1"/>
  <c r="F30" i="164"/>
  <c r="M37" i="97" l="1"/>
  <c r="M36" i="97"/>
  <c r="M35" i="97"/>
  <c r="M34" i="97"/>
  <c r="M28" i="97"/>
  <c r="M27" i="97"/>
  <c r="M23" i="97"/>
  <c r="M22" i="97"/>
  <c r="M21" i="97"/>
  <c r="M17" i="97"/>
  <c r="M16" i="97"/>
  <c r="M15" i="97"/>
  <c r="M11" i="97"/>
  <c r="M7" i="97"/>
  <c r="J16" i="99" l="1"/>
  <c r="J14" i="99"/>
  <c r="J12" i="99"/>
  <c r="J10" i="99"/>
  <c r="J8" i="99"/>
  <c r="AC284" i="93" l="1"/>
  <c r="R8" i="49" l="1"/>
  <c r="P4" i="152"/>
  <c r="P3" i="152"/>
  <c r="P27" i="152"/>
  <c r="AC49" i="4" l="1"/>
  <c r="AA49" i="4"/>
  <c r="R49" i="4"/>
  <c r="I50" i="4"/>
  <c r="M11" i="6"/>
  <c r="Y47" i="4"/>
  <c r="X47" i="4"/>
  <c r="W47" i="4"/>
  <c r="P47" i="4"/>
  <c r="N47" i="4"/>
  <c r="M47" i="4"/>
  <c r="L47" i="4"/>
  <c r="J47" i="4"/>
  <c r="H47" i="4"/>
  <c r="AA46" i="4"/>
  <c r="R46" i="4"/>
  <c r="Q31" i="97" l="1"/>
  <c r="V20" i="108" l="1"/>
  <c r="AB20" i="108"/>
  <c r="AA20" i="108"/>
  <c r="Z20" i="108"/>
  <c r="Y20" i="108"/>
  <c r="X20" i="108"/>
  <c r="W20" i="108"/>
  <c r="H26" i="1"/>
  <c r="K26" i="1" s="1"/>
  <c r="H12" i="1"/>
  <c r="R27" i="4"/>
  <c r="R13" i="4"/>
  <c r="AA38" i="4"/>
  <c r="N37" i="1" s="1"/>
  <c r="AA36" i="4"/>
  <c r="N35" i="1" s="1"/>
  <c r="AA27" i="4"/>
  <c r="AA13" i="4"/>
  <c r="N12" i="1" s="1"/>
  <c r="AD17" i="4"/>
  <c r="C15" i="160"/>
  <c r="C27" i="160"/>
  <c r="O28" i="4"/>
  <c r="J11" i="152"/>
  <c r="C8" i="159"/>
  <c r="E601" i="93"/>
  <c r="D53" i="95" s="1"/>
  <c r="O26" i="31" s="1"/>
  <c r="O27" i="31" s="1"/>
  <c r="U26" i="4"/>
  <c r="Z137" i="31"/>
  <c r="T72" i="31"/>
  <c r="W84" i="31"/>
  <c r="Z71" i="31"/>
  <c r="Z70" i="31"/>
  <c r="Z76" i="31"/>
  <c r="O20" i="4"/>
  <c r="E53" i="67"/>
  <c r="E52" i="67"/>
  <c r="E51" i="67"/>
  <c r="E50" i="67"/>
  <c r="E49" i="67"/>
  <c r="E48" i="67"/>
  <c r="E47" i="67"/>
  <c r="E46" i="67"/>
  <c r="E45" i="67"/>
  <c r="E44" i="67"/>
  <c r="E43" i="67"/>
  <c r="E42" i="67"/>
  <c r="E41" i="67"/>
  <c r="E40" i="67"/>
  <c r="E39" i="67"/>
  <c r="E38" i="67"/>
  <c r="E37" i="67"/>
  <c r="E36" i="67"/>
  <c r="E35" i="67"/>
  <c r="E34" i="67"/>
  <c r="E33" i="67"/>
  <c r="E32" i="67"/>
  <c r="E31" i="67"/>
  <c r="E30" i="67"/>
  <c r="E29" i="67"/>
  <c r="E28" i="67"/>
  <c r="E27" i="67"/>
  <c r="E26" i="67"/>
  <c r="E25" i="67"/>
  <c r="E24" i="67"/>
  <c r="E23" i="67"/>
  <c r="E22" i="67"/>
  <c r="E21" i="67"/>
  <c r="E20" i="67"/>
  <c r="E19" i="67"/>
  <c r="E18" i="67"/>
  <c r="E17" i="67"/>
  <c r="E16" i="67"/>
  <c r="E15" i="67"/>
  <c r="E14" i="67"/>
  <c r="E13" i="67"/>
  <c r="E12" i="67"/>
  <c r="K34" i="152"/>
  <c r="H34" i="152"/>
  <c r="F29" i="159" s="1"/>
  <c r="J32" i="152"/>
  <c r="J31" i="152"/>
  <c r="J30" i="152"/>
  <c r="J29" i="152"/>
  <c r="J28" i="152"/>
  <c r="J27" i="152"/>
  <c r="J26" i="152"/>
  <c r="J25" i="152"/>
  <c r="J24" i="152"/>
  <c r="J23" i="152"/>
  <c r="J22" i="152"/>
  <c r="J19" i="152"/>
  <c r="C10" i="159" s="1"/>
  <c r="J14" i="152"/>
  <c r="C9" i="159" s="1"/>
  <c r="J7" i="152"/>
  <c r="C7" i="159"/>
  <c r="G32" i="152"/>
  <c r="G31" i="152"/>
  <c r="G30" i="152"/>
  <c r="G29" i="152"/>
  <c r="G28" i="152"/>
  <c r="G27" i="152"/>
  <c r="G26" i="152"/>
  <c r="G25" i="152"/>
  <c r="G24" i="152"/>
  <c r="G23" i="152"/>
  <c r="G22" i="152"/>
  <c r="G19" i="152"/>
  <c r="G14" i="152"/>
  <c r="G11" i="152"/>
  <c r="G7" i="152"/>
  <c r="D10" i="159"/>
  <c r="C17" i="160"/>
  <c r="C28" i="160"/>
  <c r="C29" i="160"/>
  <c r="P18" i="4"/>
  <c r="P20" i="4"/>
  <c r="P26" i="4"/>
  <c r="P28" i="4"/>
  <c r="P39" i="4"/>
  <c r="R121" i="31"/>
  <c r="R123" i="31"/>
  <c r="O25" i="4" s="1"/>
  <c r="R107" i="31"/>
  <c r="O24" i="4" s="1"/>
  <c r="R100" i="31"/>
  <c r="O23" i="4" s="1"/>
  <c r="R84" i="31"/>
  <c r="R72" i="31"/>
  <c r="R85" i="31"/>
  <c r="O21" i="4" s="1"/>
  <c r="R51" i="31"/>
  <c r="R37" i="31"/>
  <c r="O18" i="4" s="1"/>
  <c r="R27" i="31"/>
  <c r="O14" i="4" s="1"/>
  <c r="O15" i="4" s="1"/>
  <c r="R17" i="31"/>
  <c r="O12" i="4" s="1"/>
  <c r="R28" i="31"/>
  <c r="W19" i="4"/>
  <c r="V20" i="4"/>
  <c r="W20" i="4"/>
  <c r="W25" i="4"/>
  <c r="W26" i="4"/>
  <c r="W28" i="4"/>
  <c r="M14" i="4"/>
  <c r="M20" i="4"/>
  <c r="N20" i="4"/>
  <c r="T20" i="4"/>
  <c r="M26" i="4"/>
  <c r="N26" i="4"/>
  <c r="T26" i="4"/>
  <c r="M28" i="4"/>
  <c r="N28" i="4"/>
  <c r="T28" i="4"/>
  <c r="M39" i="4"/>
  <c r="N39" i="4"/>
  <c r="T39" i="4"/>
  <c r="U39" i="4"/>
  <c r="G20" i="4"/>
  <c r="R20" i="4" s="1"/>
  <c r="H19" i="1" s="1"/>
  <c r="H20" i="4"/>
  <c r="X20" i="4"/>
  <c r="I20" i="4"/>
  <c r="G26" i="4"/>
  <c r="H26" i="4"/>
  <c r="X26" i="4"/>
  <c r="G28" i="4"/>
  <c r="H28" i="4"/>
  <c r="X28" i="4"/>
  <c r="I28" i="4"/>
  <c r="G39" i="4"/>
  <c r="H39" i="4"/>
  <c r="X39" i="4"/>
  <c r="J14" i="4"/>
  <c r="J20" i="4"/>
  <c r="K20" i="4"/>
  <c r="J26" i="4"/>
  <c r="K26" i="4"/>
  <c r="K28" i="4"/>
  <c r="J39" i="4"/>
  <c r="K39" i="4"/>
  <c r="R53" i="31"/>
  <c r="O19" i="4" s="1"/>
  <c r="R54" i="31"/>
  <c r="Z26" i="31"/>
  <c r="Q135" i="31"/>
  <c r="Q121" i="31"/>
  <c r="Q123" i="31" s="1"/>
  <c r="N25" i="4" s="1"/>
  <c r="Q107" i="31"/>
  <c r="N24" i="4" s="1"/>
  <c r="Q100" i="31"/>
  <c r="N23" i="4"/>
  <c r="Q84" i="31"/>
  <c r="Q72" i="31"/>
  <c r="Q85" i="31"/>
  <c r="N21" i="4" s="1"/>
  <c r="Q51" i="31"/>
  <c r="Q37" i="31"/>
  <c r="N18" i="4" s="1"/>
  <c r="Q27" i="31"/>
  <c r="N14" i="4" s="1"/>
  <c r="Q17" i="31"/>
  <c r="N12" i="4" s="1"/>
  <c r="P135" i="31"/>
  <c r="P107" i="31"/>
  <c r="M24" i="4" s="1"/>
  <c r="P100" i="31"/>
  <c r="M23" i="4" s="1"/>
  <c r="P84" i="31"/>
  <c r="P72" i="31"/>
  <c r="P85" i="31" s="1"/>
  <c r="M21" i="4" s="1"/>
  <c r="P51" i="31"/>
  <c r="P37" i="31"/>
  <c r="M18" i="4" s="1"/>
  <c r="P27" i="31"/>
  <c r="P17" i="31"/>
  <c r="P28" i="31" s="1"/>
  <c r="S135" i="31"/>
  <c r="S123" i="31"/>
  <c r="P25" i="4" s="1"/>
  <c r="S121" i="31"/>
  <c r="S107" i="31"/>
  <c r="P24" i="4" s="1"/>
  <c r="S100" i="31"/>
  <c r="P23" i="4" s="1"/>
  <c r="S84" i="31"/>
  <c r="S85" i="31" s="1"/>
  <c r="P21" i="4" s="1"/>
  <c r="S72" i="31"/>
  <c r="S51" i="31"/>
  <c r="S37" i="31"/>
  <c r="S27" i="31"/>
  <c r="P14" i="4" s="1"/>
  <c r="S17" i="31"/>
  <c r="P12" i="4" s="1"/>
  <c r="P15" i="4" s="1"/>
  <c r="S28" i="31"/>
  <c r="S53" i="31" s="1"/>
  <c r="P19" i="4" s="1"/>
  <c r="Z35" i="31"/>
  <c r="Z34" i="31"/>
  <c r="W27" i="31"/>
  <c r="W14" i="4" s="1"/>
  <c r="U27" i="31"/>
  <c r="U14" i="4" s="1"/>
  <c r="T27" i="31"/>
  <c r="T14" i="4" s="1"/>
  <c r="N27" i="31"/>
  <c r="K14" i="4" s="1"/>
  <c r="M27" i="31"/>
  <c r="L27" i="31"/>
  <c r="I14" i="4" s="1"/>
  <c r="K27" i="31"/>
  <c r="X14" i="4" s="1"/>
  <c r="J27" i="31"/>
  <c r="H14" i="4" s="1"/>
  <c r="I27" i="31"/>
  <c r="G14" i="4" s="1"/>
  <c r="Q28" i="31"/>
  <c r="Q53" i="31" s="1"/>
  <c r="N19" i="4" s="1"/>
  <c r="AG17" i="108"/>
  <c r="AG16" i="108"/>
  <c r="AG15" i="108"/>
  <c r="AG14" i="108"/>
  <c r="AG13" i="108"/>
  <c r="AG12" i="108"/>
  <c r="AG11" i="108"/>
  <c r="AG10" i="108"/>
  <c r="AG9" i="108"/>
  <c r="AG8" i="108"/>
  <c r="AG7" i="108"/>
  <c r="AG18" i="108"/>
  <c r="AD6" i="108"/>
  <c r="AD18" i="108"/>
  <c r="AD20" i="108" s="1"/>
  <c r="D15" i="159"/>
  <c r="C15" i="159"/>
  <c r="D14" i="159"/>
  <c r="C14" i="159"/>
  <c r="D13" i="159"/>
  <c r="D16" i="159"/>
  <c r="C16" i="159"/>
  <c r="C17" i="159" s="1"/>
  <c r="D29" i="159"/>
  <c r="C13" i="159"/>
  <c r="D12" i="159"/>
  <c r="D11" i="159"/>
  <c r="C12" i="159"/>
  <c r="C11" i="159"/>
  <c r="D8" i="159"/>
  <c r="D9" i="159"/>
  <c r="B16" i="159"/>
  <c r="B15" i="159"/>
  <c r="B14" i="159"/>
  <c r="B13" i="159"/>
  <c r="B12" i="159"/>
  <c r="B11" i="159"/>
  <c r="C33" i="159"/>
  <c r="C32" i="159"/>
  <c r="C31" i="159"/>
  <c r="C30" i="159"/>
  <c r="C34" i="159" s="1"/>
  <c r="B33" i="159"/>
  <c r="B32" i="159"/>
  <c r="B31" i="159"/>
  <c r="B30" i="159"/>
  <c r="B10" i="159"/>
  <c r="B9" i="159"/>
  <c r="B8" i="159"/>
  <c r="D21" i="159"/>
  <c r="D22" i="159"/>
  <c r="C23" i="159"/>
  <c r="D7" i="159"/>
  <c r="J11" i="6"/>
  <c r="O11" i="3"/>
  <c r="P114" i="31"/>
  <c r="P121" i="31" s="1"/>
  <c r="P123" i="31" s="1"/>
  <c r="M25" i="4" s="1"/>
  <c r="O21" i="154"/>
  <c r="H208" i="49"/>
  <c r="J208" i="49" s="1"/>
  <c r="M20" i="6"/>
  <c r="M21" i="6" s="1"/>
  <c r="M22" i="6" s="1"/>
  <c r="M23" i="6" s="1"/>
  <c r="M24" i="6" s="1"/>
  <c r="M25" i="6" s="1"/>
  <c r="M26" i="6" s="1"/>
  <c r="M27" i="6" s="1"/>
  <c r="M28" i="6" s="1"/>
  <c r="M29" i="6" s="1"/>
  <c r="M30" i="6" s="1"/>
  <c r="M31" i="6" s="1"/>
  <c r="M32" i="6" s="1"/>
  <c r="M33" i="6" s="1"/>
  <c r="M34" i="6" s="1"/>
  <c r="M35" i="6" s="1"/>
  <c r="M36" i="6" s="1"/>
  <c r="M37" i="6" s="1"/>
  <c r="M38" i="6" s="1"/>
  <c r="M39" i="6" s="1"/>
  <c r="M40" i="6" s="1"/>
  <c r="M41" i="6" s="1"/>
  <c r="L30" i="49"/>
  <c r="L31" i="49"/>
  <c r="L146" i="49"/>
  <c r="I7" i="108"/>
  <c r="I8" i="108" s="1"/>
  <c r="I9" i="108" s="1"/>
  <c r="I10" i="108" s="1"/>
  <c r="I11" i="108" s="1"/>
  <c r="I12" i="108" s="1"/>
  <c r="I13" i="108" s="1"/>
  <c r="I14" i="108" s="1"/>
  <c r="I15" i="108" s="1"/>
  <c r="I16" i="108" s="1"/>
  <c r="I17" i="108" s="1"/>
  <c r="I18" i="108" s="1"/>
  <c r="H7" i="108"/>
  <c r="H8" i="108" s="1"/>
  <c r="H9" i="108" s="1"/>
  <c r="H10" i="108" s="1"/>
  <c r="H11" i="108" s="1"/>
  <c r="H12" i="108" s="1"/>
  <c r="H13" i="108" s="1"/>
  <c r="H14" i="108" s="1"/>
  <c r="H15" i="108" s="1"/>
  <c r="H16" i="108" s="1"/>
  <c r="H17" i="108" s="1"/>
  <c r="H18" i="108" s="1"/>
  <c r="H22" i="108" s="1"/>
  <c r="G7" i="108"/>
  <c r="G8" i="108" s="1"/>
  <c r="G9" i="108" s="1"/>
  <c r="G10" i="108" s="1"/>
  <c r="G11" i="108" s="1"/>
  <c r="G12" i="108" s="1"/>
  <c r="G13" i="108" s="1"/>
  <c r="G14" i="108" s="1"/>
  <c r="G15" i="108" s="1"/>
  <c r="G16" i="108" s="1"/>
  <c r="G17" i="108" s="1"/>
  <c r="G18" i="108" s="1"/>
  <c r="G22" i="108" s="1"/>
  <c r="M13" i="6"/>
  <c r="O7" i="152"/>
  <c r="S114" i="49"/>
  <c r="S112" i="49"/>
  <c r="S109" i="49"/>
  <c r="S107" i="49"/>
  <c r="S105" i="49"/>
  <c r="S103" i="49"/>
  <c r="S101" i="49"/>
  <c r="S99" i="49"/>
  <c r="S97" i="49"/>
  <c r="S95" i="49"/>
  <c r="S93" i="49"/>
  <c r="S91" i="49"/>
  <c r="S89" i="49"/>
  <c r="S87" i="49"/>
  <c r="S85" i="49"/>
  <c r="S83" i="49"/>
  <c r="S81" i="49"/>
  <c r="S79" i="49"/>
  <c r="S41" i="49"/>
  <c r="S36" i="49"/>
  <c r="D7" i="108"/>
  <c r="D8" i="108" s="1"/>
  <c r="D9" i="108" s="1"/>
  <c r="D10" i="108" s="1"/>
  <c r="D11" i="108" s="1"/>
  <c r="D12" i="108" s="1"/>
  <c r="D13" i="108" s="1"/>
  <c r="D14" i="108" s="1"/>
  <c r="D15" i="108" s="1"/>
  <c r="D16" i="108" s="1"/>
  <c r="D17" i="108" s="1"/>
  <c r="D18" i="108" s="1"/>
  <c r="P11" i="152"/>
  <c r="P12" i="152"/>
  <c r="P13" i="152"/>
  <c r="P19" i="152"/>
  <c r="P20" i="152"/>
  <c r="P21" i="152"/>
  <c r="P24" i="152"/>
  <c r="P25" i="152"/>
  <c r="L14" i="4"/>
  <c r="L28" i="4"/>
  <c r="L26" i="4"/>
  <c r="L20" i="4"/>
  <c r="L12" i="4"/>
  <c r="O135" i="31"/>
  <c r="O121" i="31"/>
  <c r="O123" i="31"/>
  <c r="L25" i="4" s="1"/>
  <c r="O107" i="31"/>
  <c r="L24" i="4" s="1"/>
  <c r="O100" i="31"/>
  <c r="L23" i="4" s="1"/>
  <c r="O84" i="31"/>
  <c r="O72" i="31"/>
  <c r="O85" i="31"/>
  <c r="L21" i="4" s="1"/>
  <c r="O51" i="31"/>
  <c r="O37" i="31"/>
  <c r="L18" i="4" s="1"/>
  <c r="O17" i="31"/>
  <c r="O28" i="31" s="1"/>
  <c r="L39" i="4"/>
  <c r="J12" i="3"/>
  <c r="F9" i="38"/>
  <c r="G18" i="154"/>
  <c r="G10" i="154"/>
  <c r="K10" i="154"/>
  <c r="L10" i="154" s="1"/>
  <c r="C10" i="154"/>
  <c r="AG22" i="102"/>
  <c r="AF21" i="102"/>
  <c r="AF12" i="102"/>
  <c r="AF11" i="102"/>
  <c r="AF10" i="102"/>
  <c r="AF9" i="102"/>
  <c r="Q8" i="152"/>
  <c r="Q9" i="152"/>
  <c r="Q10" i="152"/>
  <c r="Q11" i="152"/>
  <c r="Q12" i="152"/>
  <c r="Q13" i="152"/>
  <c r="Q14" i="152"/>
  <c r="Q15" i="152"/>
  <c r="Q16" i="152"/>
  <c r="Q17" i="152"/>
  <c r="Q18" i="152"/>
  <c r="Q19" i="152"/>
  <c r="Q20" i="152"/>
  <c r="Q21" i="152"/>
  <c r="Q22" i="152"/>
  <c r="Q23" i="152"/>
  <c r="Q24" i="152"/>
  <c r="Q25" i="152"/>
  <c r="Q26" i="152"/>
  <c r="Q27" i="152"/>
  <c r="Q28" i="152"/>
  <c r="Q29" i="152"/>
  <c r="Q30" i="152"/>
  <c r="Q31" i="152"/>
  <c r="Q32" i="152"/>
  <c r="Q7" i="152"/>
  <c r="N19" i="154"/>
  <c r="N21" i="154" s="1"/>
  <c r="F19" i="154"/>
  <c r="P18" i="154"/>
  <c r="K18" i="154"/>
  <c r="L18" i="154"/>
  <c r="M18" i="154" s="1"/>
  <c r="O18" i="154" s="1"/>
  <c r="P17" i="154"/>
  <c r="M17" i="154"/>
  <c r="O17" i="154" s="1"/>
  <c r="K17" i="154"/>
  <c r="L17" i="154" s="1"/>
  <c r="P16" i="154"/>
  <c r="K16" i="154"/>
  <c r="L16" i="154"/>
  <c r="M16" i="154" s="1"/>
  <c r="O16" i="154" s="1"/>
  <c r="P15" i="154"/>
  <c r="G15" i="154"/>
  <c r="K15" i="154" s="1"/>
  <c r="L15" i="154" s="1"/>
  <c r="M15" i="154" s="1"/>
  <c r="O15" i="154" s="1"/>
  <c r="P14" i="154"/>
  <c r="K14" i="154"/>
  <c r="L14" i="154" s="1"/>
  <c r="M14" i="154" s="1"/>
  <c r="O14" i="154" s="1"/>
  <c r="P13" i="154"/>
  <c r="K13" i="154"/>
  <c r="L13" i="154" s="1"/>
  <c r="M13" i="154" s="1"/>
  <c r="O13" i="154" s="1"/>
  <c r="P12" i="154"/>
  <c r="K12" i="154"/>
  <c r="L12" i="154"/>
  <c r="M12" i="154"/>
  <c r="O12" i="154"/>
  <c r="P11" i="154"/>
  <c r="L11" i="154"/>
  <c r="M11" i="154"/>
  <c r="O11" i="154"/>
  <c r="K11" i="154"/>
  <c r="P10" i="154"/>
  <c r="M10" i="154"/>
  <c r="O10" i="154" s="1"/>
  <c r="P9" i="154"/>
  <c r="K9" i="154"/>
  <c r="L9" i="154"/>
  <c r="M9" i="154"/>
  <c r="O9" i="154" s="1"/>
  <c r="P8" i="154"/>
  <c r="K8" i="154"/>
  <c r="L8" i="154"/>
  <c r="M8" i="154" s="1"/>
  <c r="O8" i="154" s="1"/>
  <c r="P7" i="154"/>
  <c r="K7" i="154"/>
  <c r="L7" i="154" s="1"/>
  <c r="M7" i="154" s="1"/>
  <c r="O7" i="154" s="1"/>
  <c r="P6" i="154"/>
  <c r="K6" i="154"/>
  <c r="L6" i="154" s="1"/>
  <c r="M6" i="154"/>
  <c r="O6" i="154"/>
  <c r="A8" i="154"/>
  <c r="A9" i="154" s="1"/>
  <c r="A10" i="154" s="1"/>
  <c r="A11" i="154" s="1"/>
  <c r="A12" i="154" s="1"/>
  <c r="A13" i="154" s="1"/>
  <c r="A14" i="154" s="1"/>
  <c r="A15" i="154" s="1"/>
  <c r="A16" i="154" s="1"/>
  <c r="A17" i="154" s="1"/>
  <c r="A18" i="154" s="1"/>
  <c r="A19" i="154" s="1"/>
  <c r="P5" i="154"/>
  <c r="K5" i="154"/>
  <c r="L5" i="154"/>
  <c r="M5" i="154" s="1"/>
  <c r="O5" i="154" s="1"/>
  <c r="A5" i="154"/>
  <c r="A6" i="154" s="1"/>
  <c r="A7" i="154" s="1"/>
  <c r="P4" i="154"/>
  <c r="K4" i="154"/>
  <c r="L4" i="154"/>
  <c r="M4" i="154" s="1"/>
  <c r="O4" i="154" s="1"/>
  <c r="L11" i="3"/>
  <c r="N29" i="49"/>
  <c r="F23" i="159" s="1"/>
  <c r="H11" i="6"/>
  <c r="H20" i="6"/>
  <c r="P20" i="6" s="1"/>
  <c r="O32" i="152"/>
  <c r="O31" i="152"/>
  <c r="O30" i="152"/>
  <c r="O29" i="152"/>
  <c r="O28" i="152"/>
  <c r="O27" i="152"/>
  <c r="O26" i="152"/>
  <c r="O25" i="152"/>
  <c r="O24" i="152"/>
  <c r="O23" i="152"/>
  <c r="O22" i="152"/>
  <c r="O21" i="152"/>
  <c r="O20" i="152"/>
  <c r="O19" i="152"/>
  <c r="O18" i="152"/>
  <c r="O17" i="152"/>
  <c r="O16" i="152"/>
  <c r="O15" i="152"/>
  <c r="O14" i="152"/>
  <c r="O13" i="152"/>
  <c r="O12" i="152"/>
  <c r="O11" i="152"/>
  <c r="O10" i="152"/>
  <c r="O9" i="152"/>
  <c r="O8" i="152"/>
  <c r="V197" i="49"/>
  <c r="W9" i="49"/>
  <c r="W32" i="49"/>
  <c r="W34" i="49"/>
  <c r="W36" i="49"/>
  <c r="W39" i="49"/>
  <c r="W45" i="49"/>
  <c r="W51" i="49"/>
  <c r="W55" i="49"/>
  <c r="W59" i="49"/>
  <c r="W73" i="49"/>
  <c r="W76" i="49"/>
  <c r="W80" i="49"/>
  <c r="W81" i="49"/>
  <c r="W83" i="49"/>
  <c r="W88" i="49"/>
  <c r="W91" i="49"/>
  <c r="W97" i="49"/>
  <c r="W98" i="49"/>
  <c r="W104" i="49"/>
  <c r="W107" i="49"/>
  <c r="W109" i="49"/>
  <c r="W112" i="49"/>
  <c r="W113" i="49"/>
  <c r="W115" i="49"/>
  <c r="W128" i="49"/>
  <c r="W136" i="49"/>
  <c r="W137" i="49"/>
  <c r="W140" i="49"/>
  <c r="W144" i="49"/>
  <c r="W145" i="49"/>
  <c r="W149" i="49"/>
  <c r="W150" i="49"/>
  <c r="W152" i="49"/>
  <c r="W154" i="49"/>
  <c r="W157" i="49"/>
  <c r="W172" i="49"/>
  <c r="W179" i="49"/>
  <c r="W187" i="49"/>
  <c r="W190" i="49"/>
  <c r="P34" i="152"/>
  <c r="B2" i="79"/>
  <c r="E43" i="76"/>
  <c r="E42" i="76"/>
  <c r="E41" i="76"/>
  <c r="E40" i="76"/>
  <c r="E51" i="76"/>
  <c r="E50" i="76"/>
  <c r="E32" i="76"/>
  <c r="E31" i="76"/>
  <c r="E30" i="76"/>
  <c r="E24" i="76"/>
  <c r="E23" i="76"/>
  <c r="E22" i="76"/>
  <c r="L49" i="93"/>
  <c r="E16" i="76"/>
  <c r="E10" i="76"/>
  <c r="Q197" i="49"/>
  <c r="R13" i="49"/>
  <c r="G13" i="49" s="1"/>
  <c r="R18" i="49"/>
  <c r="G18" i="49" s="1"/>
  <c r="R22" i="49"/>
  <c r="G22" i="49" s="1"/>
  <c r="R26" i="49"/>
  <c r="G26" i="49" s="1"/>
  <c r="R29" i="49"/>
  <c r="G29" i="49" s="1"/>
  <c r="K29" i="49" s="1"/>
  <c r="R33" i="49"/>
  <c r="G33" i="49" s="1"/>
  <c r="R37" i="49"/>
  <c r="G37" i="49" s="1"/>
  <c r="R39" i="49"/>
  <c r="G39" i="49"/>
  <c r="R41" i="49"/>
  <c r="R42" i="49"/>
  <c r="G42" i="49" s="1"/>
  <c r="R50" i="49"/>
  <c r="G50" i="49" s="1"/>
  <c r="R57" i="49"/>
  <c r="G57" i="49" s="1"/>
  <c r="R59" i="49"/>
  <c r="G59" i="49" s="1"/>
  <c r="R60" i="49"/>
  <c r="G60" i="49" s="1"/>
  <c r="R64" i="49"/>
  <c r="G64" i="49"/>
  <c r="K64" i="49" s="1"/>
  <c r="R69" i="49"/>
  <c r="G69" i="49" s="1"/>
  <c r="K69" i="49" s="1"/>
  <c r="R72" i="49"/>
  <c r="G72" i="49" s="1"/>
  <c r="R80" i="49"/>
  <c r="G80" i="49" s="1"/>
  <c r="R81" i="49"/>
  <c r="R83" i="49"/>
  <c r="R88" i="49"/>
  <c r="G88" i="49" s="1"/>
  <c r="R92" i="49"/>
  <c r="G92" i="49"/>
  <c r="R97" i="49"/>
  <c r="G97" i="49" s="1"/>
  <c r="R99" i="49"/>
  <c r="G99" i="49" s="1"/>
  <c r="R101" i="49"/>
  <c r="G101" i="49" s="1"/>
  <c r="R104" i="49"/>
  <c r="G104" i="49" s="1"/>
  <c r="R106" i="49"/>
  <c r="G106" i="49" s="1"/>
  <c r="R113" i="49"/>
  <c r="G113" i="49" s="1"/>
  <c r="R115" i="49"/>
  <c r="G115" i="49" s="1"/>
  <c r="R116" i="49"/>
  <c r="G116" i="49" s="1"/>
  <c r="R123" i="49"/>
  <c r="G123" i="49" s="1"/>
  <c r="K123" i="49" s="1"/>
  <c r="R124" i="49"/>
  <c r="G124" i="49" s="1"/>
  <c r="K124" i="49" s="1"/>
  <c r="R128" i="49"/>
  <c r="G128" i="49" s="1"/>
  <c r="R130" i="49"/>
  <c r="G130" i="49" s="1"/>
  <c r="K130" i="49" s="1"/>
  <c r="R132" i="49"/>
  <c r="G132" i="49" s="1"/>
  <c r="R136" i="49"/>
  <c r="G136" i="49" s="1"/>
  <c r="R140" i="49"/>
  <c r="G140" i="49" s="1"/>
  <c r="R145" i="49"/>
  <c r="G145" i="49" s="1"/>
  <c r="R148" i="49"/>
  <c r="G148" i="49" s="1"/>
  <c r="R154" i="49"/>
  <c r="G154" i="49" s="1"/>
  <c r="R158" i="49"/>
  <c r="G158" i="49" s="1"/>
  <c r="R159" i="49"/>
  <c r="G159" i="49" s="1"/>
  <c r="R163" i="49"/>
  <c r="G163" i="49" s="1"/>
  <c r="R173" i="49"/>
  <c r="G173" i="49" s="1"/>
  <c r="R179" i="49"/>
  <c r="G179" i="49" s="1"/>
  <c r="R180" i="49"/>
  <c r="G180" i="49" s="1"/>
  <c r="R186" i="49"/>
  <c r="G186" i="49" s="1"/>
  <c r="R187" i="49"/>
  <c r="G187" i="49" s="1"/>
  <c r="R189" i="49"/>
  <c r="G189" i="49" s="1"/>
  <c r="R193" i="49"/>
  <c r="G193" i="49" s="1"/>
  <c r="R194" i="49"/>
  <c r="G194" i="49" s="1"/>
  <c r="P195" i="49"/>
  <c r="P194" i="49"/>
  <c r="L194" i="49" s="1"/>
  <c r="P193" i="49"/>
  <c r="P192" i="49"/>
  <c r="P191" i="49"/>
  <c r="L191" i="49" s="1"/>
  <c r="P190" i="49"/>
  <c r="L190" i="49" s="1"/>
  <c r="P189" i="49"/>
  <c r="P188" i="49"/>
  <c r="P187" i="49"/>
  <c r="L187" i="49" s="1"/>
  <c r="P186" i="49"/>
  <c r="P185" i="49"/>
  <c r="P184" i="49"/>
  <c r="P183" i="49"/>
  <c r="W183" i="49" s="1"/>
  <c r="P182" i="49"/>
  <c r="P181" i="49"/>
  <c r="P180" i="49"/>
  <c r="L180" i="49" s="1"/>
  <c r="P179" i="49"/>
  <c r="L179" i="49" s="1"/>
  <c r="P178" i="49"/>
  <c r="P177" i="49"/>
  <c r="P176" i="49"/>
  <c r="P175" i="49"/>
  <c r="L175" i="49" s="1"/>
  <c r="P174" i="49"/>
  <c r="P173" i="49"/>
  <c r="P172" i="49"/>
  <c r="P171" i="49"/>
  <c r="P170" i="49"/>
  <c r="P169" i="49"/>
  <c r="W169" i="49" s="1"/>
  <c r="P168" i="49"/>
  <c r="P167" i="49"/>
  <c r="P166" i="49"/>
  <c r="W166" i="49" s="1"/>
  <c r="P165" i="49"/>
  <c r="P164" i="49"/>
  <c r="L164" i="49" s="1"/>
  <c r="P163" i="49"/>
  <c r="P162" i="49"/>
  <c r="P161" i="49"/>
  <c r="P160" i="49"/>
  <c r="P159" i="49"/>
  <c r="P158" i="49"/>
  <c r="L158" i="49" s="1"/>
  <c r="P157" i="49"/>
  <c r="P156" i="49"/>
  <c r="P155" i="49"/>
  <c r="P154" i="49"/>
  <c r="L154" i="49" s="1"/>
  <c r="P153" i="49"/>
  <c r="P152" i="49"/>
  <c r="L152" i="49" s="1"/>
  <c r="P151" i="49"/>
  <c r="R151" i="49" s="1"/>
  <c r="G151" i="49" s="1"/>
  <c r="P150" i="49"/>
  <c r="L150" i="49" s="1"/>
  <c r="P149" i="49"/>
  <c r="P148" i="49"/>
  <c r="P145" i="49"/>
  <c r="L145" i="49" s="1"/>
  <c r="P144" i="49"/>
  <c r="L144" i="49" s="1"/>
  <c r="P143" i="49"/>
  <c r="P142" i="49"/>
  <c r="P141" i="49"/>
  <c r="L141" i="49" s="1"/>
  <c r="P140" i="49"/>
  <c r="L140" i="49" s="1"/>
  <c r="P139" i="49"/>
  <c r="P138" i="49"/>
  <c r="P137" i="49"/>
  <c r="P136" i="49"/>
  <c r="L136" i="49" s="1"/>
  <c r="P135" i="49"/>
  <c r="P134" i="49"/>
  <c r="P133" i="49"/>
  <c r="L133" i="49" s="1"/>
  <c r="P132" i="49"/>
  <c r="P131" i="49"/>
  <c r="P130" i="49"/>
  <c r="P129" i="49"/>
  <c r="P128" i="49"/>
  <c r="L128" i="49" s="1"/>
  <c r="P127" i="49"/>
  <c r="P126" i="49"/>
  <c r="P125" i="49"/>
  <c r="P124" i="49"/>
  <c r="P123" i="49"/>
  <c r="P122" i="49"/>
  <c r="P121" i="49"/>
  <c r="P120" i="49"/>
  <c r="P119" i="49"/>
  <c r="P118" i="49"/>
  <c r="P117" i="49"/>
  <c r="P116" i="49"/>
  <c r="P115" i="49"/>
  <c r="L115" i="49" s="1"/>
  <c r="P114" i="49"/>
  <c r="P113" i="49"/>
  <c r="L113" i="49" s="1"/>
  <c r="P112" i="49"/>
  <c r="P111" i="49"/>
  <c r="R111" i="49" s="1"/>
  <c r="G111" i="49" s="1"/>
  <c r="P110" i="49"/>
  <c r="P109" i="49"/>
  <c r="L109" i="49" s="1"/>
  <c r="P108" i="49"/>
  <c r="P107" i="49"/>
  <c r="P106" i="49"/>
  <c r="P105" i="49"/>
  <c r="P104" i="49"/>
  <c r="L104" i="49" s="1"/>
  <c r="P103" i="49"/>
  <c r="P102" i="49"/>
  <c r="P101" i="49"/>
  <c r="L101" i="49" s="1"/>
  <c r="P100" i="49"/>
  <c r="P99" i="49"/>
  <c r="L99" i="49" s="1"/>
  <c r="P98" i="49"/>
  <c r="L98" i="49" s="1"/>
  <c r="P97" i="49"/>
  <c r="L97" i="49" s="1"/>
  <c r="P96" i="49"/>
  <c r="L96" i="49" s="1"/>
  <c r="P95" i="49"/>
  <c r="P94" i="49"/>
  <c r="W94" i="49" s="1"/>
  <c r="P93" i="49"/>
  <c r="P92" i="49"/>
  <c r="P91" i="49"/>
  <c r="P90" i="49"/>
  <c r="L90" i="49" s="1"/>
  <c r="P89" i="49"/>
  <c r="P88" i="49"/>
  <c r="L88" i="49" s="1"/>
  <c r="P87" i="49"/>
  <c r="P86" i="49"/>
  <c r="P85" i="49"/>
  <c r="R85" i="49" s="1"/>
  <c r="P84" i="49"/>
  <c r="P83" i="49"/>
  <c r="L83" i="49" s="1"/>
  <c r="P82" i="49"/>
  <c r="P81" i="49"/>
  <c r="L81" i="49" s="1"/>
  <c r="P80" i="49"/>
  <c r="L80" i="49" s="1"/>
  <c r="P79" i="49"/>
  <c r="P78" i="49"/>
  <c r="P77" i="49"/>
  <c r="P76" i="49"/>
  <c r="P75" i="49"/>
  <c r="P74" i="49"/>
  <c r="R74" i="49" s="1"/>
  <c r="G74" i="49" s="1"/>
  <c r="K74" i="49" s="1"/>
  <c r="P73" i="49"/>
  <c r="P72" i="49"/>
  <c r="L72" i="49" s="1"/>
  <c r="P71" i="49"/>
  <c r="P70" i="49"/>
  <c r="P69" i="49"/>
  <c r="P68" i="49"/>
  <c r="R68" i="49" s="1"/>
  <c r="G68" i="49" s="1"/>
  <c r="K68" i="49" s="1"/>
  <c r="P67" i="49"/>
  <c r="P66" i="49"/>
  <c r="P65" i="49"/>
  <c r="P64" i="49"/>
  <c r="P63" i="49"/>
  <c r="P62" i="49"/>
  <c r="P61" i="49"/>
  <c r="P60" i="49"/>
  <c r="P59" i="49"/>
  <c r="L59" i="49" s="1"/>
  <c r="P58" i="49"/>
  <c r="P57" i="49"/>
  <c r="P56" i="49"/>
  <c r="P55" i="49"/>
  <c r="P54" i="49"/>
  <c r="P53" i="49"/>
  <c r="R53" i="49" s="1"/>
  <c r="G53" i="49" s="1"/>
  <c r="P52" i="49"/>
  <c r="P51" i="49"/>
  <c r="L51" i="49" s="1"/>
  <c r="P50" i="49"/>
  <c r="L50" i="49" s="1"/>
  <c r="P49" i="49"/>
  <c r="P48" i="49"/>
  <c r="L48" i="49" s="1"/>
  <c r="P47" i="49"/>
  <c r="P46" i="49"/>
  <c r="P45" i="49"/>
  <c r="L45" i="49" s="1"/>
  <c r="R45" i="49"/>
  <c r="G45" i="49" s="1"/>
  <c r="P44" i="49"/>
  <c r="L44" i="49" s="1"/>
  <c r="P43" i="49"/>
  <c r="P42" i="49"/>
  <c r="P41" i="49"/>
  <c r="P40" i="49"/>
  <c r="P39" i="49"/>
  <c r="L39" i="49" s="1"/>
  <c r="P38" i="49"/>
  <c r="P37" i="49"/>
  <c r="P36" i="49"/>
  <c r="P35" i="49"/>
  <c r="P34" i="49"/>
  <c r="L34" i="49" s="1"/>
  <c r="P33" i="49"/>
  <c r="P32" i="49"/>
  <c r="P29" i="49"/>
  <c r="P28" i="49"/>
  <c r="P27" i="49"/>
  <c r="P26" i="49"/>
  <c r="L26" i="49" s="1"/>
  <c r="P25" i="49"/>
  <c r="P24" i="49"/>
  <c r="P23" i="49"/>
  <c r="P22" i="49"/>
  <c r="P21" i="49"/>
  <c r="L21" i="49" s="1"/>
  <c r="P20" i="49"/>
  <c r="L20" i="49" s="1"/>
  <c r="P19" i="49"/>
  <c r="P18" i="49"/>
  <c r="P17" i="49"/>
  <c r="P16" i="49"/>
  <c r="P15" i="49"/>
  <c r="L15" i="49" s="1"/>
  <c r="P14" i="49"/>
  <c r="P13" i="49"/>
  <c r="P12" i="49"/>
  <c r="P11" i="49"/>
  <c r="W11" i="49" s="1"/>
  <c r="P10" i="49"/>
  <c r="P9" i="49"/>
  <c r="P8" i="49"/>
  <c r="H101" i="49"/>
  <c r="H99" i="49"/>
  <c r="H97" i="49"/>
  <c r="G81" i="49"/>
  <c r="H81" i="49"/>
  <c r="M44" i="6"/>
  <c r="M45" i="6" s="1"/>
  <c r="M46" i="6" s="1"/>
  <c r="M47" i="6" s="1"/>
  <c r="M48" i="6" s="1"/>
  <c r="M49" i="6" s="1"/>
  <c r="M50" i="6" s="1"/>
  <c r="M51" i="6" s="1"/>
  <c r="M52" i="6" s="1"/>
  <c r="M53" i="6" s="1"/>
  <c r="M54" i="6" s="1"/>
  <c r="M55" i="6" s="1"/>
  <c r="M56" i="6" s="1"/>
  <c r="M57" i="6" s="1"/>
  <c r="M58" i="6" s="1"/>
  <c r="M59" i="6" s="1"/>
  <c r="M60" i="6" s="1"/>
  <c r="M61" i="6" s="1"/>
  <c r="M62" i="6" s="1"/>
  <c r="M63" i="6" s="1"/>
  <c r="M64" i="6" s="1"/>
  <c r="M65" i="6" s="1"/>
  <c r="B4" i="79"/>
  <c r="C21" i="80"/>
  <c r="B21" i="80"/>
  <c r="C37" i="109"/>
  <c r="AE320" i="93" s="1"/>
  <c r="C38" i="109"/>
  <c r="O320" i="93"/>
  <c r="P158" i="107"/>
  <c r="O158" i="107"/>
  <c r="M158" i="107"/>
  <c r="L158" i="107"/>
  <c r="K158" i="107"/>
  <c r="J158" i="107"/>
  <c r="I158" i="107"/>
  <c r="H158" i="107"/>
  <c r="G158" i="107"/>
  <c r="F158" i="107"/>
  <c r="E158" i="107"/>
  <c r="P157" i="107"/>
  <c r="O157" i="107"/>
  <c r="M157" i="107"/>
  <c r="L157" i="107"/>
  <c r="K157" i="107"/>
  <c r="J157" i="107"/>
  <c r="I157" i="107"/>
  <c r="H157" i="107"/>
  <c r="G157" i="107"/>
  <c r="F157" i="107"/>
  <c r="E157" i="107"/>
  <c r="P143" i="107"/>
  <c r="O143" i="107"/>
  <c r="M143" i="107"/>
  <c r="L143" i="107"/>
  <c r="K143" i="107"/>
  <c r="J143" i="107"/>
  <c r="I143" i="107"/>
  <c r="H143" i="107"/>
  <c r="G143" i="107"/>
  <c r="G144" i="107"/>
  <c r="G146" i="107" s="1"/>
  <c r="F143" i="107"/>
  <c r="E143" i="107"/>
  <c r="E144" i="107" s="1"/>
  <c r="AD143" i="107"/>
  <c r="P142" i="107"/>
  <c r="O142" i="107"/>
  <c r="M142" i="107"/>
  <c r="L142" i="107"/>
  <c r="K142" i="107"/>
  <c r="K144" i="107" s="1"/>
  <c r="J142" i="107"/>
  <c r="I142" i="107"/>
  <c r="H142" i="107"/>
  <c r="G142" i="107"/>
  <c r="F142" i="107"/>
  <c r="E142" i="107"/>
  <c r="AD141" i="107"/>
  <c r="AD140" i="107"/>
  <c r="V140" i="107"/>
  <c r="X137" i="107"/>
  <c r="X140" i="107" s="1"/>
  <c r="AB140" i="107" s="1"/>
  <c r="V136" i="107"/>
  <c r="X139" i="107" s="1"/>
  <c r="AB139" i="107" s="1"/>
  <c r="V135" i="107"/>
  <c r="X138" i="107" s="1"/>
  <c r="AB138" i="107" s="1"/>
  <c r="N177" i="107"/>
  <c r="P128" i="107"/>
  <c r="O128" i="107"/>
  <c r="M128" i="107"/>
  <c r="L128" i="107"/>
  <c r="K128" i="107"/>
  <c r="J128" i="107"/>
  <c r="I128" i="107"/>
  <c r="H128" i="107"/>
  <c r="G128" i="107"/>
  <c r="F128" i="107"/>
  <c r="E128" i="107"/>
  <c r="AD128" i="107"/>
  <c r="Z127" i="107"/>
  <c r="V127" i="107"/>
  <c r="P127" i="107"/>
  <c r="O127" i="107"/>
  <c r="M127" i="107"/>
  <c r="L127" i="107"/>
  <c r="K127" i="107"/>
  <c r="J127" i="107"/>
  <c r="I127" i="107"/>
  <c r="H127" i="107"/>
  <c r="H129" i="107"/>
  <c r="G127" i="107"/>
  <c r="F127" i="107"/>
  <c r="E127" i="107"/>
  <c r="AD127" i="107"/>
  <c r="AD126" i="107"/>
  <c r="AD125" i="107"/>
  <c r="AB123" i="107"/>
  <c r="X122" i="107"/>
  <c r="X127" i="107" s="1"/>
  <c r="V121" i="107"/>
  <c r="X126" i="107"/>
  <c r="AB126" i="107" s="1"/>
  <c r="V120" i="107"/>
  <c r="V125" i="107" s="1"/>
  <c r="V119" i="107"/>
  <c r="P114" i="107"/>
  <c r="P116" i="107" s="1"/>
  <c r="O114" i="107"/>
  <c r="O116" i="107"/>
  <c r="M114" i="107"/>
  <c r="M116" i="107"/>
  <c r="L114" i="107"/>
  <c r="L116" i="107" s="1"/>
  <c r="K114" i="107"/>
  <c r="K116" i="107" s="1"/>
  <c r="J114" i="107"/>
  <c r="J116" i="107"/>
  <c r="I114" i="107"/>
  <c r="I116" i="107"/>
  <c r="H114" i="107"/>
  <c r="H116" i="107" s="1"/>
  <c r="G114" i="107"/>
  <c r="G116" i="107" s="1"/>
  <c r="F114" i="107"/>
  <c r="F116" i="107"/>
  <c r="E114" i="107"/>
  <c r="E116" i="107"/>
  <c r="D114" i="107"/>
  <c r="D116" i="107" s="1"/>
  <c r="AD103" i="107"/>
  <c r="Z102" i="107"/>
  <c r="X102" i="107"/>
  <c r="V102" i="107"/>
  <c r="P102" i="107"/>
  <c r="O102" i="107"/>
  <c r="P103" i="107" s="1"/>
  <c r="M102" i="107"/>
  <c r="O103" i="107"/>
  <c r="L102" i="107"/>
  <c r="M103" i="107"/>
  <c r="K102" i="107"/>
  <c r="L103" i="107" s="1"/>
  <c r="J102" i="107"/>
  <c r="K103" i="107" s="1"/>
  <c r="I102" i="107"/>
  <c r="H102" i="107"/>
  <c r="G102" i="107"/>
  <c r="H103" i="107" s="1"/>
  <c r="F102" i="107"/>
  <c r="G103" i="107" s="1"/>
  <c r="E102" i="107"/>
  <c r="F103" i="107"/>
  <c r="D102" i="107"/>
  <c r="E103" i="107"/>
  <c r="AB98" i="107"/>
  <c r="V96" i="107"/>
  <c r="X101" i="107"/>
  <c r="AB101" i="107" s="1"/>
  <c r="D89" i="107"/>
  <c r="P88" i="107"/>
  <c r="P89" i="107" s="1"/>
  <c r="O88" i="107"/>
  <c r="O89" i="107"/>
  <c r="M88" i="107"/>
  <c r="M89" i="107"/>
  <c r="L88" i="107"/>
  <c r="L89" i="107" s="1"/>
  <c r="L91" i="107" s="1"/>
  <c r="L93" i="107" s="1"/>
  <c r="K88" i="107"/>
  <c r="K89" i="107"/>
  <c r="K91" i="107" s="1"/>
  <c r="K93" i="107"/>
  <c r="J88" i="107"/>
  <c r="J89" i="107" s="1"/>
  <c r="I88" i="107"/>
  <c r="I89" i="107" s="1"/>
  <c r="I91" i="107" s="1"/>
  <c r="I93" i="107" s="1"/>
  <c r="H88" i="107"/>
  <c r="H89" i="107"/>
  <c r="G88" i="107"/>
  <c r="G89" i="107" s="1"/>
  <c r="F88" i="107"/>
  <c r="F89" i="107" s="1"/>
  <c r="F91" i="107" s="1"/>
  <c r="F93" i="107" s="1"/>
  <c r="E88" i="107"/>
  <c r="E89" i="107"/>
  <c r="E91" i="107" s="1"/>
  <c r="V79" i="107"/>
  <c r="X100" i="107" s="1"/>
  <c r="AB100" i="107" s="1"/>
  <c r="V78" i="107"/>
  <c r="X99" i="107"/>
  <c r="AB99" i="107"/>
  <c r="AD72" i="107"/>
  <c r="Z71" i="107"/>
  <c r="X71" i="107"/>
  <c r="V71" i="107"/>
  <c r="P71" i="107"/>
  <c r="O71" i="107"/>
  <c r="P72" i="107"/>
  <c r="M71" i="107"/>
  <c r="O72" i="107" s="1"/>
  <c r="O73" i="107"/>
  <c r="O75" i="107" s="1"/>
  <c r="L71" i="107"/>
  <c r="M72" i="107"/>
  <c r="K71" i="107"/>
  <c r="J71" i="107"/>
  <c r="K72" i="107"/>
  <c r="I71" i="107"/>
  <c r="J72" i="107"/>
  <c r="H71" i="107"/>
  <c r="I72" i="107" s="1"/>
  <c r="G71" i="107"/>
  <c r="F71" i="107"/>
  <c r="G72" i="107"/>
  <c r="E71" i="107"/>
  <c r="F72" i="107" s="1"/>
  <c r="F73" i="107"/>
  <c r="F75" i="107" s="1"/>
  <c r="D71" i="107"/>
  <c r="E72" i="107"/>
  <c r="X70" i="107"/>
  <c r="AB70" i="107"/>
  <c r="V70" i="107"/>
  <c r="V66" i="107"/>
  <c r="N65" i="107"/>
  <c r="P60" i="107"/>
  <c r="P61" i="107" s="1"/>
  <c r="O60" i="107"/>
  <c r="O61" i="107" s="1"/>
  <c r="M60" i="107"/>
  <c r="M61" i="107"/>
  <c r="M63" i="107" s="1"/>
  <c r="L60" i="107"/>
  <c r="L61" i="107" s="1"/>
  <c r="K60" i="107"/>
  <c r="K61" i="107"/>
  <c r="J60" i="107"/>
  <c r="J61" i="107"/>
  <c r="J63" i="107"/>
  <c r="I60" i="107"/>
  <c r="I61" i="107"/>
  <c r="H60" i="107"/>
  <c r="H61" i="107" s="1"/>
  <c r="G60" i="107"/>
  <c r="G61" i="107" s="1"/>
  <c r="G63" i="107" s="1"/>
  <c r="F60" i="107"/>
  <c r="F61" i="107"/>
  <c r="E60" i="107"/>
  <c r="E61" i="107"/>
  <c r="E63" i="107" s="1"/>
  <c r="D61" i="107"/>
  <c r="AD59" i="107"/>
  <c r="V59" i="107"/>
  <c r="V58" i="107"/>
  <c r="X57" i="107"/>
  <c r="X59" i="107" s="1"/>
  <c r="AB59" i="107" s="1"/>
  <c r="X49" i="107"/>
  <c r="AB49" i="107" s="1"/>
  <c r="V49" i="107"/>
  <c r="P49" i="107"/>
  <c r="P51" i="107"/>
  <c r="O49" i="107"/>
  <c r="M49" i="107"/>
  <c r="L49" i="107"/>
  <c r="K49" i="107"/>
  <c r="J49" i="107"/>
  <c r="J51" i="107"/>
  <c r="I49" i="107"/>
  <c r="H49" i="107"/>
  <c r="G49" i="107"/>
  <c r="G51" i="107" s="1"/>
  <c r="F49" i="107"/>
  <c r="F51" i="107" s="1"/>
  <c r="E49" i="107"/>
  <c r="D49" i="107"/>
  <c r="AB45" i="107"/>
  <c r="V43" i="107"/>
  <c r="X48" i="107"/>
  <c r="AB48" i="107"/>
  <c r="V42" i="107"/>
  <c r="X47" i="107"/>
  <c r="AB47" i="107" s="1"/>
  <c r="V41" i="107"/>
  <c r="V46" i="107"/>
  <c r="X36" i="107"/>
  <c r="AB36" i="107"/>
  <c r="V36" i="107"/>
  <c r="P36" i="107"/>
  <c r="O36" i="107"/>
  <c r="M36" i="107"/>
  <c r="M38" i="107" s="1"/>
  <c r="L36" i="107"/>
  <c r="K36" i="107"/>
  <c r="J36" i="107"/>
  <c r="I36" i="107"/>
  <c r="H36" i="107"/>
  <c r="G36" i="107"/>
  <c r="F36" i="107"/>
  <c r="F38" i="107" s="1"/>
  <c r="E36" i="107"/>
  <c r="E38" i="107" s="1"/>
  <c r="D36" i="107"/>
  <c r="AB32" i="107"/>
  <c r="V30" i="107"/>
  <c r="X35" i="107"/>
  <c r="AB35" i="107" s="1"/>
  <c r="V29" i="107"/>
  <c r="X34" i="107"/>
  <c r="AB34" i="107" s="1"/>
  <c r="V28" i="107"/>
  <c r="V33" i="107"/>
  <c r="H22" i="107"/>
  <c r="P21" i="107"/>
  <c r="O21" i="107"/>
  <c r="M21" i="107"/>
  <c r="O22" i="107" s="1"/>
  <c r="L21" i="107"/>
  <c r="K21" i="107"/>
  <c r="L22" i="107"/>
  <c r="J21" i="107"/>
  <c r="I21" i="107"/>
  <c r="H21" i="107"/>
  <c r="I22" i="107" s="1"/>
  <c r="F21" i="107"/>
  <c r="E21" i="107"/>
  <c r="F22" i="107"/>
  <c r="F23" i="107" s="1"/>
  <c r="D21" i="107"/>
  <c r="E22" i="107" s="1"/>
  <c r="V20" i="107"/>
  <c r="V19" i="107"/>
  <c r="X18" i="107"/>
  <c r="X20" i="107"/>
  <c r="AB20" i="107" s="1"/>
  <c r="P11" i="107"/>
  <c r="P13" i="107" s="1"/>
  <c r="O11" i="107"/>
  <c r="O13" i="107"/>
  <c r="M11" i="107"/>
  <c r="M13" i="107"/>
  <c r="M15" i="107"/>
  <c r="L11" i="107"/>
  <c r="L13" i="107"/>
  <c r="L15" i="107" s="1"/>
  <c r="J11" i="107"/>
  <c r="J13" i="107"/>
  <c r="J15" i="107" s="1"/>
  <c r="I11" i="107"/>
  <c r="I13" i="107"/>
  <c r="H11" i="107"/>
  <c r="H13" i="107"/>
  <c r="G11" i="107"/>
  <c r="G13" i="107" s="1"/>
  <c r="F11" i="107"/>
  <c r="F13" i="107" s="1"/>
  <c r="E11" i="107"/>
  <c r="E13" i="107"/>
  <c r="D11" i="107"/>
  <c r="D13" i="107"/>
  <c r="K10" i="107"/>
  <c r="K11" i="107" s="1"/>
  <c r="K13" i="107"/>
  <c r="I16" i="106"/>
  <c r="H16" i="106"/>
  <c r="D16" i="106"/>
  <c r="C16" i="106"/>
  <c r="J15" i="106"/>
  <c r="Z9" i="104" s="1"/>
  <c r="E15" i="106"/>
  <c r="I34" i="77" s="1"/>
  <c r="J14" i="106"/>
  <c r="X9" i="104" s="1"/>
  <c r="E14" i="106"/>
  <c r="I33" i="77"/>
  <c r="J13" i="106"/>
  <c r="V9" i="104" s="1"/>
  <c r="E13" i="106"/>
  <c r="I32" i="77"/>
  <c r="J12" i="106"/>
  <c r="E12" i="106"/>
  <c r="I31" i="77"/>
  <c r="J11" i="106"/>
  <c r="R9" i="104"/>
  <c r="E11" i="106"/>
  <c r="J10" i="106"/>
  <c r="P9" i="104" s="1"/>
  <c r="E10" i="106"/>
  <c r="I29" i="77"/>
  <c r="J9" i="106"/>
  <c r="E9" i="106"/>
  <c r="I28" i="77"/>
  <c r="J8" i="106"/>
  <c r="E8" i="106"/>
  <c r="J7" i="106"/>
  <c r="E7" i="106"/>
  <c r="J6" i="106"/>
  <c r="E6" i="106"/>
  <c r="J5" i="106"/>
  <c r="E5" i="106"/>
  <c r="I24" i="77" s="1"/>
  <c r="J4" i="106"/>
  <c r="D9" i="104" s="1"/>
  <c r="E4" i="106"/>
  <c r="I23" i="77"/>
  <c r="O19" i="105"/>
  <c r="O27" i="105" s="1"/>
  <c r="N19" i="105"/>
  <c r="N27" i="105" s="1"/>
  <c r="M19" i="105"/>
  <c r="L19" i="105"/>
  <c r="L27" i="105" s="1"/>
  <c r="K19" i="105"/>
  <c r="K27" i="105"/>
  <c r="J19" i="105"/>
  <c r="J27" i="105"/>
  <c r="I19" i="105"/>
  <c r="I27" i="105" s="1"/>
  <c r="H19" i="105"/>
  <c r="H27" i="105" s="1"/>
  <c r="G19" i="105"/>
  <c r="F19" i="105"/>
  <c r="E19" i="105"/>
  <c r="D19" i="105"/>
  <c r="P18" i="105"/>
  <c r="P17" i="105"/>
  <c r="P16" i="105"/>
  <c r="E595" i="93"/>
  <c r="P15" i="105"/>
  <c r="P14" i="105"/>
  <c r="E593" i="93"/>
  <c r="P13" i="105"/>
  <c r="AK2" i="102" s="1"/>
  <c r="AL2" i="102" s="1"/>
  <c r="P12" i="105"/>
  <c r="O9" i="105"/>
  <c r="N9" i="105"/>
  <c r="N26" i="105"/>
  <c r="M9" i="105"/>
  <c r="M26" i="105"/>
  <c r="L9" i="105"/>
  <c r="L26" i="105" s="1"/>
  <c r="L28" i="105" s="1"/>
  <c r="K9" i="105"/>
  <c r="K26" i="105" s="1"/>
  <c r="K28" i="105" s="1"/>
  <c r="J9" i="105"/>
  <c r="J26" i="105" s="1"/>
  <c r="I9" i="105"/>
  <c r="J428" i="103" s="1"/>
  <c r="H9" i="105"/>
  <c r="H26" i="105"/>
  <c r="H28" i="105" s="1"/>
  <c r="G9" i="105"/>
  <c r="G26" i="105"/>
  <c r="F9" i="105"/>
  <c r="F26" i="105"/>
  <c r="E9" i="105"/>
  <c r="E26" i="105" s="1"/>
  <c r="D9" i="105"/>
  <c r="E428" i="103" s="1"/>
  <c r="P8" i="105"/>
  <c r="P7" i="105"/>
  <c r="Y28" i="104"/>
  <c r="Y27" i="104"/>
  <c r="Y26" i="104"/>
  <c r="AD15" i="104"/>
  <c r="T9" i="104"/>
  <c r="N9" i="104"/>
  <c r="L9" i="104"/>
  <c r="J9" i="104"/>
  <c r="H9" i="104"/>
  <c r="F9" i="104"/>
  <c r="F10" i="104" s="1"/>
  <c r="O428" i="103"/>
  <c r="I428" i="103"/>
  <c r="H428" i="103"/>
  <c r="G428" i="103"/>
  <c r="P422" i="103"/>
  <c r="O422" i="103"/>
  <c r="N422" i="103"/>
  <c r="M422" i="103"/>
  <c r="L422" i="103"/>
  <c r="K422" i="103"/>
  <c r="J422" i="103"/>
  <c r="I422" i="103"/>
  <c r="H422" i="103"/>
  <c r="G422" i="103"/>
  <c r="F422" i="103"/>
  <c r="E422" i="103"/>
  <c r="Q421" i="103"/>
  <c r="E584" i="93" s="1"/>
  <c r="Q420" i="103"/>
  <c r="E583" i="93" s="1"/>
  <c r="Q419" i="103"/>
  <c r="Q418" i="103"/>
  <c r="Q417" i="103"/>
  <c r="Q416" i="103"/>
  <c r="Q415" i="103"/>
  <c r="Q414" i="103"/>
  <c r="Q413" i="103"/>
  <c r="Q412" i="103"/>
  <c r="Q411" i="103"/>
  <c r="Q410" i="103"/>
  <c r="Q409" i="103"/>
  <c r="Q408" i="103"/>
  <c r="Q407" i="103"/>
  <c r="Q406" i="103"/>
  <c r="P402" i="103"/>
  <c r="O402" i="103"/>
  <c r="N402" i="103"/>
  <c r="M402" i="103"/>
  <c r="L402" i="103"/>
  <c r="K402" i="103"/>
  <c r="J402" i="103"/>
  <c r="I402" i="103"/>
  <c r="H402" i="103"/>
  <c r="G402" i="103"/>
  <c r="F402" i="103"/>
  <c r="E402" i="103"/>
  <c r="Q401" i="103"/>
  <c r="E568" i="93"/>
  <c r="Q400" i="103"/>
  <c r="Q399" i="103"/>
  <c r="Q398" i="103"/>
  <c r="Q397" i="103"/>
  <c r="Q396" i="103"/>
  <c r="Q395" i="103"/>
  <c r="Q394" i="103"/>
  <c r="Q393" i="103"/>
  <c r="Q392" i="103"/>
  <c r="Q391" i="103"/>
  <c r="Q390" i="103"/>
  <c r="Q389" i="103"/>
  <c r="Q388" i="103"/>
  <c r="Q387" i="103"/>
  <c r="Q386" i="103"/>
  <c r="Q382" i="103"/>
  <c r="Q381" i="103"/>
  <c r="Q380" i="103"/>
  <c r="E546" i="93"/>
  <c r="Q379" i="103"/>
  <c r="Q378" i="103"/>
  <c r="Q377" i="103"/>
  <c r="Q376" i="103"/>
  <c r="Q375" i="103"/>
  <c r="Q374" i="103"/>
  <c r="Q373" i="103"/>
  <c r="Q372" i="103"/>
  <c r="Q371" i="103"/>
  <c r="Q370" i="103"/>
  <c r="Q369" i="103"/>
  <c r="Q368" i="103"/>
  <c r="Q367" i="103"/>
  <c r="Q366" i="103"/>
  <c r="Q362" i="103"/>
  <c r="Q361" i="103"/>
  <c r="E528" i="93" s="1"/>
  <c r="Q360" i="103"/>
  <c r="Q359" i="103"/>
  <c r="Q358" i="103"/>
  <c r="Q357" i="103"/>
  <c r="Q356" i="103"/>
  <c r="Q355" i="103"/>
  <c r="Q354" i="103"/>
  <c r="Q353" i="103"/>
  <c r="Q352" i="103"/>
  <c r="Q351" i="103"/>
  <c r="Q350" i="103"/>
  <c r="Q349" i="103"/>
  <c r="Q348" i="103"/>
  <c r="Q347" i="103"/>
  <c r="Q346" i="103"/>
  <c r="Q342" i="103"/>
  <c r="Q341" i="103"/>
  <c r="Q340" i="103"/>
  <c r="Q339" i="103"/>
  <c r="Q338" i="103"/>
  <c r="Q337" i="103"/>
  <c r="Q336" i="103"/>
  <c r="Q335" i="103"/>
  <c r="Q334" i="103"/>
  <c r="Q333" i="103"/>
  <c r="Q332" i="103"/>
  <c r="Q331" i="103"/>
  <c r="Q330" i="103"/>
  <c r="Q329" i="103"/>
  <c r="Q328" i="103"/>
  <c r="Q327" i="103"/>
  <c r="Q326" i="103"/>
  <c r="Q322" i="103"/>
  <c r="Q321" i="103"/>
  <c r="E472" i="93" s="1"/>
  <c r="Q320" i="103"/>
  <c r="E471" i="93" s="1"/>
  <c r="Q319" i="103"/>
  <c r="E470" i="93"/>
  <c r="Q318" i="103"/>
  <c r="Q317" i="103"/>
  <c r="E468" i="93"/>
  <c r="Q316" i="103"/>
  <c r="Q315" i="103"/>
  <c r="Q314" i="103"/>
  <c r="Q313" i="103"/>
  <c r="Q312" i="103"/>
  <c r="Q311" i="103"/>
  <c r="Q310" i="103"/>
  <c r="Q309" i="103"/>
  <c r="Q308" i="103"/>
  <c r="Q307" i="103"/>
  <c r="Q306" i="103"/>
  <c r="Q302" i="103"/>
  <c r="Q301" i="103"/>
  <c r="E445" i="93" s="1"/>
  <c r="Q300" i="103"/>
  <c r="E444" i="93"/>
  <c r="Q299" i="103"/>
  <c r="Q298" i="103"/>
  <c r="Q297" i="103"/>
  <c r="Q296" i="103"/>
  <c r="Q295" i="103"/>
  <c r="Q294" i="103"/>
  <c r="Q293" i="103"/>
  <c r="Q292" i="103"/>
  <c r="Q291" i="103"/>
  <c r="Q290" i="103"/>
  <c r="Q289" i="103"/>
  <c r="Q288" i="103"/>
  <c r="Q287" i="103"/>
  <c r="Q286" i="103"/>
  <c r="Q282" i="103"/>
  <c r="Q281" i="103"/>
  <c r="E426" i="93" s="1"/>
  <c r="Q280" i="103"/>
  <c r="Q279" i="103"/>
  <c r="Q278" i="103"/>
  <c r="Q277" i="103"/>
  <c r="Q276" i="103"/>
  <c r="Q275" i="103"/>
  <c r="Q274" i="103"/>
  <c r="Q273" i="103"/>
  <c r="Q272" i="103"/>
  <c r="Q271" i="103"/>
  <c r="Q270" i="103"/>
  <c r="Q269" i="103"/>
  <c r="Q268" i="103"/>
  <c r="Q267" i="103"/>
  <c r="Q266" i="103"/>
  <c r="Q262" i="103"/>
  <c r="Q261" i="103"/>
  <c r="Q260" i="103"/>
  <c r="E406" i="93" s="1"/>
  <c r="Q259" i="103"/>
  <c r="Q258" i="103"/>
  <c r="Q257" i="103"/>
  <c r="Q256" i="103"/>
  <c r="Q255" i="103"/>
  <c r="Q254" i="103"/>
  <c r="Q253" i="103"/>
  <c r="Q252" i="103"/>
  <c r="Q251" i="103"/>
  <c r="Q250" i="103"/>
  <c r="Q249" i="103"/>
  <c r="Q248" i="103"/>
  <c r="Q247" i="103"/>
  <c r="Q246" i="103"/>
  <c r="Q242" i="103"/>
  <c r="Q241" i="103"/>
  <c r="Q240" i="103"/>
  <c r="E388" i="93" s="1"/>
  <c r="Q239" i="103"/>
  <c r="Q238" i="103"/>
  <c r="Q237" i="103"/>
  <c r="Q236" i="103"/>
  <c r="Q235" i="103"/>
  <c r="Q234" i="103"/>
  <c r="Q233" i="103"/>
  <c r="Q232" i="103"/>
  <c r="Q231" i="103"/>
  <c r="Q230" i="103"/>
  <c r="Q229" i="103"/>
  <c r="Q228" i="103"/>
  <c r="Q227" i="103"/>
  <c r="Q226" i="103"/>
  <c r="Q222" i="103"/>
  <c r="Q221" i="103"/>
  <c r="Q220" i="103"/>
  <c r="E369" i="93"/>
  <c r="Q219" i="103"/>
  <c r="Q218" i="103"/>
  <c r="Q217" i="103"/>
  <c r="Q216" i="103"/>
  <c r="Q215" i="103"/>
  <c r="Q214" i="103"/>
  <c r="Q213" i="103"/>
  <c r="Q212" i="103"/>
  <c r="Q211" i="103"/>
  <c r="Q210" i="103"/>
  <c r="Q209" i="103"/>
  <c r="Q208" i="103"/>
  <c r="Q207" i="103"/>
  <c r="Q206" i="103"/>
  <c r="Q202" i="103"/>
  <c r="Q201" i="103"/>
  <c r="E347" i="93" s="1"/>
  <c r="Q200" i="103"/>
  <c r="Q199" i="103"/>
  <c r="E345" i="93" s="1"/>
  <c r="Q198" i="103"/>
  <c r="E344" i="93" s="1"/>
  <c r="Q197" i="103"/>
  <c r="E343" i="93"/>
  <c r="Q196" i="103"/>
  <c r="Q195" i="103"/>
  <c r="Q194" i="103"/>
  <c r="Q193" i="103"/>
  <c r="Q192" i="103"/>
  <c r="Q191" i="103"/>
  <c r="Q190" i="103"/>
  <c r="Q189" i="103"/>
  <c r="Q188" i="103"/>
  <c r="Q187" i="103"/>
  <c r="Q186" i="103"/>
  <c r="Q182" i="103"/>
  <c r="Q181" i="103"/>
  <c r="E308" i="93" s="1"/>
  <c r="Q180" i="103"/>
  <c r="E307" i="93" s="1"/>
  <c r="Q179" i="103"/>
  <c r="E306" i="93" s="1"/>
  <c r="Q178" i="103"/>
  <c r="E305" i="93" s="1"/>
  <c r="Q177" i="103"/>
  <c r="Q176" i="103"/>
  <c r="E303" i="93" s="1"/>
  <c r="Q175" i="103"/>
  <c r="Q174" i="103"/>
  <c r="Q173" i="103"/>
  <c r="Q172" i="103"/>
  <c r="Q171" i="103"/>
  <c r="Q170" i="103"/>
  <c r="Q169" i="103"/>
  <c r="Q168" i="103"/>
  <c r="Q167" i="103"/>
  <c r="Q166" i="103"/>
  <c r="Q165" i="103"/>
  <c r="Q163" i="103"/>
  <c r="P162" i="103"/>
  <c r="O162" i="103"/>
  <c r="N162" i="103"/>
  <c r="M162" i="103"/>
  <c r="L162" i="103"/>
  <c r="K162" i="103"/>
  <c r="J162" i="103"/>
  <c r="I162" i="103"/>
  <c r="H162" i="103"/>
  <c r="G162" i="103"/>
  <c r="F162" i="103"/>
  <c r="E162" i="103"/>
  <c r="Q161" i="103"/>
  <c r="Q160" i="103"/>
  <c r="Q159" i="103"/>
  <c r="Q158" i="103"/>
  <c r="Q157" i="103"/>
  <c r="E239" i="93" s="1"/>
  <c r="Q156" i="103"/>
  <c r="E238" i="93" s="1"/>
  <c r="Q155" i="103"/>
  <c r="Q154" i="103"/>
  <c r="E236" i="93" s="1"/>
  <c r="Q153" i="103"/>
  <c r="Q152" i="103"/>
  <c r="Q151" i="103"/>
  <c r="Q150" i="103"/>
  <c r="Q149" i="103"/>
  <c r="Q148" i="103"/>
  <c r="Q147" i="103"/>
  <c r="Q146" i="103"/>
  <c r="Q145" i="103"/>
  <c r="Q144" i="103"/>
  <c r="Q143" i="103"/>
  <c r="Q142" i="103"/>
  <c r="Q141" i="103"/>
  <c r="E210" i="93" s="1"/>
  <c r="Q140" i="103"/>
  <c r="E209" i="93" s="1"/>
  <c r="Q139" i="103"/>
  <c r="Q138" i="103"/>
  <c r="Q137" i="103"/>
  <c r="Q136" i="103"/>
  <c r="Q135" i="103"/>
  <c r="Q134" i="103"/>
  <c r="E203" i="93"/>
  <c r="Q133" i="103"/>
  <c r="Q132" i="103"/>
  <c r="Q131" i="103"/>
  <c r="Q130" i="103"/>
  <c r="Q129" i="103"/>
  <c r="Q128" i="103"/>
  <c r="Q127" i="103"/>
  <c r="Q126" i="103"/>
  <c r="Q125" i="103"/>
  <c r="Q124" i="103"/>
  <c r="Q123" i="103"/>
  <c r="P122" i="103"/>
  <c r="O122" i="103"/>
  <c r="N122" i="103"/>
  <c r="M122" i="103"/>
  <c r="L122" i="103"/>
  <c r="K122" i="103"/>
  <c r="J122" i="103"/>
  <c r="I122" i="103"/>
  <c r="H122" i="103"/>
  <c r="G122" i="103"/>
  <c r="F122" i="103"/>
  <c r="E122" i="103"/>
  <c r="Q121" i="103"/>
  <c r="Q120" i="103"/>
  <c r="Q119" i="103"/>
  <c r="Q118" i="103"/>
  <c r="Q117" i="103"/>
  <c r="E177" i="93"/>
  <c r="Q116" i="103"/>
  <c r="Q115" i="103"/>
  <c r="E175" i="93"/>
  <c r="Q114" i="103"/>
  <c r="Q113" i="103"/>
  <c r="Q112" i="103"/>
  <c r="Q111" i="103"/>
  <c r="Q110" i="103"/>
  <c r="Q109" i="103"/>
  <c r="Q108" i="103"/>
  <c r="Q107" i="103"/>
  <c r="Q106" i="103"/>
  <c r="Q105" i="103"/>
  <c r="Q104" i="103"/>
  <c r="Q103" i="103"/>
  <c r="Q102" i="103"/>
  <c r="Q101" i="103"/>
  <c r="Q100" i="103"/>
  <c r="Q99" i="103"/>
  <c r="Q98" i="103"/>
  <c r="Q97" i="103"/>
  <c r="E142" i="93" s="1"/>
  <c r="Q96" i="103"/>
  <c r="E141" i="93"/>
  <c r="Q95" i="103"/>
  <c r="E140" i="93" s="1"/>
  <c r="Q94" i="103"/>
  <c r="Q93" i="103"/>
  <c r="Q92" i="103"/>
  <c r="Q91" i="103"/>
  <c r="Q90" i="103"/>
  <c r="Q89" i="103"/>
  <c r="Q88" i="103"/>
  <c r="Q87" i="103"/>
  <c r="Q86" i="103"/>
  <c r="Q84" i="103"/>
  <c r="Q83" i="103"/>
  <c r="Q82" i="103"/>
  <c r="Q81" i="103"/>
  <c r="Q80" i="103"/>
  <c r="Q79" i="103"/>
  <c r="Q78" i="103"/>
  <c r="E109" i="93"/>
  <c r="Q77" i="103"/>
  <c r="Q76" i="103"/>
  <c r="Q75" i="103"/>
  <c r="Q74" i="103"/>
  <c r="Q73" i="103"/>
  <c r="Q72" i="103"/>
  <c r="Q71" i="103"/>
  <c r="Q70" i="103"/>
  <c r="Q69" i="103"/>
  <c r="Q68" i="103"/>
  <c r="Q67" i="103"/>
  <c r="Q66" i="103"/>
  <c r="P62" i="103"/>
  <c r="O62" i="103"/>
  <c r="N62" i="103"/>
  <c r="Q61" i="103"/>
  <c r="E276" i="93" s="1"/>
  <c r="Q60" i="103"/>
  <c r="Q59" i="103"/>
  <c r="E274" i="93" s="1"/>
  <c r="Q58" i="103"/>
  <c r="Q57" i="103"/>
  <c r="E272" i="93" s="1"/>
  <c r="Q56" i="103"/>
  <c r="Q55" i="103"/>
  <c r="E270" i="93"/>
  <c r="Q54" i="103"/>
  <c r="Q53" i="103"/>
  <c r="Q52" i="103"/>
  <c r="P51" i="103"/>
  <c r="O51" i="103"/>
  <c r="N51" i="103"/>
  <c r="Q50" i="103"/>
  <c r="Q49" i="103"/>
  <c r="Q48" i="103"/>
  <c r="Q47" i="103"/>
  <c r="Q46" i="103"/>
  <c r="P43" i="103"/>
  <c r="P44" i="103" s="1"/>
  <c r="O43" i="103"/>
  <c r="O44" i="103" s="1"/>
  <c r="N43" i="103"/>
  <c r="N44" i="103" s="1"/>
  <c r="M43" i="103"/>
  <c r="M44" i="103"/>
  <c r="L43" i="103"/>
  <c r="L44" i="103" s="1"/>
  <c r="K43" i="103"/>
  <c r="K44" i="103" s="1"/>
  <c r="J43" i="103"/>
  <c r="J44" i="103" s="1"/>
  <c r="I43" i="103"/>
  <c r="I44" i="103"/>
  <c r="H43" i="103"/>
  <c r="H44" i="103" s="1"/>
  <c r="G43" i="103"/>
  <c r="G44" i="103" s="1"/>
  <c r="F43" i="103"/>
  <c r="F44" i="103" s="1"/>
  <c r="E43" i="103"/>
  <c r="E44" i="103"/>
  <c r="Q42" i="103"/>
  <c r="Q41" i="103"/>
  <c r="Q40" i="103"/>
  <c r="Q39" i="103"/>
  <c r="E73" i="93"/>
  <c r="Q38" i="103"/>
  <c r="E72" i="93" s="1"/>
  <c r="Q37" i="103"/>
  <c r="E71" i="93" s="1"/>
  <c r="Q36" i="103"/>
  <c r="Q35" i="103"/>
  <c r="E69" i="93" s="1"/>
  <c r="Q34" i="103"/>
  <c r="Q33" i="103"/>
  <c r="Q32" i="103"/>
  <c r="Q31" i="103"/>
  <c r="Q30" i="103"/>
  <c r="Q29" i="103"/>
  <c r="Q28" i="103"/>
  <c r="Q27" i="103"/>
  <c r="Q26" i="103"/>
  <c r="Q24" i="103"/>
  <c r="Q23" i="103"/>
  <c r="P22" i="103"/>
  <c r="O22" i="103"/>
  <c r="N22" i="103"/>
  <c r="M22" i="103"/>
  <c r="L22" i="103"/>
  <c r="K22" i="103"/>
  <c r="J22" i="103"/>
  <c r="I22" i="103"/>
  <c r="H22" i="103"/>
  <c r="G22" i="103"/>
  <c r="F22" i="103"/>
  <c r="E22" i="103"/>
  <c r="Q21" i="103"/>
  <c r="Q20" i="103"/>
  <c r="Q19" i="103"/>
  <c r="Q18" i="103"/>
  <c r="Q17" i="103"/>
  <c r="E34" i="93"/>
  <c r="Q16" i="103"/>
  <c r="E33" i="93"/>
  <c r="Q15" i="103"/>
  <c r="E32" i="93" s="1"/>
  <c r="Q14" i="103"/>
  <c r="T14" i="103" s="1"/>
  <c r="Q13" i="103"/>
  <c r="Q12" i="103"/>
  <c r="Q11" i="103"/>
  <c r="Q10" i="103"/>
  <c r="Q9" i="103"/>
  <c r="Q8" i="103"/>
  <c r="Q7" i="103"/>
  <c r="Q6" i="103"/>
  <c r="AC425" i="102"/>
  <c r="AA425" i="102"/>
  <c r="Y425" i="102"/>
  <c r="W425" i="102"/>
  <c r="U425" i="102"/>
  <c r="S425" i="102"/>
  <c r="Q425" i="102"/>
  <c r="O425" i="102"/>
  <c r="M425" i="102"/>
  <c r="K425" i="102"/>
  <c r="I425" i="102"/>
  <c r="G425" i="102"/>
  <c r="AD424" i="102"/>
  <c r="AD423" i="102"/>
  <c r="AC422" i="102"/>
  <c r="AA422" i="102"/>
  <c r="Y422" i="102"/>
  <c r="W422" i="102"/>
  <c r="U422" i="102"/>
  <c r="S422" i="102"/>
  <c r="Q422" i="102"/>
  <c r="O422" i="102"/>
  <c r="M422" i="102"/>
  <c r="K422" i="102"/>
  <c r="I422" i="102"/>
  <c r="G422" i="102"/>
  <c r="AD421" i="102"/>
  <c r="AD420" i="102"/>
  <c r="AD419" i="102"/>
  <c r="E577" i="93" s="1"/>
  <c r="C577" i="93" s="1"/>
  <c r="K577" i="93" s="1"/>
  <c r="AD418" i="102"/>
  <c r="E576" i="93" s="1"/>
  <c r="C576" i="93"/>
  <c r="K576" i="93" s="1"/>
  <c r="AD417" i="102"/>
  <c r="E575" i="93"/>
  <c r="C575" i="93" s="1"/>
  <c r="K575" i="93" s="1"/>
  <c r="M575" i="93" s="1"/>
  <c r="AD416" i="102"/>
  <c r="AD415" i="102"/>
  <c r="AC412" i="102"/>
  <c r="AA412" i="102"/>
  <c r="Y412" i="102"/>
  <c r="W412" i="102"/>
  <c r="U412" i="102"/>
  <c r="S412" i="102"/>
  <c r="Q412" i="102"/>
  <c r="O412" i="102"/>
  <c r="M412" i="102"/>
  <c r="K412" i="102"/>
  <c r="I412" i="102"/>
  <c r="G412" i="102"/>
  <c r="AD411" i="102"/>
  <c r="AD410" i="102"/>
  <c r="AC409" i="102"/>
  <c r="AA409" i="102"/>
  <c r="Y409" i="102"/>
  <c r="W409" i="102"/>
  <c r="U409" i="102"/>
  <c r="S409" i="102"/>
  <c r="Q409" i="102"/>
  <c r="O409" i="102"/>
  <c r="M409" i="102"/>
  <c r="K409" i="102"/>
  <c r="I409" i="102"/>
  <c r="G409" i="102"/>
  <c r="AD408" i="102"/>
  <c r="AD407" i="102"/>
  <c r="E566" i="93" s="1"/>
  <c r="AD406" i="102"/>
  <c r="E565" i="93" s="1"/>
  <c r="AD405" i="102"/>
  <c r="E563" i="93"/>
  <c r="AD404" i="102"/>
  <c r="AD403" i="102"/>
  <c r="AD402" i="102"/>
  <c r="AD401" i="102"/>
  <c r="AD400" i="102"/>
  <c r="E554" i="93" s="1"/>
  <c r="AD399" i="102"/>
  <c r="E553" i="93"/>
  <c r="C553" i="93" s="1"/>
  <c r="K553" i="93" s="1"/>
  <c r="AC396" i="102"/>
  <c r="AB396" i="102"/>
  <c r="AA396" i="102"/>
  <c r="Z396" i="102"/>
  <c r="Y396" i="102"/>
  <c r="X396" i="102"/>
  <c r="W396" i="102"/>
  <c r="V396" i="102"/>
  <c r="U396" i="102"/>
  <c r="S396" i="102"/>
  <c r="Q396" i="102"/>
  <c r="O396" i="102"/>
  <c r="M396" i="102"/>
  <c r="K396" i="102"/>
  <c r="I396" i="102"/>
  <c r="G396" i="102"/>
  <c r="AD395" i="102"/>
  <c r="AD394" i="102"/>
  <c r="AC393" i="102"/>
  <c r="AA393" i="102"/>
  <c r="Y393" i="102"/>
  <c r="W393" i="102"/>
  <c r="U393" i="102"/>
  <c r="S393" i="102"/>
  <c r="Q393" i="102"/>
  <c r="O393" i="102"/>
  <c r="M393" i="102"/>
  <c r="K393" i="102"/>
  <c r="I393" i="102"/>
  <c r="G393" i="102"/>
  <c r="AD392" i="102"/>
  <c r="E545" i="93"/>
  <c r="AD391" i="102"/>
  <c r="E544" i="93" s="1"/>
  <c r="E548" i="93" s="1"/>
  <c r="E550" i="93" s="1"/>
  <c r="C550" i="93" s="1"/>
  <c r="AD390" i="102"/>
  <c r="AD389" i="102"/>
  <c r="E538" i="93" s="1"/>
  <c r="C538" i="93"/>
  <c r="K538" i="93" s="1"/>
  <c r="AD388" i="102"/>
  <c r="AD387" i="102"/>
  <c r="E536" i="93" s="1"/>
  <c r="AD386" i="102"/>
  <c r="AD385" i="102"/>
  <c r="AC382" i="102"/>
  <c r="AA382" i="102"/>
  <c r="Y382" i="102"/>
  <c r="W382" i="102"/>
  <c r="U382" i="102"/>
  <c r="S382" i="102"/>
  <c r="Q382" i="102"/>
  <c r="O382" i="102"/>
  <c r="M382" i="102"/>
  <c r="K382" i="102"/>
  <c r="I382" i="102"/>
  <c r="G382" i="102"/>
  <c r="AD381" i="102"/>
  <c r="AD380" i="102"/>
  <c r="AC379" i="102"/>
  <c r="AA379" i="102"/>
  <c r="Y379" i="102"/>
  <c r="W379" i="102"/>
  <c r="U379" i="102"/>
  <c r="S379" i="102"/>
  <c r="Q379" i="102"/>
  <c r="O379" i="102"/>
  <c r="M379" i="102"/>
  <c r="K379" i="102"/>
  <c r="I379" i="102"/>
  <c r="G379" i="102"/>
  <c r="AD378" i="102"/>
  <c r="E526" i="93"/>
  <c r="AD377" i="102"/>
  <c r="E525" i="93" s="1"/>
  <c r="AD376" i="102"/>
  <c r="AD375" i="102"/>
  <c r="AD374" i="102"/>
  <c r="AD373" i="102"/>
  <c r="E521" i="93" s="1"/>
  <c r="AD372" i="102"/>
  <c r="AD371" i="102"/>
  <c r="AD370" i="102"/>
  <c r="E518" i="93" s="1"/>
  <c r="AD369" i="102"/>
  <c r="E517" i="93" s="1"/>
  <c r="AD368" i="102"/>
  <c r="AD367" i="102"/>
  <c r="E515" i="93" s="1"/>
  <c r="AD366" i="102"/>
  <c r="AD365" i="102"/>
  <c r="AD364" i="102"/>
  <c r="E512" i="93"/>
  <c r="AD363" i="102"/>
  <c r="E508" i="93" s="1"/>
  <c r="C508" i="93" s="1"/>
  <c r="AB363" i="102"/>
  <c r="Z77" i="104"/>
  <c r="Z363" i="102"/>
  <c r="X77" i="104" s="1"/>
  <c r="X363" i="102"/>
  <c r="V77" i="104"/>
  <c r="V363" i="102"/>
  <c r="T77" i="104"/>
  <c r="T363" i="102"/>
  <c r="R77" i="104"/>
  <c r="R363" i="102"/>
  <c r="P77" i="104" s="1"/>
  <c r="P363" i="102"/>
  <c r="N77" i="104" s="1"/>
  <c r="N363" i="102"/>
  <c r="L77" i="104"/>
  <c r="L363" i="102"/>
  <c r="J77" i="104"/>
  <c r="J363" i="102"/>
  <c r="H77" i="104" s="1"/>
  <c r="H363" i="102"/>
  <c r="F77" i="104"/>
  <c r="F363" i="102"/>
  <c r="D77" i="104"/>
  <c r="AD362" i="102"/>
  <c r="AB362" i="102"/>
  <c r="Z76" i="104"/>
  <c r="Z362" i="102"/>
  <c r="X76" i="104"/>
  <c r="X362" i="102"/>
  <c r="V76" i="104" s="1"/>
  <c r="V362" i="102"/>
  <c r="T76" i="104" s="1"/>
  <c r="T362" i="102"/>
  <c r="R76" i="104"/>
  <c r="R362" i="102"/>
  <c r="P76" i="104"/>
  <c r="P362" i="102"/>
  <c r="N76" i="104" s="1"/>
  <c r="N362" i="102"/>
  <c r="L76" i="104" s="1"/>
  <c r="L362" i="102"/>
  <c r="J76" i="104"/>
  <c r="J362" i="102"/>
  <c r="H76" i="104"/>
  <c r="H362" i="102"/>
  <c r="F76" i="104" s="1"/>
  <c r="F362" i="102"/>
  <c r="D76" i="104" s="1"/>
  <c r="AD361" i="102"/>
  <c r="AB361" i="102"/>
  <c r="Z75" i="104" s="1"/>
  <c r="Z361" i="102"/>
  <c r="X75" i="104" s="1"/>
  <c r="X361" i="102"/>
  <c r="V75" i="104"/>
  <c r="V361" i="102"/>
  <c r="T75" i="104"/>
  <c r="T361" i="102"/>
  <c r="R75" i="104" s="1"/>
  <c r="R361" i="102"/>
  <c r="P75" i="104"/>
  <c r="P361" i="102"/>
  <c r="N75" i="104"/>
  <c r="N361" i="102"/>
  <c r="L75" i="104"/>
  <c r="L361" i="102"/>
  <c r="J75" i="104" s="1"/>
  <c r="J361" i="102"/>
  <c r="H75" i="104" s="1"/>
  <c r="H361" i="102"/>
  <c r="F75" i="104"/>
  <c r="F361" i="102"/>
  <c r="D75" i="104"/>
  <c r="AD360" i="102"/>
  <c r="E505" i="93" s="1"/>
  <c r="C505" i="93" s="1"/>
  <c r="AB360" i="102"/>
  <c r="Z74" i="104" s="1"/>
  <c r="Z360" i="102"/>
  <c r="X74" i="104" s="1"/>
  <c r="X78" i="104" s="1"/>
  <c r="X360" i="102"/>
  <c r="V74" i="104" s="1"/>
  <c r="V360" i="102"/>
  <c r="T74" i="104"/>
  <c r="T360" i="102"/>
  <c r="R74" i="104"/>
  <c r="R360" i="102"/>
  <c r="P74" i="104"/>
  <c r="P360" i="102"/>
  <c r="N74" i="104" s="1"/>
  <c r="N360" i="102"/>
  <c r="L74" i="104" s="1"/>
  <c r="L360" i="102"/>
  <c r="J74" i="104"/>
  <c r="J360" i="102"/>
  <c r="H74" i="104"/>
  <c r="H78" i="104"/>
  <c r="H360" i="102"/>
  <c r="F74" i="104"/>
  <c r="F360" i="102"/>
  <c r="D74" i="104" s="1"/>
  <c r="AD359" i="102"/>
  <c r="E504" i="93" s="1"/>
  <c r="C504" i="93" s="1"/>
  <c r="AB359" i="102"/>
  <c r="Z359" i="102"/>
  <c r="X359" i="102"/>
  <c r="V359" i="102"/>
  <c r="T359" i="102"/>
  <c r="R359" i="102"/>
  <c r="P359" i="102"/>
  <c r="N359" i="102"/>
  <c r="L359" i="102"/>
  <c r="J359" i="102"/>
  <c r="H359" i="102"/>
  <c r="F359" i="102"/>
  <c r="AD358" i="102"/>
  <c r="E503" i="93"/>
  <c r="C503" i="93" s="1"/>
  <c r="AB358" i="102"/>
  <c r="Z358" i="102"/>
  <c r="X358" i="102"/>
  <c r="V358" i="102"/>
  <c r="T358" i="102"/>
  <c r="R358" i="102"/>
  <c r="P358" i="102"/>
  <c r="N358" i="102"/>
  <c r="L358" i="102"/>
  <c r="J358" i="102"/>
  <c r="H358" i="102"/>
  <c r="F358" i="102"/>
  <c r="AC355" i="102"/>
  <c r="AA355" i="102"/>
  <c r="Y355" i="102"/>
  <c r="W355" i="102"/>
  <c r="U355" i="102"/>
  <c r="S355" i="102"/>
  <c r="Q355" i="102"/>
  <c r="O355" i="102"/>
  <c r="M355" i="102"/>
  <c r="K355" i="102"/>
  <c r="I355" i="102"/>
  <c r="G355" i="102"/>
  <c r="AD354" i="102"/>
  <c r="AD353" i="102"/>
  <c r="AC352" i="102"/>
  <c r="AA352" i="102"/>
  <c r="Y352" i="102"/>
  <c r="W352" i="102"/>
  <c r="U352" i="102"/>
  <c r="S352" i="102"/>
  <c r="Q352" i="102"/>
  <c r="O352" i="102"/>
  <c r="M352" i="102"/>
  <c r="K352" i="102"/>
  <c r="I352" i="102"/>
  <c r="G352" i="102"/>
  <c r="AD351" i="102"/>
  <c r="E493" i="93"/>
  <c r="AD350" i="102"/>
  <c r="E492" i="93"/>
  <c r="AD349" i="102"/>
  <c r="E491" i="93" s="1"/>
  <c r="AD348" i="102"/>
  <c r="AD347" i="102"/>
  <c r="E489" i="93" s="1"/>
  <c r="AD346" i="102"/>
  <c r="AD345" i="102"/>
  <c r="AB345" i="102"/>
  <c r="Z67" i="104"/>
  <c r="Z345" i="102"/>
  <c r="X67" i="104"/>
  <c r="X345" i="102"/>
  <c r="V67" i="104" s="1"/>
  <c r="V345" i="102"/>
  <c r="T67" i="104" s="1"/>
  <c r="T345" i="102"/>
  <c r="R67" i="104"/>
  <c r="R345" i="102"/>
  <c r="P67" i="104"/>
  <c r="P345" i="102"/>
  <c r="N67" i="104" s="1"/>
  <c r="N345" i="102"/>
  <c r="L67" i="104" s="1"/>
  <c r="L345" i="102"/>
  <c r="J67" i="104"/>
  <c r="J345" i="102"/>
  <c r="H67" i="104"/>
  <c r="H345" i="102"/>
  <c r="F67" i="104" s="1"/>
  <c r="F71" i="104" s="1"/>
  <c r="F345" i="102"/>
  <c r="D67" i="104" s="1"/>
  <c r="AD344" i="102"/>
  <c r="AB344" i="102"/>
  <c r="Z66" i="104" s="1"/>
  <c r="Z344" i="102"/>
  <c r="X66" i="104" s="1"/>
  <c r="X70" i="104" s="1"/>
  <c r="X344" i="102"/>
  <c r="V66" i="104"/>
  <c r="V344" i="102"/>
  <c r="T66" i="104"/>
  <c r="T344" i="102"/>
  <c r="R66" i="104" s="1"/>
  <c r="R344" i="102"/>
  <c r="P66" i="104" s="1"/>
  <c r="P70" i="104" s="1"/>
  <c r="P344" i="102"/>
  <c r="N66" i="104"/>
  <c r="N344" i="102"/>
  <c r="L66" i="104"/>
  <c r="L344" i="102"/>
  <c r="J66" i="104" s="1"/>
  <c r="J344" i="102"/>
  <c r="H66" i="104"/>
  <c r="H344" i="102"/>
  <c r="F66" i="104"/>
  <c r="F344" i="102"/>
  <c r="D66" i="104"/>
  <c r="AD343" i="102"/>
  <c r="E482" i="93" s="1"/>
  <c r="C482" i="93" s="1"/>
  <c r="AB343" i="102"/>
  <c r="Z65" i="104" s="1"/>
  <c r="Z69" i="104"/>
  <c r="Z343" i="102"/>
  <c r="X65" i="104"/>
  <c r="X343" i="102"/>
  <c r="V65" i="104" s="1"/>
  <c r="V343" i="102"/>
  <c r="T65" i="104"/>
  <c r="T343" i="102"/>
  <c r="R65" i="104"/>
  <c r="R343" i="102"/>
  <c r="P65" i="104"/>
  <c r="P343" i="102"/>
  <c r="N65" i="104" s="1"/>
  <c r="N343" i="102"/>
  <c r="L65" i="104" s="1"/>
  <c r="L69" i="104" s="1"/>
  <c r="L343" i="102"/>
  <c r="J65" i="104"/>
  <c r="J69" i="104" s="1"/>
  <c r="J343" i="102"/>
  <c r="H65" i="104"/>
  <c r="H343" i="102"/>
  <c r="F65" i="104"/>
  <c r="F343" i="102"/>
  <c r="D65" i="104" s="1"/>
  <c r="AD342" i="102"/>
  <c r="AB342" i="102"/>
  <c r="Z64" i="104"/>
  <c r="Z342" i="102"/>
  <c r="X64" i="104" s="1"/>
  <c r="X342" i="102"/>
  <c r="V64" i="104" s="1"/>
  <c r="V342" i="102"/>
  <c r="T64" i="104"/>
  <c r="T342" i="102"/>
  <c r="R64" i="104"/>
  <c r="R342" i="102"/>
  <c r="P64" i="104"/>
  <c r="P342" i="102"/>
  <c r="N64" i="104" s="1"/>
  <c r="N342" i="102"/>
  <c r="L64" i="104" s="1"/>
  <c r="L342" i="102"/>
  <c r="J64" i="104"/>
  <c r="J342" i="102"/>
  <c r="H64" i="104"/>
  <c r="H68" i="104" s="1"/>
  <c r="H342" i="102"/>
  <c r="F64" i="104" s="1"/>
  <c r="F342" i="102"/>
  <c r="D64" i="104" s="1"/>
  <c r="AD341" i="102"/>
  <c r="E480" i="93" s="1"/>
  <c r="C480" i="93" s="1"/>
  <c r="AB341" i="102"/>
  <c r="Z341" i="102"/>
  <c r="X341" i="102"/>
  <c r="V341" i="102"/>
  <c r="T341" i="102"/>
  <c r="R341" i="102"/>
  <c r="P341" i="102"/>
  <c r="N341" i="102"/>
  <c r="L341" i="102"/>
  <c r="J341" i="102"/>
  <c r="H341" i="102"/>
  <c r="F341" i="102"/>
  <c r="AD340" i="102"/>
  <c r="AB340" i="102"/>
  <c r="Z340" i="102"/>
  <c r="X340" i="102"/>
  <c r="V340" i="102"/>
  <c r="T340" i="102"/>
  <c r="R340" i="102"/>
  <c r="P340" i="102"/>
  <c r="N340" i="102"/>
  <c r="L340" i="102"/>
  <c r="J340" i="102"/>
  <c r="H340" i="102"/>
  <c r="F340" i="102"/>
  <c r="AD339" i="102"/>
  <c r="E478" i="93"/>
  <c r="C478" i="93" s="1"/>
  <c r="G478" i="93" s="1"/>
  <c r="AB339" i="102"/>
  <c r="Z339" i="102"/>
  <c r="X339" i="102"/>
  <c r="V339" i="102"/>
  <c r="T339" i="102"/>
  <c r="R339" i="102"/>
  <c r="P339" i="102"/>
  <c r="N339" i="102"/>
  <c r="L339" i="102"/>
  <c r="J339" i="102"/>
  <c r="H339" i="102"/>
  <c r="F339" i="102"/>
  <c r="AC336" i="102"/>
  <c r="AA336" i="102"/>
  <c r="Y336" i="102"/>
  <c r="W336" i="102"/>
  <c r="U336" i="102"/>
  <c r="S336" i="102"/>
  <c r="Q336" i="102"/>
  <c r="O336" i="102"/>
  <c r="M336" i="102"/>
  <c r="K336" i="102"/>
  <c r="I336" i="102"/>
  <c r="G336" i="102"/>
  <c r="AD335" i="102"/>
  <c r="AD334" i="102"/>
  <c r="AC333" i="102"/>
  <c r="AA333" i="102"/>
  <c r="Y333" i="102"/>
  <c r="W333" i="102"/>
  <c r="U333" i="102"/>
  <c r="S333" i="102"/>
  <c r="Q333" i="102"/>
  <c r="O333" i="102"/>
  <c r="M333" i="102"/>
  <c r="K333" i="102"/>
  <c r="I333" i="102"/>
  <c r="G333" i="102"/>
  <c r="AD332" i="102"/>
  <c r="AD331" i="102"/>
  <c r="E466" i="93"/>
  <c r="AD330" i="102"/>
  <c r="AD329" i="102"/>
  <c r="AD328" i="102"/>
  <c r="AD327" i="102"/>
  <c r="E462" i="93"/>
  <c r="AD326" i="102"/>
  <c r="E461" i="93"/>
  <c r="AD325" i="102"/>
  <c r="AB325" i="102"/>
  <c r="Z57" i="104"/>
  <c r="Z325" i="102"/>
  <c r="X57" i="104" s="1"/>
  <c r="X325" i="102"/>
  <c r="V57" i="104" s="1"/>
  <c r="V325" i="102"/>
  <c r="T57" i="104"/>
  <c r="T325" i="102"/>
  <c r="R57" i="104"/>
  <c r="R325" i="102"/>
  <c r="P57" i="104" s="1"/>
  <c r="P325" i="102"/>
  <c r="N57" i="104" s="1"/>
  <c r="N325" i="102"/>
  <c r="L57" i="104"/>
  <c r="L325" i="102"/>
  <c r="J57" i="104"/>
  <c r="J325" i="102"/>
  <c r="H57" i="104" s="1"/>
  <c r="H325" i="102"/>
  <c r="F57" i="104" s="1"/>
  <c r="F61" i="104" s="1"/>
  <c r="F325" i="102"/>
  <c r="D57" i="104"/>
  <c r="AD324" i="102"/>
  <c r="E456" i="93"/>
  <c r="C456" i="93" s="1"/>
  <c r="G456" i="93" s="1"/>
  <c r="AB324" i="102"/>
  <c r="Z56" i="104" s="1"/>
  <c r="Z324" i="102"/>
  <c r="X56" i="104"/>
  <c r="X324" i="102"/>
  <c r="V56" i="104"/>
  <c r="V324" i="102"/>
  <c r="T56" i="104" s="1"/>
  <c r="T324" i="102"/>
  <c r="R56" i="104" s="1"/>
  <c r="R324" i="102"/>
  <c r="P56" i="104"/>
  <c r="P324" i="102"/>
  <c r="N56" i="104"/>
  <c r="N62" i="104" s="1"/>
  <c r="N324" i="102"/>
  <c r="L56" i="104" s="1"/>
  <c r="L324" i="102"/>
  <c r="J56" i="104" s="1"/>
  <c r="J324" i="102"/>
  <c r="H56" i="104"/>
  <c r="H324" i="102"/>
  <c r="F56" i="104"/>
  <c r="F324" i="102"/>
  <c r="D56" i="104" s="1"/>
  <c r="AD323" i="102"/>
  <c r="E455" i="93" s="1"/>
  <c r="C455" i="93" s="1"/>
  <c r="G455" i="93" s="1"/>
  <c r="I455" i="93" s="1"/>
  <c r="AB323" i="102"/>
  <c r="Z55" i="104"/>
  <c r="Z323" i="102"/>
  <c r="X55" i="104" s="1"/>
  <c r="X323" i="102"/>
  <c r="V55" i="104" s="1"/>
  <c r="V323" i="102"/>
  <c r="T55" i="104"/>
  <c r="T323" i="102"/>
  <c r="R55" i="104"/>
  <c r="R323" i="102"/>
  <c r="P55" i="104" s="1"/>
  <c r="P323" i="102"/>
  <c r="N55" i="104" s="1"/>
  <c r="N323" i="102"/>
  <c r="L55" i="104"/>
  <c r="L323" i="102"/>
  <c r="J55" i="104"/>
  <c r="J323" i="102"/>
  <c r="H55" i="104" s="1"/>
  <c r="H323" i="102"/>
  <c r="F55" i="104" s="1"/>
  <c r="F59" i="104" s="1"/>
  <c r="F323" i="102"/>
  <c r="D55" i="104"/>
  <c r="AD322" i="102"/>
  <c r="E454" i="93"/>
  <c r="C454" i="93" s="1"/>
  <c r="AB322" i="102"/>
  <c r="Z54" i="104"/>
  <c r="Z322" i="102"/>
  <c r="X54" i="104"/>
  <c r="X322" i="102"/>
  <c r="V54" i="104" s="1"/>
  <c r="V322" i="102"/>
  <c r="T54" i="104" s="1"/>
  <c r="T322" i="102"/>
  <c r="R54" i="104"/>
  <c r="R322" i="102"/>
  <c r="P54" i="104"/>
  <c r="P322" i="102"/>
  <c r="N54" i="104" s="1"/>
  <c r="N322" i="102"/>
  <c r="L54" i="104"/>
  <c r="L58" i="104" s="1"/>
  <c r="L322" i="102"/>
  <c r="J54" i="104" s="1"/>
  <c r="J322" i="102"/>
  <c r="H54" i="104"/>
  <c r="H322" i="102"/>
  <c r="F54" i="104"/>
  <c r="F322" i="102"/>
  <c r="D54" i="104" s="1"/>
  <c r="AD321" i="102"/>
  <c r="AB321" i="102"/>
  <c r="Z321" i="102"/>
  <c r="X321" i="102"/>
  <c r="V321" i="102"/>
  <c r="T321" i="102"/>
  <c r="R321" i="102"/>
  <c r="P321" i="102"/>
  <c r="N321" i="102"/>
  <c r="L321" i="102"/>
  <c r="J321" i="102"/>
  <c r="H321" i="102"/>
  <c r="F321" i="102"/>
  <c r="AD320" i="102"/>
  <c r="AB320" i="102"/>
  <c r="Z320" i="102"/>
  <c r="X320" i="102"/>
  <c r="V320" i="102"/>
  <c r="T320" i="102"/>
  <c r="R320" i="102"/>
  <c r="P320" i="102"/>
  <c r="N320" i="102"/>
  <c r="L320" i="102"/>
  <c r="J320" i="102"/>
  <c r="H320" i="102"/>
  <c r="F320" i="102"/>
  <c r="AD319" i="102"/>
  <c r="E451" i="93"/>
  <c r="C451" i="93" s="1"/>
  <c r="AB319" i="102"/>
  <c r="Z319" i="102"/>
  <c r="X319" i="102"/>
  <c r="V319" i="102"/>
  <c r="T319" i="102"/>
  <c r="R319" i="102"/>
  <c r="P319" i="102"/>
  <c r="N319" i="102"/>
  <c r="L319" i="102"/>
  <c r="J319" i="102"/>
  <c r="H319" i="102"/>
  <c r="F319" i="102"/>
  <c r="AC316" i="102"/>
  <c r="AA316" i="102"/>
  <c r="Y316" i="102"/>
  <c r="W316" i="102"/>
  <c r="U316" i="102"/>
  <c r="S316" i="102"/>
  <c r="Q316" i="102"/>
  <c r="O316" i="102"/>
  <c r="M316" i="102"/>
  <c r="K316" i="102"/>
  <c r="I316" i="102"/>
  <c r="G316" i="102"/>
  <c r="AD315" i="102"/>
  <c r="AD314" i="102"/>
  <c r="AC313" i="102"/>
  <c r="AA313" i="102"/>
  <c r="Y313" i="102"/>
  <c r="W313" i="102"/>
  <c r="U313" i="102"/>
  <c r="S313" i="102"/>
  <c r="Q313" i="102"/>
  <c r="O313" i="102"/>
  <c r="M313" i="102"/>
  <c r="K313" i="102"/>
  <c r="I313" i="102"/>
  <c r="G313" i="102"/>
  <c r="AD312" i="102"/>
  <c r="AD311" i="102"/>
  <c r="E442" i="93"/>
  <c r="AD310" i="102"/>
  <c r="AD309" i="102"/>
  <c r="E436" i="93"/>
  <c r="AD308" i="102"/>
  <c r="AD307" i="102"/>
  <c r="E434" i="93"/>
  <c r="C434" i="93" s="1"/>
  <c r="K434" i="93" s="1"/>
  <c r="AD306" i="102"/>
  <c r="AD305" i="102"/>
  <c r="AC302" i="102"/>
  <c r="AA302" i="102"/>
  <c r="Y302" i="102"/>
  <c r="W302" i="102"/>
  <c r="U302" i="102"/>
  <c r="S302" i="102"/>
  <c r="Q302" i="102"/>
  <c r="O302" i="102"/>
  <c r="M302" i="102"/>
  <c r="K302" i="102"/>
  <c r="I302" i="102"/>
  <c r="G302" i="102"/>
  <c r="AD301" i="102"/>
  <c r="AD300" i="102"/>
  <c r="AC299" i="102"/>
  <c r="AA299" i="102"/>
  <c r="Y299" i="102"/>
  <c r="W299" i="102"/>
  <c r="U299" i="102"/>
  <c r="S299" i="102"/>
  <c r="Q299" i="102"/>
  <c r="O299" i="102"/>
  <c r="M299" i="102"/>
  <c r="K299" i="102"/>
  <c r="I299" i="102"/>
  <c r="AD299" i="102" s="1"/>
  <c r="G299" i="102"/>
  <c r="AD298" i="102"/>
  <c r="E423" i="93"/>
  <c r="AD297" i="102"/>
  <c r="AD296" i="102"/>
  <c r="AD295" i="102"/>
  <c r="E417" i="93"/>
  <c r="AD294" i="102"/>
  <c r="AD293" i="102"/>
  <c r="AD292" i="102"/>
  <c r="AD291" i="102"/>
  <c r="E413" i="93"/>
  <c r="AC288" i="102"/>
  <c r="AA288" i="102"/>
  <c r="Y288" i="102"/>
  <c r="W288" i="102"/>
  <c r="U288" i="102"/>
  <c r="S288" i="102"/>
  <c r="Q288" i="102"/>
  <c r="O288" i="102"/>
  <c r="M288" i="102"/>
  <c r="K288" i="102"/>
  <c r="I288" i="102"/>
  <c r="G288" i="102"/>
  <c r="AD287" i="102"/>
  <c r="AD286" i="102"/>
  <c r="AC285" i="102"/>
  <c r="AA285" i="102"/>
  <c r="Y285" i="102"/>
  <c r="W285" i="102"/>
  <c r="U285" i="102"/>
  <c r="S285" i="102"/>
  <c r="Q285" i="102"/>
  <c r="O285" i="102"/>
  <c r="M285" i="102"/>
  <c r="K285" i="102"/>
  <c r="I285" i="102"/>
  <c r="G285" i="102"/>
  <c r="AD284" i="102"/>
  <c r="AD283" i="102"/>
  <c r="E404" i="93"/>
  <c r="AD282" i="102"/>
  <c r="AD281" i="102"/>
  <c r="E400" i="93"/>
  <c r="AD280" i="102"/>
  <c r="AD279" i="102"/>
  <c r="AD278" i="102"/>
  <c r="E396" i="93" s="1"/>
  <c r="C396" i="93" s="1"/>
  <c r="K396" i="93" s="1"/>
  <c r="AD277" i="102"/>
  <c r="E395" i="93"/>
  <c r="AC274" i="102"/>
  <c r="AA274" i="102"/>
  <c r="Y274" i="102"/>
  <c r="W274" i="102"/>
  <c r="U274" i="102"/>
  <c r="S274" i="102"/>
  <c r="Q274" i="102"/>
  <c r="O274" i="102"/>
  <c r="M274" i="102"/>
  <c r="K274" i="102"/>
  <c r="I274" i="102"/>
  <c r="G274" i="102"/>
  <c r="AD273" i="102"/>
  <c r="AD272" i="102"/>
  <c r="AC271" i="102"/>
  <c r="AA271" i="102"/>
  <c r="Y271" i="102"/>
  <c r="W271" i="102"/>
  <c r="U271" i="102"/>
  <c r="S271" i="102"/>
  <c r="Q271" i="102"/>
  <c r="O271" i="102"/>
  <c r="M271" i="102"/>
  <c r="K271" i="102"/>
  <c r="I271" i="102"/>
  <c r="G271" i="102"/>
  <c r="AD270" i="102"/>
  <c r="AD269" i="102"/>
  <c r="AD268" i="102"/>
  <c r="AD267" i="102"/>
  <c r="E380" i="93" s="1"/>
  <c r="AD266" i="102"/>
  <c r="E379" i="93" s="1"/>
  <c r="C379" i="93" s="1"/>
  <c r="K379" i="93" s="1"/>
  <c r="AD265" i="102"/>
  <c r="E378" i="93"/>
  <c r="C378" i="93"/>
  <c r="K378" i="93" s="1"/>
  <c r="AD264" i="102"/>
  <c r="AD263" i="102"/>
  <c r="AC260" i="102"/>
  <c r="Y260" i="102"/>
  <c r="W260" i="102"/>
  <c r="U260" i="102"/>
  <c r="S260" i="102"/>
  <c r="Q260" i="102"/>
  <c r="O260" i="102"/>
  <c r="M260" i="102"/>
  <c r="K260" i="102"/>
  <c r="I260" i="102"/>
  <c r="G260" i="102"/>
  <c r="AD259" i="102"/>
  <c r="AD258" i="102"/>
  <c r="AC257" i="102"/>
  <c r="AA257" i="102"/>
  <c r="Y257" i="102"/>
  <c r="W257" i="102"/>
  <c r="S257" i="102"/>
  <c r="Q257" i="102"/>
  <c r="O257" i="102"/>
  <c r="M257" i="102"/>
  <c r="K257" i="102"/>
  <c r="I257" i="102"/>
  <c r="G257" i="102"/>
  <c r="AD256" i="102"/>
  <c r="AD255" i="102"/>
  <c r="AD254" i="102"/>
  <c r="AB254" i="102"/>
  <c r="Z254" i="102"/>
  <c r="X254" i="102"/>
  <c r="V254" i="102"/>
  <c r="T254" i="102"/>
  <c r="R254" i="102"/>
  <c r="P254" i="102"/>
  <c r="N254" i="102"/>
  <c r="L254" i="102"/>
  <c r="J254" i="102"/>
  <c r="H254" i="102"/>
  <c r="F254" i="102"/>
  <c r="AD253" i="102"/>
  <c r="AB253" i="102"/>
  <c r="Z86" i="104"/>
  <c r="Z253" i="102"/>
  <c r="X86" i="104"/>
  <c r="X253" i="102"/>
  <c r="V86" i="104" s="1"/>
  <c r="V253" i="102"/>
  <c r="T86" i="104"/>
  <c r="T253" i="102"/>
  <c r="R86" i="104"/>
  <c r="R253" i="102"/>
  <c r="P86" i="104"/>
  <c r="P253" i="102"/>
  <c r="N86" i="104" s="1"/>
  <c r="N253" i="102"/>
  <c r="L86" i="104" s="1"/>
  <c r="L253" i="102"/>
  <c r="J86" i="104"/>
  <c r="J253" i="102"/>
  <c r="H86" i="104"/>
  <c r="H253" i="102"/>
  <c r="F86" i="104" s="1"/>
  <c r="F253" i="102"/>
  <c r="D86" i="104" s="1"/>
  <c r="AD252" i="102"/>
  <c r="AB252" i="102"/>
  <c r="Z85" i="104" s="1"/>
  <c r="Z252" i="102"/>
  <c r="X85" i="104"/>
  <c r="X252" i="102"/>
  <c r="V85" i="104"/>
  <c r="V252" i="102"/>
  <c r="T85" i="104" s="1"/>
  <c r="T252" i="102"/>
  <c r="R85" i="104" s="1"/>
  <c r="R252" i="102"/>
  <c r="P85" i="104"/>
  <c r="P252" i="102"/>
  <c r="N85" i="104"/>
  <c r="N252" i="102"/>
  <c r="L85" i="104" s="1"/>
  <c r="L252" i="102"/>
  <c r="J85" i="104" s="1"/>
  <c r="J252" i="102"/>
  <c r="H85" i="104"/>
  <c r="H252" i="102"/>
  <c r="F85" i="104"/>
  <c r="F252" i="102"/>
  <c r="D85" i="104" s="1"/>
  <c r="AD251" i="102"/>
  <c r="AD250" i="102"/>
  <c r="AB250" i="102"/>
  <c r="Z250" i="102"/>
  <c r="X250" i="102"/>
  <c r="V250" i="102"/>
  <c r="T250" i="102"/>
  <c r="R250" i="102"/>
  <c r="P250" i="102"/>
  <c r="N250" i="102"/>
  <c r="L250" i="102"/>
  <c r="J250" i="102"/>
  <c r="H250" i="102"/>
  <c r="F250" i="102"/>
  <c r="AD249" i="102"/>
  <c r="AB249" i="102"/>
  <c r="Z249" i="102"/>
  <c r="X249" i="102"/>
  <c r="V249" i="102"/>
  <c r="T249" i="102"/>
  <c r="R249" i="102"/>
  <c r="P249" i="102"/>
  <c r="N249" i="102"/>
  <c r="L249" i="102"/>
  <c r="J249" i="102"/>
  <c r="H249" i="102"/>
  <c r="F249" i="102"/>
  <c r="AC246" i="102"/>
  <c r="AB246" i="102"/>
  <c r="AA246" i="102"/>
  <c r="Z246" i="102"/>
  <c r="Y246" i="102"/>
  <c r="X246" i="102"/>
  <c r="W246" i="102"/>
  <c r="V246" i="102"/>
  <c r="U246" i="102"/>
  <c r="T246" i="102"/>
  <c r="S246" i="102"/>
  <c r="R246" i="102"/>
  <c r="Q246" i="102"/>
  <c r="P246" i="102"/>
  <c r="O246" i="102"/>
  <c r="N246" i="102"/>
  <c r="M246" i="102"/>
  <c r="L246" i="102"/>
  <c r="K246" i="102"/>
  <c r="J246" i="102"/>
  <c r="I246" i="102"/>
  <c r="G246" i="102"/>
  <c r="AD246" i="102" s="1"/>
  <c r="AD245" i="102"/>
  <c r="AD244" i="102"/>
  <c r="AC243" i="102"/>
  <c r="AA243" i="102"/>
  <c r="Y243" i="102"/>
  <c r="W243" i="102"/>
  <c r="U243" i="102"/>
  <c r="S243" i="102"/>
  <c r="AD243" i="102" s="1"/>
  <c r="Q243" i="102"/>
  <c r="O243" i="102"/>
  <c r="M243" i="102"/>
  <c r="K243" i="102"/>
  <c r="I243" i="102"/>
  <c r="G243" i="102"/>
  <c r="AD242" i="102"/>
  <c r="AD241" i="102"/>
  <c r="E338" i="93" s="1"/>
  <c r="AD240" i="102"/>
  <c r="E337" i="93"/>
  <c r="AD239" i="102"/>
  <c r="E336" i="93" s="1"/>
  <c r="AD238" i="102"/>
  <c r="E335" i="93" s="1"/>
  <c r="AD237" i="102"/>
  <c r="E334" i="93"/>
  <c r="AD236" i="102"/>
  <c r="AD235" i="102"/>
  <c r="E332" i="93"/>
  <c r="AD234" i="102"/>
  <c r="AD233" i="102"/>
  <c r="AD232" i="102"/>
  <c r="AD231" i="102"/>
  <c r="E328" i="93"/>
  <c r="AD230" i="102"/>
  <c r="E327" i="93"/>
  <c r="AD229" i="102"/>
  <c r="E326" i="93" s="1"/>
  <c r="AD228" i="102"/>
  <c r="AD227" i="102"/>
  <c r="E324" i="93" s="1"/>
  <c r="AD226" i="102"/>
  <c r="AB226" i="102"/>
  <c r="Z47" i="104"/>
  <c r="Z226" i="102"/>
  <c r="X47" i="104" s="1"/>
  <c r="X51" i="104" s="1"/>
  <c r="X226" i="102"/>
  <c r="V47" i="104"/>
  <c r="V226" i="102"/>
  <c r="T47" i="104"/>
  <c r="T226" i="102"/>
  <c r="R47" i="104"/>
  <c r="R226" i="102"/>
  <c r="P47" i="104" s="1"/>
  <c r="P226" i="102"/>
  <c r="N47" i="104" s="1"/>
  <c r="N226" i="102"/>
  <c r="L47" i="104"/>
  <c r="L226" i="102"/>
  <c r="J47" i="104"/>
  <c r="J226" i="102"/>
  <c r="H47" i="104" s="1"/>
  <c r="H226" i="102"/>
  <c r="F47" i="104"/>
  <c r="F226" i="102"/>
  <c r="D47" i="104"/>
  <c r="AD225" i="102"/>
  <c r="E319" i="93"/>
  <c r="C319" i="93"/>
  <c r="AB225" i="102"/>
  <c r="Z46" i="104"/>
  <c r="Z225" i="102"/>
  <c r="X46" i="104" s="1"/>
  <c r="X225" i="102"/>
  <c r="V46" i="104" s="1"/>
  <c r="V225" i="102"/>
  <c r="T46" i="104"/>
  <c r="T225" i="102"/>
  <c r="R46" i="104"/>
  <c r="R225" i="102"/>
  <c r="P46" i="104" s="1"/>
  <c r="P225" i="102"/>
  <c r="N46" i="104" s="1"/>
  <c r="N225" i="102"/>
  <c r="L46" i="104"/>
  <c r="L225" i="102"/>
  <c r="J46" i="104"/>
  <c r="J225" i="102"/>
  <c r="H46" i="104" s="1"/>
  <c r="H225" i="102"/>
  <c r="F46" i="104" s="1"/>
  <c r="F225" i="102"/>
  <c r="D46" i="104"/>
  <c r="AD224" i="102"/>
  <c r="E318" i="93"/>
  <c r="C318" i="93"/>
  <c r="AB224" i="102"/>
  <c r="Z45" i="104"/>
  <c r="Z224" i="102"/>
  <c r="X45" i="104"/>
  <c r="X224" i="102"/>
  <c r="V45" i="104" s="1"/>
  <c r="V224" i="102"/>
  <c r="T45" i="104" s="1"/>
  <c r="T224" i="102"/>
  <c r="R45" i="104"/>
  <c r="R224" i="102"/>
  <c r="P45" i="104"/>
  <c r="P224" i="102"/>
  <c r="N45" i="104" s="1"/>
  <c r="N224" i="102"/>
  <c r="L45" i="104"/>
  <c r="L224" i="102"/>
  <c r="J45" i="104"/>
  <c r="J224" i="102"/>
  <c r="H45" i="104"/>
  <c r="H224" i="102"/>
  <c r="F45" i="104" s="1"/>
  <c r="F224" i="102"/>
  <c r="D45" i="104" s="1"/>
  <c r="AD223" i="102"/>
  <c r="AB223" i="102"/>
  <c r="Z44" i="104" s="1"/>
  <c r="Z223" i="102"/>
  <c r="X44" i="104"/>
  <c r="X223" i="102"/>
  <c r="V44" i="104"/>
  <c r="V223" i="102"/>
  <c r="T44" i="104" s="1"/>
  <c r="T223" i="102"/>
  <c r="R44" i="104" s="1"/>
  <c r="R223" i="102"/>
  <c r="P44" i="104"/>
  <c r="P223" i="102"/>
  <c r="N44" i="104"/>
  <c r="N223" i="102"/>
  <c r="L44" i="104" s="1"/>
  <c r="L223" i="102"/>
  <c r="J44" i="104" s="1"/>
  <c r="J223" i="102"/>
  <c r="H44" i="104"/>
  <c r="H223" i="102"/>
  <c r="F44" i="104"/>
  <c r="F223" i="102"/>
  <c r="D44" i="104" s="1"/>
  <c r="AD222" i="102"/>
  <c r="E316" i="93" s="1"/>
  <c r="C316" i="93" s="1"/>
  <c r="L222" i="102"/>
  <c r="T222" i="102"/>
  <c r="AD221" i="102"/>
  <c r="X221" i="102"/>
  <c r="AD220" i="102"/>
  <c r="E314" i="93"/>
  <c r="C314" i="93" s="1"/>
  <c r="AB220" i="102"/>
  <c r="Z220" i="102"/>
  <c r="X220" i="102"/>
  <c r="V220" i="102"/>
  <c r="T220" i="102"/>
  <c r="R220" i="102"/>
  <c r="P220" i="102"/>
  <c r="N220" i="102"/>
  <c r="L220" i="102"/>
  <c r="J220" i="102"/>
  <c r="H220" i="102"/>
  <c r="F220" i="102"/>
  <c r="AC217" i="102"/>
  <c r="AA217" i="102"/>
  <c r="Y217" i="102"/>
  <c r="W217" i="102"/>
  <c r="U217" i="102"/>
  <c r="S217" i="102"/>
  <c r="Q217" i="102"/>
  <c r="O217" i="102"/>
  <c r="M217" i="102"/>
  <c r="K217" i="102"/>
  <c r="I217" i="102"/>
  <c r="AD217" i="102" s="1"/>
  <c r="G217" i="102"/>
  <c r="AD216" i="102"/>
  <c r="AD215" i="102"/>
  <c r="AC214" i="102"/>
  <c r="AA214" i="102"/>
  <c r="Y214" i="102"/>
  <c r="W214" i="102"/>
  <c r="U214" i="102"/>
  <c r="U428" i="102" s="1"/>
  <c r="S214" i="102"/>
  <c r="Q214" i="102"/>
  <c r="O214" i="102"/>
  <c r="M214" i="102"/>
  <c r="K214" i="102"/>
  <c r="I214" i="102"/>
  <c r="G214" i="102"/>
  <c r="AD213" i="102"/>
  <c r="E300" i="93" s="1"/>
  <c r="AD212" i="102"/>
  <c r="E299" i="93"/>
  <c r="AD211" i="102"/>
  <c r="E298" i="93" s="1"/>
  <c r="AD210" i="102"/>
  <c r="E297" i="93" s="1"/>
  <c r="AD209" i="102"/>
  <c r="E296" i="93"/>
  <c r="AD208" i="102"/>
  <c r="AD207" i="102"/>
  <c r="AD206" i="102"/>
  <c r="AD205" i="102"/>
  <c r="AD204" i="102"/>
  <c r="E291" i="93" s="1"/>
  <c r="AD203" i="102"/>
  <c r="E290" i="93"/>
  <c r="AD202" i="102"/>
  <c r="E287" i="93"/>
  <c r="AD201" i="102"/>
  <c r="E284" i="93" s="1"/>
  <c r="C284" i="93"/>
  <c r="K284" i="93" s="1"/>
  <c r="M284" i="93" s="1"/>
  <c r="AB201" i="102"/>
  <c r="Z39" i="104" s="1"/>
  <c r="Z201" i="102"/>
  <c r="X39" i="104"/>
  <c r="X201" i="102"/>
  <c r="V39" i="104"/>
  <c r="V201" i="102"/>
  <c r="T39" i="104" s="1"/>
  <c r="T201" i="102"/>
  <c r="R39" i="104" s="1"/>
  <c r="R201" i="102"/>
  <c r="P39" i="104"/>
  <c r="P201" i="102"/>
  <c r="N39" i="104"/>
  <c r="N201" i="102"/>
  <c r="L39" i="104" s="1"/>
  <c r="L201" i="102"/>
  <c r="J39" i="104" s="1"/>
  <c r="J201" i="102"/>
  <c r="H39" i="104"/>
  <c r="H201" i="102"/>
  <c r="F39" i="104"/>
  <c r="F201" i="102"/>
  <c r="D39" i="104" s="1"/>
  <c r="AD200" i="102"/>
  <c r="AB200" i="102"/>
  <c r="Z38" i="104"/>
  <c r="Z200" i="102"/>
  <c r="X38" i="104" s="1"/>
  <c r="X200" i="102"/>
  <c r="V38" i="104" s="1"/>
  <c r="V200" i="102"/>
  <c r="T38" i="104"/>
  <c r="T200" i="102"/>
  <c r="R38" i="104"/>
  <c r="R200" i="102"/>
  <c r="P38" i="104" s="1"/>
  <c r="P200" i="102"/>
  <c r="N38" i="104"/>
  <c r="N200" i="102"/>
  <c r="L38" i="104"/>
  <c r="L200" i="102"/>
  <c r="J38" i="104"/>
  <c r="J200" i="102"/>
  <c r="H38" i="104" s="1"/>
  <c r="H200" i="102"/>
  <c r="F38" i="104"/>
  <c r="F200" i="102"/>
  <c r="D38" i="104"/>
  <c r="AD199" i="102"/>
  <c r="AB199" i="102"/>
  <c r="Z199" i="102"/>
  <c r="X199" i="102"/>
  <c r="V199" i="102"/>
  <c r="T199" i="102"/>
  <c r="R199" i="102"/>
  <c r="P199" i="102"/>
  <c r="N199" i="102"/>
  <c r="L199" i="102"/>
  <c r="J199" i="102"/>
  <c r="H199" i="102"/>
  <c r="F199" i="102"/>
  <c r="AC196" i="102"/>
  <c r="Y196" i="102"/>
  <c r="W196" i="102"/>
  <c r="U196" i="102"/>
  <c r="S196" i="102"/>
  <c r="Q196" i="102"/>
  <c r="O196" i="102"/>
  <c r="M196" i="102"/>
  <c r="K196" i="102"/>
  <c r="I196" i="102"/>
  <c r="G196" i="102"/>
  <c r="AD195" i="102"/>
  <c r="AD194" i="102"/>
  <c r="AC193" i="102"/>
  <c r="AA193" i="102"/>
  <c r="Y193" i="102"/>
  <c r="W193" i="102"/>
  <c r="U193" i="102"/>
  <c r="S193" i="102"/>
  <c r="Q193" i="102"/>
  <c r="O193" i="102"/>
  <c r="M193" i="102"/>
  <c r="K193" i="102"/>
  <c r="I193" i="102"/>
  <c r="G193" i="102"/>
  <c r="AD192" i="102"/>
  <c r="E233" i="93"/>
  <c r="AD191" i="102"/>
  <c r="AD190" i="102"/>
  <c r="AD189" i="102"/>
  <c r="AD188" i="102"/>
  <c r="AD187" i="102"/>
  <c r="E228" i="93"/>
  <c r="AD186" i="102"/>
  <c r="AD185" i="102"/>
  <c r="E226" i="93" s="1"/>
  <c r="AD184" i="102"/>
  <c r="E225" i="93"/>
  <c r="AD183" i="102"/>
  <c r="AD182" i="102"/>
  <c r="E218" i="93" s="1"/>
  <c r="AB182" i="102"/>
  <c r="Z14" i="104" s="1"/>
  <c r="Z182" i="102"/>
  <c r="X14" i="104" s="1"/>
  <c r="X182" i="102"/>
  <c r="V14" i="104"/>
  <c r="V182" i="102"/>
  <c r="T14" i="104"/>
  <c r="T182" i="102"/>
  <c r="R14" i="104" s="1"/>
  <c r="R182" i="102"/>
  <c r="P14" i="104" s="1"/>
  <c r="P182" i="102"/>
  <c r="N14" i="104"/>
  <c r="N182" i="102"/>
  <c r="L14" i="104"/>
  <c r="L182" i="102"/>
  <c r="J14" i="104" s="1"/>
  <c r="J182" i="102"/>
  <c r="H14" i="104" s="1"/>
  <c r="H182" i="102"/>
  <c r="F14" i="104"/>
  <c r="F182" i="102"/>
  <c r="D14" i="104"/>
  <c r="AD181" i="102"/>
  <c r="E217" i="93" s="1"/>
  <c r="C217" i="93" s="1"/>
  <c r="AB181" i="102"/>
  <c r="Z13" i="104"/>
  <c r="Z181" i="102"/>
  <c r="X13" i="104" s="1"/>
  <c r="X20" i="104" s="1"/>
  <c r="X181" i="102"/>
  <c r="V13" i="104" s="1"/>
  <c r="V181" i="102"/>
  <c r="T13" i="104"/>
  <c r="T181" i="102"/>
  <c r="R13" i="104"/>
  <c r="R181" i="102"/>
  <c r="P13" i="104" s="1"/>
  <c r="P181" i="102"/>
  <c r="N13" i="104" s="1"/>
  <c r="N181" i="102"/>
  <c r="L13" i="104"/>
  <c r="L181" i="102"/>
  <c r="J13" i="104"/>
  <c r="J181" i="102"/>
  <c r="H13" i="104" s="1"/>
  <c r="H181" i="102"/>
  <c r="F13" i="104" s="1"/>
  <c r="F181" i="102"/>
  <c r="D13" i="104"/>
  <c r="AD180" i="102"/>
  <c r="AB180" i="102"/>
  <c r="Z180" i="102"/>
  <c r="X180" i="102"/>
  <c r="V180" i="102"/>
  <c r="T180" i="102"/>
  <c r="R180" i="102"/>
  <c r="P180" i="102"/>
  <c r="N180" i="102"/>
  <c r="L180" i="102"/>
  <c r="J180" i="102"/>
  <c r="H180" i="102"/>
  <c r="F180" i="102"/>
  <c r="AC177" i="102"/>
  <c r="AA177" i="102"/>
  <c r="Y177" i="102"/>
  <c r="W177" i="102"/>
  <c r="U177" i="102"/>
  <c r="S177" i="102"/>
  <c r="Q177" i="102"/>
  <c r="O177" i="102"/>
  <c r="M177" i="102"/>
  <c r="K177" i="102"/>
  <c r="I177" i="102"/>
  <c r="H177" i="102"/>
  <c r="G177" i="102"/>
  <c r="AD176" i="102"/>
  <c r="AD175" i="102"/>
  <c r="AC174" i="102"/>
  <c r="AA174" i="102"/>
  <c r="Y174" i="102"/>
  <c r="W174" i="102"/>
  <c r="U174" i="102"/>
  <c r="S174" i="102"/>
  <c r="Q174" i="102"/>
  <c r="O174" i="102"/>
  <c r="M174" i="102"/>
  <c r="K174" i="102"/>
  <c r="I174" i="102"/>
  <c r="G174" i="102"/>
  <c r="AD173" i="102"/>
  <c r="AD172" i="102"/>
  <c r="E172" i="93"/>
  <c r="AD171" i="102"/>
  <c r="E171" i="93"/>
  <c r="AD170" i="102"/>
  <c r="E170" i="93"/>
  <c r="AD169" i="102"/>
  <c r="E169" i="93" s="1"/>
  <c r="AD168" i="102"/>
  <c r="E168" i="93" s="1"/>
  <c r="AD167" i="102"/>
  <c r="AD166" i="102"/>
  <c r="AD165" i="102"/>
  <c r="AD164" i="102"/>
  <c r="E164" i="93" s="1"/>
  <c r="AD163" i="102"/>
  <c r="E163" i="93" s="1"/>
  <c r="AD162" i="102"/>
  <c r="E162" i="93" s="1"/>
  <c r="E180" i="93" s="1"/>
  <c r="AD161" i="102"/>
  <c r="E161" i="93"/>
  <c r="AD160" i="102"/>
  <c r="AD159" i="102"/>
  <c r="AD158" i="102"/>
  <c r="AD157" i="102"/>
  <c r="AB157" i="102"/>
  <c r="Z157" i="102"/>
  <c r="X157" i="102"/>
  <c r="V157" i="102"/>
  <c r="T157" i="102"/>
  <c r="R157" i="102"/>
  <c r="P157" i="102"/>
  <c r="N157" i="102"/>
  <c r="L157" i="102"/>
  <c r="J157" i="102"/>
  <c r="H157" i="102"/>
  <c r="F157" i="102"/>
  <c r="AD156" i="102"/>
  <c r="AB156" i="102"/>
  <c r="Z156" i="102"/>
  <c r="X31" i="104" s="1"/>
  <c r="X156" i="102"/>
  <c r="V156" i="102"/>
  <c r="T156" i="102"/>
  <c r="R156" i="102"/>
  <c r="P156" i="102"/>
  <c r="N156" i="102"/>
  <c r="L156" i="102"/>
  <c r="J156" i="102"/>
  <c r="H156" i="102"/>
  <c r="F156" i="102"/>
  <c r="AD155" i="102"/>
  <c r="E151" i="93" s="1"/>
  <c r="C151" i="93"/>
  <c r="G151" i="93" s="1"/>
  <c r="AB155" i="102"/>
  <c r="Z155" i="102"/>
  <c r="X155" i="102"/>
  <c r="V155" i="102"/>
  <c r="T155" i="102"/>
  <c r="R155" i="102"/>
  <c r="P155" i="102"/>
  <c r="N155" i="102"/>
  <c r="L30" i="104" s="1"/>
  <c r="L155" i="102"/>
  <c r="J155" i="102"/>
  <c r="H155" i="102"/>
  <c r="F155" i="102"/>
  <c r="AD154" i="102"/>
  <c r="AB154" i="102"/>
  <c r="H6" i="108" s="1"/>
  <c r="Z154" i="102"/>
  <c r="X154" i="102"/>
  <c r="V154" i="102"/>
  <c r="T154" i="102"/>
  <c r="R154" i="102"/>
  <c r="P154" i="102"/>
  <c r="N154" i="102"/>
  <c r="L154" i="102"/>
  <c r="J154" i="102"/>
  <c r="H154" i="102"/>
  <c r="F154" i="102"/>
  <c r="AC151" i="102"/>
  <c r="AA151" i="102"/>
  <c r="Y151" i="102"/>
  <c r="W151" i="102"/>
  <c r="U151" i="102"/>
  <c r="S151" i="102"/>
  <c r="Q151" i="102"/>
  <c r="O151" i="102"/>
  <c r="M151" i="102"/>
  <c r="K151" i="102"/>
  <c r="I151" i="102"/>
  <c r="H151" i="102"/>
  <c r="G151" i="102"/>
  <c r="AD150" i="102"/>
  <c r="AD149" i="102"/>
  <c r="AC148" i="102"/>
  <c r="AA148" i="102"/>
  <c r="Y148" i="102"/>
  <c r="W148" i="102"/>
  <c r="U148" i="102"/>
  <c r="S148" i="102"/>
  <c r="Q148" i="102"/>
  <c r="O148" i="102"/>
  <c r="M148" i="102"/>
  <c r="K148" i="102"/>
  <c r="I148" i="102"/>
  <c r="G148" i="102"/>
  <c r="AD147" i="102"/>
  <c r="AD146" i="102"/>
  <c r="AD145" i="102"/>
  <c r="E136" i="93" s="1"/>
  <c r="AD144" i="102"/>
  <c r="E135" i="93"/>
  <c r="AD143" i="102"/>
  <c r="E134" i="93"/>
  <c r="AD142" i="102"/>
  <c r="E133" i="93" s="1"/>
  <c r="AD141" i="102"/>
  <c r="AD140" i="102"/>
  <c r="AD139" i="102"/>
  <c r="AD138" i="102"/>
  <c r="E129" i="93" s="1"/>
  <c r="AD137" i="102"/>
  <c r="E128" i="93"/>
  <c r="AD136" i="102"/>
  <c r="AD135" i="102"/>
  <c r="E126" i="93"/>
  <c r="AD134" i="102"/>
  <c r="E125" i="93" s="1"/>
  <c r="AD133" i="102"/>
  <c r="AD132" i="102"/>
  <c r="AD131" i="102"/>
  <c r="AB131" i="102"/>
  <c r="Z131" i="102"/>
  <c r="X131" i="102"/>
  <c r="V131" i="102"/>
  <c r="T131" i="102"/>
  <c r="R131" i="102"/>
  <c r="P32" i="104" s="1"/>
  <c r="P131" i="102"/>
  <c r="N32" i="104" s="1"/>
  <c r="N131" i="102"/>
  <c r="L131" i="102"/>
  <c r="J131" i="102"/>
  <c r="H131" i="102"/>
  <c r="F131" i="102"/>
  <c r="AD130" i="102"/>
  <c r="E117" i="93"/>
  <c r="AB130" i="102"/>
  <c r="Z31" i="104"/>
  <c r="Z130" i="102"/>
  <c r="X130" i="102"/>
  <c r="V130" i="102"/>
  <c r="T130" i="102"/>
  <c r="R130" i="102"/>
  <c r="P31" i="104" s="1"/>
  <c r="P34" i="104" s="1"/>
  <c r="P130" i="102"/>
  <c r="N130" i="102"/>
  <c r="L130" i="102"/>
  <c r="J31" i="104"/>
  <c r="J130" i="102"/>
  <c r="H130" i="102"/>
  <c r="F130" i="102"/>
  <c r="AD129" i="102"/>
  <c r="E116" i="93"/>
  <c r="C116" i="93" s="1"/>
  <c r="AB129" i="102"/>
  <c r="Z129" i="102"/>
  <c r="X129" i="102"/>
  <c r="V129" i="102"/>
  <c r="T30" i="104"/>
  <c r="T129" i="102"/>
  <c r="R30" i="104"/>
  <c r="R33" i="104" s="1"/>
  <c r="R129" i="102"/>
  <c r="P129" i="102"/>
  <c r="N129" i="102"/>
  <c r="L129" i="102"/>
  <c r="J129" i="102"/>
  <c r="H129" i="102"/>
  <c r="F129" i="102"/>
  <c r="D30" i="104"/>
  <c r="D36" i="104" s="1"/>
  <c r="AD128" i="102"/>
  <c r="AB128" i="102"/>
  <c r="Z128" i="102"/>
  <c r="X128" i="102"/>
  <c r="V128" i="102"/>
  <c r="T128" i="102"/>
  <c r="R128" i="102"/>
  <c r="P128" i="102"/>
  <c r="AF128" i="102" s="1"/>
  <c r="N128" i="102"/>
  <c r="L128" i="102"/>
  <c r="J128" i="102"/>
  <c r="H128" i="102"/>
  <c r="F128" i="102"/>
  <c r="C149" i="102"/>
  <c r="AC125" i="102"/>
  <c r="AA125" i="102"/>
  <c r="Y125" i="102"/>
  <c r="W125" i="102"/>
  <c r="U125" i="102"/>
  <c r="S125" i="102"/>
  <c r="Q125" i="102"/>
  <c r="O125" i="102"/>
  <c r="M125" i="102"/>
  <c r="K125" i="102"/>
  <c r="AD125" i="102" s="1"/>
  <c r="I125" i="102"/>
  <c r="H125" i="102"/>
  <c r="G125" i="102"/>
  <c r="AD124" i="102"/>
  <c r="AD123" i="102"/>
  <c r="AC122" i="102"/>
  <c r="AA122" i="102"/>
  <c r="Y122" i="102"/>
  <c r="Y428" i="102" s="1"/>
  <c r="Y430" i="102" s="1"/>
  <c r="W122" i="102"/>
  <c r="U122" i="102"/>
  <c r="S122" i="102"/>
  <c r="Q122" i="102"/>
  <c r="O122" i="102"/>
  <c r="M122" i="102"/>
  <c r="K122" i="102"/>
  <c r="I122" i="102"/>
  <c r="AD122" i="102" s="1"/>
  <c r="G122" i="102"/>
  <c r="AD121" i="102"/>
  <c r="AD120" i="102"/>
  <c r="AD119" i="102"/>
  <c r="AD118" i="102"/>
  <c r="E101" i="93"/>
  <c r="AD117" i="102"/>
  <c r="E100" i="93"/>
  <c r="AD116" i="102"/>
  <c r="E99" i="93" s="1"/>
  <c r="AD115" i="102"/>
  <c r="E98" i="93" s="1"/>
  <c r="AD114" i="102"/>
  <c r="AD113" i="102"/>
  <c r="AD112" i="102"/>
  <c r="AD111" i="102"/>
  <c r="AD110" i="102"/>
  <c r="E93" i="93" s="1"/>
  <c r="AD109" i="102"/>
  <c r="E92" i="93" s="1"/>
  <c r="E110" i="93" s="1"/>
  <c r="AD108" i="102"/>
  <c r="E91" i="93"/>
  <c r="AD107" i="102"/>
  <c r="E90" i="93"/>
  <c r="AD106" i="102"/>
  <c r="AD105" i="102"/>
  <c r="AD104" i="102"/>
  <c r="AB104" i="102"/>
  <c r="Z18" i="104"/>
  <c r="Z104" i="102"/>
  <c r="X18" i="104" s="1"/>
  <c r="X104" i="102"/>
  <c r="V18" i="104" s="1"/>
  <c r="V104" i="102"/>
  <c r="T18" i="104"/>
  <c r="T104" i="102"/>
  <c r="R18" i="104"/>
  <c r="R104" i="102"/>
  <c r="P18" i="104" s="1"/>
  <c r="P22" i="104" s="1"/>
  <c r="P104" i="102"/>
  <c r="N18" i="104" s="1"/>
  <c r="N104" i="102"/>
  <c r="L18" i="104"/>
  <c r="L104" i="102"/>
  <c r="J18" i="104"/>
  <c r="J104" i="102"/>
  <c r="H18" i="104" s="1"/>
  <c r="H104" i="102"/>
  <c r="F18" i="104" s="1"/>
  <c r="F104" i="102"/>
  <c r="D18" i="104"/>
  <c r="AD103" i="102"/>
  <c r="E82" i="93"/>
  <c r="C82" i="93" s="1"/>
  <c r="AB103" i="102"/>
  <c r="Z17" i="104"/>
  <c r="Z103" i="102"/>
  <c r="X17" i="104" s="1"/>
  <c r="X103" i="102"/>
  <c r="V17" i="104" s="1"/>
  <c r="V103" i="102"/>
  <c r="T17" i="104"/>
  <c r="T103" i="102"/>
  <c r="R17" i="104"/>
  <c r="R103" i="102"/>
  <c r="P17" i="104" s="1"/>
  <c r="P103" i="102"/>
  <c r="N17" i="104" s="1"/>
  <c r="N103" i="102"/>
  <c r="L17" i="104"/>
  <c r="L103" i="102"/>
  <c r="J17" i="104"/>
  <c r="J103" i="102"/>
  <c r="H17" i="104" s="1"/>
  <c r="H103" i="102"/>
  <c r="F17" i="104" s="1"/>
  <c r="F103" i="102"/>
  <c r="D17" i="104"/>
  <c r="AD102" i="102"/>
  <c r="E81" i="93"/>
  <c r="AB102" i="102"/>
  <c r="Z16" i="104"/>
  <c r="Z102" i="102"/>
  <c r="X16" i="104"/>
  <c r="X102" i="102"/>
  <c r="V16" i="104" s="1"/>
  <c r="V102" i="102"/>
  <c r="T16" i="104" s="1"/>
  <c r="T102" i="102"/>
  <c r="R16" i="104"/>
  <c r="R102" i="102"/>
  <c r="P16" i="104"/>
  <c r="P102" i="102"/>
  <c r="N16" i="104" s="1"/>
  <c r="N102" i="102"/>
  <c r="L16" i="104" s="1"/>
  <c r="L102" i="102"/>
  <c r="J16" i="104"/>
  <c r="J102" i="102"/>
  <c r="H16" i="104"/>
  <c r="H20" i="104" s="1"/>
  <c r="H102" i="102"/>
  <c r="F16" i="104" s="1"/>
  <c r="F102" i="102"/>
  <c r="D16" i="104" s="1"/>
  <c r="AD101" i="102"/>
  <c r="AB101" i="102"/>
  <c r="Z101" i="102"/>
  <c r="X101" i="102"/>
  <c r="V101" i="102"/>
  <c r="T101" i="102"/>
  <c r="R101" i="102"/>
  <c r="P101" i="102"/>
  <c r="N101" i="102"/>
  <c r="L101" i="102"/>
  <c r="J101" i="102"/>
  <c r="H101" i="102"/>
  <c r="F101" i="102"/>
  <c r="AC98" i="102"/>
  <c r="AA98" i="102"/>
  <c r="Y98" i="102"/>
  <c r="W98" i="102"/>
  <c r="U98" i="102"/>
  <c r="S98" i="102"/>
  <c r="Q98" i="102"/>
  <c r="O98" i="102"/>
  <c r="M98" i="102"/>
  <c r="K98" i="102"/>
  <c r="I98" i="102"/>
  <c r="AD97" i="102"/>
  <c r="AD96" i="102"/>
  <c r="AC95" i="102"/>
  <c r="AA95" i="102"/>
  <c r="AD95" i="102" s="1"/>
  <c r="AD94" i="102"/>
  <c r="AD93" i="102"/>
  <c r="AD92" i="102"/>
  <c r="AD91" i="102"/>
  <c r="AD90" i="102"/>
  <c r="AD89" i="102"/>
  <c r="AD88" i="102"/>
  <c r="AD87" i="102"/>
  <c r="E266" i="93" s="1"/>
  <c r="AD86" i="102"/>
  <c r="E265" i="93" s="1"/>
  <c r="AD85" i="102"/>
  <c r="E264" i="93"/>
  <c r="AD84" i="102"/>
  <c r="AD83" i="102"/>
  <c r="AD82" i="102"/>
  <c r="AD81" i="102"/>
  <c r="AD80" i="102"/>
  <c r="AD79" i="102"/>
  <c r="E258" i="93"/>
  <c r="AD78" i="102"/>
  <c r="E255" i="93" s="1"/>
  <c r="AD77" i="102"/>
  <c r="E252" i="93" s="1"/>
  <c r="AB77" i="102"/>
  <c r="Z28" i="104"/>
  <c r="Z77" i="102"/>
  <c r="X28" i="104" s="1"/>
  <c r="W118" i="93" s="1"/>
  <c r="X77" i="102"/>
  <c r="V28" i="104"/>
  <c r="V77" i="102"/>
  <c r="T28" i="104"/>
  <c r="T77" i="102"/>
  <c r="R28" i="104" s="1"/>
  <c r="R77" i="102"/>
  <c r="P28" i="104" s="1"/>
  <c r="P77" i="102"/>
  <c r="N28" i="104"/>
  <c r="N77" i="102"/>
  <c r="L28" i="104"/>
  <c r="L77" i="102"/>
  <c r="J28" i="104" s="1"/>
  <c r="J77" i="102"/>
  <c r="H28" i="104" s="1"/>
  <c r="H77" i="102"/>
  <c r="F28" i="104"/>
  <c r="F77" i="102"/>
  <c r="D28" i="104"/>
  <c r="AD76" i="102"/>
  <c r="AB76" i="102"/>
  <c r="Z27" i="104"/>
  <c r="Z76" i="102"/>
  <c r="X27" i="104"/>
  <c r="X76" i="102"/>
  <c r="V27" i="104" s="1"/>
  <c r="V76" i="102"/>
  <c r="T27" i="104" s="1"/>
  <c r="T76" i="102"/>
  <c r="R27" i="104"/>
  <c r="R76" i="102"/>
  <c r="P27" i="104"/>
  <c r="P76" i="102"/>
  <c r="N27" i="104" s="1"/>
  <c r="N76" i="102"/>
  <c r="L27" i="104" s="1"/>
  <c r="L76" i="102"/>
  <c r="J27" i="104"/>
  <c r="J76" i="102"/>
  <c r="H27" i="104"/>
  <c r="H76" i="102"/>
  <c r="F27" i="104" s="1"/>
  <c r="F76" i="102"/>
  <c r="D27" i="104" s="1"/>
  <c r="AD75" i="102"/>
  <c r="AB75" i="102"/>
  <c r="Z26" i="104" s="1"/>
  <c r="Z75" i="102"/>
  <c r="X26" i="104" s="1"/>
  <c r="W116" i="93" s="1"/>
  <c r="W317" i="93" s="1"/>
  <c r="X75" i="102"/>
  <c r="V26" i="104"/>
  <c r="V75" i="102"/>
  <c r="T26" i="104"/>
  <c r="T75" i="102"/>
  <c r="R26" i="104" s="1"/>
  <c r="R75" i="102"/>
  <c r="P26" i="104"/>
  <c r="P75" i="102"/>
  <c r="N26" i="104"/>
  <c r="N75" i="102"/>
  <c r="L26" i="104"/>
  <c r="L75" i="102"/>
  <c r="J26" i="104" s="1"/>
  <c r="J75" i="102"/>
  <c r="H26" i="104" s="1"/>
  <c r="H75" i="102"/>
  <c r="F26" i="104"/>
  <c r="F75" i="102"/>
  <c r="D26" i="104"/>
  <c r="AD74" i="102"/>
  <c r="E249" i="93" s="1"/>
  <c r="AB74" i="102"/>
  <c r="AC116" i="104" s="1"/>
  <c r="Z74" i="102"/>
  <c r="X74" i="102"/>
  <c r="V74" i="102"/>
  <c r="T74" i="102"/>
  <c r="R74" i="102"/>
  <c r="P74" i="102"/>
  <c r="N74" i="102"/>
  <c r="L74" i="102"/>
  <c r="J74" i="102"/>
  <c r="H74" i="102"/>
  <c r="F74" i="102"/>
  <c r="AC71" i="102"/>
  <c r="AA71" i="102"/>
  <c r="Y71" i="102"/>
  <c r="W71" i="102"/>
  <c r="U71" i="102"/>
  <c r="S71" i="102"/>
  <c r="Q71" i="102"/>
  <c r="O71" i="102"/>
  <c r="M71" i="102"/>
  <c r="K71" i="102"/>
  <c r="I71" i="102"/>
  <c r="G71" i="102"/>
  <c r="AD70" i="102"/>
  <c r="AD69" i="102"/>
  <c r="AC68" i="102"/>
  <c r="AA68" i="102"/>
  <c r="Y68" i="102"/>
  <c r="W68" i="102"/>
  <c r="U68" i="102"/>
  <c r="S68" i="102"/>
  <c r="Q68" i="102"/>
  <c r="O68" i="102"/>
  <c r="M68" i="102"/>
  <c r="K68" i="102"/>
  <c r="I68" i="102"/>
  <c r="G68" i="102"/>
  <c r="AD67" i="102"/>
  <c r="E67" i="93"/>
  <c r="AD66" i="102"/>
  <c r="AD65" i="102"/>
  <c r="E65" i="93"/>
  <c r="AD64" i="102"/>
  <c r="E64" i="93" s="1"/>
  <c r="AD63" i="102"/>
  <c r="E63" i="93" s="1"/>
  <c r="AD62" i="102"/>
  <c r="AD61" i="102"/>
  <c r="AD60" i="102"/>
  <c r="AD59" i="102"/>
  <c r="E59" i="93"/>
  <c r="AD58" i="102"/>
  <c r="AD57" i="102"/>
  <c r="E57" i="93"/>
  <c r="AD56" i="102"/>
  <c r="E56" i="93"/>
  <c r="AD55" i="102"/>
  <c r="AD54" i="102"/>
  <c r="AD53" i="102"/>
  <c r="AD52" i="102"/>
  <c r="AD51" i="102"/>
  <c r="E49" i="93"/>
  <c r="AD50" i="102"/>
  <c r="E44" i="93"/>
  <c r="C44" i="93"/>
  <c r="AD49" i="102"/>
  <c r="AB49" i="102"/>
  <c r="Z49" i="102"/>
  <c r="X49" i="102"/>
  <c r="V49" i="102"/>
  <c r="T10" i="104" s="1"/>
  <c r="T49" i="102"/>
  <c r="R49" i="102"/>
  <c r="P49" i="102"/>
  <c r="N49" i="102"/>
  <c r="L49" i="102"/>
  <c r="J49" i="102"/>
  <c r="H49" i="102"/>
  <c r="F49" i="102"/>
  <c r="D10" i="104" s="1"/>
  <c r="AC46" i="102"/>
  <c r="AA46" i="102"/>
  <c r="Y46" i="102"/>
  <c r="W46" i="102"/>
  <c r="U46" i="102"/>
  <c r="S46" i="102"/>
  <c r="Q46" i="102"/>
  <c r="O46" i="102"/>
  <c r="AD46" i="102" s="1"/>
  <c r="M46" i="102"/>
  <c r="K46" i="102"/>
  <c r="I46" i="102"/>
  <c r="G46" i="102"/>
  <c r="AD45" i="102"/>
  <c r="AD44" i="102"/>
  <c r="AC43" i="102"/>
  <c r="AA43" i="102"/>
  <c r="Y43" i="102"/>
  <c r="W43" i="102"/>
  <c r="U43" i="102"/>
  <c r="S43" i="102"/>
  <c r="Q43" i="102"/>
  <c r="O43" i="102"/>
  <c r="M43" i="102"/>
  <c r="K43" i="102"/>
  <c r="I43" i="102"/>
  <c r="G43" i="102"/>
  <c r="AD42" i="102"/>
  <c r="E201" i="93" s="1"/>
  <c r="AD41" i="102"/>
  <c r="E200" i="93" s="1"/>
  <c r="AD40" i="102"/>
  <c r="E199" i="93"/>
  <c r="AD39" i="102"/>
  <c r="AD38" i="102"/>
  <c r="E197" i="93" s="1"/>
  <c r="AD37" i="102"/>
  <c r="AD36" i="102"/>
  <c r="AD35" i="102"/>
  <c r="E194" i="93" s="1"/>
  <c r="AD34" i="102"/>
  <c r="E193" i="93"/>
  <c r="AD33" i="102"/>
  <c r="E192" i="93"/>
  <c r="AD32" i="102"/>
  <c r="E189" i="93" s="1"/>
  <c r="AD31" i="102"/>
  <c r="AD30" i="102"/>
  <c r="AB30" i="102"/>
  <c r="Z30" i="102"/>
  <c r="X30" i="102"/>
  <c r="V30" i="102"/>
  <c r="T30" i="102"/>
  <c r="R30" i="102"/>
  <c r="P30" i="102"/>
  <c r="N30" i="102"/>
  <c r="L30" i="102"/>
  <c r="J30" i="102"/>
  <c r="H30" i="102"/>
  <c r="F30" i="102"/>
  <c r="AC27" i="102"/>
  <c r="AA27" i="102"/>
  <c r="Y27" i="102"/>
  <c r="W27" i="102"/>
  <c r="U27" i="102"/>
  <c r="S27" i="102"/>
  <c r="Q27" i="102"/>
  <c r="O27" i="102"/>
  <c r="N27" i="102"/>
  <c r="M27" i="102"/>
  <c r="L27" i="102"/>
  <c r="K27" i="102"/>
  <c r="J27" i="102"/>
  <c r="I27" i="102"/>
  <c r="H27" i="102"/>
  <c r="G27" i="102"/>
  <c r="AD26" i="102"/>
  <c r="AD25" i="102"/>
  <c r="AC24" i="102"/>
  <c r="AA24" i="102"/>
  <c r="Y24" i="102"/>
  <c r="W24" i="102"/>
  <c r="U24" i="102"/>
  <c r="S24" i="102"/>
  <c r="Q24" i="102"/>
  <c r="O24" i="102"/>
  <c r="M24" i="102"/>
  <c r="K24" i="102"/>
  <c r="I24" i="102"/>
  <c r="G24" i="102"/>
  <c r="AD23" i="102"/>
  <c r="E30" i="93"/>
  <c r="AD22" i="102"/>
  <c r="AD21" i="102"/>
  <c r="AD20" i="102"/>
  <c r="AI19" i="102" s="1"/>
  <c r="E27" i="93"/>
  <c r="AD19" i="102"/>
  <c r="AD18" i="102"/>
  <c r="AD17" i="102"/>
  <c r="AD16" i="102"/>
  <c r="AD15" i="102"/>
  <c r="AD14" i="102"/>
  <c r="AD13" i="102"/>
  <c r="E20" i="93"/>
  <c r="AD12" i="102"/>
  <c r="E19" i="93" s="1"/>
  <c r="AD11" i="102"/>
  <c r="AD10" i="102"/>
  <c r="AD9" i="102"/>
  <c r="AD8" i="102"/>
  <c r="AD7" i="102"/>
  <c r="AI6" i="102" s="1"/>
  <c r="E8" i="93"/>
  <c r="AD6" i="102"/>
  <c r="AI5" i="102" s="1"/>
  <c r="AB6" i="102"/>
  <c r="Z6" i="102"/>
  <c r="X6" i="102"/>
  <c r="V6" i="102"/>
  <c r="T6" i="102"/>
  <c r="R6" i="102"/>
  <c r="P6" i="102"/>
  <c r="N6" i="102"/>
  <c r="L6" i="102"/>
  <c r="J6" i="102"/>
  <c r="H6" i="102"/>
  <c r="F6" i="102"/>
  <c r="A8" i="99"/>
  <c r="A9" i="99"/>
  <c r="A10" i="99" s="1"/>
  <c r="A11" i="99" s="1"/>
  <c r="A12" i="99" s="1"/>
  <c r="A13" i="99" s="1"/>
  <c r="A14" i="99" s="1"/>
  <c r="A15" i="99" s="1"/>
  <c r="A16" i="99" s="1"/>
  <c r="A17" i="99" s="1"/>
  <c r="A18" i="99" s="1"/>
  <c r="A19" i="99" s="1"/>
  <c r="A20" i="99" s="1"/>
  <c r="A21" i="99" s="1"/>
  <c r="A22" i="99" s="1"/>
  <c r="A23" i="99" s="1"/>
  <c r="A24" i="99" s="1"/>
  <c r="A25" i="99" s="1"/>
  <c r="A26" i="99" s="1"/>
  <c r="A27" i="99" s="1"/>
  <c r="A28" i="99" s="1"/>
  <c r="A29" i="99" s="1"/>
  <c r="A30" i="99" s="1"/>
  <c r="A31" i="99" s="1"/>
  <c r="A32" i="99" s="1"/>
  <c r="A33" i="99" s="1"/>
  <c r="A34" i="99" s="1"/>
  <c r="A35" i="99" s="1"/>
  <c r="A36" i="99" s="1"/>
  <c r="A37" i="99" s="1"/>
  <c r="A38" i="99" s="1"/>
  <c r="A39" i="99" s="1"/>
  <c r="A40" i="99" s="1"/>
  <c r="A41" i="99" s="1"/>
  <c r="A42" i="99" s="1"/>
  <c r="A43" i="99" s="1"/>
  <c r="A44" i="99" s="1"/>
  <c r="A45" i="99" s="1"/>
  <c r="A46" i="99" s="1"/>
  <c r="A47" i="99" s="1"/>
  <c r="A48" i="99" s="1"/>
  <c r="A49" i="99" s="1"/>
  <c r="A50" i="99" s="1"/>
  <c r="A51" i="99" s="1"/>
  <c r="A52" i="99" s="1"/>
  <c r="A53" i="99" s="1"/>
  <c r="A54" i="99" s="1"/>
  <c r="A55" i="99" s="1"/>
  <c r="A56" i="99" s="1"/>
  <c r="A57" i="99" s="1"/>
  <c r="A58" i="99" s="1"/>
  <c r="A59" i="99" s="1"/>
  <c r="A60" i="99" s="1"/>
  <c r="A61" i="99" s="1"/>
  <c r="A62" i="99" s="1"/>
  <c r="A63" i="99" s="1"/>
  <c r="A64" i="99" s="1"/>
  <c r="A65" i="99" s="1"/>
  <c r="E37" i="97"/>
  <c r="E36" i="97"/>
  <c r="E35" i="97"/>
  <c r="E34" i="97"/>
  <c r="E28" i="97"/>
  <c r="E27" i="97"/>
  <c r="E23" i="97"/>
  <c r="E22" i="97"/>
  <c r="E21" i="97"/>
  <c r="E17" i="97"/>
  <c r="E16" i="97"/>
  <c r="E15" i="97"/>
  <c r="E596" i="93"/>
  <c r="E594" i="93"/>
  <c r="E592" i="93"/>
  <c r="E582" i="93"/>
  <c r="E581" i="93"/>
  <c r="L577" i="93"/>
  <c r="L576" i="93"/>
  <c r="L575" i="93"/>
  <c r="L574" i="93"/>
  <c r="E574" i="93"/>
  <c r="E567" i="93"/>
  <c r="E569" i="93" s="1"/>
  <c r="L559" i="93"/>
  <c r="E559" i="93"/>
  <c r="C559" i="93" s="1"/>
  <c r="K559" i="93" s="1"/>
  <c r="E558" i="93"/>
  <c r="C558" i="93"/>
  <c r="K558" i="93" s="1"/>
  <c r="L557" i="93"/>
  <c r="E557" i="93"/>
  <c r="C557" i="93"/>
  <c r="K557" i="93" s="1"/>
  <c r="M556" i="93"/>
  <c r="E556" i="93"/>
  <c r="M555" i="93"/>
  <c r="E555" i="93"/>
  <c r="L554" i="93"/>
  <c r="L553" i="93"/>
  <c r="E547" i="93"/>
  <c r="L540" i="93"/>
  <c r="E540" i="93"/>
  <c r="C540" i="93" s="1"/>
  <c r="K540" i="93" s="1"/>
  <c r="M540" i="93" s="1"/>
  <c r="E539" i="93"/>
  <c r="C539" i="93"/>
  <c r="K539" i="93" s="1"/>
  <c r="L538" i="93"/>
  <c r="M538" i="93" s="1"/>
  <c r="M537" i="93"/>
  <c r="E537" i="93"/>
  <c r="M536" i="93"/>
  <c r="L535" i="93"/>
  <c r="E535" i="93"/>
  <c r="C535" i="93"/>
  <c r="K535" i="93" s="1"/>
  <c r="L534" i="93"/>
  <c r="E534" i="93"/>
  <c r="C534" i="93"/>
  <c r="K534" i="93" s="1"/>
  <c r="E527" i="93"/>
  <c r="E524" i="93"/>
  <c r="E523" i="93"/>
  <c r="E522" i="93"/>
  <c r="E520" i="93"/>
  <c r="E519" i="93"/>
  <c r="E516" i="93"/>
  <c r="E514" i="93"/>
  <c r="E513" i="93"/>
  <c r="H508" i="93"/>
  <c r="H507" i="93"/>
  <c r="E507" i="93"/>
  <c r="C507" i="93" s="1"/>
  <c r="G507" i="93" s="1"/>
  <c r="I507" i="93" s="1"/>
  <c r="H506" i="93"/>
  <c r="E506" i="93"/>
  <c r="C506" i="93" s="1"/>
  <c r="G506" i="93" s="1"/>
  <c r="H505" i="93"/>
  <c r="L504" i="93"/>
  <c r="H504" i="93"/>
  <c r="L503" i="93"/>
  <c r="H503" i="93"/>
  <c r="E495" i="93"/>
  <c r="E494" i="93"/>
  <c r="E490" i="93"/>
  <c r="E488" i="93"/>
  <c r="H484" i="93"/>
  <c r="E484" i="93"/>
  <c r="C484" i="93"/>
  <c r="G484" i="93" s="1"/>
  <c r="H483" i="93"/>
  <c r="E483" i="93"/>
  <c r="C483" i="93"/>
  <c r="H482" i="93"/>
  <c r="H481" i="93"/>
  <c r="E481" i="93"/>
  <c r="C481" i="93"/>
  <c r="G481" i="93" s="1"/>
  <c r="I481" i="93" s="1"/>
  <c r="L480" i="93"/>
  <c r="H480" i="93"/>
  <c r="L479" i="93"/>
  <c r="H479" i="93"/>
  <c r="E479" i="93"/>
  <c r="C479" i="93" s="1"/>
  <c r="G479" i="93" s="1"/>
  <c r="I479" i="93" s="1"/>
  <c r="L478" i="93"/>
  <c r="H478" i="93"/>
  <c r="E469" i="93"/>
  <c r="E467" i="93"/>
  <c r="E465" i="93"/>
  <c r="E464" i="93"/>
  <c r="E463" i="93"/>
  <c r="H457" i="93"/>
  <c r="E457" i="93"/>
  <c r="C457" i="93" s="1"/>
  <c r="H456" i="93"/>
  <c r="I456" i="93" s="1"/>
  <c r="H455" i="93"/>
  <c r="H454" i="93"/>
  <c r="L453" i="93"/>
  <c r="H453" i="93"/>
  <c r="E453" i="93"/>
  <c r="C453" i="93"/>
  <c r="G453" i="93" s="1"/>
  <c r="L452" i="93"/>
  <c r="H452" i="93"/>
  <c r="E452" i="93"/>
  <c r="C452" i="93" s="1"/>
  <c r="L451" i="93"/>
  <c r="H451" i="93"/>
  <c r="E443" i="93"/>
  <c r="L438" i="93"/>
  <c r="E438" i="93"/>
  <c r="C438" i="93" s="1"/>
  <c r="K438" i="93" s="1"/>
  <c r="E437" i="93"/>
  <c r="C437" i="93"/>
  <c r="K437" i="93" s="1"/>
  <c r="M436" i="93"/>
  <c r="M435" i="93"/>
  <c r="E435" i="93"/>
  <c r="L434" i="93"/>
  <c r="L433" i="93"/>
  <c r="E433" i="93"/>
  <c r="C433" i="93"/>
  <c r="K433" i="93" s="1"/>
  <c r="L432" i="93"/>
  <c r="E432" i="93"/>
  <c r="E425" i="93"/>
  <c r="L419" i="93"/>
  <c r="E419" i="93"/>
  <c r="C419" i="93" s="1"/>
  <c r="K419" i="93" s="1"/>
  <c r="E418" i="93"/>
  <c r="C418" i="93"/>
  <c r="K418" i="93" s="1"/>
  <c r="L417" i="93"/>
  <c r="K417" i="93"/>
  <c r="L416" i="93"/>
  <c r="M416" i="93" s="1"/>
  <c r="K416" i="93"/>
  <c r="E416" i="93"/>
  <c r="L415" i="93"/>
  <c r="M415" i="93" s="1"/>
  <c r="E415" i="93"/>
  <c r="C415" i="93"/>
  <c r="K415" i="93" s="1"/>
  <c r="L414" i="93"/>
  <c r="M414" i="93" s="1"/>
  <c r="E414" i="93"/>
  <c r="C414" i="93"/>
  <c r="K414" i="93" s="1"/>
  <c r="L413" i="93"/>
  <c r="E407" i="93"/>
  <c r="E405" i="93"/>
  <c r="L400" i="93"/>
  <c r="K400" i="93"/>
  <c r="L399" i="93"/>
  <c r="E399" i="93"/>
  <c r="C399" i="93" s="1"/>
  <c r="K399" i="93" s="1"/>
  <c r="M399" i="93" s="1"/>
  <c r="E398" i="93"/>
  <c r="C398" i="93"/>
  <c r="K398" i="93" s="1"/>
  <c r="L397" i="93"/>
  <c r="E397" i="93"/>
  <c r="C397" i="93"/>
  <c r="K397" i="93" s="1"/>
  <c r="L396" i="93"/>
  <c r="M396" i="93" s="1"/>
  <c r="L395" i="93"/>
  <c r="B392" i="93"/>
  <c r="E389" i="93"/>
  <c r="E387" i="93"/>
  <c r="E386" i="93"/>
  <c r="L382" i="93"/>
  <c r="E382" i="93"/>
  <c r="C382" i="93"/>
  <c r="K382" i="93" s="1"/>
  <c r="E381" i="93"/>
  <c r="C381" i="93" s="1"/>
  <c r="K381" i="93" s="1"/>
  <c r="M380" i="93"/>
  <c r="L379" i="93"/>
  <c r="L378" i="93"/>
  <c r="K377" i="93"/>
  <c r="M377" i="93" s="1"/>
  <c r="E377" i="93"/>
  <c r="L376" i="93"/>
  <c r="E376" i="93"/>
  <c r="C376" i="93" s="1"/>
  <c r="K376" i="93" s="1"/>
  <c r="B373" i="93"/>
  <c r="E370" i="93"/>
  <c r="E368" i="93"/>
  <c r="E367" i="93"/>
  <c r="L363" i="93"/>
  <c r="H363" i="93"/>
  <c r="H362" i="93"/>
  <c r="E362" i="93"/>
  <c r="C362" i="93" s="1"/>
  <c r="L361" i="93"/>
  <c r="H361" i="93"/>
  <c r="E361" i="93"/>
  <c r="C361" i="93" s="1"/>
  <c r="H360" i="93"/>
  <c r="E360" i="93"/>
  <c r="C360" i="93"/>
  <c r="L359" i="93"/>
  <c r="H359" i="93"/>
  <c r="E359" i="93"/>
  <c r="C359" i="93"/>
  <c r="H358" i="93"/>
  <c r="E358" i="93"/>
  <c r="C358" i="93" s="1"/>
  <c r="H357" i="93"/>
  <c r="I357" i="93" s="1"/>
  <c r="G357" i="93"/>
  <c r="K357" i="93"/>
  <c r="E357" i="93"/>
  <c r="H356" i="93"/>
  <c r="G356" i="93"/>
  <c r="K356" i="93"/>
  <c r="E356" i="93"/>
  <c r="L355" i="93"/>
  <c r="H355" i="93"/>
  <c r="E355" i="93"/>
  <c r="C355" i="93" s="1"/>
  <c r="H354" i="93"/>
  <c r="E354" i="93"/>
  <c r="C354" i="93"/>
  <c r="G354" i="93" s="1"/>
  <c r="L353" i="93"/>
  <c r="H353" i="93"/>
  <c r="E353" i="93"/>
  <c r="C353" i="93" s="1"/>
  <c r="G353" i="93" s="1"/>
  <c r="E346" i="93"/>
  <c r="E342" i="93"/>
  <c r="E341" i="93"/>
  <c r="E340" i="93"/>
  <c r="E339" i="93"/>
  <c r="E333" i="93"/>
  <c r="E331" i="93"/>
  <c r="E330" i="93"/>
  <c r="E329" i="93"/>
  <c r="E325" i="93"/>
  <c r="Y320" i="93"/>
  <c r="P320" i="93"/>
  <c r="H320" i="93"/>
  <c r="E320" i="93"/>
  <c r="C320" i="93"/>
  <c r="H319" i="93"/>
  <c r="H318" i="93"/>
  <c r="H317" i="93"/>
  <c r="E317" i="93"/>
  <c r="C317" i="93" s="1"/>
  <c r="L316" i="93"/>
  <c r="E39" i="76" s="1"/>
  <c r="H39" i="76" s="1"/>
  <c r="AI316" i="93" s="1"/>
  <c r="H316" i="93"/>
  <c r="L315" i="93"/>
  <c r="E38" i="76" s="1"/>
  <c r="H38" i="76" s="1"/>
  <c r="AI315" i="93" s="1"/>
  <c r="H315" i="93"/>
  <c r="E315" i="93"/>
  <c r="C315" i="93" s="1"/>
  <c r="L314" i="93"/>
  <c r="E37" i="76" s="1"/>
  <c r="H37" i="76" s="1"/>
  <c r="AI314" i="93" s="1"/>
  <c r="H314" i="93"/>
  <c r="B311" i="93"/>
  <c r="E304" i="93"/>
  <c r="E302" i="93"/>
  <c r="E301" i="93"/>
  <c r="E295" i="93"/>
  <c r="E309" i="93" s="1"/>
  <c r="E294" i="93"/>
  <c r="E293" i="93"/>
  <c r="E292" i="93"/>
  <c r="E283" i="93"/>
  <c r="L282" i="93"/>
  <c r="E49" i="76" s="1"/>
  <c r="H49" i="76" s="1"/>
  <c r="AI282" i="93" s="1"/>
  <c r="E282" i="93"/>
  <c r="C282" i="93" s="1"/>
  <c r="K282" i="93" s="1"/>
  <c r="M282" i="93" s="1"/>
  <c r="E275" i="93"/>
  <c r="E273" i="93"/>
  <c r="E271" i="93"/>
  <c r="E269" i="93"/>
  <c r="E268" i="93"/>
  <c r="E267" i="93"/>
  <c r="E263" i="93"/>
  <c r="E262" i="93"/>
  <c r="E261" i="93"/>
  <c r="E260" i="93"/>
  <c r="E259" i="93"/>
  <c r="H252" i="93"/>
  <c r="H251" i="93"/>
  <c r="E251" i="93"/>
  <c r="C251" i="93" s="1"/>
  <c r="G251" i="93" s="1"/>
  <c r="I251" i="93" s="1"/>
  <c r="H250" i="93"/>
  <c r="E250" i="93"/>
  <c r="C250" i="93" s="1"/>
  <c r="L249" i="93"/>
  <c r="H249" i="93"/>
  <c r="E243" i="93"/>
  <c r="E242" i="93"/>
  <c r="E241" i="93"/>
  <c r="E240" i="93"/>
  <c r="E237" i="93"/>
  <c r="E232" i="93"/>
  <c r="E231" i="93"/>
  <c r="E230" i="93"/>
  <c r="E229" i="93"/>
  <c r="E227" i="93"/>
  <c r="E222" i="93"/>
  <c r="H219" i="93"/>
  <c r="C219" i="93"/>
  <c r="H218" i="93"/>
  <c r="H217" i="93"/>
  <c r="L216" i="93"/>
  <c r="H216" i="93"/>
  <c r="E216" i="93"/>
  <c r="E208" i="93"/>
  <c r="E207" i="93"/>
  <c r="E206" i="93"/>
  <c r="E205" i="93"/>
  <c r="E204" i="93"/>
  <c r="E198" i="93"/>
  <c r="E196" i="93"/>
  <c r="E195" i="93"/>
  <c r="H186" i="93"/>
  <c r="E186" i="93"/>
  <c r="C186" i="93" s="1"/>
  <c r="G186" i="93" s="1"/>
  <c r="L185" i="93"/>
  <c r="H185" i="93"/>
  <c r="E185" i="93"/>
  <c r="C185" i="93"/>
  <c r="G185" i="93" s="1"/>
  <c r="E179" i="93"/>
  <c r="E178" i="93"/>
  <c r="E176" i="93"/>
  <c r="E174" i="93"/>
  <c r="E173" i="93"/>
  <c r="E167" i="93"/>
  <c r="E166" i="93"/>
  <c r="E165" i="93"/>
  <c r="E160" i="93"/>
  <c r="E159" i="93"/>
  <c r="E156" i="93"/>
  <c r="H153" i="93"/>
  <c r="E153" i="93"/>
  <c r="C153" i="93"/>
  <c r="G153" i="93" s="1"/>
  <c r="I153" i="93" s="1"/>
  <c r="H152" i="93"/>
  <c r="I152" i="93" s="1"/>
  <c r="E152" i="93"/>
  <c r="C152" i="93"/>
  <c r="G152" i="93" s="1"/>
  <c r="H151" i="93"/>
  <c r="L150" i="93"/>
  <c r="H150" i="93"/>
  <c r="E150" i="93"/>
  <c r="C150" i="93"/>
  <c r="E143" i="93"/>
  <c r="E139" i="93"/>
  <c r="E138" i="93"/>
  <c r="E137" i="93"/>
  <c r="E132" i="93"/>
  <c r="E131" i="93"/>
  <c r="E130" i="93"/>
  <c r="E127" i="93"/>
  <c r="E124" i="93"/>
  <c r="E121" i="93"/>
  <c r="X118" i="93"/>
  <c r="H118" i="93"/>
  <c r="E118" i="93"/>
  <c r="C118" i="93" s="1"/>
  <c r="X117" i="93"/>
  <c r="H117" i="93"/>
  <c r="X116" i="93"/>
  <c r="H116" i="93"/>
  <c r="L115" i="93"/>
  <c r="E29" i="76" s="1"/>
  <c r="H29" i="76" s="1"/>
  <c r="AI115" i="93" s="1"/>
  <c r="H115" i="93"/>
  <c r="E115" i="93"/>
  <c r="C115" i="93" s="1"/>
  <c r="B111" i="93"/>
  <c r="E108" i="93"/>
  <c r="E107" i="93"/>
  <c r="E106" i="93"/>
  <c r="E105" i="93"/>
  <c r="E104" i="93"/>
  <c r="E103" i="93"/>
  <c r="E102" i="93"/>
  <c r="E97" i="93"/>
  <c r="E96" i="93"/>
  <c r="E95" i="93"/>
  <c r="E94" i="93"/>
  <c r="E89" i="93"/>
  <c r="E86" i="93"/>
  <c r="H83" i="93"/>
  <c r="E83" i="93"/>
  <c r="C83" i="93"/>
  <c r="H82" i="93"/>
  <c r="H81" i="93"/>
  <c r="L80" i="93"/>
  <c r="E21" i="76" s="1"/>
  <c r="H21" i="76" s="1"/>
  <c r="AI80" i="93" s="1"/>
  <c r="H80" i="93"/>
  <c r="E80" i="93"/>
  <c r="C80" i="93"/>
  <c r="B76" i="93"/>
  <c r="E70" i="93"/>
  <c r="E68" i="93"/>
  <c r="E66" i="93"/>
  <c r="E62" i="93"/>
  <c r="E61" i="93"/>
  <c r="E60" i="93"/>
  <c r="E58" i="93"/>
  <c r="E55" i="93"/>
  <c r="E54" i="93"/>
  <c r="E53" i="93"/>
  <c r="E52" i="93"/>
  <c r="E11" i="97"/>
  <c r="L47" i="93"/>
  <c r="H44" i="93"/>
  <c r="L43" i="93"/>
  <c r="E15" i="76" s="1"/>
  <c r="H15" i="76" s="1"/>
  <c r="AI43" i="93" s="1"/>
  <c r="H43" i="93"/>
  <c r="E43" i="93"/>
  <c r="C43" i="93"/>
  <c r="B39" i="93"/>
  <c r="E36" i="93"/>
  <c r="E31" i="93"/>
  <c r="E26" i="93"/>
  <c r="E25" i="93"/>
  <c r="E24" i="93"/>
  <c r="E23" i="93"/>
  <c r="E18" i="93"/>
  <c r="E17" i="93"/>
  <c r="E16" i="93"/>
  <c r="L13" i="93"/>
  <c r="E7" i="97"/>
  <c r="E13" i="93"/>
  <c r="L11" i="93"/>
  <c r="L7" i="93"/>
  <c r="E9" i="76" s="1"/>
  <c r="H9" i="76" s="1"/>
  <c r="AI7" i="93" s="1"/>
  <c r="H131" i="107"/>
  <c r="V71" i="104"/>
  <c r="N79" i="104"/>
  <c r="D80" i="104"/>
  <c r="T80" i="104"/>
  <c r="M576" i="93"/>
  <c r="O91" i="107"/>
  <c r="E129" i="107"/>
  <c r="M129" i="107"/>
  <c r="H91" i="107"/>
  <c r="H93" i="107" s="1"/>
  <c r="H159" i="107"/>
  <c r="H161" i="107" s="1"/>
  <c r="N148" i="107"/>
  <c r="AB71" i="107"/>
  <c r="J129" i="107"/>
  <c r="P144" i="107"/>
  <c r="P146" i="107" s="1"/>
  <c r="W117" i="93"/>
  <c r="J30" i="104"/>
  <c r="J33" i="104" s="1"/>
  <c r="Z30" i="104"/>
  <c r="F32" i="104"/>
  <c r="F35" i="104"/>
  <c r="V32" i="104"/>
  <c r="D7" i="104"/>
  <c r="E93" i="107"/>
  <c r="E94" i="107" s="1"/>
  <c r="M91" i="107"/>
  <c r="J32" i="104"/>
  <c r="L7" i="104"/>
  <c r="N93" i="107"/>
  <c r="O51" i="107"/>
  <c r="R221" i="102"/>
  <c r="N7" i="104"/>
  <c r="N8" i="104"/>
  <c r="F20" i="105"/>
  <c r="AD88" i="107"/>
  <c r="AE88" i="107"/>
  <c r="F159" i="107"/>
  <c r="F161" i="107"/>
  <c r="O159" i="107"/>
  <c r="O161" i="107"/>
  <c r="I478" i="93"/>
  <c r="X79" i="104"/>
  <c r="T7" i="104"/>
  <c r="T8" i="104"/>
  <c r="F144" i="107"/>
  <c r="O144" i="107"/>
  <c r="E425" i="103"/>
  <c r="M425" i="103"/>
  <c r="Q51" i="103"/>
  <c r="V7" i="104"/>
  <c r="V8" i="104"/>
  <c r="I63" i="107"/>
  <c r="F129" i="107"/>
  <c r="O129" i="107"/>
  <c r="G22" i="107"/>
  <c r="G23" i="107" s="1"/>
  <c r="AD196" i="102"/>
  <c r="P89" i="104"/>
  <c r="V48" i="107"/>
  <c r="I159" i="107"/>
  <c r="I161" i="107" s="1"/>
  <c r="K151" i="93"/>
  <c r="M151" i="93" s="1"/>
  <c r="O425" i="103"/>
  <c r="W30" i="107"/>
  <c r="L144" i="107"/>
  <c r="L146" i="107"/>
  <c r="AD355" i="102"/>
  <c r="J81" i="104"/>
  <c r="N30" i="104"/>
  <c r="D31" i="104"/>
  <c r="T31" i="104"/>
  <c r="T34" i="104" s="1"/>
  <c r="Z32" i="104"/>
  <c r="T59" i="104"/>
  <c r="H71" i="104"/>
  <c r="X71" i="104"/>
  <c r="M553" i="93"/>
  <c r="H425" i="103"/>
  <c r="N428" i="103"/>
  <c r="R7" i="104"/>
  <c r="R8" i="104"/>
  <c r="P63" i="107"/>
  <c r="L129" i="107"/>
  <c r="M144" i="107"/>
  <c r="I144" i="107"/>
  <c r="I146" i="107" s="1"/>
  <c r="I178" i="107" s="1"/>
  <c r="H32" i="104"/>
  <c r="H35" i="104"/>
  <c r="E371" i="93"/>
  <c r="M417" i="93"/>
  <c r="F89" i="104"/>
  <c r="V89" i="104"/>
  <c r="I425" i="103"/>
  <c r="F428" i="103"/>
  <c r="I51" i="107"/>
  <c r="K51" i="107"/>
  <c r="H63" i="107"/>
  <c r="M434" i="93"/>
  <c r="AD27" i="102"/>
  <c r="R31" i="104"/>
  <c r="R34" i="104" s="1"/>
  <c r="Z81" i="104"/>
  <c r="V221" i="102"/>
  <c r="Q162" i="103"/>
  <c r="X46" i="107"/>
  <c r="AB46" i="107" s="1"/>
  <c r="X32" i="104"/>
  <c r="E363" i="93"/>
  <c r="C363" i="93" s="1"/>
  <c r="G363" i="93"/>
  <c r="E154" i="93"/>
  <c r="E187" i="93"/>
  <c r="E390" i="93"/>
  <c r="Z7" i="104"/>
  <c r="M378" i="93"/>
  <c r="R10" i="104"/>
  <c r="H30" i="104"/>
  <c r="X30" i="104"/>
  <c r="N31" i="104"/>
  <c r="D32" i="104"/>
  <c r="T32" i="104"/>
  <c r="J222" i="102"/>
  <c r="D78" i="104"/>
  <c r="J7" i="104"/>
  <c r="J8" i="104" s="1"/>
  <c r="H20" i="105"/>
  <c r="H38" i="107"/>
  <c r="D63" i="107"/>
  <c r="L63" i="107"/>
  <c r="K73" i="107"/>
  <c r="K75" i="107" s="1"/>
  <c r="N108" i="107"/>
  <c r="X125" i="107"/>
  <c r="AB125" i="107" s="1"/>
  <c r="I129" i="107"/>
  <c r="J144" i="107"/>
  <c r="J146" i="107"/>
  <c r="J178" i="107" s="1"/>
  <c r="J159" i="107"/>
  <c r="J161" i="107"/>
  <c r="G480" i="93"/>
  <c r="I480" i="93" s="1"/>
  <c r="G504" i="93"/>
  <c r="K504" i="93"/>
  <c r="M504" i="93"/>
  <c r="C8" i="93"/>
  <c r="K8" i="93" s="1"/>
  <c r="E211" i="93"/>
  <c r="E509" i="93"/>
  <c r="G451" i="93"/>
  <c r="K451" i="93" s="1"/>
  <c r="M451" i="93" s="1"/>
  <c r="G482" i="93"/>
  <c r="M535" i="93"/>
  <c r="M400" i="93"/>
  <c r="E541" i="93"/>
  <c r="AD68" i="102"/>
  <c r="H22" i="104"/>
  <c r="X22" i="104"/>
  <c r="AC112" i="104"/>
  <c r="Z221" i="102"/>
  <c r="N222" i="102"/>
  <c r="P58" i="104"/>
  <c r="V59" i="104"/>
  <c r="L60" i="104"/>
  <c r="R61" i="104"/>
  <c r="AD333" i="102"/>
  <c r="X68" i="104"/>
  <c r="N69" i="104"/>
  <c r="D70" i="104"/>
  <c r="T70" i="104"/>
  <c r="J71" i="104"/>
  <c r="Z71" i="104"/>
  <c r="R79" i="104"/>
  <c r="L425" i="103"/>
  <c r="N15" i="107"/>
  <c r="X33" i="107"/>
  <c r="AB33" i="107" s="1"/>
  <c r="I38" i="107"/>
  <c r="K38" i="107"/>
  <c r="AB102" i="107"/>
  <c r="V126" i="107"/>
  <c r="V10" i="104"/>
  <c r="V100" i="104"/>
  <c r="O429" i="103"/>
  <c r="G219" i="93"/>
  <c r="G83" i="93"/>
  <c r="E408" i="93"/>
  <c r="E446" i="93"/>
  <c r="AD24" i="102"/>
  <c r="D21" i="104"/>
  <c r="T21" i="104"/>
  <c r="J22" i="104"/>
  <c r="Z22" i="104"/>
  <c r="AB221" i="102"/>
  <c r="P222" i="102"/>
  <c r="R87" i="104"/>
  <c r="AD260" i="102"/>
  <c r="AD274" i="102"/>
  <c r="AD285" i="102"/>
  <c r="H59" i="104"/>
  <c r="X59" i="104"/>
  <c r="T61" i="104"/>
  <c r="P69" i="104"/>
  <c r="L71" i="104"/>
  <c r="D79" i="104"/>
  <c r="T79" i="104"/>
  <c r="AD393" i="102"/>
  <c r="U430" i="102"/>
  <c r="J425" i="103"/>
  <c r="Q122" i="103"/>
  <c r="V35" i="107"/>
  <c r="D51" i="107"/>
  <c r="D53" i="107" s="1"/>
  <c r="L51" i="107"/>
  <c r="W121" i="107"/>
  <c r="K129" i="107"/>
  <c r="V138" i="107"/>
  <c r="K159" i="107"/>
  <c r="K161" i="107" s="1"/>
  <c r="E473" i="93"/>
  <c r="W136" i="107"/>
  <c r="M433" i="93"/>
  <c r="K478" i="93"/>
  <c r="M478" i="93"/>
  <c r="AD177" i="102"/>
  <c r="R19" i="104"/>
  <c r="R23" i="104" s="1"/>
  <c r="V222" i="102"/>
  <c r="P49" i="104"/>
  <c r="D87" i="104"/>
  <c r="T87" i="104"/>
  <c r="J59" i="104"/>
  <c r="Z59" i="104"/>
  <c r="P60" i="104"/>
  <c r="V61" i="104"/>
  <c r="L68" i="104"/>
  <c r="H70" i="104"/>
  <c r="P78" i="104"/>
  <c r="K425" i="103"/>
  <c r="L72" i="107"/>
  <c r="L73" i="107" s="1"/>
  <c r="V101" i="107"/>
  <c r="V139" i="107"/>
  <c r="H144" i="107"/>
  <c r="D159" i="107"/>
  <c r="D161" i="107"/>
  <c r="L159" i="107"/>
  <c r="L161" i="107" s="1"/>
  <c r="H29" i="105"/>
  <c r="W96" i="107"/>
  <c r="M557" i="93"/>
  <c r="AD148" i="102"/>
  <c r="C174" i="102"/>
  <c r="P40" i="104"/>
  <c r="F221" i="102"/>
  <c r="X222" i="102"/>
  <c r="L89" i="104"/>
  <c r="AD257" i="102"/>
  <c r="AD271" i="102"/>
  <c r="D62" i="104"/>
  <c r="H61" i="104"/>
  <c r="P71" i="104"/>
  <c r="D81" i="104"/>
  <c r="T81" i="104"/>
  <c r="H7" i="104"/>
  <c r="X7" i="104"/>
  <c r="X8" i="104"/>
  <c r="J16" i="106"/>
  <c r="E131" i="107"/>
  <c r="E177" i="107"/>
  <c r="M131" i="107"/>
  <c r="E159" i="107"/>
  <c r="E161" i="107"/>
  <c r="M159" i="107"/>
  <c r="M161" i="107" s="1"/>
  <c r="I451" i="93"/>
  <c r="P21" i="104"/>
  <c r="AD151" i="102"/>
  <c r="AD336" i="102"/>
  <c r="P7" i="104"/>
  <c r="P8" i="104" s="1"/>
  <c r="I83" i="93"/>
  <c r="E144" i="93"/>
  <c r="E277" i="93"/>
  <c r="E348" i="93"/>
  <c r="I353" i="93"/>
  <c r="M419" i="93"/>
  <c r="E496" i="93"/>
  <c r="E585" i="93"/>
  <c r="AD98" i="102"/>
  <c r="D20" i="104"/>
  <c r="T20" i="104"/>
  <c r="J21" i="104"/>
  <c r="Z21" i="104"/>
  <c r="X41" i="104"/>
  <c r="J221" i="102"/>
  <c r="F222" i="102"/>
  <c r="Z222" i="102"/>
  <c r="N89" i="104"/>
  <c r="H87" i="104"/>
  <c r="X87" i="104"/>
  <c r="H58" i="104"/>
  <c r="X58" i="104"/>
  <c r="P68" i="104"/>
  <c r="P72" i="104" s="1"/>
  <c r="T78" i="104"/>
  <c r="P80" i="104"/>
  <c r="F81" i="104"/>
  <c r="V81" i="104"/>
  <c r="E429" i="103"/>
  <c r="J28" i="105"/>
  <c r="G20" i="105"/>
  <c r="O20" i="105"/>
  <c r="F27" i="105"/>
  <c r="F28" i="105"/>
  <c r="F29" i="105" s="1"/>
  <c r="H23" i="107"/>
  <c r="H25" i="107"/>
  <c r="W43" i="107"/>
  <c r="J131" i="107"/>
  <c r="J177" i="107" s="1"/>
  <c r="Y116" i="93"/>
  <c r="C218" i="93"/>
  <c r="G218" i="93"/>
  <c r="I504" i="93"/>
  <c r="AB116" i="104"/>
  <c r="S314" i="93" s="1"/>
  <c r="AJ314" i="93" s="1"/>
  <c r="D37" i="76"/>
  <c r="L221" i="102"/>
  <c r="H222" i="102"/>
  <c r="AB222" i="102"/>
  <c r="J87" i="104"/>
  <c r="Z87" i="104"/>
  <c r="AD313" i="102"/>
  <c r="F78" i="104"/>
  <c r="V78" i="104"/>
  <c r="R80" i="104"/>
  <c r="H81" i="104"/>
  <c r="F425" i="103"/>
  <c r="F429" i="103" s="1"/>
  <c r="N425" i="103"/>
  <c r="N429" i="103"/>
  <c r="Q422" i="103"/>
  <c r="M428" i="103"/>
  <c r="M429" i="103" s="1"/>
  <c r="G27" i="105"/>
  <c r="G28" i="105"/>
  <c r="O38" i="107"/>
  <c r="O175" i="107" s="1"/>
  <c r="O192" i="107" s="1"/>
  <c r="I73" i="107"/>
  <c r="I75" i="107"/>
  <c r="F25" i="107"/>
  <c r="D38" i="107"/>
  <c r="L38" i="107"/>
  <c r="L175" i="107" s="1"/>
  <c r="L192" i="107"/>
  <c r="E51" i="107"/>
  <c r="E175" i="107" s="1"/>
  <c r="M51" i="107"/>
  <c r="M175" i="107" s="1"/>
  <c r="M192" i="107" s="1"/>
  <c r="K63" i="107"/>
  <c r="K146" i="107"/>
  <c r="K178" i="107" s="1"/>
  <c r="G91" i="107"/>
  <c r="G93" i="107"/>
  <c r="K131" i="107"/>
  <c r="K177" i="107"/>
  <c r="G25" i="107"/>
  <c r="G38" i="107"/>
  <c r="P38" i="107"/>
  <c r="P175" i="107" s="1"/>
  <c r="H51" i="107"/>
  <c r="H175" i="107"/>
  <c r="D73" i="107"/>
  <c r="D75" i="107"/>
  <c r="D77" i="107"/>
  <c r="D91" i="107"/>
  <c r="D93" i="107"/>
  <c r="L131" i="107"/>
  <c r="L177" i="107" s="1"/>
  <c r="L194" i="107" s="1"/>
  <c r="F146" i="107"/>
  <c r="O146" i="107"/>
  <c r="O178" i="107"/>
  <c r="O195" i="107" s="1"/>
  <c r="L75" i="107"/>
  <c r="J91" i="107"/>
  <c r="J93" i="107" s="1"/>
  <c r="N118" i="107"/>
  <c r="I131" i="107"/>
  <c r="I177" i="107"/>
  <c r="H146" i="107"/>
  <c r="H178" i="107" s="1"/>
  <c r="D163" i="107"/>
  <c r="E162" i="107"/>
  <c r="E163" i="107" s="1"/>
  <c r="E164" i="107" s="1"/>
  <c r="P91" i="107"/>
  <c r="N133" i="107"/>
  <c r="N178" i="107"/>
  <c r="E45" i="93"/>
  <c r="K83" i="93"/>
  <c r="M83" i="93" s="1"/>
  <c r="W319" i="93"/>
  <c r="Y319" i="93"/>
  <c r="Y118" i="93"/>
  <c r="G361" i="93"/>
  <c r="I361" i="93"/>
  <c r="I354" i="93"/>
  <c r="E182" i="93"/>
  <c r="C182" i="93" s="1"/>
  <c r="G508" i="93"/>
  <c r="I508" i="93" s="1"/>
  <c r="K354" i="93"/>
  <c r="E420" i="93"/>
  <c r="C413" i="93"/>
  <c r="K413" i="93"/>
  <c r="M413" i="93" s="1"/>
  <c r="K186" i="93"/>
  <c r="M186" i="93" s="1"/>
  <c r="G362" i="93"/>
  <c r="K362" i="93" s="1"/>
  <c r="G457" i="93"/>
  <c r="M8" i="93"/>
  <c r="W318" i="93"/>
  <c r="Y318" i="93" s="1"/>
  <c r="Y117" i="93"/>
  <c r="I185" i="93"/>
  <c r="M592" i="93"/>
  <c r="G250" i="93"/>
  <c r="C283" i="93"/>
  <c r="K283" i="93"/>
  <c r="M283" i="93"/>
  <c r="E285" i="93"/>
  <c r="E74" i="93"/>
  <c r="E244" i="93"/>
  <c r="AF320" i="93"/>
  <c r="AG320" i="93" s="1"/>
  <c r="AG321" i="93" s="1"/>
  <c r="Q320" i="93"/>
  <c r="Q321" i="93" s="1"/>
  <c r="Q589" i="93" s="1"/>
  <c r="K353" i="93"/>
  <c r="M353" i="93" s="1"/>
  <c r="Y317" i="93"/>
  <c r="I356" i="93"/>
  <c r="M376" i="93"/>
  <c r="K152" i="93"/>
  <c r="M152" i="93"/>
  <c r="C249" i="93"/>
  <c r="E321" i="93"/>
  <c r="G355" i="93"/>
  <c r="I355" i="93" s="1"/>
  <c r="E383" i="93"/>
  <c r="C395" i="93"/>
  <c r="K395" i="93" s="1"/>
  <c r="M395" i="93" s="1"/>
  <c r="E401" i="93"/>
  <c r="E410" i="93" s="1"/>
  <c r="C410" i="93" s="1"/>
  <c r="I484" i="93"/>
  <c r="E560" i="93"/>
  <c r="C554" i="93"/>
  <c r="K554" i="93" s="1"/>
  <c r="M554" i="93" s="1"/>
  <c r="M560" i="93" s="1"/>
  <c r="E439" i="93"/>
  <c r="E448" i="93"/>
  <c r="C448" i="93" s="1"/>
  <c r="C432" i="93"/>
  <c r="K432" i="93"/>
  <c r="M432" i="93" s="1"/>
  <c r="E485" i="93"/>
  <c r="G360" i="93"/>
  <c r="I360" i="93"/>
  <c r="M379" i="93"/>
  <c r="I453" i="93"/>
  <c r="G483" i="93"/>
  <c r="M534" i="93"/>
  <c r="M577" i="93"/>
  <c r="T314" i="93"/>
  <c r="M397" i="93"/>
  <c r="K453" i="93"/>
  <c r="M453" i="93"/>
  <c r="K481" i="93"/>
  <c r="M481" i="93"/>
  <c r="G359" i="93"/>
  <c r="I359" i="93" s="1"/>
  <c r="E458" i="93"/>
  <c r="E475" i="93" s="1"/>
  <c r="C475" i="93" s="1"/>
  <c r="K456" i="93"/>
  <c r="M456" i="93"/>
  <c r="W119" i="93"/>
  <c r="K479" i="93"/>
  <c r="M479" i="93"/>
  <c r="K484" i="93"/>
  <c r="M484" i="93" s="1"/>
  <c r="M559" i="93"/>
  <c r="E578" i="93"/>
  <c r="C574" i="93"/>
  <c r="K574" i="93"/>
  <c r="M574" i="93" s="1"/>
  <c r="M578" i="93" s="1"/>
  <c r="K455" i="93"/>
  <c r="M455" i="93" s="1"/>
  <c r="AB107" i="104"/>
  <c r="S115" i="93" s="1"/>
  <c r="T115" i="93" s="1"/>
  <c r="F6" i="108"/>
  <c r="F7" i="108"/>
  <c r="F8" i="108" s="1"/>
  <c r="F9" i="108" s="1"/>
  <c r="F10" i="108" s="1"/>
  <c r="F11" i="108" s="1"/>
  <c r="F12" i="108" s="1"/>
  <c r="F13" i="108" s="1"/>
  <c r="F14" i="108" s="1"/>
  <c r="F15" i="108" s="1"/>
  <c r="F16" i="108" s="1"/>
  <c r="F17" i="108" s="1"/>
  <c r="F18" i="108" s="1"/>
  <c r="H90" i="104"/>
  <c r="H48" i="104"/>
  <c r="J35" i="104"/>
  <c r="H41" i="104"/>
  <c r="AD316" i="102"/>
  <c r="AD409" i="102"/>
  <c r="G428" i="102"/>
  <c r="G430" i="102" s="1"/>
  <c r="W428" i="102"/>
  <c r="W430" i="102" s="1"/>
  <c r="F40" i="104"/>
  <c r="F42" i="104"/>
  <c r="F100" i="104"/>
  <c r="AD43" i="102"/>
  <c r="AD71" i="102"/>
  <c r="AD214" i="102"/>
  <c r="V91" i="104"/>
  <c r="V49" i="104"/>
  <c r="J36" i="104"/>
  <c r="AB36" i="104"/>
  <c r="AB33" i="104"/>
  <c r="Z33" i="104"/>
  <c r="J19" i="104"/>
  <c r="J23" i="104" s="1"/>
  <c r="Z19" i="104"/>
  <c r="Z23" i="104" s="1"/>
  <c r="F52" i="104"/>
  <c r="H434" i="102"/>
  <c r="H435" i="102" s="1"/>
  <c r="H436" i="102"/>
  <c r="V52" i="104"/>
  <c r="X436" i="102"/>
  <c r="X434" i="102"/>
  <c r="X435" i="102" s="1"/>
  <c r="P88" i="104"/>
  <c r="L33" i="104"/>
  <c r="AA35" i="104"/>
  <c r="AD193" i="102"/>
  <c r="D90" i="104"/>
  <c r="D48" i="104"/>
  <c r="T90" i="104"/>
  <c r="T48" i="104"/>
  <c r="J91" i="104"/>
  <c r="J49" i="104"/>
  <c r="Z91" i="104"/>
  <c r="Z49" i="104"/>
  <c r="AB45" i="104"/>
  <c r="P92" i="104"/>
  <c r="P50" i="104"/>
  <c r="F93" i="104"/>
  <c r="F51" i="104"/>
  <c r="V93" i="104"/>
  <c r="V51" i="104"/>
  <c r="AD288" i="102"/>
  <c r="AD302" i="102"/>
  <c r="AB35" i="104"/>
  <c r="Z35" i="104"/>
  <c r="J42" i="104"/>
  <c r="J40" i="104"/>
  <c r="Z40" i="104"/>
  <c r="Z42" i="104"/>
  <c r="P41" i="104"/>
  <c r="H93" i="104"/>
  <c r="H51" i="104"/>
  <c r="AB100" i="104"/>
  <c r="S43" i="93" s="1"/>
  <c r="T43" i="93" s="1"/>
  <c r="R20" i="104"/>
  <c r="H21" i="104"/>
  <c r="X21" i="104"/>
  <c r="N22" i="104"/>
  <c r="V35" i="104"/>
  <c r="H42" i="104"/>
  <c r="H40" i="104"/>
  <c r="X42" i="104"/>
  <c r="X40" i="104"/>
  <c r="N41" i="104"/>
  <c r="D52" i="104"/>
  <c r="F436" i="102"/>
  <c r="F434" i="102"/>
  <c r="F435" i="102"/>
  <c r="T52" i="104"/>
  <c r="V436" i="102"/>
  <c r="V434" i="102"/>
  <c r="V435" i="102" s="1"/>
  <c r="R90" i="104"/>
  <c r="R48" i="104"/>
  <c r="H91" i="104"/>
  <c r="H49" i="104"/>
  <c r="X91" i="104"/>
  <c r="X49" i="104"/>
  <c r="AA45" i="104"/>
  <c r="N92" i="104"/>
  <c r="N50" i="104"/>
  <c r="D93" i="104"/>
  <c r="D51" i="104"/>
  <c r="T93" i="104"/>
  <c r="T51" i="104"/>
  <c r="N88" i="104"/>
  <c r="R62" i="104"/>
  <c r="D58" i="104"/>
  <c r="AD352" i="102"/>
  <c r="P83" i="104"/>
  <c r="L78" i="104"/>
  <c r="S428" i="102"/>
  <c r="S430" i="102" s="1"/>
  <c r="AD425" i="102"/>
  <c r="Q62" i="103"/>
  <c r="L8" i="104"/>
  <c r="C6" i="108"/>
  <c r="C7" i="108"/>
  <c r="C8" i="108" s="1"/>
  <c r="C9" i="108" s="1"/>
  <c r="C10" i="108" s="1"/>
  <c r="C11" i="108" s="1"/>
  <c r="C12" i="108" s="1"/>
  <c r="C13" i="108" s="1"/>
  <c r="C14" i="108" s="1"/>
  <c r="C15" i="108" s="1"/>
  <c r="C16" i="108" s="1"/>
  <c r="C17" i="108" s="1"/>
  <c r="C18" i="108" s="1"/>
  <c r="AB99" i="104"/>
  <c r="S7" i="93"/>
  <c r="T7" i="93" s="1"/>
  <c r="AC100" i="104"/>
  <c r="AF74" i="102"/>
  <c r="F20" i="104"/>
  <c r="V20" i="104"/>
  <c r="L21" i="104"/>
  <c r="R22" i="104"/>
  <c r="N33" i="104"/>
  <c r="D34" i="104"/>
  <c r="D19" i="104"/>
  <c r="D23" i="104"/>
  <c r="T19" i="104"/>
  <c r="T23" i="104"/>
  <c r="L42" i="104"/>
  <c r="L40" i="104"/>
  <c r="R41" i="104"/>
  <c r="H52" i="104"/>
  <c r="J436" i="102"/>
  <c r="J434" i="102"/>
  <c r="J435" i="102" s="1"/>
  <c r="X52" i="104"/>
  <c r="Z436" i="102"/>
  <c r="Z434" i="102"/>
  <c r="Z435" i="102"/>
  <c r="N221" i="102"/>
  <c r="R222" i="102"/>
  <c r="F90" i="104"/>
  <c r="F48" i="104"/>
  <c r="V90" i="104"/>
  <c r="V48" i="104"/>
  <c r="L91" i="104"/>
  <c r="L49" i="104"/>
  <c r="R92" i="104"/>
  <c r="R50" i="104"/>
  <c r="X93" i="104"/>
  <c r="AA93" i="104"/>
  <c r="X149" i="104"/>
  <c r="AA47" i="104"/>
  <c r="AA51" i="104" s="1"/>
  <c r="R89" i="104"/>
  <c r="L87" i="104"/>
  <c r="R88" i="104"/>
  <c r="F62" i="104"/>
  <c r="V62" i="104"/>
  <c r="N59" i="104"/>
  <c r="L80" i="104"/>
  <c r="H429" i="103"/>
  <c r="P10" i="104"/>
  <c r="N21" i="104"/>
  <c r="D22" i="104"/>
  <c r="T22" i="104"/>
  <c r="P30" i="104"/>
  <c r="F31" i="104"/>
  <c r="F34" i="104" s="1"/>
  <c r="V31" i="104"/>
  <c r="V34" i="104"/>
  <c r="L32" i="104"/>
  <c r="L35" i="104"/>
  <c r="F19" i="104"/>
  <c r="F23" i="104" s="1"/>
  <c r="V19" i="104"/>
  <c r="V23" i="104" s="1"/>
  <c r="N42" i="104"/>
  <c r="N40" i="104"/>
  <c r="D41" i="104"/>
  <c r="T41" i="104"/>
  <c r="J52" i="104"/>
  <c r="L436" i="102"/>
  <c r="L434" i="102"/>
  <c r="L435" i="102" s="1"/>
  <c r="Z52" i="104"/>
  <c r="AB436" i="102"/>
  <c r="AB434" i="102"/>
  <c r="AB435" i="102"/>
  <c r="P221" i="102"/>
  <c r="X90" i="104"/>
  <c r="X48" i="104"/>
  <c r="AA44" i="104"/>
  <c r="N91" i="104"/>
  <c r="N49" i="104"/>
  <c r="D92" i="104"/>
  <c r="D50" i="104"/>
  <c r="T92" i="104"/>
  <c r="T50" i="104"/>
  <c r="J93" i="104"/>
  <c r="J51" i="104"/>
  <c r="AB93" i="104"/>
  <c r="Z93" i="104"/>
  <c r="Z119" i="104" s="1"/>
  <c r="AB47" i="104"/>
  <c r="AB51" i="104"/>
  <c r="Z51" i="104"/>
  <c r="D89" i="104"/>
  <c r="T89" i="104"/>
  <c r="N87" i="104"/>
  <c r="D88" i="104"/>
  <c r="T88" i="104"/>
  <c r="H62" i="104"/>
  <c r="X62" i="104"/>
  <c r="J58" i="104"/>
  <c r="H79" i="104"/>
  <c r="K428" i="102"/>
  <c r="K430" i="102" s="1"/>
  <c r="AA428" i="102"/>
  <c r="AA430" i="102" s="1"/>
  <c r="I429" i="103"/>
  <c r="H10" i="104"/>
  <c r="X10" i="104"/>
  <c r="X61" i="104"/>
  <c r="AC102" i="104"/>
  <c r="J20" i="104"/>
  <c r="Z20" i="104"/>
  <c r="F22" i="104"/>
  <c r="V22" i="104"/>
  <c r="AA34" i="104"/>
  <c r="X34" i="104"/>
  <c r="N35" i="104"/>
  <c r="AD174" i="102"/>
  <c r="H19" i="104"/>
  <c r="H23" i="104" s="1"/>
  <c r="X19" i="104"/>
  <c r="X23" i="104"/>
  <c r="I6" i="108"/>
  <c r="AB112" i="104"/>
  <c r="X113" i="104" s="1"/>
  <c r="P42" i="104"/>
  <c r="F41" i="104"/>
  <c r="V41" i="104"/>
  <c r="N436" i="102"/>
  <c r="N434" i="102"/>
  <c r="N435" i="102"/>
  <c r="L52" i="104"/>
  <c r="J90" i="104"/>
  <c r="J48" i="104"/>
  <c r="Z90" i="104"/>
  <c r="Z116" i="104"/>
  <c r="AB44" i="104"/>
  <c r="Z48" i="104"/>
  <c r="P91" i="104"/>
  <c r="F92" i="104"/>
  <c r="F50" i="104"/>
  <c r="V50" i="104"/>
  <c r="V92" i="104"/>
  <c r="L51" i="104"/>
  <c r="L93" i="104"/>
  <c r="P87" i="104"/>
  <c r="F88" i="104"/>
  <c r="V88" i="104"/>
  <c r="J62" i="104"/>
  <c r="Z62" i="104"/>
  <c r="H83" i="104"/>
  <c r="X83" i="104"/>
  <c r="J79" i="104"/>
  <c r="Z79" i="104"/>
  <c r="J429" i="103"/>
  <c r="J10" i="104"/>
  <c r="Z10" i="104"/>
  <c r="D100" i="104"/>
  <c r="T100" i="104"/>
  <c r="L20" i="104"/>
  <c r="R21" i="104"/>
  <c r="D33" i="104"/>
  <c r="T33" i="104"/>
  <c r="J34" i="104"/>
  <c r="AB34" i="104"/>
  <c r="Z34" i="104"/>
  <c r="P35" i="104"/>
  <c r="R42" i="104"/>
  <c r="R40" i="104"/>
  <c r="N52" i="104"/>
  <c r="P436" i="102"/>
  <c r="P434" i="102"/>
  <c r="P435" i="102"/>
  <c r="T221" i="102"/>
  <c r="L90" i="104"/>
  <c r="L48" i="104"/>
  <c r="R91" i="104"/>
  <c r="R49" i="104"/>
  <c r="H50" i="104"/>
  <c r="H92" i="104"/>
  <c r="AA46" i="104"/>
  <c r="X50" i="104"/>
  <c r="N93" i="104"/>
  <c r="N51" i="104"/>
  <c r="H89" i="104"/>
  <c r="X89" i="104"/>
  <c r="H88" i="104"/>
  <c r="X88" i="104"/>
  <c r="L62" i="104"/>
  <c r="D59" i="104"/>
  <c r="J83" i="104"/>
  <c r="Z83" i="104"/>
  <c r="L79" i="104"/>
  <c r="X81" i="104"/>
  <c r="AD382" i="102"/>
  <c r="M428" i="102"/>
  <c r="M430" i="102"/>
  <c r="AC428" i="102"/>
  <c r="AC430" i="102" s="1"/>
  <c r="Q402" i="103"/>
  <c r="L10" i="104"/>
  <c r="Z36" i="104"/>
  <c r="N20" i="104"/>
  <c r="AC107" i="104"/>
  <c r="F30" i="104"/>
  <c r="V30" i="104"/>
  <c r="L31" i="104"/>
  <c r="L34" i="104"/>
  <c r="R32" i="104"/>
  <c r="R35" i="104" s="1"/>
  <c r="L19" i="104"/>
  <c r="L23" i="104" s="1"/>
  <c r="D40" i="104"/>
  <c r="D42" i="104"/>
  <c r="T42" i="104"/>
  <c r="T40" i="104"/>
  <c r="J41" i="104"/>
  <c r="Z41" i="104"/>
  <c r="P52" i="104"/>
  <c r="R436" i="102"/>
  <c r="R434" i="102"/>
  <c r="R435" i="102" s="1"/>
  <c r="N90" i="104"/>
  <c r="N48" i="104"/>
  <c r="D49" i="104"/>
  <c r="D91" i="104"/>
  <c r="T91" i="104"/>
  <c r="T49" i="104"/>
  <c r="J92" i="104"/>
  <c r="J50" i="104"/>
  <c r="Z92" i="104"/>
  <c r="AB46" i="104"/>
  <c r="Z50" i="104"/>
  <c r="P93" i="104"/>
  <c r="P51" i="104"/>
  <c r="J89" i="104"/>
  <c r="Z89" i="104"/>
  <c r="J88" i="104"/>
  <c r="Z88" i="104"/>
  <c r="O428" i="102"/>
  <c r="O430" i="102" s="1"/>
  <c r="H8" i="104"/>
  <c r="N10" i="104"/>
  <c r="X92" i="104"/>
  <c r="X118" i="104"/>
  <c r="AC99" i="104"/>
  <c r="D8" i="104"/>
  <c r="E6" i="108"/>
  <c r="E7" i="108"/>
  <c r="E8" i="108"/>
  <c r="E9" i="108" s="1"/>
  <c r="E10" i="108" s="1"/>
  <c r="E11" i="108" s="1"/>
  <c r="E12" i="108" s="1"/>
  <c r="E13" i="108" s="1"/>
  <c r="E14" i="108" s="1"/>
  <c r="E15" i="108" s="1"/>
  <c r="E16" i="108" s="1"/>
  <c r="E17" i="108" s="1"/>
  <c r="E18" i="108" s="1"/>
  <c r="AB102" i="104"/>
  <c r="P20" i="104"/>
  <c r="F21" i="104"/>
  <c r="V21" i="104"/>
  <c r="L22" i="104"/>
  <c r="H33" i="104"/>
  <c r="D35" i="104"/>
  <c r="T35" i="104"/>
  <c r="AF154" i="102"/>
  <c r="N19" i="104"/>
  <c r="N23" i="104"/>
  <c r="V42" i="104"/>
  <c r="V40" i="104"/>
  <c r="L41" i="104"/>
  <c r="L113" i="104" s="1"/>
  <c r="R52" i="104"/>
  <c r="T436" i="102"/>
  <c r="T434" i="102"/>
  <c r="T435" i="102" s="1"/>
  <c r="H221" i="102"/>
  <c r="P48" i="104"/>
  <c r="P90" i="104"/>
  <c r="F91" i="104"/>
  <c r="F49" i="104"/>
  <c r="L92" i="104"/>
  <c r="L50" i="104"/>
  <c r="R93" i="104"/>
  <c r="R51" i="104"/>
  <c r="F87" i="104"/>
  <c r="V87" i="104"/>
  <c r="L88" i="104"/>
  <c r="P62" i="104"/>
  <c r="R58" i="104"/>
  <c r="N60" i="104"/>
  <c r="D61" i="104"/>
  <c r="F68" i="104"/>
  <c r="V68" i="104"/>
  <c r="R70" i="104"/>
  <c r="AD379" i="102"/>
  <c r="AD396" i="102"/>
  <c r="AD412" i="102"/>
  <c r="Q428" i="102"/>
  <c r="Q430" i="102" s="1"/>
  <c r="P425" i="103"/>
  <c r="Z8" i="104"/>
  <c r="AD422" i="102"/>
  <c r="Q22" i="103"/>
  <c r="F58" i="104"/>
  <c r="V58" i="104"/>
  <c r="L59" i="104"/>
  <c r="R60" i="104"/>
  <c r="J68" i="104"/>
  <c r="Z68" i="104"/>
  <c r="F70" i="104"/>
  <c r="V70" i="104"/>
  <c r="N83" i="104"/>
  <c r="J78" i="104"/>
  <c r="Z78" i="104"/>
  <c r="P79" i="104"/>
  <c r="F80" i="104"/>
  <c r="V80" i="104"/>
  <c r="L81" i="104"/>
  <c r="D60" i="104"/>
  <c r="T60" i="104"/>
  <c r="J61" i="104"/>
  <c r="Z61" i="104"/>
  <c r="R69" i="104"/>
  <c r="N71" i="104"/>
  <c r="H80" i="104"/>
  <c r="X80" i="104"/>
  <c r="N81" i="104"/>
  <c r="N175" i="107"/>
  <c r="N40" i="107"/>
  <c r="Z58" i="104"/>
  <c r="P59" i="104"/>
  <c r="F60" i="104"/>
  <c r="V60" i="104"/>
  <c r="L61" i="104"/>
  <c r="N68" i="104"/>
  <c r="D69" i="104"/>
  <c r="T69" i="104"/>
  <c r="J70" i="104"/>
  <c r="Z70" i="104"/>
  <c r="R83" i="104"/>
  <c r="N78" i="104"/>
  <c r="J80" i="104"/>
  <c r="Z80" i="104"/>
  <c r="P81" i="104"/>
  <c r="R59" i="104"/>
  <c r="H60" i="104"/>
  <c r="X60" i="104"/>
  <c r="N61" i="104"/>
  <c r="F69" i="104"/>
  <c r="V69" i="104"/>
  <c r="L70" i="104"/>
  <c r="R71" i="104"/>
  <c r="D83" i="104"/>
  <c r="T83" i="104"/>
  <c r="F79" i="104"/>
  <c r="V79" i="104"/>
  <c r="R81" i="104"/>
  <c r="N58" i="104"/>
  <c r="J60" i="104"/>
  <c r="Z60" i="104"/>
  <c r="P61" i="104"/>
  <c r="R68" i="104"/>
  <c r="H69" i="104"/>
  <c r="X69" i="104"/>
  <c r="N70" i="104"/>
  <c r="D71" i="104"/>
  <c r="T71" i="104"/>
  <c r="F83" i="104"/>
  <c r="V83" i="104"/>
  <c r="R78" i="104"/>
  <c r="N80" i="104"/>
  <c r="E52" i="107"/>
  <c r="M177" i="107"/>
  <c r="M194" i="107" s="1"/>
  <c r="K15" i="107"/>
  <c r="D65" i="107"/>
  <c r="F174" i="107"/>
  <c r="D26" i="105"/>
  <c r="P9" i="105"/>
  <c r="J22" i="107"/>
  <c r="J23" i="107"/>
  <c r="J25" i="107" s="1"/>
  <c r="J174" i="107" s="1"/>
  <c r="I23" i="107"/>
  <c r="I25" i="107"/>
  <c r="I174" i="107" s="1"/>
  <c r="G175" i="107"/>
  <c r="E76" i="107"/>
  <c r="N28" i="105"/>
  <c r="N29" i="105" s="1"/>
  <c r="K20" i="105"/>
  <c r="K29" i="105"/>
  <c r="E16" i="106"/>
  <c r="I175" i="107"/>
  <c r="R116" i="107"/>
  <c r="D118" i="107"/>
  <c r="D20" i="105"/>
  <c r="L20" i="105"/>
  <c r="L29" i="105" s="1"/>
  <c r="N20" i="105"/>
  <c r="H174" i="107"/>
  <c r="H15" i="107"/>
  <c r="L23" i="107"/>
  <c r="L25" i="107" s="1"/>
  <c r="L174" i="107" s="1"/>
  <c r="L191" i="107" s="1"/>
  <c r="J38" i="107"/>
  <c r="F63" i="107"/>
  <c r="O63" i="107"/>
  <c r="E73" i="107"/>
  <c r="E75" i="107" s="1"/>
  <c r="M73" i="107"/>
  <c r="M75" i="107"/>
  <c r="E20" i="105"/>
  <c r="E27" i="105"/>
  <c r="E28" i="105"/>
  <c r="M20" i="105"/>
  <c r="M27" i="105"/>
  <c r="M28" i="105" s="1"/>
  <c r="I15" i="107"/>
  <c r="D168" i="107"/>
  <c r="N53" i="107"/>
  <c r="I20" i="105"/>
  <c r="I26" i="105"/>
  <c r="I28" i="105" s="1"/>
  <c r="G174" i="107"/>
  <c r="N27" i="107"/>
  <c r="D175" i="107"/>
  <c r="D40" i="107"/>
  <c r="G73" i="107"/>
  <c r="G75" i="107"/>
  <c r="H72" i="107"/>
  <c r="H73" i="107" s="1"/>
  <c r="H75" i="107" s="1"/>
  <c r="P73" i="107"/>
  <c r="P75" i="107" s="1"/>
  <c r="AD71" i="107"/>
  <c r="D15" i="107"/>
  <c r="D23" i="107"/>
  <c r="D25" i="107"/>
  <c r="D27" i="107" s="1"/>
  <c r="AD22" i="107"/>
  <c r="F175" i="107"/>
  <c r="N167" i="107"/>
  <c r="N173" i="107"/>
  <c r="N168" i="107"/>
  <c r="X19" i="107"/>
  <c r="AB19" i="107"/>
  <c r="AD21" i="107"/>
  <c r="K22" i="107"/>
  <c r="K23" i="107" s="1"/>
  <c r="K25" i="107" s="1"/>
  <c r="K174" i="107" s="1"/>
  <c r="E23" i="107"/>
  <c r="E25" i="107"/>
  <c r="X58" i="107"/>
  <c r="AB58" i="107" s="1"/>
  <c r="F178" i="107"/>
  <c r="M22" i="107"/>
  <c r="M23" i="107" s="1"/>
  <c r="M25" i="107" s="1"/>
  <c r="AD60" i="107"/>
  <c r="J73" i="107"/>
  <c r="J75" i="107"/>
  <c r="F104" i="107"/>
  <c r="F106" i="107"/>
  <c r="O104" i="107"/>
  <c r="O106" i="107" s="1"/>
  <c r="F131" i="107"/>
  <c r="O131" i="107"/>
  <c r="AD142" i="107"/>
  <c r="D144" i="107"/>
  <c r="D146" i="107" s="1"/>
  <c r="L178" i="107"/>
  <c r="L195" i="107" s="1"/>
  <c r="E146" i="107"/>
  <c r="J20" i="105"/>
  <c r="J29" i="105" s="1"/>
  <c r="R13" i="107"/>
  <c r="G104" i="107"/>
  <c r="G106" i="107" s="1"/>
  <c r="P104" i="107"/>
  <c r="P106" i="107" s="1"/>
  <c r="G129" i="107"/>
  <c r="G131" i="107"/>
  <c r="P129" i="107"/>
  <c r="P131" i="107"/>
  <c r="F94" i="107"/>
  <c r="H104" i="107"/>
  <c r="H106" i="107"/>
  <c r="I103" i="107"/>
  <c r="I104" i="107" s="1"/>
  <c r="I106" i="107" s="1"/>
  <c r="H177" i="107"/>
  <c r="N174" i="107"/>
  <c r="N176" i="107"/>
  <c r="J103" i="107"/>
  <c r="J104" i="107"/>
  <c r="J106" i="107" s="1"/>
  <c r="AB127" i="107"/>
  <c r="M146" i="107"/>
  <c r="G159" i="107"/>
  <c r="G161" i="107"/>
  <c r="P159" i="107"/>
  <c r="P161" i="107" s="1"/>
  <c r="V34" i="107"/>
  <c r="K175" i="107"/>
  <c r="V47" i="107"/>
  <c r="N77" i="107"/>
  <c r="N163" i="107"/>
  <c r="D104" i="107"/>
  <c r="D106" i="107"/>
  <c r="D108" i="107" s="1"/>
  <c r="L104" i="107"/>
  <c r="L106" i="107" s="1"/>
  <c r="V124" i="107"/>
  <c r="V99" i="107"/>
  <c r="E104" i="107"/>
  <c r="E106" i="107"/>
  <c r="M104" i="107"/>
  <c r="M106" i="107" s="1"/>
  <c r="X124" i="107"/>
  <c r="AB124" i="107" s="1"/>
  <c r="D129" i="107"/>
  <c r="D131" i="107"/>
  <c r="AD102" i="107"/>
  <c r="V100" i="107"/>
  <c r="N36" i="104"/>
  <c r="E350" i="93"/>
  <c r="C350" i="93"/>
  <c r="X36" i="104"/>
  <c r="E213" i="93"/>
  <c r="C213" i="93" s="1"/>
  <c r="X33" i="104"/>
  <c r="AA33" i="104"/>
  <c r="I482" i="93"/>
  <c r="M420" i="93"/>
  <c r="G116" i="93"/>
  <c r="I151" i="93"/>
  <c r="N34" i="104"/>
  <c r="E364" i="93"/>
  <c r="E373" i="93"/>
  <c r="C373" i="93" s="1"/>
  <c r="X72" i="104"/>
  <c r="D40" i="95"/>
  <c r="D10" i="73"/>
  <c r="H109" i="104"/>
  <c r="R108" i="104"/>
  <c r="G320" i="93"/>
  <c r="I320" i="93" s="1"/>
  <c r="T36" i="104"/>
  <c r="L72" i="104"/>
  <c r="M541" i="93"/>
  <c r="E53" i="107"/>
  <c r="E54" i="107"/>
  <c r="H72" i="104"/>
  <c r="I363" i="93"/>
  <c r="E392" i="93"/>
  <c r="C392" i="93" s="1"/>
  <c r="X116" i="104"/>
  <c r="X119" i="104"/>
  <c r="J72" i="104"/>
  <c r="Z118" i="104"/>
  <c r="Z117" i="104"/>
  <c r="E498" i="93"/>
  <c r="C498" i="93" s="1"/>
  <c r="Y119" i="93"/>
  <c r="X117" i="104"/>
  <c r="Z149" i="104"/>
  <c r="J167" i="107"/>
  <c r="J173" i="107"/>
  <c r="K11" i="93"/>
  <c r="M11" i="93" s="1"/>
  <c r="I35" i="77"/>
  <c r="R36" i="104"/>
  <c r="I250" i="93"/>
  <c r="K361" i="93"/>
  <c r="G29" i="105"/>
  <c r="K219" i="93"/>
  <c r="M219" i="93"/>
  <c r="R91" i="107"/>
  <c r="I29" i="105"/>
  <c r="R51" i="107"/>
  <c r="D112" i="104"/>
  <c r="R112" i="104"/>
  <c r="N113" i="104"/>
  <c r="E571" i="93"/>
  <c r="C571" i="93" s="1"/>
  <c r="W321" i="93"/>
  <c r="G176" i="107"/>
  <c r="Y321" i="93"/>
  <c r="I219" i="93"/>
  <c r="K480" i="93"/>
  <c r="M480" i="93"/>
  <c r="Z113" i="104"/>
  <c r="V113" i="104"/>
  <c r="D113" i="104"/>
  <c r="R113" i="104"/>
  <c r="H112" i="104"/>
  <c r="I218" i="93"/>
  <c r="V112" i="104"/>
  <c r="J113" i="104"/>
  <c r="F113" i="104"/>
  <c r="R38" i="107"/>
  <c r="T112" i="104"/>
  <c r="G503" i="93"/>
  <c r="D174" i="107"/>
  <c r="G167" i="107"/>
  <c r="G173" i="107" s="1"/>
  <c r="R63" i="107"/>
  <c r="G94" i="107"/>
  <c r="H94" i="107" s="1"/>
  <c r="I94" i="107" s="1"/>
  <c r="J94" i="107" s="1"/>
  <c r="K94" i="107" s="1"/>
  <c r="L94" i="107" s="1"/>
  <c r="M92" i="107" s="1"/>
  <c r="D176" i="107"/>
  <c r="I167" i="107"/>
  <c r="I173" i="107" s="1"/>
  <c r="M167" i="107"/>
  <c r="M173" i="107" s="1"/>
  <c r="M190" i="107" s="1"/>
  <c r="F52" i="107"/>
  <c r="F53" i="107" s="1"/>
  <c r="F54" i="107" s="1"/>
  <c r="N108" i="104"/>
  <c r="G178" i="107"/>
  <c r="E26" i="107"/>
  <c r="E27" i="107" s="1"/>
  <c r="E28" i="107" s="1"/>
  <c r="E77" i="107"/>
  <c r="E78" i="107" s="1"/>
  <c r="M176" i="107"/>
  <c r="M193" i="107" s="1"/>
  <c r="P146" i="104"/>
  <c r="P116" i="104"/>
  <c r="P102" i="104"/>
  <c r="N100" i="104"/>
  <c r="J148" i="104"/>
  <c r="J118" i="104"/>
  <c r="F36" i="104"/>
  <c r="F33" i="104"/>
  <c r="D103" i="104"/>
  <c r="J108" i="104"/>
  <c r="V104" i="104"/>
  <c r="AA90" i="104"/>
  <c r="X146" i="104" s="1"/>
  <c r="AA48" i="104"/>
  <c r="AA52" i="104"/>
  <c r="D104" i="104"/>
  <c r="R118" i="104"/>
  <c r="R148" i="104"/>
  <c r="N107" i="104"/>
  <c r="R146" i="104"/>
  <c r="R116" i="104"/>
  <c r="F109" i="104"/>
  <c r="AB91" i="104"/>
  <c r="Z147" i="104" s="1"/>
  <c r="AB49" i="104"/>
  <c r="D146" i="104"/>
  <c r="D116" i="104"/>
  <c r="L36" i="104"/>
  <c r="Z107" i="104"/>
  <c r="J109" i="104"/>
  <c r="J103" i="104"/>
  <c r="AG128" i="102"/>
  <c r="K359" i="93"/>
  <c r="M359" i="93"/>
  <c r="K508" i="93"/>
  <c r="M508" i="93"/>
  <c r="F147" i="104"/>
  <c r="F117" i="104"/>
  <c r="P147" i="104"/>
  <c r="P117" i="104"/>
  <c r="M178" i="107"/>
  <c r="M195" i="107"/>
  <c r="D148" i="107"/>
  <c r="D178" i="107"/>
  <c r="R146" i="107"/>
  <c r="O176" i="107"/>
  <c r="O193" i="107"/>
  <c r="E117" i="107"/>
  <c r="Z72" i="104"/>
  <c r="Z99" i="104"/>
  <c r="V72" i="104"/>
  <c r="X107" i="104"/>
  <c r="X99" i="104"/>
  <c r="T107" i="104"/>
  <c r="L149" i="104"/>
  <c r="L119" i="104"/>
  <c r="AB52" i="104"/>
  <c r="AB48" i="104"/>
  <c r="AB90" i="104"/>
  <c r="Z146" i="104" s="1"/>
  <c r="F104" i="104"/>
  <c r="J149" i="104"/>
  <c r="J119" i="104"/>
  <c r="N103" i="104"/>
  <c r="L112" i="104"/>
  <c r="L114" i="104"/>
  <c r="R104" i="104"/>
  <c r="L99" i="104"/>
  <c r="N148" i="104"/>
  <c r="N118" i="104"/>
  <c r="X112" i="104"/>
  <c r="X114" i="104" s="1"/>
  <c r="P108" i="104"/>
  <c r="Z112" i="104"/>
  <c r="L107" i="104"/>
  <c r="K483" i="93"/>
  <c r="M483" i="93"/>
  <c r="I116" i="93"/>
  <c r="K116" i="93"/>
  <c r="M116" i="93"/>
  <c r="G318" i="93"/>
  <c r="F103" i="104"/>
  <c r="E14" i="107"/>
  <c r="E39" i="107"/>
  <c r="F176" i="107"/>
  <c r="L176" i="107"/>
  <c r="L193" i="107" s="1"/>
  <c r="R72" i="104"/>
  <c r="J99" i="104"/>
  <c r="F72" i="104"/>
  <c r="H99" i="104"/>
  <c r="T147" i="104"/>
  <c r="T117" i="104"/>
  <c r="Z104" i="104"/>
  <c r="N102" i="104"/>
  <c r="R147" i="104"/>
  <c r="R117" i="104"/>
  <c r="R114" i="104"/>
  <c r="Z102" i="104"/>
  <c r="T113" i="104"/>
  <c r="T114" i="104"/>
  <c r="P100" i="104"/>
  <c r="L117" i="104"/>
  <c r="L147" i="104"/>
  <c r="L103" i="104"/>
  <c r="AA91" i="104"/>
  <c r="X147" i="104"/>
  <c r="AA49" i="104"/>
  <c r="N104" i="104"/>
  <c r="X104" i="104"/>
  <c r="J107" i="104"/>
  <c r="V147" i="104"/>
  <c r="V117" i="104"/>
  <c r="P112" i="104"/>
  <c r="T102" i="104"/>
  <c r="I483" i="93"/>
  <c r="M401" i="93"/>
  <c r="X102" i="104"/>
  <c r="K355" i="93"/>
  <c r="M355" i="93"/>
  <c r="K250" i="93"/>
  <c r="M250" i="93" s="1"/>
  <c r="E76" i="93"/>
  <c r="C76" i="93" s="1"/>
  <c r="E107" i="107"/>
  <c r="M174" i="107"/>
  <c r="M191" i="107" s="1"/>
  <c r="L167" i="107"/>
  <c r="L173" i="107"/>
  <c r="L190" i="107" s="1"/>
  <c r="F162" i="107"/>
  <c r="O177" i="107"/>
  <c r="O194" i="107"/>
  <c r="M29" i="105"/>
  <c r="E64" i="107"/>
  <c r="J176" i="107"/>
  <c r="R119" i="104"/>
  <c r="R149" i="104"/>
  <c r="H107" i="104"/>
  <c r="P119" i="104"/>
  <c r="P149" i="104"/>
  <c r="D147" i="104"/>
  <c r="D117" i="104"/>
  <c r="D107" i="104"/>
  <c r="V148" i="104"/>
  <c r="V118" i="104"/>
  <c r="N109" i="104"/>
  <c r="J102" i="104"/>
  <c r="T118" i="104"/>
  <c r="T148" i="104"/>
  <c r="L109" i="104"/>
  <c r="V102" i="104"/>
  <c r="X103" i="104"/>
  <c r="J112" i="104"/>
  <c r="J114" i="104" s="1"/>
  <c r="V119" i="104"/>
  <c r="V149" i="104"/>
  <c r="X109" i="104"/>
  <c r="Y589" i="93"/>
  <c r="K13" i="93"/>
  <c r="M13" i="93" s="1"/>
  <c r="F177" i="107"/>
  <c r="L100" i="104"/>
  <c r="L116" i="104"/>
  <c r="L146" i="104"/>
  <c r="J116" i="104"/>
  <c r="J146" i="104"/>
  <c r="V108" i="104"/>
  <c r="F102" i="104"/>
  <c r="H103" i="104"/>
  <c r="J147" i="104"/>
  <c r="J117" i="104"/>
  <c r="H104" i="104"/>
  <c r="P103" i="104"/>
  <c r="P104" i="104"/>
  <c r="D102" i="104"/>
  <c r="D133" i="107"/>
  <c r="D177" i="107"/>
  <c r="R131" i="107"/>
  <c r="P177" i="107"/>
  <c r="P178" i="107"/>
  <c r="P20" i="105"/>
  <c r="N149" i="104"/>
  <c r="N119" i="104"/>
  <c r="V116" i="104"/>
  <c r="V146" i="104"/>
  <c r="E174" i="107"/>
  <c r="D167" i="107"/>
  <c r="G177" i="107"/>
  <c r="AD167" i="107"/>
  <c r="M593" i="93" s="1"/>
  <c r="AE22" i="107"/>
  <c r="P176" i="107"/>
  <c r="E29" i="105"/>
  <c r="J175" i="107"/>
  <c r="S175" i="107" s="1"/>
  <c r="L148" i="104"/>
  <c r="L118" i="104"/>
  <c r="T109" i="104"/>
  <c r="L104" i="104"/>
  <c r="D99" i="104"/>
  <c r="AB92" i="104"/>
  <c r="Z148" i="104"/>
  <c r="AB50" i="104"/>
  <c r="R109" i="104"/>
  <c r="P109" i="104"/>
  <c r="R103" i="104"/>
  <c r="Z100" i="104"/>
  <c r="X108" i="104"/>
  <c r="D118" i="104"/>
  <c r="D148" i="104"/>
  <c r="F108" i="104"/>
  <c r="T149" i="104"/>
  <c r="T119" i="104"/>
  <c r="R102" i="104"/>
  <c r="H149" i="104"/>
  <c r="H119" i="104"/>
  <c r="F149" i="104"/>
  <c r="F119" i="104"/>
  <c r="H102" i="104"/>
  <c r="F112" i="104"/>
  <c r="F114" i="104" s="1"/>
  <c r="I457" i="93"/>
  <c r="E167" i="107"/>
  <c r="E173" i="107" s="1"/>
  <c r="R161" i="107"/>
  <c r="E178" i="107"/>
  <c r="I176" i="107"/>
  <c r="E176" i="107"/>
  <c r="F167" i="107"/>
  <c r="F173" i="107"/>
  <c r="N72" i="104"/>
  <c r="D109" i="104"/>
  <c r="V103" i="104"/>
  <c r="N146" i="104"/>
  <c r="N116" i="104"/>
  <c r="L108" i="104"/>
  <c r="T103" i="104"/>
  <c r="AA92" i="104"/>
  <c r="X148" i="104" s="1"/>
  <c r="AA50" i="104"/>
  <c r="L102" i="104"/>
  <c r="J100" i="104"/>
  <c r="F148" i="104"/>
  <c r="F118" i="104"/>
  <c r="S282" i="93"/>
  <c r="X100" i="104"/>
  <c r="N112" i="104"/>
  <c r="N114" i="104"/>
  <c r="P36" i="104"/>
  <c r="P33" i="104"/>
  <c r="F116" i="104"/>
  <c r="F146" i="104"/>
  <c r="T108" i="104"/>
  <c r="H147" i="104"/>
  <c r="H117" i="104"/>
  <c r="P113" i="104"/>
  <c r="T146" i="104"/>
  <c r="T116" i="104"/>
  <c r="H113" i="104"/>
  <c r="Z103" i="104"/>
  <c r="H116" i="104"/>
  <c r="H146" i="104"/>
  <c r="R107" i="104"/>
  <c r="K360" i="93"/>
  <c r="M361" i="93" s="1"/>
  <c r="G249" i="93"/>
  <c r="E311" i="93"/>
  <c r="C311" i="93"/>
  <c r="I362" i="93"/>
  <c r="K457" i="93"/>
  <c r="M457" i="93"/>
  <c r="K320" i="93"/>
  <c r="M320" i="93"/>
  <c r="V36" i="104"/>
  <c r="V33" i="104"/>
  <c r="H148" i="104"/>
  <c r="H118" i="104"/>
  <c r="Z108" i="104"/>
  <c r="H100" i="104"/>
  <c r="N117" i="104"/>
  <c r="N147" i="104"/>
  <c r="T104" i="104"/>
  <c r="D108" i="104"/>
  <c r="D149" i="104"/>
  <c r="D119" i="104"/>
  <c r="V109" i="104"/>
  <c r="Z109" i="104"/>
  <c r="P148" i="104"/>
  <c r="P118" i="104"/>
  <c r="E587" i="93"/>
  <c r="M285" i="93"/>
  <c r="X120" i="104"/>
  <c r="D114" i="104"/>
  <c r="Z120" i="104"/>
  <c r="H114" i="104"/>
  <c r="I485" i="93"/>
  <c r="T282" i="93"/>
  <c r="D49" i="76"/>
  <c r="D26" i="95"/>
  <c r="F9" i="74"/>
  <c r="Z114" i="104"/>
  <c r="T150" i="104"/>
  <c r="V114" i="104"/>
  <c r="R110" i="104"/>
  <c r="H120" i="104"/>
  <c r="V150" i="104"/>
  <c r="S174" i="107"/>
  <c r="AA117" i="104"/>
  <c r="V120" i="104"/>
  <c r="I503" i="93"/>
  <c r="G314" i="93"/>
  <c r="N120" i="104"/>
  <c r="AA119" i="104"/>
  <c r="S320" i="93"/>
  <c r="D43" i="76" s="1"/>
  <c r="F150" i="104"/>
  <c r="L105" i="104"/>
  <c r="S177" i="107"/>
  <c r="F105" i="104"/>
  <c r="K503" i="93"/>
  <c r="M503" i="93"/>
  <c r="H105" i="104"/>
  <c r="T105" i="104"/>
  <c r="AA113" i="104"/>
  <c r="S284" i="93" s="1"/>
  <c r="R105" i="104"/>
  <c r="AA118" i="104"/>
  <c r="T284" i="93"/>
  <c r="U284" i="93"/>
  <c r="F26" i="107"/>
  <c r="F27" i="107"/>
  <c r="F28" i="107" s="1"/>
  <c r="C587" i="93"/>
  <c r="E132" i="107"/>
  <c r="L150" i="104"/>
  <c r="AA147" i="104"/>
  <c r="E65" i="107"/>
  <c r="E66" i="107"/>
  <c r="P114" i="104"/>
  <c r="E40" i="107"/>
  <c r="E41" i="107"/>
  <c r="Z110" i="104"/>
  <c r="X150" i="104"/>
  <c r="N150" i="104"/>
  <c r="H150" i="104"/>
  <c r="F120" i="104"/>
  <c r="U282" i="93"/>
  <c r="D173" i="107"/>
  <c r="L120" i="104"/>
  <c r="F163" i="107"/>
  <c r="F164" i="107"/>
  <c r="S178" i="107"/>
  <c r="P120" i="104"/>
  <c r="F107" i="104"/>
  <c r="F110" i="104"/>
  <c r="P107" i="104"/>
  <c r="P110" i="104"/>
  <c r="D110" i="104"/>
  <c r="X105" i="104"/>
  <c r="N105" i="104"/>
  <c r="L110" i="104"/>
  <c r="E147" i="107"/>
  <c r="R120" i="104"/>
  <c r="P150" i="104"/>
  <c r="N110" i="104"/>
  <c r="J110" i="104"/>
  <c r="I318" i="93"/>
  <c r="K318" i="93"/>
  <c r="M318" i="93" s="1"/>
  <c r="AA116" i="104"/>
  <c r="D120" i="104"/>
  <c r="R150" i="104"/>
  <c r="I249" i="93"/>
  <c r="AA109" i="104"/>
  <c r="S118" i="93" s="1"/>
  <c r="T118" i="93" s="1"/>
  <c r="V105" i="104"/>
  <c r="Z105" i="104"/>
  <c r="E15" i="107"/>
  <c r="E16" i="107" s="1"/>
  <c r="T110" i="104"/>
  <c r="X110" i="104"/>
  <c r="E118" i="107"/>
  <c r="E119" i="107" s="1"/>
  <c r="D150" i="104"/>
  <c r="AA146" i="104"/>
  <c r="T320" i="93"/>
  <c r="U320" i="93" s="1"/>
  <c r="V107" i="104"/>
  <c r="V110" i="104" s="1"/>
  <c r="K249" i="93"/>
  <c r="M249" i="93"/>
  <c r="M253" i="93" s="1"/>
  <c r="J150" i="104"/>
  <c r="S283" i="93"/>
  <c r="M93" i="107"/>
  <c r="M94" i="107"/>
  <c r="N94" i="107" s="1"/>
  <c r="E108" i="107"/>
  <c r="E109" i="107" s="1"/>
  <c r="G52" i="107"/>
  <c r="AA149" i="104"/>
  <c r="AC320" i="93" s="1"/>
  <c r="T120" i="104"/>
  <c r="AA148" i="104"/>
  <c r="AA102" i="104"/>
  <c r="S81" i="93" s="1"/>
  <c r="T81" i="93" s="1"/>
  <c r="D105" i="104"/>
  <c r="J120" i="104"/>
  <c r="Z150" i="104"/>
  <c r="AJ282" i="93"/>
  <c r="AA103" i="104"/>
  <c r="S82" i="93"/>
  <c r="T82" i="93" s="1"/>
  <c r="P105" i="104"/>
  <c r="F76" i="107"/>
  <c r="G37" i="97"/>
  <c r="AA114" i="104"/>
  <c r="AA107" i="104"/>
  <c r="S116" i="93"/>
  <c r="T116" i="93" s="1"/>
  <c r="I314" i="93"/>
  <c r="K314" i="93"/>
  <c r="M314" i="93" s="1"/>
  <c r="U314" i="93" s="1"/>
  <c r="G26" i="107"/>
  <c r="G27" i="107"/>
  <c r="G28" i="107" s="1"/>
  <c r="U116" i="93"/>
  <c r="AC318" i="93"/>
  <c r="S318" i="93"/>
  <c r="D41" i="76"/>
  <c r="AA120" i="104"/>
  <c r="F77" i="107"/>
  <c r="F78" i="107"/>
  <c r="E148" i="107"/>
  <c r="E149" i="107"/>
  <c r="AC319" i="93"/>
  <c r="S319" i="93"/>
  <c r="D42" i="76"/>
  <c r="G53" i="107"/>
  <c r="G54" i="107"/>
  <c r="AK282" i="93"/>
  <c r="E133" i="107"/>
  <c r="E134" i="107"/>
  <c r="F39" i="107"/>
  <c r="S317" i="93"/>
  <c r="D40" i="76"/>
  <c r="AC317" i="93"/>
  <c r="F16" i="99"/>
  <c r="AA150" i="104"/>
  <c r="F14" i="107"/>
  <c r="O92" i="107"/>
  <c r="G162" i="107"/>
  <c r="F107" i="107"/>
  <c r="F117" i="107"/>
  <c r="E168" i="107"/>
  <c r="E169" i="107" s="1"/>
  <c r="F64" i="107"/>
  <c r="F147" i="107"/>
  <c r="H26" i="107"/>
  <c r="F15" i="107"/>
  <c r="F16" i="107" s="1"/>
  <c r="G35" i="97"/>
  <c r="T318" i="93"/>
  <c r="U318" i="93"/>
  <c r="G163" i="107"/>
  <c r="G164" i="107"/>
  <c r="F40" i="107"/>
  <c r="F41" i="107" s="1"/>
  <c r="H52" i="107"/>
  <c r="F65" i="107"/>
  <c r="F66" i="107"/>
  <c r="G76" i="107"/>
  <c r="F118" i="107"/>
  <c r="F119" i="107"/>
  <c r="O93" i="107"/>
  <c r="O94" i="107"/>
  <c r="S316" i="93"/>
  <c r="D39" i="76" s="1"/>
  <c r="G34" i="97"/>
  <c r="T317" i="93"/>
  <c r="F132" i="107"/>
  <c r="F108" i="107"/>
  <c r="F109" i="107"/>
  <c r="T319" i="93"/>
  <c r="G36" i="97"/>
  <c r="H36" i="97" s="1"/>
  <c r="F148" i="107"/>
  <c r="F149" i="107"/>
  <c r="H34" i="97"/>
  <c r="G64" i="107"/>
  <c r="F133" i="107"/>
  <c r="F134" i="107" s="1"/>
  <c r="G39" i="107"/>
  <c r="G14" i="107"/>
  <c r="G16" i="107"/>
  <c r="H16" i="107" s="1"/>
  <c r="I16" i="107" s="1"/>
  <c r="J16" i="107" s="1"/>
  <c r="K16" i="107" s="1"/>
  <c r="L16" i="107" s="1"/>
  <c r="M16" i="107" s="1"/>
  <c r="N16" i="107" s="1"/>
  <c r="P92" i="107"/>
  <c r="F168" i="107"/>
  <c r="F169" i="107" s="1"/>
  <c r="G107" i="107"/>
  <c r="G108" i="107" s="1"/>
  <c r="G109" i="107" s="1"/>
  <c r="H162" i="107"/>
  <c r="G117" i="107"/>
  <c r="H27" i="107"/>
  <c r="H28" i="107" s="1"/>
  <c r="G77" i="107"/>
  <c r="G78" i="107"/>
  <c r="T316" i="93"/>
  <c r="AJ316" i="93"/>
  <c r="H53" i="107"/>
  <c r="H54" i="107" s="1"/>
  <c r="H107" i="107"/>
  <c r="H108" i="107"/>
  <c r="H109" i="107" s="1"/>
  <c r="H163" i="107"/>
  <c r="H164" i="107" s="1"/>
  <c r="G147" i="107"/>
  <c r="I26" i="107"/>
  <c r="G132" i="107"/>
  <c r="P93" i="107"/>
  <c r="P94" i="107" s="1"/>
  <c r="R92" i="107"/>
  <c r="R93" i="107" s="1"/>
  <c r="G118" i="107"/>
  <c r="G119" i="107"/>
  <c r="G40" i="107"/>
  <c r="G41" i="107" s="1"/>
  <c r="I52" i="107"/>
  <c r="AK316" i="93"/>
  <c r="H76" i="107"/>
  <c r="O14" i="107"/>
  <c r="G65" i="107"/>
  <c r="G66" i="107"/>
  <c r="G168" i="107"/>
  <c r="G169" i="107"/>
  <c r="I107" i="107"/>
  <c r="I108" i="107"/>
  <c r="I109" i="107"/>
  <c r="I53" i="107"/>
  <c r="I54" i="107" s="1"/>
  <c r="H77" i="107"/>
  <c r="H78" i="107"/>
  <c r="I27" i="107"/>
  <c r="I28" i="107" s="1"/>
  <c r="I162" i="107"/>
  <c r="I163" i="107"/>
  <c r="I164" i="107" s="1"/>
  <c r="H39" i="107"/>
  <c r="H64" i="107"/>
  <c r="G133" i="107"/>
  <c r="G134" i="107" s="1"/>
  <c r="O15" i="107"/>
  <c r="O16" i="107"/>
  <c r="H117" i="107"/>
  <c r="G148" i="107"/>
  <c r="G149" i="107" s="1"/>
  <c r="J162" i="107"/>
  <c r="J163" i="107" s="1"/>
  <c r="J164" i="107" s="1"/>
  <c r="J52" i="107"/>
  <c r="J53" i="107"/>
  <c r="J54" i="107" s="1"/>
  <c r="P14" i="107"/>
  <c r="H65" i="107"/>
  <c r="H66" i="107"/>
  <c r="J107" i="107"/>
  <c r="J108" i="107"/>
  <c r="J109" i="107" s="1"/>
  <c r="I76" i="107"/>
  <c r="I77" i="107" s="1"/>
  <c r="I78" i="107" s="1"/>
  <c r="H40" i="107"/>
  <c r="H41" i="107"/>
  <c r="H132" i="107"/>
  <c r="H133" i="107" s="1"/>
  <c r="H134" i="107"/>
  <c r="H147" i="107"/>
  <c r="H148" i="107" s="1"/>
  <c r="H149" i="107" s="1"/>
  <c r="H118" i="107"/>
  <c r="H119" i="107"/>
  <c r="J26" i="107"/>
  <c r="I147" i="107"/>
  <c r="I148" i="107"/>
  <c r="I149" i="107" s="1"/>
  <c r="K52" i="107"/>
  <c r="K53" i="107" s="1"/>
  <c r="K54" i="107" s="1"/>
  <c r="J76" i="107"/>
  <c r="J77" i="107" s="1"/>
  <c r="J78" i="107" s="1"/>
  <c r="K162" i="107"/>
  <c r="K163" i="107" s="1"/>
  <c r="K164" i="107" s="1"/>
  <c r="P15" i="107"/>
  <c r="P16" i="107" s="1"/>
  <c r="R14" i="107"/>
  <c r="I117" i="107"/>
  <c r="I64" i="107"/>
  <c r="K107" i="107"/>
  <c r="I39" i="107"/>
  <c r="J27" i="107"/>
  <c r="J28" i="107"/>
  <c r="H168" i="107"/>
  <c r="L162" i="107"/>
  <c r="L163" i="107"/>
  <c r="L164" i="107" s="1"/>
  <c r="L52" i="107"/>
  <c r="L53" i="107" s="1"/>
  <c r="L54" i="107" s="1"/>
  <c r="J147" i="107"/>
  <c r="J148" i="107" s="1"/>
  <c r="J149" i="107" s="1"/>
  <c r="K76" i="107"/>
  <c r="K77" i="107"/>
  <c r="K78" i="107"/>
  <c r="L76" i="107" s="1"/>
  <c r="L77" i="107" s="1"/>
  <c r="R15" i="107"/>
  <c r="I65" i="107"/>
  <c r="I66" i="107" s="1"/>
  <c r="I118" i="107"/>
  <c r="I119" i="107" s="1"/>
  <c r="K26" i="107"/>
  <c r="I40" i="107"/>
  <c r="I41" i="107" s="1"/>
  <c r="L78" i="107"/>
  <c r="K27" i="107"/>
  <c r="K28" i="107"/>
  <c r="J64" i="107"/>
  <c r="J39" i="107"/>
  <c r="J40" i="107" s="1"/>
  <c r="M76" i="107"/>
  <c r="M77" i="107"/>
  <c r="M78" i="107" s="1"/>
  <c r="N78" i="107" s="1"/>
  <c r="O76" i="107" s="1"/>
  <c r="J65" i="107"/>
  <c r="J66" i="107"/>
  <c r="L26" i="107"/>
  <c r="L27" i="107"/>
  <c r="L28" i="107" s="1"/>
  <c r="K64" i="107"/>
  <c r="K65" i="107"/>
  <c r="K66" i="107"/>
  <c r="A1" i="92"/>
  <c r="A1" i="91"/>
  <c r="A1" i="88"/>
  <c r="C37" i="80" s="1"/>
  <c r="A1" i="87"/>
  <c r="C29" i="80" s="1"/>
  <c r="A1" i="86"/>
  <c r="C20" i="80" s="1"/>
  <c r="A1" i="85"/>
  <c r="C16" i="80" s="1"/>
  <c r="C14" i="80"/>
  <c r="C13" i="80"/>
  <c r="C12" i="80"/>
  <c r="R174" i="81"/>
  <c r="Q174" i="81"/>
  <c r="A1" i="81"/>
  <c r="C11" i="80" s="1"/>
  <c r="A106" i="80"/>
  <c r="A105" i="80"/>
  <c r="A104" i="80"/>
  <c r="A103" i="80"/>
  <c r="A102" i="80"/>
  <c r="A101" i="80"/>
  <c r="A100" i="80"/>
  <c r="A99" i="80"/>
  <c r="A98" i="80"/>
  <c r="A97" i="80"/>
  <c r="A96" i="80"/>
  <c r="A95" i="80"/>
  <c r="A94" i="80"/>
  <c r="A93" i="80"/>
  <c r="A92" i="80"/>
  <c r="A91" i="80"/>
  <c r="A90" i="80"/>
  <c r="A89" i="80"/>
  <c r="A88" i="80"/>
  <c r="A87" i="80"/>
  <c r="A86" i="80"/>
  <c r="A85" i="80"/>
  <c r="A84" i="80"/>
  <c r="A83" i="80"/>
  <c r="A82" i="80"/>
  <c r="A81" i="80"/>
  <c r="A80" i="80"/>
  <c r="A79" i="80"/>
  <c r="A78" i="80"/>
  <c r="A77" i="80"/>
  <c r="A76" i="80"/>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B37" i="80"/>
  <c r="A36" i="80"/>
  <c r="A35" i="80"/>
  <c r="A34" i="80"/>
  <c r="A33" i="80"/>
  <c r="A32" i="80"/>
  <c r="A31" i="80"/>
  <c r="A30" i="80"/>
  <c r="B29" i="80"/>
  <c r="A28" i="80"/>
  <c r="B20" i="80"/>
  <c r="A19" i="80"/>
  <c r="B16" i="80"/>
  <c r="A15" i="80"/>
  <c r="B14" i="80"/>
  <c r="B13" i="80"/>
  <c r="B12" i="80"/>
  <c r="B11" i="80"/>
  <c r="B10" i="80"/>
  <c r="A4" i="80"/>
  <c r="A1" i="80"/>
  <c r="C10" i="80" s="1"/>
  <c r="B5" i="79"/>
  <c r="A1" i="79"/>
  <c r="C9" i="80" s="1"/>
  <c r="B9" i="80"/>
  <c r="A9" i="80" s="1"/>
  <c r="C376" i="78"/>
  <c r="E368" i="78"/>
  <c r="E366" i="78"/>
  <c r="D366" i="78"/>
  <c r="E364" i="78"/>
  <c r="D364" i="78"/>
  <c r="B350" i="78"/>
  <c r="H348" i="78"/>
  <c r="A348" i="78"/>
  <c r="H346" i="78"/>
  <c r="C300" i="78"/>
  <c r="C301" i="78"/>
  <c r="C302" i="78" s="1"/>
  <c r="D291" i="78"/>
  <c r="E291" i="78"/>
  <c r="B279" i="78"/>
  <c r="H277" i="78"/>
  <c r="A277" i="78"/>
  <c r="H275" i="78"/>
  <c r="C227" i="78"/>
  <c r="C228" i="78"/>
  <c r="C229" i="78" s="1"/>
  <c r="D229" i="78" s="1"/>
  <c r="C230" i="78"/>
  <c r="D218" i="78"/>
  <c r="E218" i="78"/>
  <c r="B205" i="78"/>
  <c r="B211" i="78"/>
  <c r="H203" i="78"/>
  <c r="A203" i="78"/>
  <c r="H201" i="78"/>
  <c r="C153" i="78"/>
  <c r="C154" i="78"/>
  <c r="C155" i="78"/>
  <c r="C156" i="78" s="1"/>
  <c r="C158" i="78"/>
  <c r="C159" i="78" s="1"/>
  <c r="C160" i="78" s="1"/>
  <c r="C161" i="78" s="1"/>
  <c r="C162" i="78" s="1"/>
  <c r="C164" i="78" s="1"/>
  <c r="C165" i="78" s="1"/>
  <c r="C166" i="78" s="1"/>
  <c r="C167" i="78"/>
  <c r="C168" i="78" s="1"/>
  <c r="C170" i="78" s="1"/>
  <c r="C171" i="78" s="1"/>
  <c r="C172" i="78" s="1"/>
  <c r="C173" i="78" s="1"/>
  <c r="C174" i="78" s="1"/>
  <c r="C176" i="78" s="1"/>
  <c r="C177" i="78"/>
  <c r="C178" i="78" s="1"/>
  <c r="C179" i="78" s="1"/>
  <c r="C180" i="78" s="1"/>
  <c r="C182" i="78" s="1"/>
  <c r="C183" i="78" s="1"/>
  <c r="C184" i="78" s="1"/>
  <c r="C185" i="78" s="1"/>
  <c r="C186" i="78"/>
  <c r="C188" i="78" s="1"/>
  <c r="C189" i="78" s="1"/>
  <c r="C190" i="78" s="1"/>
  <c r="C191" i="78" s="1"/>
  <c r="C192" i="78" s="1"/>
  <c r="C194" i="78" s="1"/>
  <c r="C195" i="78" s="1"/>
  <c r="C196" i="78" s="1"/>
  <c r="D144" i="78"/>
  <c r="E144" i="78"/>
  <c r="B131" i="78"/>
  <c r="H129" i="78"/>
  <c r="A129" i="78"/>
  <c r="H127" i="78"/>
  <c r="B117" i="78"/>
  <c r="B112" i="78"/>
  <c r="B106" i="78"/>
  <c r="B100" i="78"/>
  <c r="B94" i="78"/>
  <c r="B88" i="78"/>
  <c r="B82" i="78"/>
  <c r="B80" i="78"/>
  <c r="D73" i="78"/>
  <c r="E73" i="78"/>
  <c r="B62" i="78"/>
  <c r="H60" i="78"/>
  <c r="A60" i="78"/>
  <c r="H58" i="78"/>
  <c r="E15" i="78"/>
  <c r="B5" i="78"/>
  <c r="B11" i="78" s="1"/>
  <c r="A2" i="78"/>
  <c r="A1" i="78"/>
  <c r="A58" i="78" s="1"/>
  <c r="D16" i="77"/>
  <c r="E16" i="77" s="1"/>
  <c r="A6" i="77"/>
  <c r="A2" i="77"/>
  <c r="A1" i="77"/>
  <c r="A12" i="77"/>
  <c r="C52" i="76"/>
  <c r="D289" i="78"/>
  <c r="D288" i="78"/>
  <c r="E285" i="78"/>
  <c r="D285" i="78"/>
  <c r="G49" i="76"/>
  <c r="I49" i="76" s="1"/>
  <c r="J49" i="76" s="1"/>
  <c r="C44" i="76"/>
  <c r="D365" i="78"/>
  <c r="D363" i="78"/>
  <c r="G42" i="76"/>
  <c r="D362" i="78"/>
  <c r="D361" i="78"/>
  <c r="E360" i="78"/>
  <c r="D360" i="78"/>
  <c r="E376" i="78" s="1"/>
  <c r="G39" i="76"/>
  <c r="E357" i="78"/>
  <c r="F376" i="78" s="1"/>
  <c r="G376" i="78" s="1"/>
  <c r="H376" i="78" s="1"/>
  <c r="E356" i="78"/>
  <c r="D356" i="78"/>
  <c r="C33" i="76"/>
  <c r="E211" i="78"/>
  <c r="D211" i="78"/>
  <c r="C25" i="76"/>
  <c r="E137" i="78"/>
  <c r="D137" i="78"/>
  <c r="C17" i="76"/>
  <c r="D71" i="78"/>
  <c r="E69" i="78"/>
  <c r="D69" i="78"/>
  <c r="C11" i="76"/>
  <c r="D14" i="77"/>
  <c r="E12" i="77"/>
  <c r="D12" i="77"/>
  <c r="B3" i="76"/>
  <c r="B2" i="76"/>
  <c r="B1" i="76"/>
  <c r="B38" i="75"/>
  <c r="B33" i="75"/>
  <c r="B27" i="75"/>
  <c r="B22" i="75"/>
  <c r="B17" i="75"/>
  <c r="B12" i="75"/>
  <c r="D83" i="78"/>
  <c r="G37" i="76"/>
  <c r="I37" i="76" s="1"/>
  <c r="G40" i="76"/>
  <c r="G43" i="76"/>
  <c r="G41" i="76"/>
  <c r="D214" i="78"/>
  <c r="D140" i="78"/>
  <c r="D216" i="78"/>
  <c r="D142" i="78"/>
  <c r="D215" i="78"/>
  <c r="D141" i="78"/>
  <c r="I39" i="76"/>
  <c r="B137" i="78"/>
  <c r="D107" i="78"/>
  <c r="D79" i="78"/>
  <c r="F49" i="76"/>
  <c r="D11" i="78"/>
  <c r="D87" i="78"/>
  <c r="E11" i="78"/>
  <c r="D95" i="78"/>
  <c r="D103" i="78"/>
  <c r="E374" i="78"/>
  <c r="F39" i="76"/>
  <c r="F40" i="76"/>
  <c r="F41" i="76"/>
  <c r="F42" i="76"/>
  <c r="F43" i="76"/>
  <c r="C37" i="75" s="1"/>
  <c r="D13" i="78"/>
  <c r="D121" i="78"/>
  <c r="D101" i="78"/>
  <c r="D97" i="78"/>
  <c r="D93" i="78"/>
  <c r="D108" i="78"/>
  <c r="D104" i="78"/>
  <c r="D84" i="78"/>
  <c r="D119" i="78"/>
  <c r="D115" i="78"/>
  <c r="D111" i="78"/>
  <c r="D102" i="78"/>
  <c r="D98" i="78"/>
  <c r="D113" i="78"/>
  <c r="D109" i="78"/>
  <c r="D105" i="78"/>
  <c r="D89" i="78"/>
  <c r="D85" i="78"/>
  <c r="D81" i="78"/>
  <c r="D120" i="78"/>
  <c r="D116" i="78"/>
  <c r="D96" i="78"/>
  <c r="D92" i="78"/>
  <c r="D118" i="78"/>
  <c r="D114" i="78"/>
  <c r="D110" i="78"/>
  <c r="D90" i="78"/>
  <c r="D86" i="78"/>
  <c r="F37" i="76"/>
  <c r="A346" i="78"/>
  <c r="A275" i="78"/>
  <c r="A127" i="78"/>
  <c r="A201" i="78"/>
  <c r="D91" i="78"/>
  <c r="D300" i="78"/>
  <c r="D301" i="78"/>
  <c r="D297" i="78"/>
  <c r="D299" i="78"/>
  <c r="A347" i="78"/>
  <c r="A276" i="78"/>
  <c r="A59" i="78"/>
  <c r="A128" i="78"/>
  <c r="A202" i="78"/>
  <c r="D227" i="78"/>
  <c r="D228" i="78"/>
  <c r="D224" i="78"/>
  <c r="D226" i="78"/>
  <c r="F374" i="78"/>
  <c r="D99" i="78"/>
  <c r="B69" i="78"/>
  <c r="B356" i="78"/>
  <c r="B285" i="78"/>
  <c r="B287" i="78"/>
  <c r="B291" i="78" s="1"/>
  <c r="C377" i="78"/>
  <c r="E377" i="78" s="1"/>
  <c r="G374" i="78"/>
  <c r="H374" i="78" s="1"/>
  <c r="D190" i="78"/>
  <c r="J39" i="76"/>
  <c r="K39" i="76" s="1"/>
  <c r="B357" i="78"/>
  <c r="B359" i="78" s="1"/>
  <c r="B139" i="78"/>
  <c r="B144" i="78" s="1"/>
  <c r="C378" i="78"/>
  <c r="C30" i="75"/>
  <c r="C35" i="75"/>
  <c r="B71" i="78"/>
  <c r="B73" i="78" s="1"/>
  <c r="K49" i="76"/>
  <c r="D51" i="78"/>
  <c r="D52" i="78"/>
  <c r="D43" i="78"/>
  <c r="D46" i="78"/>
  <c r="D37" i="78"/>
  <c r="D47" i="78"/>
  <c r="D53" i="78"/>
  <c r="D40" i="78"/>
  <c r="D38" i="78"/>
  <c r="D29" i="78"/>
  <c r="D35" i="78"/>
  <c r="D23" i="78"/>
  <c r="D26" i="78"/>
  <c r="D33" i="78"/>
  <c r="D27" i="78"/>
  <c r="D31" i="78"/>
  <c r="D44" i="78"/>
  <c r="D50" i="78"/>
  <c r="D45" i="78"/>
  <c r="D41" i="78"/>
  <c r="D39" i="78"/>
  <c r="D25" i="78"/>
  <c r="D34" i="78"/>
  <c r="D28" i="78"/>
  <c r="D49" i="78"/>
  <c r="D32" i="78"/>
  <c r="D21" i="78"/>
  <c r="D10" i="38"/>
  <c r="D12" i="38" s="1"/>
  <c r="F10" i="38"/>
  <c r="D11" i="38"/>
  <c r="F11" i="38" s="1"/>
  <c r="C12" i="38"/>
  <c r="A9" i="38"/>
  <c r="A10" i="38"/>
  <c r="A11" i="38" s="1"/>
  <c r="A12" i="38" s="1"/>
  <c r="A13" i="38" s="1"/>
  <c r="A14" i="38" s="1"/>
  <c r="A15" i="38" s="1"/>
  <c r="A16" i="38" s="1"/>
  <c r="I222" i="49"/>
  <c r="I221" i="49"/>
  <c r="I220" i="49"/>
  <c r="I219" i="49"/>
  <c r="I218" i="49"/>
  <c r="I217" i="49"/>
  <c r="I216" i="49"/>
  <c r="I215" i="49"/>
  <c r="I214" i="49"/>
  <c r="I213" i="49"/>
  <c r="I212" i="49"/>
  <c r="I211" i="49"/>
  <c r="I210" i="49"/>
  <c r="I209" i="49"/>
  <c r="I223" i="49" s="1"/>
  <c r="I208" i="49"/>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12" i="67"/>
  <c r="I135" i="31"/>
  <c r="V121" i="31"/>
  <c r="V123" i="31"/>
  <c r="V25" i="4" s="1"/>
  <c r="V107" i="31"/>
  <c r="V24" i="4" s="1"/>
  <c r="V100" i="31"/>
  <c r="V23" i="4" s="1"/>
  <c r="V84" i="31"/>
  <c r="V72" i="31"/>
  <c r="V85" i="31"/>
  <c r="M5" i="58"/>
  <c r="Y5" i="58" s="1"/>
  <c r="M3" i="58"/>
  <c r="Y3" i="58" s="1"/>
  <c r="M2" i="58"/>
  <c r="Y2" i="58"/>
  <c r="AD92" i="58"/>
  <c r="AD167" i="58" s="1"/>
  <c r="F53" i="67"/>
  <c r="G53" i="67" s="1"/>
  <c r="H53" i="67" s="1"/>
  <c r="F52" i="67"/>
  <c r="G52" i="67" s="1"/>
  <c r="H52" i="67"/>
  <c r="F51" i="67"/>
  <c r="L51" i="67" s="1"/>
  <c r="F50" i="67"/>
  <c r="L50" i="67" s="1"/>
  <c r="F49" i="67"/>
  <c r="L49" i="67"/>
  <c r="F39" i="67"/>
  <c r="L39" i="67"/>
  <c r="F40" i="67"/>
  <c r="F41" i="67"/>
  <c r="L41" i="67"/>
  <c r="F42" i="67"/>
  <c r="L42" i="67"/>
  <c r="F43" i="67"/>
  <c r="L43" i="67" s="1"/>
  <c r="F44" i="67"/>
  <c r="L44" i="67" s="1"/>
  <c r="F45" i="67"/>
  <c r="L45" i="67" s="1"/>
  <c r="F46" i="67"/>
  <c r="L46" i="67" s="1"/>
  <c r="F47" i="67"/>
  <c r="F48" i="67"/>
  <c r="F38" i="67"/>
  <c r="L38" i="67"/>
  <c r="F37" i="67"/>
  <c r="L37" i="67" s="1"/>
  <c r="B54" i="67"/>
  <c r="F36" i="67"/>
  <c r="L35" i="67"/>
  <c r="L34" i="67"/>
  <c r="F33" i="67"/>
  <c r="F32" i="67"/>
  <c r="F31" i="67"/>
  <c r="L31" i="67" s="1"/>
  <c r="F30" i="67"/>
  <c r="F29" i="67"/>
  <c r="L29" i="67"/>
  <c r="F28" i="67"/>
  <c r="G28" i="67" s="1"/>
  <c r="H28" i="67"/>
  <c r="F27" i="67"/>
  <c r="L27" i="67" s="1"/>
  <c r="F26" i="67"/>
  <c r="L26" i="67" s="1"/>
  <c r="F25" i="67"/>
  <c r="L25" i="67"/>
  <c r="F24" i="67"/>
  <c r="F23" i="67"/>
  <c r="F22" i="67"/>
  <c r="F21" i="67"/>
  <c r="L21" i="67" s="1"/>
  <c r="F20" i="67"/>
  <c r="L19" i="67"/>
  <c r="F18" i="67"/>
  <c r="F17" i="67"/>
  <c r="F16" i="67"/>
  <c r="L16" i="67"/>
  <c r="F15" i="67"/>
  <c r="L15" i="67"/>
  <c r="F14" i="67"/>
  <c r="L14" i="67" s="1"/>
  <c r="F13" i="67"/>
  <c r="L13" i="67" s="1"/>
  <c r="F12" i="67"/>
  <c r="L53" i="67"/>
  <c r="G51" i="67"/>
  <c r="H51" i="67"/>
  <c r="L52" i="67"/>
  <c r="G37" i="67"/>
  <c r="H37" i="67" s="1"/>
  <c r="G41" i="67"/>
  <c r="H41" i="67"/>
  <c r="G45" i="67"/>
  <c r="H45" i="67"/>
  <c r="G20" i="67"/>
  <c r="H20" i="67" s="1"/>
  <c r="G44" i="67"/>
  <c r="H44" i="67" s="1"/>
  <c r="D54" i="67"/>
  <c r="G22" i="67"/>
  <c r="H22" i="67" s="1"/>
  <c r="G30" i="67"/>
  <c r="H30" i="67"/>
  <c r="L22" i="67"/>
  <c r="G24" i="67"/>
  <c r="H24" i="67" s="1"/>
  <c r="L30" i="67"/>
  <c r="G47" i="67"/>
  <c r="H47" i="67"/>
  <c r="G18" i="67"/>
  <c r="H18" i="67"/>
  <c r="G26" i="67"/>
  <c r="H26" i="67" s="1"/>
  <c r="G36" i="67"/>
  <c r="H36" i="67" s="1"/>
  <c r="G40" i="67"/>
  <c r="H40" i="67"/>
  <c r="L20" i="67"/>
  <c r="L24" i="67"/>
  <c r="L28" i="67"/>
  <c r="G48" i="67"/>
  <c r="H48" i="67" s="1"/>
  <c r="G49" i="67"/>
  <c r="H49" i="67"/>
  <c r="L48" i="67"/>
  <c r="L18" i="67"/>
  <c r="G21" i="67"/>
  <c r="H21" i="67"/>
  <c r="G25" i="67"/>
  <c r="H25" i="67"/>
  <c r="G29" i="67"/>
  <c r="H29" i="67" s="1"/>
  <c r="G35" i="67"/>
  <c r="H35" i="67" s="1"/>
  <c r="L36" i="67"/>
  <c r="G39" i="67"/>
  <c r="H39" i="67" s="1"/>
  <c r="L40" i="67"/>
  <c r="G43" i="67"/>
  <c r="H43" i="67" s="1"/>
  <c r="L47" i="67"/>
  <c r="G33" i="67"/>
  <c r="H33" i="67"/>
  <c r="L33" i="67"/>
  <c r="G19" i="67"/>
  <c r="H19" i="67" s="1"/>
  <c r="G34" i="67"/>
  <c r="H34" i="67"/>
  <c r="G38" i="67"/>
  <c r="H38" i="67" s="1"/>
  <c r="G15" i="67"/>
  <c r="G16" i="67"/>
  <c r="H16" i="67" s="1"/>
  <c r="G27" i="67"/>
  <c r="H27" i="67" s="1"/>
  <c r="G31" i="67"/>
  <c r="H31" i="67"/>
  <c r="G42" i="67"/>
  <c r="H42" i="67"/>
  <c r="G46" i="67"/>
  <c r="H46" i="67" s="1"/>
  <c r="G50" i="67"/>
  <c r="H50" i="67" s="1"/>
  <c r="L12" i="67"/>
  <c r="G14" i="67"/>
  <c r="H214" i="49"/>
  <c r="J214" i="49" s="1"/>
  <c r="H218" i="49"/>
  <c r="J218" i="49" s="1"/>
  <c r="H220" i="49"/>
  <c r="H221" i="49"/>
  <c r="J221" i="49" s="1"/>
  <c r="H222" i="49"/>
  <c r="J222" i="49" s="1"/>
  <c r="H209" i="49"/>
  <c r="J209" i="49" s="1"/>
  <c r="H217" i="49"/>
  <c r="J217" i="49" s="1"/>
  <c r="AF132" i="58"/>
  <c r="AF133" i="58"/>
  <c r="AF134" i="58"/>
  <c r="AF135" i="58"/>
  <c r="AF136" i="58"/>
  <c r="AF137" i="58"/>
  <c r="AE132" i="58"/>
  <c r="AE133" i="58"/>
  <c r="AE134" i="58"/>
  <c r="AE135" i="58"/>
  <c r="AE136" i="58"/>
  <c r="AE137" i="58"/>
  <c r="P95" i="6"/>
  <c r="P96" i="6"/>
  <c r="P97" i="6"/>
  <c r="P98" i="6"/>
  <c r="P99" i="6"/>
  <c r="P100" i="6"/>
  <c r="P101" i="6"/>
  <c r="P102" i="6"/>
  <c r="P103" i="6"/>
  <c r="P104" i="6"/>
  <c r="P105" i="6"/>
  <c r="P106" i="6"/>
  <c r="P107" i="6"/>
  <c r="P108" i="6"/>
  <c r="P109" i="6"/>
  <c r="P110" i="6"/>
  <c r="H61" i="6"/>
  <c r="P61" i="6" s="1"/>
  <c r="H63" i="6"/>
  <c r="I63" i="6" s="1"/>
  <c r="P63" i="6"/>
  <c r="K63" i="6"/>
  <c r="H64" i="6"/>
  <c r="H65" i="6"/>
  <c r="H21" i="6"/>
  <c r="H22" i="6"/>
  <c r="H23" i="6"/>
  <c r="I23" i="6"/>
  <c r="H24" i="6"/>
  <c r="P24" i="6"/>
  <c r="H25" i="6"/>
  <c r="H26" i="6"/>
  <c r="I26" i="6" s="1"/>
  <c r="H27" i="6"/>
  <c r="I27" i="6"/>
  <c r="H28" i="6"/>
  <c r="P28" i="6"/>
  <c r="H29" i="6"/>
  <c r="H30" i="6"/>
  <c r="H31" i="6"/>
  <c r="H32" i="6"/>
  <c r="P32" i="6" s="1"/>
  <c r="I32" i="6"/>
  <c r="H33" i="6"/>
  <c r="H34" i="6"/>
  <c r="I34" i="6" s="1"/>
  <c r="H35" i="6"/>
  <c r="I35" i="6"/>
  <c r="H36" i="6"/>
  <c r="H37" i="6"/>
  <c r="H38" i="6"/>
  <c r="I38" i="6" s="1"/>
  <c r="H39" i="6"/>
  <c r="P39" i="6"/>
  <c r="H40" i="6"/>
  <c r="I40" i="6"/>
  <c r="H41" i="6"/>
  <c r="P41" i="6" s="1"/>
  <c r="I28" i="6"/>
  <c r="P35" i="6"/>
  <c r="I24" i="6"/>
  <c r="P27" i="6"/>
  <c r="I39" i="6"/>
  <c r="P23" i="6"/>
  <c r="P38" i="6"/>
  <c r="I22" i="6"/>
  <c r="P22" i="6"/>
  <c r="I37" i="6"/>
  <c r="P37" i="6"/>
  <c r="I30" i="6"/>
  <c r="P30" i="6"/>
  <c r="I33" i="6"/>
  <c r="P33" i="6"/>
  <c r="I29" i="6"/>
  <c r="P29" i="6"/>
  <c r="I21" i="6"/>
  <c r="P21" i="6"/>
  <c r="P40" i="6"/>
  <c r="F38" i="18"/>
  <c r="F39" i="18"/>
  <c r="F18" i="18"/>
  <c r="F12" i="18"/>
  <c r="F11" i="18"/>
  <c r="F10" i="18"/>
  <c r="AT73" i="59"/>
  <c r="AE73" i="59"/>
  <c r="AB73" i="59"/>
  <c r="Y73" i="59"/>
  <c r="V73" i="59"/>
  <c r="S73" i="59"/>
  <c r="P73" i="59"/>
  <c r="M73" i="59"/>
  <c r="Q615" i="62"/>
  <c r="R615" i="62"/>
  <c r="G615" i="62"/>
  <c r="H615" i="62"/>
  <c r="I615" i="62"/>
  <c r="J615" i="62"/>
  <c r="K615" i="62"/>
  <c r="L615" i="62"/>
  <c r="M615" i="62"/>
  <c r="N615" i="62"/>
  <c r="O615" i="62"/>
  <c r="P615" i="62"/>
  <c r="F615" i="62"/>
  <c r="G546" i="62"/>
  <c r="H546" i="62"/>
  <c r="I546" i="62"/>
  <c r="J546" i="62"/>
  <c r="K546" i="62"/>
  <c r="L546" i="62"/>
  <c r="M546" i="62"/>
  <c r="N546" i="62"/>
  <c r="O546" i="62"/>
  <c r="P546" i="62"/>
  <c r="Q546" i="62"/>
  <c r="R546" i="62"/>
  <c r="G588" i="62"/>
  <c r="H588" i="62"/>
  <c r="I588" i="62"/>
  <c r="J588" i="62"/>
  <c r="K588" i="62"/>
  <c r="L588" i="62"/>
  <c r="M588" i="62"/>
  <c r="N588" i="62"/>
  <c r="O588" i="62"/>
  <c r="P588" i="62"/>
  <c r="Q588" i="62"/>
  <c r="R588" i="62"/>
  <c r="G685" i="62"/>
  <c r="H685" i="62"/>
  <c r="I685" i="62"/>
  <c r="J685" i="62"/>
  <c r="K685" i="62"/>
  <c r="L685" i="62"/>
  <c r="M685" i="62"/>
  <c r="N685" i="62"/>
  <c r="O685" i="62"/>
  <c r="P685" i="62"/>
  <c r="Q685" i="62"/>
  <c r="R685" i="62"/>
  <c r="G698" i="62"/>
  <c r="H698" i="62"/>
  <c r="I698" i="62"/>
  <c r="J698" i="62"/>
  <c r="K698" i="62"/>
  <c r="L698" i="62"/>
  <c r="M698" i="62"/>
  <c r="N698" i="62"/>
  <c r="O698" i="62"/>
  <c r="P698" i="62"/>
  <c r="Q698" i="62"/>
  <c r="R698" i="62"/>
  <c r="F698" i="62"/>
  <c r="S687" i="62"/>
  <c r="S683" i="62"/>
  <c r="S669" i="62"/>
  <c r="S670" i="62"/>
  <c r="W670" i="62" s="1"/>
  <c r="S662" i="62"/>
  <c r="S663" i="62"/>
  <c r="W663" i="62" s="1"/>
  <c r="S650" i="62"/>
  <c r="S651" i="62"/>
  <c r="S611" i="62"/>
  <c r="X611" i="62"/>
  <c r="Z611" i="62" s="1"/>
  <c r="S612" i="62"/>
  <c r="X612" i="62" s="1"/>
  <c r="Z612" i="62" s="1"/>
  <c r="S613" i="62"/>
  <c r="X613" i="62" s="1"/>
  <c r="Y613" i="62" s="1"/>
  <c r="S614" i="62"/>
  <c r="X614" i="62" s="1"/>
  <c r="Y614" i="62" s="1"/>
  <c r="S555" i="62"/>
  <c r="S581" i="62"/>
  <c r="V581" i="62" s="1"/>
  <c r="S582" i="62"/>
  <c r="AD582" i="62" s="1"/>
  <c r="S583" i="62"/>
  <c r="V583" i="62" s="1"/>
  <c r="S584" i="62"/>
  <c r="S585" i="62"/>
  <c r="S586" i="62"/>
  <c r="S587" i="62"/>
  <c r="AD587" i="62" s="1"/>
  <c r="F588" i="62"/>
  <c r="S556" i="62"/>
  <c r="F546" i="62"/>
  <c r="S541" i="62"/>
  <c r="X541" i="62" s="1"/>
  <c r="AB541" i="62" s="1"/>
  <c r="S542" i="62"/>
  <c r="X542" i="62"/>
  <c r="AB542" i="62" s="1"/>
  <c r="S524" i="62"/>
  <c r="V524" i="62"/>
  <c r="S525" i="62"/>
  <c r="V525" i="62" s="1"/>
  <c r="AD525" i="62" s="1"/>
  <c r="S508" i="62"/>
  <c r="V508" i="62"/>
  <c r="AF508" i="62" s="1"/>
  <c r="S509" i="62"/>
  <c r="V509" i="62"/>
  <c r="AD509" i="62"/>
  <c r="S510" i="62"/>
  <c r="V510" i="62" s="1"/>
  <c r="AD510" i="62" s="1"/>
  <c r="S499" i="62"/>
  <c r="V499" i="62"/>
  <c r="AF499" i="62" s="1"/>
  <c r="S500" i="62"/>
  <c r="V500" i="62"/>
  <c r="S501" i="62"/>
  <c r="V501" i="62" s="1"/>
  <c r="AD501" i="62" s="1"/>
  <c r="S502" i="62"/>
  <c r="S473" i="62"/>
  <c r="V473" i="62" s="1"/>
  <c r="S462" i="62"/>
  <c r="V462" i="62" s="1"/>
  <c r="S475" i="62"/>
  <c r="V475" i="62" s="1"/>
  <c r="S463" i="62"/>
  <c r="V463" i="62"/>
  <c r="S450" i="62"/>
  <c r="S439" i="62"/>
  <c r="V439" i="62" s="1"/>
  <c r="S420" i="62"/>
  <c r="S421" i="62"/>
  <c r="V421" i="62" s="1"/>
  <c r="AD421" i="62" s="1"/>
  <c r="S422" i="62"/>
  <c r="S412" i="62"/>
  <c r="S413" i="62"/>
  <c r="W413" i="62" s="1"/>
  <c r="S414" i="62"/>
  <c r="S415" i="62"/>
  <c r="U415" i="62" s="1"/>
  <c r="S416" i="62"/>
  <c r="U416" i="62" s="1"/>
  <c r="S417" i="62"/>
  <c r="W417" i="62"/>
  <c r="AC417" i="62" s="1"/>
  <c r="S206" i="62"/>
  <c r="S335" i="62"/>
  <c r="W335" i="62"/>
  <c r="AC335" i="62"/>
  <c r="S336" i="62"/>
  <c r="W336" i="62" s="1"/>
  <c r="AC336" i="62" s="1"/>
  <c r="S337" i="62"/>
  <c r="S338" i="62"/>
  <c r="AC338" i="62" s="1"/>
  <c r="S339" i="62"/>
  <c r="S309" i="62"/>
  <c r="G325" i="62"/>
  <c r="H325" i="62"/>
  <c r="I325" i="62"/>
  <c r="J325" i="62"/>
  <c r="K325" i="62"/>
  <c r="L325" i="62"/>
  <c r="M325" i="62"/>
  <c r="N325" i="62"/>
  <c r="O325" i="62"/>
  <c r="P325" i="62"/>
  <c r="Q325" i="62"/>
  <c r="R325" i="62"/>
  <c r="F325" i="62"/>
  <c r="S265" i="62"/>
  <c r="U265" i="62" s="1"/>
  <c r="AF265" i="62" s="1"/>
  <c r="S266" i="62"/>
  <c r="S267" i="62"/>
  <c r="S241" i="62"/>
  <c r="S242" i="62"/>
  <c r="U242" i="62" s="1"/>
  <c r="S297" i="62"/>
  <c r="G298" i="62"/>
  <c r="H298" i="62"/>
  <c r="I298" i="62"/>
  <c r="J298" i="62"/>
  <c r="K298" i="62"/>
  <c r="L298" i="62"/>
  <c r="M298" i="62"/>
  <c r="N298" i="62"/>
  <c r="O298" i="62"/>
  <c r="P298" i="62"/>
  <c r="Q298" i="62"/>
  <c r="R298" i="62"/>
  <c r="F298" i="62"/>
  <c r="S278" i="62"/>
  <c r="S279" i="62"/>
  <c r="AD279" i="62" s="1"/>
  <c r="S280" i="62"/>
  <c r="S281" i="62"/>
  <c r="V281" i="62" s="1"/>
  <c r="S282" i="62"/>
  <c r="S283" i="62"/>
  <c r="S284" i="62"/>
  <c r="S285" i="62"/>
  <c r="S286" i="62"/>
  <c r="X286" i="62" s="1"/>
  <c r="AB286" i="62" s="1"/>
  <c r="S287" i="62"/>
  <c r="S288" i="62"/>
  <c r="S289" i="62"/>
  <c r="S290" i="62"/>
  <c r="S291" i="62"/>
  <c r="S292" i="62"/>
  <c r="S293" i="62"/>
  <c r="X293" i="62"/>
  <c r="S294" i="62"/>
  <c r="X294" i="62" s="1"/>
  <c r="S295" i="62"/>
  <c r="X295" i="62" s="1"/>
  <c r="S296" i="62"/>
  <c r="X296" i="62" s="1"/>
  <c r="AB296" i="62"/>
  <c r="AD288" i="62"/>
  <c r="V288" i="62"/>
  <c r="AF288" i="62" s="1"/>
  <c r="AD280" i="62"/>
  <c r="V280" i="62"/>
  <c r="AD297" i="62"/>
  <c r="V297" i="62"/>
  <c r="AD499" i="62"/>
  <c r="AD265" i="62"/>
  <c r="AC414" i="62"/>
  <c r="W414" i="62"/>
  <c r="AD502" i="62"/>
  <c r="AF502" i="62" s="1"/>
  <c r="V502" i="62"/>
  <c r="AB585" i="62"/>
  <c r="X585" i="62"/>
  <c r="AC683" i="62"/>
  <c r="W683" i="62"/>
  <c r="AC413" i="62"/>
  <c r="AF501" i="62"/>
  <c r="AB584" i="62"/>
  <c r="X584" i="62"/>
  <c r="AD555" i="62"/>
  <c r="V555" i="62"/>
  <c r="AC662" i="62"/>
  <c r="W662" i="62"/>
  <c r="AC687" i="62"/>
  <c r="W687" i="62"/>
  <c r="AD292" i="62"/>
  <c r="V292" i="62"/>
  <c r="AC339" i="62"/>
  <c r="W339" i="62"/>
  <c r="AD415" i="62"/>
  <c r="AD586" i="62"/>
  <c r="V586" i="62"/>
  <c r="AC669" i="62"/>
  <c r="W669" i="62"/>
  <c r="AB295" i="62"/>
  <c r="AD242" i="62"/>
  <c r="W338" i="62"/>
  <c r="AD581" i="62"/>
  <c r="AC663" i="62"/>
  <c r="AD281" i="62"/>
  <c r="AD267" i="62"/>
  <c r="U267" i="62"/>
  <c r="AC412" i="62"/>
  <c r="W412" i="62"/>
  <c r="AD462" i="62"/>
  <c r="AD500" i="62"/>
  <c r="AF500" i="62"/>
  <c r="AD508" i="62"/>
  <c r="AD583" i="62"/>
  <c r="AC651" i="62"/>
  <c r="W651" i="62"/>
  <c r="AC670" i="62"/>
  <c r="AD463" i="62"/>
  <c r="AF463" i="62" s="1"/>
  <c r="S230" i="62"/>
  <c r="AD230" i="62" s="1"/>
  <c r="S231" i="62"/>
  <c r="S219" i="62"/>
  <c r="AC219" i="62" s="1"/>
  <c r="S220" i="62"/>
  <c r="S221" i="62"/>
  <c r="AC221" i="62" s="1"/>
  <c r="S222" i="62"/>
  <c r="S203" i="62"/>
  <c r="AD203" i="62" s="1"/>
  <c r="S204" i="62"/>
  <c r="S205" i="62"/>
  <c r="AD205" i="62" s="1"/>
  <c r="S196" i="62"/>
  <c r="X196" i="62" s="1"/>
  <c r="Z196" i="62" s="1"/>
  <c r="S197" i="62"/>
  <c r="X197" i="62" s="1"/>
  <c r="Z197" i="62" s="1"/>
  <c r="F169" i="62"/>
  <c r="G169" i="62"/>
  <c r="H169" i="62"/>
  <c r="I169" i="62"/>
  <c r="J169" i="62"/>
  <c r="K169" i="62"/>
  <c r="L169" i="62"/>
  <c r="M169" i="62"/>
  <c r="N169" i="62"/>
  <c r="O169" i="62"/>
  <c r="P169" i="62"/>
  <c r="Q169" i="62"/>
  <c r="R169" i="62"/>
  <c r="S165" i="62"/>
  <c r="S166" i="62"/>
  <c r="S167" i="62"/>
  <c r="U167" i="62" s="1"/>
  <c r="S168" i="62"/>
  <c r="U168" i="62"/>
  <c r="S125" i="62"/>
  <c r="S126" i="62"/>
  <c r="S127" i="62"/>
  <c r="S128" i="62"/>
  <c r="S129" i="62"/>
  <c r="S130" i="62"/>
  <c r="S131" i="62"/>
  <c r="S132" i="62"/>
  <c r="S133" i="62"/>
  <c r="S134" i="62"/>
  <c r="S135" i="62"/>
  <c r="S136" i="62"/>
  <c r="S137" i="62"/>
  <c r="S138" i="62"/>
  <c r="S139" i="62"/>
  <c r="S140" i="62"/>
  <c r="S141" i="62"/>
  <c r="S142" i="62"/>
  <c r="U142" i="62"/>
  <c r="AD222" i="62"/>
  <c r="V222" i="62"/>
  <c r="U230" i="62"/>
  <c r="AD168" i="62"/>
  <c r="AD204" i="62"/>
  <c r="U204" i="62"/>
  <c r="AC220" i="62"/>
  <c r="W220" i="62"/>
  <c r="AD142" i="62"/>
  <c r="AF142" i="62" s="1"/>
  <c r="U205" i="62"/>
  <c r="W221" i="62"/>
  <c r="AD167" i="62"/>
  <c r="W219" i="62"/>
  <c r="F81" i="62"/>
  <c r="G81" i="62"/>
  <c r="H81" i="62"/>
  <c r="H99" i="62" s="1"/>
  <c r="I81" i="62"/>
  <c r="J81" i="62"/>
  <c r="K81" i="62"/>
  <c r="L81" i="62"/>
  <c r="M81" i="62"/>
  <c r="N81" i="62"/>
  <c r="O81" i="62"/>
  <c r="P81" i="62"/>
  <c r="P99" i="62" s="1"/>
  <c r="P122" i="62" s="1"/>
  <c r="Q81" i="62"/>
  <c r="R81" i="62"/>
  <c r="S79" i="62"/>
  <c r="U79" i="62" s="1"/>
  <c r="AD79" i="62" s="1"/>
  <c r="S80" i="62"/>
  <c r="U80" i="62"/>
  <c r="AD80" i="62"/>
  <c r="S76" i="62"/>
  <c r="U76" i="62" s="1"/>
  <c r="AD76" i="62" s="1"/>
  <c r="S77" i="62"/>
  <c r="U77" i="62"/>
  <c r="AD77" i="62" s="1"/>
  <c r="S78" i="62"/>
  <c r="U78" i="62"/>
  <c r="AD78" i="62" s="1"/>
  <c r="S62" i="62"/>
  <c r="S49" i="62"/>
  <c r="S50" i="62"/>
  <c r="S51" i="62"/>
  <c r="S52" i="62"/>
  <c r="S53" i="62"/>
  <c r="S54" i="62"/>
  <c r="S55" i="62"/>
  <c r="S56" i="62"/>
  <c r="S57" i="62"/>
  <c r="S58" i="62"/>
  <c r="F59" i="62"/>
  <c r="G59" i="62"/>
  <c r="H59" i="62"/>
  <c r="I59" i="62"/>
  <c r="J59" i="62"/>
  <c r="K59" i="62"/>
  <c r="L59" i="62"/>
  <c r="M59" i="62"/>
  <c r="N59" i="62"/>
  <c r="O59" i="62"/>
  <c r="P59" i="62"/>
  <c r="Q59" i="62"/>
  <c r="R59" i="62"/>
  <c r="S45" i="62"/>
  <c r="S42" i="62"/>
  <c r="S43" i="62"/>
  <c r="S46" i="62" s="1"/>
  <c r="S44" i="62"/>
  <c r="S41" i="62"/>
  <c r="S23" i="62"/>
  <c r="S24" i="62"/>
  <c r="S25" i="62"/>
  <c r="S26" i="62"/>
  <c r="S27" i="62"/>
  <c r="S16" i="62"/>
  <c r="S17" i="62"/>
  <c r="X17" i="62"/>
  <c r="AY37" i="59"/>
  <c r="AY38" i="59"/>
  <c r="AY39" i="59"/>
  <c r="AY40" i="59"/>
  <c r="AY41" i="59"/>
  <c r="AY42" i="59"/>
  <c r="AX37" i="59"/>
  <c r="AX38" i="59"/>
  <c r="AX39" i="59"/>
  <c r="AX40" i="59"/>
  <c r="AX41" i="59"/>
  <c r="AX42" i="59"/>
  <c r="AT38" i="59"/>
  <c r="AT39" i="59"/>
  <c r="AT40" i="59"/>
  <c r="AT41" i="59"/>
  <c r="AT42" i="59"/>
  <c r="AT37" i="59"/>
  <c r="AT36" i="59"/>
  <c r="AT28" i="59"/>
  <c r="AT43" i="59" s="1"/>
  <c r="AT29" i="59"/>
  <c r="AT30" i="59"/>
  <c r="AT31" i="59"/>
  <c r="AW31" i="59" s="1"/>
  <c r="AT32" i="59"/>
  <c r="AT33" i="59"/>
  <c r="AT34" i="59"/>
  <c r="AT27" i="59"/>
  <c r="AQ38" i="59"/>
  <c r="AQ39" i="59"/>
  <c r="AQ40" i="59"/>
  <c r="AQ41" i="59"/>
  <c r="AQ42" i="59"/>
  <c r="AQ37" i="59"/>
  <c r="AQ36" i="59"/>
  <c r="AQ28" i="59"/>
  <c r="AQ29" i="59"/>
  <c r="AQ43" i="59" s="1"/>
  <c r="AQ30" i="59"/>
  <c r="AQ31" i="59"/>
  <c r="AQ32" i="59"/>
  <c r="AQ33" i="59"/>
  <c r="AQ34" i="59"/>
  <c r="AQ27" i="59"/>
  <c r="AN38" i="59"/>
  <c r="AN39" i="59"/>
  <c r="AN40" i="59"/>
  <c r="AN41" i="59"/>
  <c r="AN42" i="59"/>
  <c r="AN37" i="59"/>
  <c r="AN36" i="59"/>
  <c r="AN28" i="59"/>
  <c r="AN29" i="59"/>
  <c r="AN30" i="59"/>
  <c r="AN79" i="59" s="1"/>
  <c r="AN31" i="59"/>
  <c r="AN32" i="59"/>
  <c r="AN33" i="59"/>
  <c r="AN34" i="59"/>
  <c r="AN27" i="59"/>
  <c r="AK38" i="59"/>
  <c r="AK39" i="59"/>
  <c r="AK40" i="59"/>
  <c r="AK79" i="59" s="1"/>
  <c r="AK41" i="59"/>
  <c r="AK42" i="59"/>
  <c r="AK37" i="59"/>
  <c r="AW37" i="59" s="1"/>
  <c r="AK36" i="59"/>
  <c r="AK28" i="59"/>
  <c r="AK29" i="59"/>
  <c r="AK30" i="59"/>
  <c r="AK31" i="59"/>
  <c r="AK32" i="59"/>
  <c r="AK33" i="59"/>
  <c r="AK34" i="59"/>
  <c r="AW34" i="59" s="1"/>
  <c r="AK27" i="59"/>
  <c r="AH38" i="59"/>
  <c r="AH39" i="59"/>
  <c r="AH40" i="59"/>
  <c r="AH41" i="59"/>
  <c r="AH42" i="59"/>
  <c r="AH37" i="59"/>
  <c r="AH36" i="59"/>
  <c r="AH28" i="59"/>
  <c r="AH29" i="59"/>
  <c r="AH30" i="59"/>
  <c r="AH31" i="59"/>
  <c r="AH32" i="59"/>
  <c r="AH33" i="59"/>
  <c r="AH34" i="59"/>
  <c r="AH27" i="59"/>
  <c r="AH43" i="59" s="1"/>
  <c r="AE38" i="59"/>
  <c r="AE39" i="59"/>
  <c r="AE40" i="59"/>
  <c r="AE41" i="59"/>
  <c r="AE42" i="59"/>
  <c r="AW42" i="59" s="1"/>
  <c r="AE37" i="59"/>
  <c r="AE36" i="59"/>
  <c r="AE28" i="59"/>
  <c r="AE29" i="59"/>
  <c r="AE79" i="59" s="1"/>
  <c r="AE30" i="59"/>
  <c r="AE31" i="59"/>
  <c r="AE32" i="59"/>
  <c r="AE33" i="59"/>
  <c r="AE34" i="59"/>
  <c r="AE27" i="59"/>
  <c r="AB38" i="59"/>
  <c r="AW38" i="59" s="1"/>
  <c r="AB39" i="59"/>
  <c r="AB40" i="59"/>
  <c r="AB41" i="59"/>
  <c r="AB42" i="59"/>
  <c r="AB37" i="59"/>
  <c r="AB36" i="59"/>
  <c r="AB28" i="59"/>
  <c r="AB29" i="59"/>
  <c r="AB30" i="59"/>
  <c r="AB31" i="59"/>
  <c r="AB32" i="59"/>
  <c r="AB33" i="59"/>
  <c r="AB34" i="59"/>
  <c r="AB27" i="59"/>
  <c r="Y38" i="59"/>
  <c r="Y39" i="59"/>
  <c r="AW39" i="59" s="1"/>
  <c r="Y40" i="59"/>
  <c r="Y41" i="59"/>
  <c r="Y42" i="59"/>
  <c r="Y37" i="59"/>
  <c r="Y36" i="59"/>
  <c r="Y28" i="59"/>
  <c r="Y29" i="59"/>
  <c r="Y30" i="59"/>
  <c r="Y79" i="59" s="1"/>
  <c r="Y31" i="59"/>
  <c r="Y32" i="59"/>
  <c r="Y33" i="59"/>
  <c r="Y34" i="59"/>
  <c r="Y27" i="59"/>
  <c r="V38" i="59"/>
  <c r="V39" i="59"/>
  <c r="V40" i="59"/>
  <c r="V41" i="59"/>
  <c r="V42" i="59"/>
  <c r="V37" i="59"/>
  <c r="V36" i="59"/>
  <c r="V27" i="59"/>
  <c r="V28" i="59"/>
  <c r="V29" i="59"/>
  <c r="V30" i="59"/>
  <c r="V31" i="59"/>
  <c r="V32" i="59"/>
  <c r="V33" i="59"/>
  <c r="V34" i="59"/>
  <c r="V26" i="59"/>
  <c r="S38" i="59"/>
  <c r="S39" i="59"/>
  <c r="S40" i="59"/>
  <c r="S41" i="59"/>
  <c r="S42" i="59"/>
  <c r="S37" i="59"/>
  <c r="S36" i="59"/>
  <c r="S27" i="59"/>
  <c r="S28" i="59"/>
  <c r="S29" i="59"/>
  <c r="S30" i="59"/>
  <c r="S31" i="59"/>
  <c r="S32" i="59"/>
  <c r="S33" i="59"/>
  <c r="S34" i="59"/>
  <c r="S26" i="59"/>
  <c r="P38" i="59"/>
  <c r="P39" i="59"/>
  <c r="P40" i="59"/>
  <c r="P41" i="59"/>
  <c r="P42" i="59"/>
  <c r="P37" i="59"/>
  <c r="P36" i="59"/>
  <c r="P27" i="59"/>
  <c r="P28" i="59"/>
  <c r="P29" i="59"/>
  <c r="P30" i="59"/>
  <c r="P43" i="59" s="1"/>
  <c r="P75" i="59" s="1"/>
  <c r="P31" i="59"/>
  <c r="P32" i="59"/>
  <c r="P33" i="59"/>
  <c r="P34" i="59"/>
  <c r="P26" i="59"/>
  <c r="M38" i="59"/>
  <c r="M39" i="59"/>
  <c r="M40" i="59"/>
  <c r="M79" i="59" s="1"/>
  <c r="M41" i="59"/>
  <c r="M42" i="59"/>
  <c r="M37" i="59"/>
  <c r="M36" i="59"/>
  <c r="M27" i="59"/>
  <c r="M28" i="59"/>
  <c r="M29" i="59"/>
  <c r="M30" i="59"/>
  <c r="M31" i="59"/>
  <c r="M32" i="59"/>
  <c r="M33" i="59"/>
  <c r="M34" i="59"/>
  <c r="M26" i="59"/>
  <c r="J38" i="59"/>
  <c r="J39" i="59"/>
  <c r="J40" i="59"/>
  <c r="J41" i="59"/>
  <c r="J42" i="59"/>
  <c r="J37" i="59"/>
  <c r="J36" i="59"/>
  <c r="J27" i="59"/>
  <c r="J28" i="59"/>
  <c r="J29" i="59"/>
  <c r="J30" i="59"/>
  <c r="AW30" i="59" s="1"/>
  <c r="J31" i="59"/>
  <c r="J32" i="59"/>
  <c r="J33" i="59"/>
  <c r="J34" i="59"/>
  <c r="J26" i="59"/>
  <c r="N43" i="59"/>
  <c r="O43" i="59"/>
  <c r="Q43" i="59"/>
  <c r="R43" i="59"/>
  <c r="T43" i="59"/>
  <c r="U43" i="59"/>
  <c r="W43" i="59"/>
  <c r="X43" i="59"/>
  <c r="Z43" i="59"/>
  <c r="AA43" i="59"/>
  <c r="AC43" i="59"/>
  <c r="AD43" i="59"/>
  <c r="AF43" i="59"/>
  <c r="AG43" i="59"/>
  <c r="AI43" i="59"/>
  <c r="AJ43" i="59"/>
  <c r="AL43" i="59"/>
  <c r="AM43" i="59"/>
  <c r="AO43" i="59"/>
  <c r="AP43" i="59"/>
  <c r="AR43" i="59"/>
  <c r="AS43" i="59"/>
  <c r="AU43" i="59"/>
  <c r="AV43" i="59"/>
  <c r="K43" i="59"/>
  <c r="L43" i="59"/>
  <c r="AT19" i="59"/>
  <c r="AT20" i="59"/>
  <c r="AT21" i="59"/>
  <c r="AT22" i="59"/>
  <c r="AT18" i="59"/>
  <c r="AQ19" i="59"/>
  <c r="AQ20" i="59"/>
  <c r="AQ21" i="59"/>
  <c r="AQ22" i="59"/>
  <c r="AQ18" i="59"/>
  <c r="AN19" i="59"/>
  <c r="AN20" i="59"/>
  <c r="AN21" i="59"/>
  <c r="AN22" i="59"/>
  <c r="AN18" i="59"/>
  <c r="AK19" i="59"/>
  <c r="AK20" i="59"/>
  <c r="AK21" i="59"/>
  <c r="AK22" i="59"/>
  <c r="AK18" i="59"/>
  <c r="AH19" i="59"/>
  <c r="AH20" i="59"/>
  <c r="AH21" i="59"/>
  <c r="AH22" i="59"/>
  <c r="AH18" i="59"/>
  <c r="AE21" i="59"/>
  <c r="AE19" i="59"/>
  <c r="AE18" i="59"/>
  <c r="AB21" i="59"/>
  <c r="AB19" i="59"/>
  <c r="AB18" i="59"/>
  <c r="Y21" i="59"/>
  <c r="Y19" i="59"/>
  <c r="Y18" i="59"/>
  <c r="V21" i="59"/>
  <c r="V19" i="59"/>
  <c r="V18" i="59"/>
  <c r="S21" i="59"/>
  <c r="S19" i="59"/>
  <c r="S18" i="59"/>
  <c r="P21" i="59"/>
  <c r="P18" i="59"/>
  <c r="M21" i="59"/>
  <c r="M22" i="59"/>
  <c r="M20" i="59"/>
  <c r="M19" i="59"/>
  <c r="M18" i="59"/>
  <c r="J19" i="59"/>
  <c r="J20" i="59"/>
  <c r="J21" i="59"/>
  <c r="J22" i="59"/>
  <c r="J18" i="59"/>
  <c r="AQ79" i="59"/>
  <c r="AB79" i="59"/>
  <c r="AH79" i="59"/>
  <c r="AB43" i="59"/>
  <c r="Z98" i="31"/>
  <c r="S15" i="62"/>
  <c r="S18" i="62"/>
  <c r="S19" i="62"/>
  <c r="S22" i="62"/>
  <c r="S30" i="62"/>
  <c r="S31" i="62"/>
  <c r="S38" i="62"/>
  <c r="S48" i="62"/>
  <c r="S61" i="62"/>
  <c r="S63" i="62"/>
  <c r="S65" i="62"/>
  <c r="U65" i="62" s="1"/>
  <c r="S66" i="62"/>
  <c r="S67" i="62"/>
  <c r="S68" i="62"/>
  <c r="S69" i="62"/>
  <c r="S70" i="62"/>
  <c r="S71" i="62"/>
  <c r="S72" i="62"/>
  <c r="S73" i="62"/>
  <c r="U73" i="62" s="1"/>
  <c r="S74" i="62"/>
  <c r="S75" i="62"/>
  <c r="S83" i="62"/>
  <c r="S84" i="62"/>
  <c r="S86" i="62"/>
  <c r="S87" i="62"/>
  <c r="S88" i="62"/>
  <c r="S89" i="62"/>
  <c r="S90" i="62"/>
  <c r="S91" i="62"/>
  <c r="S92" i="62"/>
  <c r="S93" i="62"/>
  <c r="S94" i="62"/>
  <c r="S97" i="62"/>
  <c r="S100" i="62"/>
  <c r="S101" i="62"/>
  <c r="S102" i="62"/>
  <c r="S103" i="62"/>
  <c r="S104" i="62"/>
  <c r="S105" i="62"/>
  <c r="S106" i="62"/>
  <c r="S107" i="62"/>
  <c r="S108" i="62"/>
  <c r="S109" i="62"/>
  <c r="U109" i="62" s="1"/>
  <c r="S110" i="62"/>
  <c r="S111" i="62"/>
  <c r="S112" i="62"/>
  <c r="S113" i="62"/>
  <c r="S114" i="62"/>
  <c r="S115" i="62"/>
  <c r="S116" i="62"/>
  <c r="S117" i="62"/>
  <c r="U117" i="62" s="1"/>
  <c r="S118" i="62"/>
  <c r="S119" i="62"/>
  <c r="S124" i="62"/>
  <c r="S143" i="62"/>
  <c r="S144" i="62"/>
  <c r="S145" i="62"/>
  <c r="S146" i="62"/>
  <c r="S147" i="62"/>
  <c r="U147" i="62" s="1"/>
  <c r="S148" i="62"/>
  <c r="S151" i="62"/>
  <c r="S152" i="62"/>
  <c r="S153" i="62"/>
  <c r="S154" i="62"/>
  <c r="S155" i="62"/>
  <c r="S156" i="62"/>
  <c r="S157" i="62"/>
  <c r="S158" i="62"/>
  <c r="S159" i="62"/>
  <c r="S160" i="62"/>
  <c r="S161" i="62"/>
  <c r="S162" i="62"/>
  <c r="S163" i="62"/>
  <c r="S164" i="62"/>
  <c r="S171" i="62"/>
  <c r="S172" i="62"/>
  <c r="S173" i="62"/>
  <c r="S174" i="62"/>
  <c r="S175" i="62"/>
  <c r="S176" i="62"/>
  <c r="S177" i="62"/>
  <c r="S178" i="62"/>
  <c r="S179" i="62"/>
  <c r="U179" i="62" s="1"/>
  <c r="S180" i="62"/>
  <c r="S183" i="62"/>
  <c r="S184" i="62"/>
  <c r="S185" i="62"/>
  <c r="S186" i="62"/>
  <c r="S187" i="62"/>
  <c r="S188" i="62"/>
  <c r="S189" i="62"/>
  <c r="S190" i="62"/>
  <c r="S191" i="62"/>
  <c r="S192" i="62"/>
  <c r="S193" i="62"/>
  <c r="S194" i="62"/>
  <c r="S195" i="62"/>
  <c r="S198" i="62"/>
  <c r="S199" i="62"/>
  <c r="X199" i="62" s="1"/>
  <c r="S201" i="62"/>
  <c r="S202" i="62"/>
  <c r="X202" i="62" s="1"/>
  <c r="S207" i="62"/>
  <c r="S208" i="62"/>
  <c r="S209" i="62"/>
  <c r="S210" i="62"/>
  <c r="S211" i="62"/>
  <c r="S212" i="62"/>
  <c r="S213" i="62"/>
  <c r="S214" i="62"/>
  <c r="S215" i="62"/>
  <c r="S216" i="62"/>
  <c r="S217" i="62"/>
  <c r="S218" i="62"/>
  <c r="S223" i="62"/>
  <c r="AD223" i="62" s="1"/>
  <c r="AF223" i="62" s="1"/>
  <c r="S226" i="62"/>
  <c r="S227" i="62" s="1"/>
  <c r="S229" i="62"/>
  <c r="S232" i="62"/>
  <c r="S233" i="62"/>
  <c r="S234" i="62"/>
  <c r="S235" i="62"/>
  <c r="U235" i="62" s="1"/>
  <c r="S236" i="62"/>
  <c r="X236" i="62" s="1"/>
  <c r="AB236" i="62" s="1"/>
  <c r="S237" i="62"/>
  <c r="X237" i="62"/>
  <c r="AB237" i="62" s="1"/>
  <c r="S238" i="62"/>
  <c r="X238" i="62"/>
  <c r="AB238" i="62" s="1"/>
  <c r="S239" i="62"/>
  <c r="X239" i="62" s="1"/>
  <c r="AB239" i="62" s="1"/>
  <c r="S240" i="62"/>
  <c r="X240" i="62" s="1"/>
  <c r="AB240" i="62" s="1"/>
  <c r="S243" i="62"/>
  <c r="U243" i="62" s="1"/>
  <c r="S244" i="62"/>
  <c r="S245" i="62"/>
  <c r="S246" i="62"/>
  <c r="S247" i="62"/>
  <c r="S248" i="62"/>
  <c r="S249" i="62"/>
  <c r="S250" i="62"/>
  <c r="S251" i="62"/>
  <c r="U251" i="62" s="1"/>
  <c r="S252" i="62"/>
  <c r="S253" i="62"/>
  <c r="S254" i="62"/>
  <c r="S255" i="62"/>
  <c r="S256" i="62"/>
  <c r="S257" i="62"/>
  <c r="S258" i="62"/>
  <c r="S259" i="62"/>
  <c r="U259" i="62" s="1"/>
  <c r="S260" i="62"/>
  <c r="S261" i="62"/>
  <c r="S262" i="62"/>
  <c r="S263" i="62"/>
  <c r="S264" i="62"/>
  <c r="S268" i="62"/>
  <c r="S269" i="62"/>
  <c r="S270" i="62"/>
  <c r="S271" i="62"/>
  <c r="S272" i="62"/>
  <c r="S273" i="62"/>
  <c r="S274" i="62"/>
  <c r="S275" i="62"/>
  <c r="S276" i="62"/>
  <c r="S277" i="62"/>
  <c r="S300" i="62"/>
  <c r="S301" i="62"/>
  <c r="S302" i="62"/>
  <c r="S303" i="62"/>
  <c r="S306" i="62"/>
  <c r="S307" i="62"/>
  <c r="S310" i="62"/>
  <c r="S311" i="62"/>
  <c r="S312" i="62"/>
  <c r="S313" i="62"/>
  <c r="S314" i="62"/>
  <c r="S315" i="62"/>
  <c r="S316" i="62"/>
  <c r="S317" i="62"/>
  <c r="S318" i="62"/>
  <c r="S319" i="62"/>
  <c r="S320" i="62"/>
  <c r="S321" i="62"/>
  <c r="S322" i="62"/>
  <c r="S323" i="62"/>
  <c r="S324" i="62"/>
  <c r="S327" i="62"/>
  <c r="S328" i="62"/>
  <c r="S329" i="62"/>
  <c r="S332" i="62"/>
  <c r="S333" i="62"/>
  <c r="S334" i="62"/>
  <c r="S340" i="62"/>
  <c r="S341" i="62"/>
  <c r="S342" i="62"/>
  <c r="S343" i="62"/>
  <c r="S344" i="62"/>
  <c r="S345" i="62"/>
  <c r="S346" i="62"/>
  <c r="S347" i="62"/>
  <c r="S350" i="62"/>
  <c r="S351" i="62"/>
  <c r="S352" i="62"/>
  <c r="S353" i="62"/>
  <c r="S354" i="62"/>
  <c r="S355" i="62"/>
  <c r="S356" i="62"/>
  <c r="S357" i="62"/>
  <c r="S358" i="62"/>
  <c r="S359" i="62"/>
  <c r="S360" i="62"/>
  <c r="S361" i="62"/>
  <c r="S362" i="62"/>
  <c r="S363" i="62"/>
  <c r="S364" i="62"/>
  <c r="S365" i="62"/>
  <c r="S366" i="62"/>
  <c r="S367" i="62"/>
  <c r="S368" i="62"/>
  <c r="S369" i="62"/>
  <c r="S370" i="62"/>
  <c r="S374" i="62"/>
  <c r="S375" i="62"/>
  <c r="S376" i="62"/>
  <c r="S377" i="62"/>
  <c r="S378" i="62"/>
  <c r="S379" i="62"/>
  <c r="S380" i="62"/>
  <c r="S381" i="62"/>
  <c r="S382" i="62"/>
  <c r="S383" i="62"/>
  <c r="S386" i="62"/>
  <c r="S387" i="62" s="1"/>
  <c r="S392" i="62"/>
  <c r="S393" i="62"/>
  <c r="S394" i="62"/>
  <c r="S395" i="62"/>
  <c r="S396" i="62"/>
  <c r="S397" i="62"/>
  <c r="S398" i="62"/>
  <c r="S401" i="62"/>
  <c r="S402" i="62"/>
  <c r="S403" i="62"/>
  <c r="S404" i="62"/>
  <c r="S405" i="62"/>
  <c r="S406" i="62"/>
  <c r="S407" i="62"/>
  <c r="S408" i="62"/>
  <c r="S409" i="62"/>
  <c r="S410" i="62"/>
  <c r="S411" i="62"/>
  <c r="S418" i="62"/>
  <c r="S424" i="62"/>
  <c r="S425" i="62"/>
  <c r="S427" i="62"/>
  <c r="S428" i="62"/>
  <c r="S429" i="62"/>
  <c r="S430" i="62"/>
  <c r="S431" i="62"/>
  <c r="S432" i="62"/>
  <c r="S433" i="62"/>
  <c r="S434" i="62"/>
  <c r="V434" i="62" s="1"/>
  <c r="S435" i="62"/>
  <c r="S436" i="62"/>
  <c r="S437" i="62"/>
  <c r="S438" i="62"/>
  <c r="S440" i="62"/>
  <c r="S442" i="62"/>
  <c r="S443" i="62"/>
  <c r="S444" i="62"/>
  <c r="S445" i="62"/>
  <c r="S446" i="62"/>
  <c r="S447" i="62"/>
  <c r="S449" i="62"/>
  <c r="S453" i="62"/>
  <c r="S454" i="62"/>
  <c r="S455" i="62"/>
  <c r="S456" i="62"/>
  <c r="S457" i="62" s="1"/>
  <c r="S464" i="62"/>
  <c r="S465" i="62"/>
  <c r="S466" i="62"/>
  <c r="S467" i="62"/>
  <c r="S468" i="62"/>
  <c r="S469" i="62"/>
  <c r="S470" i="62"/>
  <c r="S471" i="62"/>
  <c r="S472" i="62"/>
  <c r="S474" i="62"/>
  <c r="S476" i="62"/>
  <c r="S477" i="62"/>
  <c r="S478" i="62"/>
  <c r="S479" i="62"/>
  <c r="S480" i="62"/>
  <c r="S481" i="62"/>
  <c r="V481" i="62" s="1"/>
  <c r="S482" i="62"/>
  <c r="S483" i="62"/>
  <c r="S484" i="62"/>
  <c r="S485" i="62"/>
  <c r="S486" i="62"/>
  <c r="S487" i="62"/>
  <c r="S488" i="62"/>
  <c r="S489" i="62"/>
  <c r="V489" i="62" s="1"/>
  <c r="S490" i="62"/>
  <c r="S491" i="62"/>
  <c r="S492" i="62"/>
  <c r="S493" i="62"/>
  <c r="S494" i="62"/>
  <c r="S495" i="62"/>
  <c r="S496" i="62"/>
  <c r="S497" i="62"/>
  <c r="V497" i="62" s="1"/>
  <c r="S498" i="62"/>
  <c r="S503" i="62"/>
  <c r="S504" i="62"/>
  <c r="S505" i="62"/>
  <c r="S506" i="62"/>
  <c r="S507" i="62"/>
  <c r="S511" i="62"/>
  <c r="S512" i="62"/>
  <c r="V512" i="62" s="1"/>
  <c r="S513" i="62"/>
  <c r="S514" i="62"/>
  <c r="S515" i="62"/>
  <c r="S516" i="62"/>
  <c r="S517" i="62"/>
  <c r="S518" i="62"/>
  <c r="S519" i="62"/>
  <c r="S520" i="62"/>
  <c r="S521" i="62"/>
  <c r="S522" i="62"/>
  <c r="S523" i="62"/>
  <c r="S526" i="62"/>
  <c r="S527" i="62"/>
  <c r="S528" i="62"/>
  <c r="S529" i="62"/>
  <c r="S530" i="62"/>
  <c r="V530" i="62" s="1"/>
  <c r="S531" i="62"/>
  <c r="S532" i="62"/>
  <c r="S533" i="62"/>
  <c r="S534" i="62"/>
  <c r="S535" i="62"/>
  <c r="S536" i="62"/>
  <c r="S537" i="62"/>
  <c r="S538" i="62"/>
  <c r="S539" i="62"/>
  <c r="S540" i="62"/>
  <c r="S543" i="62"/>
  <c r="S544" i="62"/>
  <c r="V544" i="62"/>
  <c r="S545" i="62"/>
  <c r="V545" i="62"/>
  <c r="S548" i="62"/>
  <c r="S549" i="62"/>
  <c r="S550" i="62"/>
  <c r="S551" i="62"/>
  <c r="S552" i="62"/>
  <c r="S553" i="62"/>
  <c r="S554" i="62"/>
  <c r="S557" i="62"/>
  <c r="S558" i="62"/>
  <c r="X558" i="62" s="1"/>
  <c r="S559" i="62"/>
  <c r="S560" i="62"/>
  <c r="S561" i="62"/>
  <c r="S562" i="62"/>
  <c r="S563" i="62"/>
  <c r="S564" i="62"/>
  <c r="S565" i="62"/>
  <c r="S566" i="62"/>
  <c r="V566" i="62" s="1"/>
  <c r="S567" i="62"/>
  <c r="S568" i="62"/>
  <c r="S569" i="62"/>
  <c r="V569" i="62" s="1"/>
  <c r="S570" i="62"/>
  <c r="V570" i="62" s="1"/>
  <c r="S571" i="62"/>
  <c r="S572" i="62"/>
  <c r="X572" i="62" s="1"/>
  <c r="S573" i="62"/>
  <c r="S574" i="62"/>
  <c r="S575" i="62"/>
  <c r="S576" i="62"/>
  <c r="S577" i="62"/>
  <c r="S578" i="62"/>
  <c r="S579" i="62"/>
  <c r="S580" i="62"/>
  <c r="S590" i="62"/>
  <c r="S591" i="62"/>
  <c r="S592" i="62"/>
  <c r="S593" i="62"/>
  <c r="S594" i="62"/>
  <c r="AB594" i="62" s="1"/>
  <c r="S595" i="62"/>
  <c r="S596" i="62"/>
  <c r="AB596" i="62" s="1"/>
  <c r="S597" i="62"/>
  <c r="AB597" i="62" s="1"/>
  <c r="S598" i="62"/>
  <c r="S599" i="62"/>
  <c r="AB599" i="62" s="1"/>
  <c r="S600" i="62"/>
  <c r="S601" i="62"/>
  <c r="S602" i="62"/>
  <c r="X602" i="62" s="1"/>
  <c r="S603" i="62"/>
  <c r="S604" i="62"/>
  <c r="AB604" i="62"/>
  <c r="S605" i="62"/>
  <c r="S606" i="62"/>
  <c r="AB606" i="62"/>
  <c r="S607" i="62"/>
  <c r="S608" i="62"/>
  <c r="S609" i="62"/>
  <c r="AB609" i="62" s="1"/>
  <c r="S610" i="62"/>
  <c r="AD610" i="62" s="1"/>
  <c r="AF610" i="62" s="1"/>
  <c r="S617" i="62"/>
  <c r="S618" i="62"/>
  <c r="S619" i="62"/>
  <c r="S620" i="62"/>
  <c r="S621" i="62"/>
  <c r="S622" i="62"/>
  <c r="S623" i="62"/>
  <c r="S624" i="62"/>
  <c r="S625" i="62"/>
  <c r="S626" i="62"/>
  <c r="S627" i="62"/>
  <c r="S628" i="62"/>
  <c r="S629" i="62"/>
  <c r="S630" i="62"/>
  <c r="S631" i="62"/>
  <c r="S632" i="62"/>
  <c r="S633" i="62"/>
  <c r="S634" i="62"/>
  <c r="S635" i="62"/>
  <c r="S636" i="62"/>
  <c r="S637" i="62"/>
  <c r="S638" i="62"/>
  <c r="S639" i="62"/>
  <c r="S640" i="62"/>
  <c r="S641" i="62"/>
  <c r="S642" i="62"/>
  <c r="S643" i="62"/>
  <c r="S644" i="62"/>
  <c r="S645" i="62"/>
  <c r="S646" i="62"/>
  <c r="S647" i="62"/>
  <c r="S648" i="62"/>
  <c r="S649" i="62"/>
  <c r="S652" i="62"/>
  <c r="S653" i="62"/>
  <c r="S654" i="62"/>
  <c r="S655" i="62"/>
  <c r="S656" i="62"/>
  <c r="S657" i="62"/>
  <c r="S658" i="62"/>
  <c r="S659" i="62"/>
  <c r="S660" i="62"/>
  <c r="S661" i="62"/>
  <c r="S664" i="62"/>
  <c r="S665" i="62"/>
  <c r="S666" i="62"/>
  <c r="S667" i="62"/>
  <c r="S668" i="62"/>
  <c r="S671" i="62"/>
  <c r="S672" i="62"/>
  <c r="S673" i="62"/>
  <c r="S674" i="62"/>
  <c r="S675" i="62"/>
  <c r="S676" i="62"/>
  <c r="S677" i="62"/>
  <c r="S678" i="62"/>
  <c r="S679" i="62"/>
  <c r="S680" i="62"/>
  <c r="AC680" i="62" s="1"/>
  <c r="S681" i="62"/>
  <c r="S682" i="62"/>
  <c r="S684" i="62"/>
  <c r="S688" i="62"/>
  <c r="S689" i="62"/>
  <c r="AC689" i="62" s="1"/>
  <c r="S690" i="62"/>
  <c r="S691" i="62"/>
  <c r="S692" i="62"/>
  <c r="S693" i="62"/>
  <c r="S694" i="62"/>
  <c r="S695" i="62"/>
  <c r="S696" i="62"/>
  <c r="S697" i="62"/>
  <c r="AC697" i="62" s="1"/>
  <c r="S615" i="62"/>
  <c r="S20" i="62"/>
  <c r="S330" i="62"/>
  <c r="S32" i="62"/>
  <c r="AB271" i="62"/>
  <c r="X271" i="62"/>
  <c r="S371" i="62"/>
  <c r="AB186" i="62"/>
  <c r="X186" i="62"/>
  <c r="Y199" i="62"/>
  <c r="X193" i="62"/>
  <c r="AB193" i="62"/>
  <c r="X185" i="62"/>
  <c r="X190" i="62"/>
  <c r="AB190" i="62"/>
  <c r="X198" i="62"/>
  <c r="Y198" i="62"/>
  <c r="X192" i="62"/>
  <c r="Z192" i="62"/>
  <c r="AB184" i="62"/>
  <c r="X184" i="62"/>
  <c r="X191" i="62"/>
  <c r="Z191" i="62" s="1"/>
  <c r="AB183" i="62"/>
  <c r="X183" i="62"/>
  <c r="AC696" i="62"/>
  <c r="AC695" i="62"/>
  <c r="AC694" i="62"/>
  <c r="AC693" i="62"/>
  <c r="AC691" i="62"/>
  <c r="AC690" i="62"/>
  <c r="AC688" i="62"/>
  <c r="AC684" i="62"/>
  <c r="AC682" i="62"/>
  <c r="AC681" i="62"/>
  <c r="AC679" i="62"/>
  <c r="AC678" i="62"/>
  <c r="AC677" i="62"/>
  <c r="AC676" i="62"/>
  <c r="AC675" i="62"/>
  <c r="AC674" i="62"/>
  <c r="AC673" i="62"/>
  <c r="AC671" i="62"/>
  <c r="AC668" i="62"/>
  <c r="AC667" i="62"/>
  <c r="AC666" i="62"/>
  <c r="AC665" i="62"/>
  <c r="AC664" i="62"/>
  <c r="AC661" i="62"/>
  <c r="AC659" i="62"/>
  <c r="AC658" i="62"/>
  <c r="AC657" i="62"/>
  <c r="AC656" i="62"/>
  <c r="AC655" i="62"/>
  <c r="AC654" i="62"/>
  <c r="AC653" i="62"/>
  <c r="AC649" i="62"/>
  <c r="AC648" i="62"/>
  <c r="AC647" i="62"/>
  <c r="AC646" i="62"/>
  <c r="AC645" i="62"/>
  <c r="AC644" i="62"/>
  <c r="AC643" i="62"/>
  <c r="AC641" i="62"/>
  <c r="AC640" i="62"/>
  <c r="AC639" i="62"/>
  <c r="AC638" i="62"/>
  <c r="AC637" i="62"/>
  <c r="AC636" i="62"/>
  <c r="AC635" i="62"/>
  <c r="AC633" i="62"/>
  <c r="AC632" i="62"/>
  <c r="AC631" i="62"/>
  <c r="AC630" i="62"/>
  <c r="AC629" i="62"/>
  <c r="AC628" i="62"/>
  <c r="AC627" i="62"/>
  <c r="AC625" i="62"/>
  <c r="AC624" i="62"/>
  <c r="AC623" i="62"/>
  <c r="AC622" i="62"/>
  <c r="AC621" i="62"/>
  <c r="AC620" i="62"/>
  <c r="AC619" i="62"/>
  <c r="AC617" i="62"/>
  <c r="AB602" i="62"/>
  <c r="AF697" i="62"/>
  <c r="AF696" i="62"/>
  <c r="AF695" i="62"/>
  <c r="AF694" i="62"/>
  <c r="AF693" i="62"/>
  <c r="AF692" i="62"/>
  <c r="AF691" i="62"/>
  <c r="AF690" i="62"/>
  <c r="AF689" i="62"/>
  <c r="AF688" i="62"/>
  <c r="AF686" i="62"/>
  <c r="AF685" i="62"/>
  <c r="AF684" i="62"/>
  <c r="AF682" i="62"/>
  <c r="AF681" i="62"/>
  <c r="AF680" i="62"/>
  <c r="AF679" i="62"/>
  <c r="AF678" i="62"/>
  <c r="AF677" i="62"/>
  <c r="AF676" i="62"/>
  <c r="AF675" i="62"/>
  <c r="AF674" i="62"/>
  <c r="AF673" i="62"/>
  <c r="AF672" i="62"/>
  <c r="AF671" i="62"/>
  <c r="AF668" i="62"/>
  <c r="AF667" i="62"/>
  <c r="AF666" i="62"/>
  <c r="AF665" i="62"/>
  <c r="AF664" i="62"/>
  <c r="AF661" i="62"/>
  <c r="AF660" i="62"/>
  <c r="AF659" i="62"/>
  <c r="AF658" i="62"/>
  <c r="AF657" i="62"/>
  <c r="AF656" i="62"/>
  <c r="AF655" i="62"/>
  <c r="AF654" i="62"/>
  <c r="AF653" i="62"/>
  <c r="AF652" i="62"/>
  <c r="AF649" i="62"/>
  <c r="AF648" i="62"/>
  <c r="AF647" i="62"/>
  <c r="AF646" i="62"/>
  <c r="AF645" i="62"/>
  <c r="AF644" i="62"/>
  <c r="AF643" i="62"/>
  <c r="AF642" i="62"/>
  <c r="AF641" i="62"/>
  <c r="AF640" i="62"/>
  <c r="AF639" i="62"/>
  <c r="AF638" i="62"/>
  <c r="AF637" i="62"/>
  <c r="AF636" i="62"/>
  <c r="AF635" i="62"/>
  <c r="AF634" i="62"/>
  <c r="AF633" i="62"/>
  <c r="AF632" i="62"/>
  <c r="AF631" i="62"/>
  <c r="AF630" i="62"/>
  <c r="AF629" i="62"/>
  <c r="AF628" i="62"/>
  <c r="AF627" i="62"/>
  <c r="AF626" i="62"/>
  <c r="AF625" i="62"/>
  <c r="AF624" i="62"/>
  <c r="AF623" i="62"/>
  <c r="AF622" i="62"/>
  <c r="AF621" i="62"/>
  <c r="AF620" i="62"/>
  <c r="AF619" i="62"/>
  <c r="AF618" i="62"/>
  <c r="AF617" i="62"/>
  <c r="AF616" i="62"/>
  <c r="AF615" i="62"/>
  <c r="AF603" i="62"/>
  <c r="AF602" i="62"/>
  <c r="AF601" i="62"/>
  <c r="AF600" i="62"/>
  <c r="AF599" i="62"/>
  <c r="AF598" i="62"/>
  <c r="AF597" i="62"/>
  <c r="AF596" i="62"/>
  <c r="AF595" i="62"/>
  <c r="AF594" i="62"/>
  <c r="AF593" i="62"/>
  <c r="AF592" i="62"/>
  <c r="AF591" i="62"/>
  <c r="AF590" i="62"/>
  <c r="AF589" i="62"/>
  <c r="AF588" i="62"/>
  <c r="AF580" i="62"/>
  <c r="AF577" i="62"/>
  <c r="AF576" i="62"/>
  <c r="AF575" i="62"/>
  <c r="AF574" i="62"/>
  <c r="AF573" i="62"/>
  <c r="AF572" i="62"/>
  <c r="AF571" i="62"/>
  <c r="AF561" i="62"/>
  <c r="AF560" i="62"/>
  <c r="AF559" i="62"/>
  <c r="AF558" i="62"/>
  <c r="AF557" i="62"/>
  <c r="AF556" i="62"/>
  <c r="AF554" i="62"/>
  <c r="AF547" i="62"/>
  <c r="AF546" i="62"/>
  <c r="AF532" i="62"/>
  <c r="AF487" i="62"/>
  <c r="AF486" i="62"/>
  <c r="AF485" i="62"/>
  <c r="AF460" i="62"/>
  <c r="AF459" i="62"/>
  <c r="AF458" i="62"/>
  <c r="AF457" i="62"/>
  <c r="AF452" i="62"/>
  <c r="AF451" i="62"/>
  <c r="AF449" i="62"/>
  <c r="AF448" i="62"/>
  <c r="AF447" i="62"/>
  <c r="AF446" i="62"/>
  <c r="AF445" i="62"/>
  <c r="AF444" i="62"/>
  <c r="AF443" i="62"/>
  <c r="AF442" i="62"/>
  <c r="AF426" i="62"/>
  <c r="AF425" i="62"/>
  <c r="AF424" i="62"/>
  <c r="AF420" i="62"/>
  <c r="AF419" i="62"/>
  <c r="AF418" i="62"/>
  <c r="AF416" i="62"/>
  <c r="AF411" i="62"/>
  <c r="AF410" i="62"/>
  <c r="AF409" i="62"/>
  <c r="AF408" i="62"/>
  <c r="AF407" i="62"/>
  <c r="AF406" i="62"/>
  <c r="AF405" i="62"/>
  <c r="AF404" i="62"/>
  <c r="AF403" i="62"/>
  <c r="AF402" i="62"/>
  <c r="AF401" i="62"/>
  <c r="AF400" i="62"/>
  <c r="AF399" i="62"/>
  <c r="AF398" i="62"/>
  <c r="AF397" i="62"/>
  <c r="AF396" i="62"/>
  <c r="AF395" i="62"/>
  <c r="AF394" i="62"/>
  <c r="AF393" i="62"/>
  <c r="AF392" i="62"/>
  <c r="AF391" i="62"/>
  <c r="AF390" i="62"/>
  <c r="AF389" i="62"/>
  <c r="AF388" i="62"/>
  <c r="AF387" i="62"/>
  <c r="AF386" i="62"/>
  <c r="AF385" i="62"/>
  <c r="AF384" i="62"/>
  <c r="AF383" i="62"/>
  <c r="AF382" i="62"/>
  <c r="AF381" i="62"/>
  <c r="AF380" i="62"/>
  <c r="AF379" i="62"/>
  <c r="AF378" i="62"/>
  <c r="AF377" i="62"/>
  <c r="AF376" i="62"/>
  <c r="AF375" i="62"/>
  <c r="AF374" i="62"/>
  <c r="AF373" i="62"/>
  <c r="AF372" i="62"/>
  <c r="AF371" i="62"/>
  <c r="AF370" i="62"/>
  <c r="AF369" i="62"/>
  <c r="AF368" i="62"/>
  <c r="AF367" i="62"/>
  <c r="AF366" i="62"/>
  <c r="AF365" i="62"/>
  <c r="AF364" i="62"/>
  <c r="AF363" i="62"/>
  <c r="AF362" i="62"/>
  <c r="AF361" i="62"/>
  <c r="AF360" i="62"/>
  <c r="AF359" i="62"/>
  <c r="AF358" i="62"/>
  <c r="AF357" i="62"/>
  <c r="AF356" i="62"/>
  <c r="AF355" i="62"/>
  <c r="AF354" i="62"/>
  <c r="AF353" i="62"/>
  <c r="AF352" i="62"/>
  <c r="AF351" i="62"/>
  <c r="AF350" i="62"/>
  <c r="AF349" i="62"/>
  <c r="AF348" i="62"/>
  <c r="AF347" i="62"/>
  <c r="AF346" i="62"/>
  <c r="AF345" i="62"/>
  <c r="AF344" i="62"/>
  <c r="AF343" i="62"/>
  <c r="AF342" i="62"/>
  <c r="AF341" i="62"/>
  <c r="AF340" i="62"/>
  <c r="AF337" i="62"/>
  <c r="AF334" i="62"/>
  <c r="AF333" i="62"/>
  <c r="AF332" i="62"/>
  <c r="AF331" i="62"/>
  <c r="AF330" i="62"/>
  <c r="AF329" i="62"/>
  <c r="AF328" i="62"/>
  <c r="AF327" i="62"/>
  <c r="AF326" i="62"/>
  <c r="AF325" i="62"/>
  <c r="AF324" i="62"/>
  <c r="AF323" i="62"/>
  <c r="AF322" i="62"/>
  <c r="AF321" i="62"/>
  <c r="AF320" i="62"/>
  <c r="AF319" i="62"/>
  <c r="AF318" i="62"/>
  <c r="AF317" i="62"/>
  <c r="AF316" i="62"/>
  <c r="AF315" i="62"/>
  <c r="AF314" i="62"/>
  <c r="AF313" i="62"/>
  <c r="AF312" i="62"/>
  <c r="AF311" i="62"/>
  <c r="AF310" i="62"/>
  <c r="AF309" i="62"/>
  <c r="AF307" i="62"/>
  <c r="AF306" i="62"/>
  <c r="AF305" i="62"/>
  <c r="AF304" i="62"/>
  <c r="AF303" i="62"/>
  <c r="AF302" i="62"/>
  <c r="AF301" i="62"/>
  <c r="AF300" i="62"/>
  <c r="AF299" i="62"/>
  <c r="AF298" i="62"/>
  <c r="AF294" i="62"/>
  <c r="AF293" i="62"/>
  <c r="AF292" i="62"/>
  <c r="AF291" i="62"/>
  <c r="AF290" i="62"/>
  <c r="AF289" i="62"/>
  <c r="AF287" i="62"/>
  <c r="AF286" i="62"/>
  <c r="AF285" i="62"/>
  <c r="AF284" i="62"/>
  <c r="AF283" i="62"/>
  <c r="AF282" i="62"/>
  <c r="AF277" i="62"/>
  <c r="AF274" i="62"/>
  <c r="AF270" i="62"/>
  <c r="AF269" i="62"/>
  <c r="AF268" i="62"/>
  <c r="AF228" i="62"/>
  <c r="AF227" i="62"/>
  <c r="AF226" i="62"/>
  <c r="AF225" i="62"/>
  <c r="AF224" i="62"/>
  <c r="AF218" i="62"/>
  <c r="AF217" i="62"/>
  <c r="AF216" i="62"/>
  <c r="AF215" i="62"/>
  <c r="AF214" i="62"/>
  <c r="AF213" i="62"/>
  <c r="AF212" i="62"/>
  <c r="AF211" i="62"/>
  <c r="AF210" i="62"/>
  <c r="AF209" i="62"/>
  <c r="AF208" i="62"/>
  <c r="AF207" i="62"/>
  <c r="AF206" i="62"/>
  <c r="AF202" i="62"/>
  <c r="AF201" i="62"/>
  <c r="AF182" i="62"/>
  <c r="AF181" i="62"/>
  <c r="AF170" i="62"/>
  <c r="AF169" i="62"/>
  <c r="AF150" i="62"/>
  <c r="AF149" i="62"/>
  <c r="AF123" i="62"/>
  <c r="AF122" i="62"/>
  <c r="AF121" i="62"/>
  <c r="AF120" i="62"/>
  <c r="AF100" i="62"/>
  <c r="AF99" i="62"/>
  <c r="AF98" i="62"/>
  <c r="AF97" i="62"/>
  <c r="AF96" i="62"/>
  <c r="AF95" i="62"/>
  <c r="AF94" i="62"/>
  <c r="AF93" i="62"/>
  <c r="AF92" i="62"/>
  <c r="AF91" i="62"/>
  <c r="AF90" i="62"/>
  <c r="AF89" i="62"/>
  <c r="AF88" i="62"/>
  <c r="AF87" i="62"/>
  <c r="AF86" i="62"/>
  <c r="AF85" i="62"/>
  <c r="AF82" i="62"/>
  <c r="AF81" i="62"/>
  <c r="AF64" i="62"/>
  <c r="AF63" i="62"/>
  <c r="AF60" i="62"/>
  <c r="AF59" i="62"/>
  <c r="AF47" i="62"/>
  <c r="AF46" i="62"/>
  <c r="AF44" i="62"/>
  <c r="AF43" i="62"/>
  <c r="AF42" i="62"/>
  <c r="AF41" i="62"/>
  <c r="AF40" i="62"/>
  <c r="AF39" i="62"/>
  <c r="AF37" i="62"/>
  <c r="AF36" i="62"/>
  <c r="AF35" i="62"/>
  <c r="AF34" i="62"/>
  <c r="AF33" i="62"/>
  <c r="AF32" i="62"/>
  <c r="AF31" i="62"/>
  <c r="AF30" i="62"/>
  <c r="AF29" i="62"/>
  <c r="AF28" i="62"/>
  <c r="AF27" i="62"/>
  <c r="AF26" i="62"/>
  <c r="AF23" i="62"/>
  <c r="AF22" i="62"/>
  <c r="AF21" i="62"/>
  <c r="AF20" i="62"/>
  <c r="AF19" i="62"/>
  <c r="AF18" i="62"/>
  <c r="AF15" i="62"/>
  <c r="AD48" i="62"/>
  <c r="AB591" i="62"/>
  <c r="AB592" i="62"/>
  <c r="AB577" i="62"/>
  <c r="AB576" i="62"/>
  <c r="AB575" i="62"/>
  <c r="AB574" i="62"/>
  <c r="AB573" i="62"/>
  <c r="AB572" i="62"/>
  <c r="AB571" i="62"/>
  <c r="AB568" i="62"/>
  <c r="AB567" i="62"/>
  <c r="X577" i="62"/>
  <c r="X576" i="62"/>
  <c r="X575" i="62"/>
  <c r="X574" i="62"/>
  <c r="X573" i="62"/>
  <c r="X571" i="62"/>
  <c r="X568" i="62"/>
  <c r="X567" i="62"/>
  <c r="AC386" i="62"/>
  <c r="AC383" i="62"/>
  <c r="AC381" i="62"/>
  <c r="AC380" i="62"/>
  <c r="AC379" i="62"/>
  <c r="AC378" i="62"/>
  <c r="AC377" i="62"/>
  <c r="AC376" i="62"/>
  <c r="AC375" i="62"/>
  <c r="AC370" i="62"/>
  <c r="AC369" i="62"/>
  <c r="AC368" i="62"/>
  <c r="AC367" i="62"/>
  <c r="AC366" i="62"/>
  <c r="AC365" i="62"/>
  <c r="AC364" i="62"/>
  <c r="AC362" i="62"/>
  <c r="AC361" i="62"/>
  <c r="AC360" i="62"/>
  <c r="AC359" i="62"/>
  <c r="AC358" i="62"/>
  <c r="AC357" i="62"/>
  <c r="AC356" i="62"/>
  <c r="AC354" i="62"/>
  <c r="AC353" i="62"/>
  <c r="AC352" i="62"/>
  <c r="AC351" i="62"/>
  <c r="AC350" i="62"/>
  <c r="AC347" i="62"/>
  <c r="AC346" i="62"/>
  <c r="AC344" i="62"/>
  <c r="AC343" i="62"/>
  <c r="AC342" i="62"/>
  <c r="AC341" i="62"/>
  <c r="AC340" i="62"/>
  <c r="AC337" i="62"/>
  <c r="AC334" i="62"/>
  <c r="AC333" i="62"/>
  <c r="AC329" i="62"/>
  <c r="AC328" i="62"/>
  <c r="AC327" i="62"/>
  <c r="AC324" i="62"/>
  <c r="AC323" i="62"/>
  <c r="AC322" i="62"/>
  <c r="AC321" i="62"/>
  <c r="AC319" i="62"/>
  <c r="AC318" i="62"/>
  <c r="AC317" i="62"/>
  <c r="AC316" i="62"/>
  <c r="AC315" i="62"/>
  <c r="AC314" i="62"/>
  <c r="AC313" i="62"/>
  <c r="AC311" i="62"/>
  <c r="AC310" i="62"/>
  <c r="AC309" i="62"/>
  <c r="AC307" i="62"/>
  <c r="AC306" i="62"/>
  <c r="AC303" i="62"/>
  <c r="AC302" i="62"/>
  <c r="AC301" i="62"/>
  <c r="AC300" i="62"/>
  <c r="AD276" i="62"/>
  <c r="AD275" i="62"/>
  <c r="U276" i="62"/>
  <c r="AF276" i="62" s="1"/>
  <c r="U275" i="62"/>
  <c r="U273" i="62"/>
  <c r="U272" i="62"/>
  <c r="AF275" i="62"/>
  <c r="AC92" i="58"/>
  <c r="W680" i="62"/>
  <c r="W681" i="62"/>
  <c r="X85" i="62"/>
  <c r="W689" i="62"/>
  <c r="W666" i="62"/>
  <c r="W667" i="62"/>
  <c r="W668" i="62"/>
  <c r="X599" i="62"/>
  <c r="V549" i="62"/>
  <c r="V550" i="62"/>
  <c r="AD550" i="62" s="1"/>
  <c r="X551" i="62"/>
  <c r="X552" i="62"/>
  <c r="AB552" i="62" s="1"/>
  <c r="AF552" i="62" s="1"/>
  <c r="X553" i="62"/>
  <c r="X557" i="62"/>
  <c r="X559" i="62"/>
  <c r="X560" i="62"/>
  <c r="X561" i="62"/>
  <c r="AB553" i="62"/>
  <c r="AF553" i="62" s="1"/>
  <c r="AB551" i="62"/>
  <c r="AF551" i="62" s="1"/>
  <c r="X554" i="62"/>
  <c r="X597" i="62"/>
  <c r="X593" i="62"/>
  <c r="X594" i="62"/>
  <c r="X592" i="62"/>
  <c r="X598" i="62"/>
  <c r="Z598" i="62" s="1"/>
  <c r="X595" i="62"/>
  <c r="X591" i="62"/>
  <c r="V518" i="62"/>
  <c r="V519" i="62"/>
  <c r="V520" i="62"/>
  <c r="AD520" i="62" s="1"/>
  <c r="V521" i="62"/>
  <c r="AF521" i="62" s="1"/>
  <c r="V522" i="62"/>
  <c r="V523" i="62"/>
  <c r="V526" i="62"/>
  <c r="AF526" i="62" s="1"/>
  <c r="V527" i="62"/>
  <c r="AD527" i="62" s="1"/>
  <c r="V454" i="62"/>
  <c r="AD518" i="62"/>
  <c r="AF518" i="62"/>
  <c r="AD523" i="62"/>
  <c r="AF523" i="62" s="1"/>
  <c r="AD454" i="62"/>
  <c r="AF454" i="62" s="1"/>
  <c r="AD521" i="62"/>
  <c r="AD519" i="62"/>
  <c r="AF519" i="62"/>
  <c r="AD522" i="62"/>
  <c r="AF522" i="62" s="1"/>
  <c r="AD526" i="62"/>
  <c r="AF520" i="62"/>
  <c r="W377" i="62"/>
  <c r="W360" i="62"/>
  <c r="W361" i="62"/>
  <c r="W362" i="62"/>
  <c r="W364" i="62"/>
  <c r="W365" i="62"/>
  <c r="W366" i="62"/>
  <c r="W367" i="62"/>
  <c r="W368" i="62"/>
  <c r="W369" i="62"/>
  <c r="U264" i="62"/>
  <c r="AB276" i="62"/>
  <c r="X277" i="62"/>
  <c r="AB277" i="62"/>
  <c r="X282" i="62"/>
  <c r="AB282" i="62" s="1"/>
  <c r="X283" i="62"/>
  <c r="AB283" i="62" s="1"/>
  <c r="X284" i="62"/>
  <c r="AB284" i="62" s="1"/>
  <c r="X285" i="62"/>
  <c r="AB285" i="62"/>
  <c r="X287" i="62"/>
  <c r="AB287" i="62" s="1"/>
  <c r="AB288" i="62"/>
  <c r="X289" i="62"/>
  <c r="AB289" i="62"/>
  <c r="X290" i="62"/>
  <c r="AB290" i="62" s="1"/>
  <c r="X291" i="62"/>
  <c r="AB291" i="62" s="1"/>
  <c r="X269" i="62"/>
  <c r="AB269" i="62"/>
  <c r="U187" i="62"/>
  <c r="U188" i="62"/>
  <c r="AF188" i="62" s="1"/>
  <c r="U194" i="62"/>
  <c r="U195" i="62"/>
  <c r="AF195" i="62" s="1"/>
  <c r="U156" i="62"/>
  <c r="U158" i="62"/>
  <c r="U139" i="62"/>
  <c r="AD139" i="62" s="1"/>
  <c r="U140" i="62"/>
  <c r="U48" i="62"/>
  <c r="AD198" i="62"/>
  <c r="AF198" i="62" s="1"/>
  <c r="AD188" i="62"/>
  <c r="AD189" i="62"/>
  <c r="AF189" i="62"/>
  <c r="AD199" i="62"/>
  <c r="AF199" i="62" s="1"/>
  <c r="AD193" i="62"/>
  <c r="AF193" i="62" s="1"/>
  <c r="AD158" i="62"/>
  <c r="AF158" i="62"/>
  <c r="AD192" i="62"/>
  <c r="AF192" i="62" s="1"/>
  <c r="AD195" i="62"/>
  <c r="AD191" i="62"/>
  <c r="AF191" i="62"/>
  <c r="AD156" i="62"/>
  <c r="AF156" i="62" s="1"/>
  <c r="AD194" i="62"/>
  <c r="AF194" i="62"/>
  <c r="AD190" i="62"/>
  <c r="AF190" i="62" s="1"/>
  <c r="AD186" i="62"/>
  <c r="AF186" i="62" s="1"/>
  <c r="X201" i="62"/>
  <c r="AB201" i="62"/>
  <c r="AX31" i="59"/>
  <c r="AX32" i="59"/>
  <c r="AX33" i="59"/>
  <c r="AX34" i="59"/>
  <c r="AX35" i="59"/>
  <c r="AX36" i="59"/>
  <c r="AX19" i="59"/>
  <c r="AX20" i="59"/>
  <c r="AX21" i="59"/>
  <c r="AW72" i="59"/>
  <c r="J73" i="59"/>
  <c r="J79" i="59" s="1"/>
  <c r="J63" i="59"/>
  <c r="J78" i="59" s="1"/>
  <c r="M63" i="59"/>
  <c r="M78" i="59" s="1"/>
  <c r="P63" i="59"/>
  <c r="P78" i="59"/>
  <c r="S63" i="59"/>
  <c r="S78" i="59" s="1"/>
  <c r="V63" i="59"/>
  <c r="V78" i="59" s="1"/>
  <c r="Y63" i="59"/>
  <c r="Y78" i="59" s="1"/>
  <c r="AB63" i="59"/>
  <c r="AB78" i="59"/>
  <c r="AE63" i="59"/>
  <c r="AE78" i="59" s="1"/>
  <c r="AE80" i="59" s="1"/>
  <c r="AH63" i="59"/>
  <c r="AH78" i="59" s="1"/>
  <c r="AK63" i="59"/>
  <c r="AK78" i="59" s="1"/>
  <c r="AN63" i="59"/>
  <c r="AN78" i="59"/>
  <c r="AQ63" i="59"/>
  <c r="AQ78" i="59" s="1"/>
  <c r="AT63" i="59"/>
  <c r="AT78" i="59" s="1"/>
  <c r="AW55" i="59"/>
  <c r="AW56" i="59"/>
  <c r="AW57" i="59"/>
  <c r="AW58" i="59"/>
  <c r="AW63" i="59" s="1"/>
  <c r="AW59" i="59"/>
  <c r="AW60" i="59"/>
  <c r="AW61" i="59"/>
  <c r="AW62" i="59"/>
  <c r="AW65" i="59"/>
  <c r="AW66" i="59"/>
  <c r="AW67" i="59"/>
  <c r="AW68" i="59"/>
  <c r="AW69" i="59"/>
  <c r="AW70" i="59"/>
  <c r="AW46" i="59"/>
  <c r="AW47" i="59"/>
  <c r="AW48" i="59"/>
  <c r="AW49" i="59"/>
  <c r="AW50" i="59"/>
  <c r="AW51" i="59"/>
  <c r="AW52" i="59"/>
  <c r="P53" i="59"/>
  <c r="P77" i="59"/>
  <c r="S53" i="59"/>
  <c r="S77" i="59"/>
  <c r="V53" i="59"/>
  <c r="V77" i="59"/>
  <c r="Y53" i="59"/>
  <c r="Y77" i="59" s="1"/>
  <c r="Y80" i="59" s="1"/>
  <c r="AB53" i="59"/>
  <c r="AB77" i="59"/>
  <c r="AB80" i="59" s="1"/>
  <c r="AE53" i="59"/>
  <c r="AE77" i="59"/>
  <c r="AH53" i="59"/>
  <c r="AK53" i="59"/>
  <c r="AK77" i="59" s="1"/>
  <c r="AN53" i="59"/>
  <c r="AQ53" i="59"/>
  <c r="AT53" i="59"/>
  <c r="AT77" i="59"/>
  <c r="J53" i="59"/>
  <c r="M53" i="59"/>
  <c r="M77" i="59"/>
  <c r="M80" i="59" s="1"/>
  <c r="H44" i="6"/>
  <c r="I44" i="6" s="1"/>
  <c r="P44" i="6"/>
  <c r="M61" i="31" s="1"/>
  <c r="P88" i="6"/>
  <c r="P89" i="6"/>
  <c r="P90" i="6"/>
  <c r="P91" i="6"/>
  <c r="P92" i="6"/>
  <c r="P93" i="6"/>
  <c r="P94" i="6"/>
  <c r="F169" i="58"/>
  <c r="F168" i="58"/>
  <c r="F163" i="58"/>
  <c r="F162" i="58"/>
  <c r="AF138" i="58"/>
  <c r="AF139" i="58"/>
  <c r="AF140" i="58"/>
  <c r="AF141" i="58"/>
  <c r="AF142" i="58"/>
  <c r="AF143" i="58"/>
  <c r="AF144" i="58"/>
  <c r="AF145" i="58"/>
  <c r="AF146" i="58"/>
  <c r="AF147" i="58"/>
  <c r="AE138" i="58"/>
  <c r="AE139" i="58"/>
  <c r="AE140" i="58"/>
  <c r="AE141" i="58"/>
  <c r="AE142" i="58"/>
  <c r="AE143" i="58"/>
  <c r="AE144" i="58"/>
  <c r="AE145" i="58"/>
  <c r="AE146" i="58"/>
  <c r="AE147" i="58"/>
  <c r="AF89" i="58"/>
  <c r="AF90" i="58"/>
  <c r="AE89" i="58"/>
  <c r="AE90" i="58"/>
  <c r="AF46" i="58"/>
  <c r="AE46" i="58"/>
  <c r="F47" i="58"/>
  <c r="G47" i="58"/>
  <c r="H47" i="58"/>
  <c r="I47" i="58"/>
  <c r="J47" i="58"/>
  <c r="K47" i="58"/>
  <c r="L47" i="58"/>
  <c r="M47" i="58"/>
  <c r="N47" i="58"/>
  <c r="O47" i="58"/>
  <c r="P47" i="58"/>
  <c r="Q47" i="58"/>
  <c r="R47" i="58"/>
  <c r="S47" i="58"/>
  <c r="T47" i="58"/>
  <c r="U47" i="58"/>
  <c r="V47" i="58"/>
  <c r="W47" i="58"/>
  <c r="X47" i="58"/>
  <c r="Y47" i="58"/>
  <c r="Z47" i="58"/>
  <c r="AA47" i="58"/>
  <c r="AB47" i="58"/>
  <c r="AC47" i="58"/>
  <c r="AD47" i="58"/>
  <c r="E47" i="58"/>
  <c r="AY30" i="59"/>
  <c r="AY31" i="59"/>
  <c r="AY32" i="59"/>
  <c r="AY33" i="59"/>
  <c r="AY34" i="59"/>
  <c r="AY35" i="59"/>
  <c r="AY36" i="59"/>
  <c r="AX30" i="59"/>
  <c r="AW35" i="59"/>
  <c r="R5" i="59"/>
  <c r="AB5" i="59" s="1"/>
  <c r="AP5" i="59" s="1"/>
  <c r="R3" i="59"/>
  <c r="AB3" i="59"/>
  <c r="AP3" i="59" s="1"/>
  <c r="R2" i="59"/>
  <c r="AB2" i="59"/>
  <c r="AP2" i="59" s="1"/>
  <c r="B64" i="6"/>
  <c r="B62" i="6"/>
  <c r="B61" i="6"/>
  <c r="B60" i="6"/>
  <c r="B59" i="6"/>
  <c r="B57" i="6"/>
  <c r="B55" i="6"/>
  <c r="B53" i="6"/>
  <c r="B47" i="6"/>
  <c r="H46" i="6"/>
  <c r="H45" i="6"/>
  <c r="H48" i="6"/>
  <c r="H49" i="6"/>
  <c r="F35" i="18"/>
  <c r="F36" i="18"/>
  <c r="F37" i="18"/>
  <c r="F29" i="18"/>
  <c r="F30" i="18"/>
  <c r="F31" i="18"/>
  <c r="F32" i="18"/>
  <c r="F33" i="18"/>
  <c r="F34" i="18"/>
  <c r="F28" i="18"/>
  <c r="E196" i="49"/>
  <c r="G145" i="31"/>
  <c r="G146" i="31"/>
  <c r="G147" i="31"/>
  <c r="G148" i="31"/>
  <c r="G143" i="31"/>
  <c r="F27" i="31"/>
  <c r="G26" i="31"/>
  <c r="AA26" i="31" s="1"/>
  <c r="E27" i="31"/>
  <c r="P87" i="6"/>
  <c r="P86" i="6"/>
  <c r="P85" i="6"/>
  <c r="P84" i="6"/>
  <c r="P83" i="6"/>
  <c r="P82" i="6"/>
  <c r="P81" i="6"/>
  <c r="P111" i="6" s="1"/>
  <c r="P80" i="6"/>
  <c r="P79" i="6"/>
  <c r="P78" i="6"/>
  <c r="P77" i="6"/>
  <c r="P76" i="6"/>
  <c r="P75" i="6"/>
  <c r="N135" i="31"/>
  <c r="M135" i="31"/>
  <c r="N121" i="31"/>
  <c r="N123" i="31" s="1"/>
  <c r="K25" i="4" s="1"/>
  <c r="N107" i="31"/>
  <c r="K24" i="4" s="1"/>
  <c r="M107" i="31"/>
  <c r="J24" i="4" s="1"/>
  <c r="N100" i="31"/>
  <c r="K23" i="4" s="1"/>
  <c r="M100" i="31"/>
  <c r="J23" i="4" s="1"/>
  <c r="N84" i="31"/>
  <c r="N85" i="31" s="1"/>
  <c r="K21" i="4" s="1"/>
  <c r="N72" i="31"/>
  <c r="N51" i="31"/>
  <c r="M51" i="31"/>
  <c r="N37" i="31"/>
  <c r="K18" i="4" s="1"/>
  <c r="M37" i="31"/>
  <c r="J18" i="4" s="1"/>
  <c r="N17" i="31"/>
  <c r="K12" i="4" s="1"/>
  <c r="K15" i="4" s="1"/>
  <c r="M17" i="31"/>
  <c r="J12" i="4" s="1"/>
  <c r="J15" i="4" s="1"/>
  <c r="W697" i="62"/>
  <c r="W696" i="62"/>
  <c r="W695" i="62"/>
  <c r="W694" i="62"/>
  <c r="W693" i="62"/>
  <c r="W691" i="62"/>
  <c r="W690" i="62"/>
  <c r="F685" i="62"/>
  <c r="W684" i="62"/>
  <c r="W682" i="62"/>
  <c r="W679" i="62"/>
  <c r="W678" i="62"/>
  <c r="W677" i="62"/>
  <c r="W676" i="62"/>
  <c r="W675" i="62"/>
  <c r="W674" i="62"/>
  <c r="W673" i="62"/>
  <c r="W671" i="62"/>
  <c r="W665" i="62"/>
  <c r="W664" i="62"/>
  <c r="W661" i="62"/>
  <c r="W659" i="62"/>
  <c r="W658" i="62"/>
  <c r="W657" i="62"/>
  <c r="W656" i="62"/>
  <c r="W655" i="62"/>
  <c r="W654" i="62"/>
  <c r="W653" i="62"/>
  <c r="W649" i="62"/>
  <c r="W648" i="62"/>
  <c r="W647" i="62"/>
  <c r="W646" i="62"/>
  <c r="W645" i="62"/>
  <c r="W644" i="62"/>
  <c r="W643" i="62"/>
  <c r="W641" i="62"/>
  <c r="W640" i="62"/>
  <c r="W639" i="62"/>
  <c r="W638" i="62"/>
  <c r="W637" i="62"/>
  <c r="W636" i="62"/>
  <c r="W635" i="62"/>
  <c r="W633" i="62"/>
  <c r="W632" i="62"/>
  <c r="W631" i="62"/>
  <c r="W630" i="62"/>
  <c r="W629" i="62"/>
  <c r="W628" i="62"/>
  <c r="W627" i="62"/>
  <c r="W625" i="62"/>
  <c r="W624" i="62"/>
  <c r="W623" i="62"/>
  <c r="W622" i="62"/>
  <c r="W621" i="62"/>
  <c r="W620" i="62"/>
  <c r="W619" i="62"/>
  <c r="W617" i="62"/>
  <c r="V610" i="62"/>
  <c r="X609" i="62"/>
  <c r="X608" i="62"/>
  <c r="Z608" i="62"/>
  <c r="V605" i="62"/>
  <c r="V579" i="62"/>
  <c r="V578" i="62"/>
  <c r="AD568" i="62"/>
  <c r="AF568" i="62" s="1"/>
  <c r="AD567" i="62"/>
  <c r="AF567" i="62"/>
  <c r="V565" i="62"/>
  <c r="V564" i="62"/>
  <c r="V563" i="62"/>
  <c r="V562" i="62"/>
  <c r="AD545" i="62"/>
  <c r="AF545" i="62"/>
  <c r="AD544" i="62"/>
  <c r="AF544" i="62" s="1"/>
  <c r="AD543" i="62"/>
  <c r="AF543" i="62" s="1"/>
  <c r="X543" i="62"/>
  <c r="AB543" i="62"/>
  <c r="AD540" i="62"/>
  <c r="AF540" i="62"/>
  <c r="X540" i="62"/>
  <c r="AB540" i="62" s="1"/>
  <c r="AD539" i="62"/>
  <c r="AF539" i="62" s="1"/>
  <c r="X539" i="62"/>
  <c r="AB539" i="62"/>
  <c r="AD538" i="62"/>
  <c r="AF538" i="62"/>
  <c r="X538" i="62"/>
  <c r="AB538" i="62" s="1"/>
  <c r="AD537" i="62"/>
  <c r="AF537" i="62" s="1"/>
  <c r="X537" i="62"/>
  <c r="AB537" i="62"/>
  <c r="AD536" i="62"/>
  <c r="AF536" i="62"/>
  <c r="X536" i="62"/>
  <c r="AB536" i="62" s="1"/>
  <c r="AD535" i="62"/>
  <c r="AF535" i="62" s="1"/>
  <c r="X535" i="62"/>
  <c r="AB535" i="62"/>
  <c r="AD534" i="62"/>
  <c r="AF534" i="62"/>
  <c r="X534" i="62"/>
  <c r="AB534" i="62" s="1"/>
  <c r="AD533" i="62"/>
  <c r="AF533" i="62" s="1"/>
  <c r="X533" i="62"/>
  <c r="AB533" i="62"/>
  <c r="X532" i="62"/>
  <c r="AB532" i="62"/>
  <c r="V531" i="62"/>
  <c r="AD531" i="62" s="1"/>
  <c r="V529" i="62"/>
  <c r="V528" i="62"/>
  <c r="V517" i="62"/>
  <c r="V516" i="62"/>
  <c r="V515" i="62"/>
  <c r="V514" i="62"/>
  <c r="V513" i="62"/>
  <c r="V511" i="62"/>
  <c r="V507" i="62"/>
  <c r="V506" i="62"/>
  <c r="V505" i="62"/>
  <c r="V504" i="62"/>
  <c r="V503" i="62"/>
  <c r="V498" i="62"/>
  <c r="V496" i="62"/>
  <c r="V495" i="62"/>
  <c r="V494" i="62"/>
  <c r="V493" i="62"/>
  <c r="V492" i="62"/>
  <c r="V491" i="62"/>
  <c r="V490" i="62"/>
  <c r="V488" i="62"/>
  <c r="X487" i="62"/>
  <c r="AB487" i="62"/>
  <c r="X486" i="62"/>
  <c r="AB486" i="62" s="1"/>
  <c r="W485" i="62"/>
  <c r="AC485" i="62"/>
  <c r="V484" i="62"/>
  <c r="AD483" i="62"/>
  <c r="AD482" i="62"/>
  <c r="V480" i="62"/>
  <c r="V479" i="62"/>
  <c r="V478" i="62"/>
  <c r="V477" i="62"/>
  <c r="V476" i="62"/>
  <c r="V474" i="62"/>
  <c r="V472" i="62"/>
  <c r="V470" i="62"/>
  <c r="V469" i="62"/>
  <c r="V468" i="62"/>
  <c r="V467" i="62"/>
  <c r="V466" i="62"/>
  <c r="V465" i="62"/>
  <c r="R457" i="62"/>
  <c r="Q457" i="62"/>
  <c r="P457" i="62"/>
  <c r="O457" i="62"/>
  <c r="N457" i="62"/>
  <c r="N459" i="62" s="1"/>
  <c r="M457" i="62"/>
  <c r="L457" i="62"/>
  <c r="K457" i="62"/>
  <c r="J457" i="62"/>
  <c r="I457" i="62"/>
  <c r="H457" i="62"/>
  <c r="G457" i="62"/>
  <c r="F457" i="62"/>
  <c r="F459" i="62" s="1"/>
  <c r="V456" i="62"/>
  <c r="V455" i="62"/>
  <c r="V453" i="62"/>
  <c r="R451" i="62"/>
  <c r="R459" i="62"/>
  <c r="Q451" i="62"/>
  <c r="Q459" i="62" s="1"/>
  <c r="P451" i="62"/>
  <c r="P459" i="62"/>
  <c r="P700" i="62" s="1"/>
  <c r="O451" i="62"/>
  <c r="O459" i="62" s="1"/>
  <c r="N451" i="62"/>
  <c r="M451" i="62"/>
  <c r="M459" i="62" s="1"/>
  <c r="L451" i="62"/>
  <c r="L459" i="62"/>
  <c r="K451" i="62"/>
  <c r="K459" i="62" s="1"/>
  <c r="J451" i="62"/>
  <c r="J459" i="62"/>
  <c r="I451" i="62"/>
  <c r="I459" i="62" s="1"/>
  <c r="H451" i="62"/>
  <c r="H459" i="62"/>
  <c r="H700" i="62" s="1"/>
  <c r="G451" i="62"/>
  <c r="G459" i="62" s="1"/>
  <c r="F451" i="62"/>
  <c r="AB449" i="62"/>
  <c r="X446" i="62"/>
  <c r="AB445" i="62"/>
  <c r="AB444" i="62"/>
  <c r="X442" i="62"/>
  <c r="AD441" i="62"/>
  <c r="AF441" i="62"/>
  <c r="V440" i="62"/>
  <c r="V438" i="62"/>
  <c r="V437" i="62"/>
  <c r="V436" i="62"/>
  <c r="V435" i="62"/>
  <c r="V433" i="62"/>
  <c r="V432" i="62"/>
  <c r="V431" i="62"/>
  <c r="V430" i="62"/>
  <c r="V429" i="62"/>
  <c r="V428" i="62"/>
  <c r="V427" i="62"/>
  <c r="AC424" i="62"/>
  <c r="R419" i="62"/>
  <c r="Q419" i="62"/>
  <c r="P419" i="62"/>
  <c r="O419" i="62"/>
  <c r="N419" i="62"/>
  <c r="M419" i="62"/>
  <c r="L419" i="62"/>
  <c r="K419" i="62"/>
  <c r="J419" i="62"/>
  <c r="I419" i="62"/>
  <c r="H419" i="62"/>
  <c r="G419" i="62"/>
  <c r="F419" i="62"/>
  <c r="AD416" i="62"/>
  <c r="AC410" i="62"/>
  <c r="AC409" i="62"/>
  <c r="AC408" i="62"/>
  <c r="AC405" i="62"/>
  <c r="AC404" i="62"/>
  <c r="AC402" i="62"/>
  <c r="AC401" i="62"/>
  <c r="R399" i="62"/>
  <c r="Q399" i="62"/>
  <c r="P399" i="62"/>
  <c r="O399" i="62"/>
  <c r="N399" i="62"/>
  <c r="M399" i="62"/>
  <c r="L399" i="62"/>
  <c r="K399" i="62"/>
  <c r="J399" i="62"/>
  <c r="I399" i="62"/>
  <c r="H399" i="62"/>
  <c r="G399" i="62"/>
  <c r="F399" i="62"/>
  <c r="AC397" i="62"/>
  <c r="AC394" i="62"/>
  <c r="AC392" i="62"/>
  <c r="R387" i="62"/>
  <c r="Q387" i="62"/>
  <c r="P387" i="62"/>
  <c r="O387" i="62"/>
  <c r="N387" i="62"/>
  <c r="M387" i="62"/>
  <c r="L387" i="62"/>
  <c r="K387" i="62"/>
  <c r="J387" i="62"/>
  <c r="I387" i="62"/>
  <c r="H387" i="62"/>
  <c r="G387" i="62"/>
  <c r="F387" i="62"/>
  <c r="R384" i="62"/>
  <c r="Q384" i="62"/>
  <c r="P384" i="62"/>
  <c r="O384" i="62"/>
  <c r="N384" i="62"/>
  <c r="M384" i="62"/>
  <c r="L384" i="62"/>
  <c r="K384" i="62"/>
  <c r="J384" i="62"/>
  <c r="I384" i="62"/>
  <c r="H384" i="62"/>
  <c r="G384" i="62"/>
  <c r="F384" i="62"/>
  <c r="W383" i="62"/>
  <c r="W381" i="62"/>
  <c r="W380" i="62"/>
  <c r="W379" i="62"/>
  <c r="W378" i="62"/>
  <c r="W376" i="62"/>
  <c r="R371" i="62"/>
  <c r="Q371" i="62"/>
  <c r="P371" i="62"/>
  <c r="O371" i="62"/>
  <c r="N371" i="62"/>
  <c r="M371" i="62"/>
  <c r="L371" i="62"/>
  <c r="K371" i="62"/>
  <c r="J371" i="62"/>
  <c r="I371" i="62"/>
  <c r="H371" i="62"/>
  <c r="G371" i="62"/>
  <c r="F371" i="62"/>
  <c r="W370" i="62"/>
  <c r="W359" i="62"/>
  <c r="W358" i="62"/>
  <c r="W357" i="62"/>
  <c r="W356" i="62"/>
  <c r="W354" i="62"/>
  <c r="W353" i="62"/>
  <c r="W352" i="62"/>
  <c r="W351" i="62"/>
  <c r="W350" i="62"/>
  <c r="R348" i="62"/>
  <c r="Q348" i="62"/>
  <c r="P348" i="62"/>
  <c r="O348" i="62"/>
  <c r="N348" i="62"/>
  <c r="M348" i="62"/>
  <c r="L348" i="62"/>
  <c r="K348" i="62"/>
  <c r="J348" i="62"/>
  <c r="I348" i="62"/>
  <c r="H348" i="62"/>
  <c r="G348" i="62"/>
  <c r="F348" i="62"/>
  <c r="W347" i="62"/>
  <c r="W346" i="62"/>
  <c r="W344" i="62"/>
  <c r="W343" i="62"/>
  <c r="W342" i="62"/>
  <c r="W341" i="62"/>
  <c r="W340" i="62"/>
  <c r="W337" i="62"/>
  <c r="W334" i="62"/>
  <c r="R330" i="62"/>
  <c r="Q330" i="62"/>
  <c r="P330" i="62"/>
  <c r="O330" i="62"/>
  <c r="N330" i="62"/>
  <c r="M330" i="62"/>
  <c r="L330" i="62"/>
  <c r="K330" i="62"/>
  <c r="J330" i="62"/>
  <c r="I330" i="62"/>
  <c r="H330" i="62"/>
  <c r="G330" i="62"/>
  <c r="F330" i="62"/>
  <c r="W329" i="62"/>
  <c r="W328" i="62"/>
  <c r="W327" i="62"/>
  <c r="W324" i="62"/>
  <c r="W323" i="62"/>
  <c r="W322" i="62"/>
  <c r="W321" i="62"/>
  <c r="W319" i="62"/>
  <c r="W318" i="62"/>
  <c r="W317" i="62"/>
  <c r="W316" i="62"/>
  <c r="W315" i="62"/>
  <c r="W314" i="62"/>
  <c r="W313" i="62"/>
  <c r="W311" i="62"/>
  <c r="W309" i="62"/>
  <c r="W307" i="62"/>
  <c r="W306" i="62"/>
  <c r="R304" i="62"/>
  <c r="Q304" i="62"/>
  <c r="P304" i="62"/>
  <c r="O304" i="62"/>
  <c r="N304" i="62"/>
  <c r="M304" i="62"/>
  <c r="L304" i="62"/>
  <c r="K304" i="62"/>
  <c r="J304" i="62"/>
  <c r="I304" i="62"/>
  <c r="H304" i="62"/>
  <c r="G304" i="62"/>
  <c r="F304" i="62"/>
  <c r="W303" i="62"/>
  <c r="W302" i="62"/>
  <c r="W301" i="62"/>
  <c r="AB294" i="62"/>
  <c r="AB293" i="62"/>
  <c r="AB274" i="62"/>
  <c r="AD272" i="62"/>
  <c r="AF272" i="62"/>
  <c r="AF271" i="62"/>
  <c r="X268" i="62"/>
  <c r="U266" i="62"/>
  <c r="AD264" i="62"/>
  <c r="AF264" i="62"/>
  <c r="U263" i="62"/>
  <c r="U262" i="62"/>
  <c r="U261" i="62"/>
  <c r="U260" i="62"/>
  <c r="U258" i="62"/>
  <c r="U257" i="62"/>
  <c r="U256" i="62"/>
  <c r="U255" i="62"/>
  <c r="U254" i="62"/>
  <c r="U253" i="62"/>
  <c r="U252" i="62"/>
  <c r="U250" i="62"/>
  <c r="U249" i="62"/>
  <c r="U248" i="62"/>
  <c r="U247" i="62"/>
  <c r="U246" i="62"/>
  <c r="U245" i="62"/>
  <c r="U244" i="62"/>
  <c r="U234" i="62"/>
  <c r="U233" i="62"/>
  <c r="U232" i="62"/>
  <c r="U229" i="62"/>
  <c r="AD229" i="62" s="1"/>
  <c r="AF229" i="62" s="1"/>
  <c r="R227" i="62"/>
  <c r="Q227" i="62"/>
  <c r="P227" i="62"/>
  <c r="O227" i="62"/>
  <c r="N227" i="62"/>
  <c r="M227" i="62"/>
  <c r="L227" i="62"/>
  <c r="K227" i="62"/>
  <c r="J227" i="62"/>
  <c r="I227" i="62"/>
  <c r="H227" i="62"/>
  <c r="G227" i="62"/>
  <c r="F227" i="62"/>
  <c r="AC226" i="62"/>
  <c r="R224" i="62"/>
  <c r="Q224" i="62"/>
  <c r="P224" i="62"/>
  <c r="O224" i="62"/>
  <c r="N224" i="62"/>
  <c r="M224" i="62"/>
  <c r="L224" i="62"/>
  <c r="K224" i="62"/>
  <c r="J224" i="62"/>
  <c r="I224" i="62"/>
  <c r="H224" i="62"/>
  <c r="G224" i="62"/>
  <c r="F224" i="62"/>
  <c r="AC218" i="62"/>
  <c r="AC216" i="62"/>
  <c r="AC215" i="62"/>
  <c r="AC214" i="62"/>
  <c r="AC212" i="62"/>
  <c r="AC211" i="62"/>
  <c r="AC210" i="62"/>
  <c r="AC208" i="62"/>
  <c r="AC207" i="62"/>
  <c r="U200" i="62"/>
  <c r="AF200" i="62"/>
  <c r="R181" i="62"/>
  <c r="Q181" i="62"/>
  <c r="P181" i="62"/>
  <c r="O181" i="62"/>
  <c r="N181" i="62"/>
  <c r="M181" i="62"/>
  <c r="L181" i="62"/>
  <c r="K181" i="62"/>
  <c r="J181" i="62"/>
  <c r="I181" i="62"/>
  <c r="H181" i="62"/>
  <c r="G181" i="62"/>
  <c r="F181" i="62"/>
  <c r="U180" i="62"/>
  <c r="U178" i="62"/>
  <c r="U177" i="62"/>
  <c r="U176" i="62"/>
  <c r="U175" i="62"/>
  <c r="U174" i="62"/>
  <c r="U173" i="62"/>
  <c r="U166" i="62"/>
  <c r="U165" i="62"/>
  <c r="U164" i="62"/>
  <c r="U163" i="62"/>
  <c r="AD163" i="62" s="1"/>
  <c r="U162" i="62"/>
  <c r="AD162" i="62" s="1"/>
  <c r="U161" i="62"/>
  <c r="U160" i="62"/>
  <c r="U159" i="62"/>
  <c r="U155" i="62"/>
  <c r="U154" i="62"/>
  <c r="U153" i="62"/>
  <c r="U152" i="62"/>
  <c r="AF152" i="62" s="1"/>
  <c r="R149" i="62"/>
  <c r="Q149" i="62"/>
  <c r="P149" i="62"/>
  <c r="O149" i="62"/>
  <c r="N149" i="62"/>
  <c r="M149" i="62"/>
  <c r="L149" i="62"/>
  <c r="K149" i="62"/>
  <c r="J149" i="62"/>
  <c r="I149" i="62"/>
  <c r="H149" i="62"/>
  <c r="G149" i="62"/>
  <c r="F149" i="62"/>
  <c r="U148" i="62"/>
  <c r="U146" i="62"/>
  <c r="AD146" i="62" s="1"/>
  <c r="AF146" i="62" s="1"/>
  <c r="U145" i="62"/>
  <c r="U144" i="62"/>
  <c r="U143" i="62"/>
  <c r="U141" i="62"/>
  <c r="U138" i="62"/>
  <c r="U137" i="62"/>
  <c r="AD137" i="62" s="1"/>
  <c r="AF137" i="62" s="1"/>
  <c r="U136" i="62"/>
  <c r="U135" i="62"/>
  <c r="U134" i="62"/>
  <c r="AD134" i="62" s="1"/>
  <c r="U133" i="62"/>
  <c r="U131" i="62"/>
  <c r="U130" i="62"/>
  <c r="U129" i="62"/>
  <c r="AD129" i="62" s="1"/>
  <c r="AF129" i="62" s="1"/>
  <c r="U128" i="62"/>
  <c r="U127" i="62"/>
  <c r="AF127" i="62" s="1"/>
  <c r="U126" i="62"/>
  <c r="U125" i="62"/>
  <c r="R120" i="62"/>
  <c r="Q120" i="62"/>
  <c r="P120" i="62"/>
  <c r="O120" i="62"/>
  <c r="N120" i="62"/>
  <c r="M120" i="62"/>
  <c r="L120" i="62"/>
  <c r="L122" i="62" s="1"/>
  <c r="K120" i="62"/>
  <c r="J120" i="62"/>
  <c r="I120" i="62"/>
  <c r="H120" i="62"/>
  <c r="G120" i="62"/>
  <c r="F120" i="62"/>
  <c r="U119" i="62"/>
  <c r="AD119" i="62" s="1"/>
  <c r="U118" i="62"/>
  <c r="U116" i="62"/>
  <c r="U115" i="62"/>
  <c r="U114" i="62"/>
  <c r="U111" i="62"/>
  <c r="U110" i="62"/>
  <c r="U108" i="62"/>
  <c r="U107" i="62"/>
  <c r="AD107" i="62" s="1"/>
  <c r="AF107" i="62" s="1"/>
  <c r="U106" i="62"/>
  <c r="U105" i="62"/>
  <c r="U104" i="62"/>
  <c r="U103" i="62"/>
  <c r="AD103" i="62" s="1"/>
  <c r="AF103" i="62" s="1"/>
  <c r="U102" i="62"/>
  <c r="R95" i="62"/>
  <c r="Q95" i="62"/>
  <c r="Q99" i="62" s="1"/>
  <c r="Q122" i="62" s="1"/>
  <c r="P95" i="62"/>
  <c r="O95" i="62"/>
  <c r="N95" i="62"/>
  <c r="M95" i="62"/>
  <c r="L95" i="62"/>
  <c r="K95" i="62"/>
  <c r="J95" i="62"/>
  <c r="I95" i="62"/>
  <c r="I99" i="62" s="1"/>
  <c r="I122" i="62" s="1"/>
  <c r="H95" i="62"/>
  <c r="G95" i="62"/>
  <c r="F95" i="62"/>
  <c r="X94" i="62"/>
  <c r="X93" i="62"/>
  <c r="X92" i="62"/>
  <c r="X91" i="62"/>
  <c r="X90" i="62"/>
  <c r="X88" i="62"/>
  <c r="U84" i="62"/>
  <c r="AF84" i="62"/>
  <c r="U75" i="62"/>
  <c r="AD75" i="62" s="1"/>
  <c r="AF75" i="62" s="1"/>
  <c r="U74" i="62"/>
  <c r="U72" i="62"/>
  <c r="U71" i="62"/>
  <c r="U70" i="62"/>
  <c r="U69" i="62"/>
  <c r="U68" i="62"/>
  <c r="U67" i="62"/>
  <c r="AD67" i="62" s="1"/>
  <c r="AF67" i="62" s="1"/>
  <c r="U66" i="62"/>
  <c r="R63" i="62"/>
  <c r="Q63" i="62"/>
  <c r="P63" i="62"/>
  <c r="O63" i="62"/>
  <c r="N63" i="62"/>
  <c r="M63" i="62"/>
  <c r="L63" i="62"/>
  <c r="K63" i="62"/>
  <c r="J63" i="62"/>
  <c r="I63" i="62"/>
  <c r="H63" i="62"/>
  <c r="G63" i="62"/>
  <c r="F63" i="62"/>
  <c r="U58" i="62"/>
  <c r="AD58" i="62" s="1"/>
  <c r="AF58" i="62" s="1"/>
  <c r="U57" i="62"/>
  <c r="U56" i="62"/>
  <c r="AD56" i="62" s="1"/>
  <c r="U53" i="62"/>
  <c r="U52" i="62"/>
  <c r="AD52" i="62" s="1"/>
  <c r="AF52" i="62" s="1"/>
  <c r="U51" i="62"/>
  <c r="U50" i="62"/>
  <c r="U49" i="62"/>
  <c r="R46" i="62"/>
  <c r="Q46" i="62"/>
  <c r="P46" i="62"/>
  <c r="O46" i="62"/>
  <c r="N46" i="62"/>
  <c r="M46" i="62"/>
  <c r="L46" i="62"/>
  <c r="K46" i="62"/>
  <c r="J46" i="62"/>
  <c r="I46" i="62"/>
  <c r="H46" i="62"/>
  <c r="G46" i="62"/>
  <c r="F46" i="62"/>
  <c r="AB45" i="62"/>
  <c r="U45" i="62"/>
  <c r="AF45" i="62"/>
  <c r="AB44" i="62"/>
  <c r="X44" i="62"/>
  <c r="AB43" i="62"/>
  <c r="X43" i="62"/>
  <c r="AB42" i="62"/>
  <c r="X42" i="62"/>
  <c r="AB41" i="62"/>
  <c r="F39" i="62"/>
  <c r="S39" i="62"/>
  <c r="U38" i="62"/>
  <c r="AF38" i="62"/>
  <c r="R32" i="62"/>
  <c r="Q32" i="62"/>
  <c r="P32" i="62"/>
  <c r="O32" i="62"/>
  <c r="N32" i="62"/>
  <c r="M32" i="62"/>
  <c r="L32" i="62"/>
  <c r="K32" i="62"/>
  <c r="K34" i="62" s="1"/>
  <c r="K36" i="62" s="1"/>
  <c r="J32" i="62"/>
  <c r="I32" i="62"/>
  <c r="H32" i="62"/>
  <c r="G32" i="62"/>
  <c r="F32" i="62"/>
  <c r="R28" i="62"/>
  <c r="Q28" i="62"/>
  <c r="P28" i="62"/>
  <c r="P34" i="62" s="1"/>
  <c r="P36" i="62" s="1"/>
  <c r="O28" i="62"/>
  <c r="N28" i="62"/>
  <c r="M28" i="62"/>
  <c r="L28" i="62"/>
  <c r="K28" i="62"/>
  <c r="J28" i="62"/>
  <c r="I28" i="62"/>
  <c r="H28" i="62"/>
  <c r="G28" i="62"/>
  <c r="F28" i="62"/>
  <c r="R20" i="62"/>
  <c r="Q20" i="62"/>
  <c r="P20" i="62"/>
  <c r="O20" i="62"/>
  <c r="N20" i="62"/>
  <c r="N36" i="62" s="1"/>
  <c r="M20" i="62"/>
  <c r="L20" i="62"/>
  <c r="K20" i="62"/>
  <c r="J20" i="62"/>
  <c r="I20" i="62"/>
  <c r="H20" i="62"/>
  <c r="G20" i="62"/>
  <c r="G36" i="62" s="1"/>
  <c r="F20" i="62"/>
  <c r="F36" i="62" s="1"/>
  <c r="X19" i="62"/>
  <c r="X18" i="62"/>
  <c r="X15" i="62"/>
  <c r="M28" i="31"/>
  <c r="M53" i="31"/>
  <c r="AD51" i="62"/>
  <c r="AF51" i="62"/>
  <c r="AD115" i="62"/>
  <c r="AF115" i="62"/>
  <c r="AD135" i="62"/>
  <c r="AF135" i="62" s="1"/>
  <c r="AD234" i="62"/>
  <c r="AF234" i="62"/>
  <c r="AD263" i="62"/>
  <c r="AF263" i="62" s="1"/>
  <c r="AD440" i="62"/>
  <c r="AF440" i="62"/>
  <c r="AD496" i="62"/>
  <c r="AF496" i="62"/>
  <c r="AD511" i="62"/>
  <c r="AF511" i="62"/>
  <c r="AD514" i="62"/>
  <c r="AF514" i="62" s="1"/>
  <c r="AD110" i="62"/>
  <c r="AF110" i="62"/>
  <c r="AD143" i="62"/>
  <c r="AF143" i="62"/>
  <c r="AD147" i="62"/>
  <c r="AD153" i="62"/>
  <c r="AF153" i="62"/>
  <c r="AD164" i="62"/>
  <c r="AF164" i="62"/>
  <c r="AD176" i="62"/>
  <c r="AF176" i="62" s="1"/>
  <c r="AD180" i="62"/>
  <c r="AF180" i="62"/>
  <c r="AD185" i="62"/>
  <c r="AF185" i="62"/>
  <c r="AD235" i="62"/>
  <c r="AD239" i="62"/>
  <c r="AF239" i="62"/>
  <c r="AD244" i="62"/>
  <c r="AF244" i="62"/>
  <c r="AD248" i="62"/>
  <c r="AF248" i="62"/>
  <c r="AD252" i="62"/>
  <c r="AF252" i="62" s="1"/>
  <c r="AD256" i="62"/>
  <c r="AF256" i="62"/>
  <c r="AD260" i="62"/>
  <c r="AF260" i="62"/>
  <c r="AD428" i="62"/>
  <c r="AF428" i="62"/>
  <c r="AD432" i="62"/>
  <c r="AF432" i="62" s="1"/>
  <c r="AD436" i="62"/>
  <c r="AF436" i="62"/>
  <c r="AD455" i="62"/>
  <c r="AF455" i="62"/>
  <c r="AD468" i="62"/>
  <c r="AF468" i="62"/>
  <c r="AD472" i="62"/>
  <c r="AF472" i="62" s="1"/>
  <c r="AD493" i="62"/>
  <c r="AF493" i="62"/>
  <c r="AD497" i="62"/>
  <c r="AD505" i="62"/>
  <c r="AF505" i="62"/>
  <c r="AD515" i="62"/>
  <c r="AF515" i="62"/>
  <c r="AD529" i="62"/>
  <c r="AF529" i="62" s="1"/>
  <c r="AD562" i="62"/>
  <c r="AF562" i="62"/>
  <c r="AD109" i="62"/>
  <c r="AD131" i="62"/>
  <c r="AF131" i="62"/>
  <c r="AD159" i="62"/>
  <c r="AF159" i="62"/>
  <c r="AD175" i="62"/>
  <c r="AD184" i="62"/>
  <c r="AF184" i="62"/>
  <c r="AD238" i="62"/>
  <c r="AF238" i="62"/>
  <c r="AD255" i="62"/>
  <c r="AF255" i="62" s="1"/>
  <c r="AD453" i="62"/>
  <c r="AF453" i="62"/>
  <c r="AD480" i="62"/>
  <c r="AF480" i="62"/>
  <c r="AD492" i="62"/>
  <c r="AF492" i="62"/>
  <c r="AD106" i="62"/>
  <c r="AF106" i="62" s="1"/>
  <c r="AD116" i="62"/>
  <c r="AF116" i="62"/>
  <c r="AD136" i="62"/>
  <c r="AF136" i="62"/>
  <c r="AD160" i="62"/>
  <c r="AF160" i="62"/>
  <c r="AD49" i="62"/>
  <c r="AF49" i="62" s="1"/>
  <c r="AD69" i="62"/>
  <c r="AF69" i="62" s="1"/>
  <c r="AD111" i="62"/>
  <c r="AF111" i="62" s="1"/>
  <c r="AD125" i="62"/>
  <c r="AF125" i="62"/>
  <c r="AD133" i="62"/>
  <c r="AF133" i="62" s="1"/>
  <c r="AD144" i="62"/>
  <c r="AF144" i="62"/>
  <c r="AD148" i="62"/>
  <c r="AF148" i="62"/>
  <c r="AD154" i="62"/>
  <c r="AF154" i="62" s="1"/>
  <c r="AD161" i="62"/>
  <c r="AF161" i="62"/>
  <c r="AD165" i="62"/>
  <c r="AF165" i="62"/>
  <c r="AD173" i="62"/>
  <c r="AF173" i="62"/>
  <c r="AD177" i="62"/>
  <c r="AF177" i="62" s="1"/>
  <c r="AD232" i="62"/>
  <c r="AF232" i="62"/>
  <c r="AD236" i="62"/>
  <c r="AF236" i="62"/>
  <c r="AD240" i="62"/>
  <c r="AF240" i="62"/>
  <c r="AD245" i="62"/>
  <c r="AD249" i="62"/>
  <c r="AF249" i="62"/>
  <c r="AD257" i="62"/>
  <c r="AF257" i="62"/>
  <c r="AD266" i="62"/>
  <c r="AF266" i="62"/>
  <c r="AD429" i="62"/>
  <c r="AF429" i="62"/>
  <c r="AD433" i="62"/>
  <c r="AF433" i="62"/>
  <c r="AD437" i="62"/>
  <c r="AF437" i="62" s="1"/>
  <c r="AD465" i="62"/>
  <c r="AF465" i="62"/>
  <c r="AD469" i="62"/>
  <c r="AF469" i="62"/>
  <c r="AD474" i="62"/>
  <c r="AF474" i="62" s="1"/>
  <c r="AD478" i="62"/>
  <c r="AF478" i="62"/>
  <c r="AD494" i="62"/>
  <c r="AF494" i="62"/>
  <c r="AD498" i="62"/>
  <c r="AD506" i="62"/>
  <c r="AF506" i="62"/>
  <c r="AD516" i="62"/>
  <c r="AF516" i="62"/>
  <c r="AD563" i="62"/>
  <c r="AF563" i="62" s="1"/>
  <c r="AD605" i="62"/>
  <c r="AF605" i="62"/>
  <c r="AF609" i="62"/>
  <c r="AD71" i="62"/>
  <c r="AF71" i="62"/>
  <c r="AD105" i="62"/>
  <c r="AF105" i="62" s="1"/>
  <c r="AD127" i="62"/>
  <c r="AD141" i="62"/>
  <c r="AF141" i="62"/>
  <c r="AD152" i="62"/>
  <c r="AD247" i="62"/>
  <c r="AF247" i="62" s="1"/>
  <c r="AD431" i="62"/>
  <c r="AF431" i="62"/>
  <c r="AD476" i="62"/>
  <c r="AF476" i="62" s="1"/>
  <c r="AD488" i="62"/>
  <c r="AF488" i="62" s="1"/>
  <c r="AD504" i="62"/>
  <c r="AF504" i="62"/>
  <c r="AD528" i="62"/>
  <c r="AF528" i="62" s="1"/>
  <c r="AD565" i="62"/>
  <c r="AF565" i="62" s="1"/>
  <c r="AF608" i="62"/>
  <c r="AD57" i="62"/>
  <c r="AF57" i="62"/>
  <c r="AD68" i="62"/>
  <c r="AF68" i="62" s="1"/>
  <c r="AD102" i="62"/>
  <c r="AF102" i="62"/>
  <c r="AD128" i="62"/>
  <c r="AF128" i="62"/>
  <c r="AD50" i="62"/>
  <c r="AF50" i="62" s="1"/>
  <c r="AD66" i="62"/>
  <c r="AF66" i="62"/>
  <c r="AD70" i="62"/>
  <c r="AF70" i="62"/>
  <c r="AD74" i="62"/>
  <c r="AF74" i="62" s="1"/>
  <c r="AD104" i="62"/>
  <c r="AF104" i="62"/>
  <c r="AD114" i="62"/>
  <c r="AF114" i="62"/>
  <c r="AD130" i="62"/>
  <c r="AF130" i="62"/>
  <c r="AF134" i="62"/>
  <c r="AD138" i="62"/>
  <c r="AF138" i="62" s="1"/>
  <c r="AD155" i="62"/>
  <c r="AF155" i="62"/>
  <c r="AF162" i="62"/>
  <c r="AD166" i="62"/>
  <c r="AF166" i="62" s="1"/>
  <c r="AD174" i="62"/>
  <c r="AF174" i="62"/>
  <c r="AD178" i="62"/>
  <c r="AF178" i="62"/>
  <c r="AD183" i="62"/>
  <c r="AF183" i="62"/>
  <c r="AD233" i="62"/>
  <c r="AF233" i="62" s="1"/>
  <c r="AD237" i="62"/>
  <c r="AF237" i="62"/>
  <c r="AD246" i="62"/>
  <c r="AF246" i="62"/>
  <c r="AD250" i="62"/>
  <c r="AF250" i="62"/>
  <c r="AD254" i="62"/>
  <c r="AF254" i="62" s="1"/>
  <c r="AD258" i="62"/>
  <c r="AF258" i="62"/>
  <c r="AD262" i="62"/>
  <c r="AF262" i="62"/>
  <c r="AD430" i="62"/>
  <c r="AF430" i="62"/>
  <c r="AD434" i="62"/>
  <c r="AD438" i="62"/>
  <c r="AF438" i="62"/>
  <c r="AD466" i="62"/>
  <c r="AF466" i="62"/>
  <c r="AD470" i="62"/>
  <c r="AF470" i="62"/>
  <c r="AD479" i="62"/>
  <c r="AF479" i="62" s="1"/>
  <c r="AD491" i="62"/>
  <c r="AF491" i="62"/>
  <c r="AD495" i="62"/>
  <c r="AF495" i="62"/>
  <c r="AD503" i="62"/>
  <c r="AF503" i="62"/>
  <c r="AD507" i="62"/>
  <c r="AF507" i="62" s="1"/>
  <c r="AD517" i="62"/>
  <c r="AF517" i="62"/>
  <c r="AD564" i="62"/>
  <c r="AF564" i="62" s="1"/>
  <c r="AD579" i="62"/>
  <c r="AF579" i="62"/>
  <c r="V464" i="62"/>
  <c r="G700" i="62"/>
  <c r="O700" i="62"/>
  <c r="M99" i="62"/>
  <c r="M122" i="62" s="1"/>
  <c r="X580" i="62"/>
  <c r="X600" i="62"/>
  <c r="X604" i="62"/>
  <c r="X86" i="62"/>
  <c r="AB86" i="62"/>
  <c r="U112" i="62"/>
  <c r="V482" i="62"/>
  <c r="AF482" i="62" s="1"/>
  <c r="X87" i="62"/>
  <c r="AB87" i="62"/>
  <c r="U113" i="62"/>
  <c r="V483" i="62"/>
  <c r="AF483" i="62"/>
  <c r="X606" i="62"/>
  <c r="X603" i="62"/>
  <c r="H122" i="62"/>
  <c r="H389" i="62"/>
  <c r="L99" i="62"/>
  <c r="G99" i="62"/>
  <c r="G122" i="62" s="1"/>
  <c r="K99" i="62"/>
  <c r="K122" i="62" s="1"/>
  <c r="K389" i="62" s="1"/>
  <c r="O99" i="62"/>
  <c r="O122" i="62" s="1"/>
  <c r="Q700" i="62"/>
  <c r="L700" i="62"/>
  <c r="X449" i="62"/>
  <c r="W405" i="62"/>
  <c r="X445" i="62"/>
  <c r="W424" i="62"/>
  <c r="R700" i="62"/>
  <c r="X590" i="62"/>
  <c r="AB590" i="62" s="1"/>
  <c r="W394" i="62"/>
  <c r="W409" i="62"/>
  <c r="AB442" i="62"/>
  <c r="AB446" i="62"/>
  <c r="J700" i="62"/>
  <c r="W386" i="62"/>
  <c r="W401" i="62"/>
  <c r="AB268" i="62"/>
  <c r="X274" i="62"/>
  <c r="W210" i="62"/>
  <c r="W214" i="62"/>
  <c r="W218" i="62"/>
  <c r="AB202" i="62"/>
  <c r="U172" i="62"/>
  <c r="U55" i="62"/>
  <c r="AB88" i="62"/>
  <c r="AB90" i="62"/>
  <c r="AB93" i="62"/>
  <c r="F99" i="62"/>
  <c r="F122" i="62"/>
  <c r="J99" i="62"/>
  <c r="J122" i="62" s="1"/>
  <c r="J389" i="62" s="1"/>
  <c r="N99" i="62"/>
  <c r="N122" i="62"/>
  <c r="R99" i="62"/>
  <c r="R122" i="62" s="1"/>
  <c r="AB89" i="62"/>
  <c r="AB91" i="62"/>
  <c r="AB92" i="62"/>
  <c r="AB94" i="62"/>
  <c r="U61" i="62"/>
  <c r="X52" i="62"/>
  <c r="AB52" i="62" s="1"/>
  <c r="M34" i="62"/>
  <c r="M36" i="62"/>
  <c r="G34" i="62"/>
  <c r="O34" i="62"/>
  <c r="H34" i="62"/>
  <c r="H36" i="62"/>
  <c r="L34" i="62"/>
  <c r="L36" i="62" s="1"/>
  <c r="I34" i="62"/>
  <c r="I36" i="62" s="1"/>
  <c r="Q34" i="62"/>
  <c r="Q36" i="62"/>
  <c r="F34" i="62"/>
  <c r="J34" i="62"/>
  <c r="J36" i="62" s="1"/>
  <c r="N34" i="62"/>
  <c r="R34" i="62"/>
  <c r="R36" i="62" s="1"/>
  <c r="R389" i="62" s="1"/>
  <c r="AB19" i="62"/>
  <c r="N28" i="31"/>
  <c r="N53" i="31"/>
  <c r="AC411" i="62"/>
  <c r="W411" i="62"/>
  <c r="AC403" i="62"/>
  <c r="W403" i="62"/>
  <c r="AC418" i="62"/>
  <c r="W418" i="62"/>
  <c r="AC395" i="62"/>
  <c r="W395" i="62"/>
  <c r="AC213" i="62"/>
  <c r="W213" i="62"/>
  <c r="AC398" i="62"/>
  <c r="W398" i="62"/>
  <c r="AC209" i="62"/>
  <c r="W209" i="62"/>
  <c r="AC217" i="62"/>
  <c r="W217" i="62"/>
  <c r="W393" i="62"/>
  <c r="AC393" i="62"/>
  <c r="AC407" i="62"/>
  <c r="W407" i="62"/>
  <c r="W688" i="62"/>
  <c r="U83" i="62"/>
  <c r="AF83" i="62"/>
  <c r="W208" i="62"/>
  <c r="W212" i="62"/>
  <c r="W216" i="62"/>
  <c r="W226" i="62"/>
  <c r="AD273" i="62"/>
  <c r="AF273" i="62"/>
  <c r="W404" i="62"/>
  <c r="W408" i="62"/>
  <c r="X41" i="62"/>
  <c r="U101" i="62"/>
  <c r="U124" i="62"/>
  <c r="AD124" i="62" s="1"/>
  <c r="U151" i="62"/>
  <c r="W207" i="62"/>
  <c r="W215" i="62"/>
  <c r="V223" i="62"/>
  <c r="W333" i="62"/>
  <c r="W375" i="62"/>
  <c r="AB443" i="62"/>
  <c r="X443" i="62"/>
  <c r="AB447" i="62"/>
  <c r="X447" i="62"/>
  <c r="W310" i="62"/>
  <c r="W392" i="62"/>
  <c r="W397" i="62"/>
  <c r="W402" i="62"/>
  <c r="W406" i="62"/>
  <c r="W410" i="62"/>
  <c r="V548" i="62"/>
  <c r="AD548" i="62" s="1"/>
  <c r="AD484" i="62"/>
  <c r="AF484" i="62"/>
  <c r="AD481" i="62"/>
  <c r="AF481" i="62"/>
  <c r="M389" i="62"/>
  <c r="F389" i="62"/>
  <c r="AD101" i="62"/>
  <c r="AF604" i="62"/>
  <c r="AF606" i="62"/>
  <c r="AD464" i="62"/>
  <c r="AF464" i="62" s="1"/>
  <c r="AD55" i="62"/>
  <c r="AF55" i="62" s="1"/>
  <c r="AD113" i="62"/>
  <c r="AF113" i="62"/>
  <c r="AD112" i="62"/>
  <c r="AF112" i="62" s="1"/>
  <c r="AD61" i="62"/>
  <c r="AF61" i="62" s="1"/>
  <c r="AD172" i="62"/>
  <c r="AA703" i="62"/>
  <c r="E32" i="13"/>
  <c r="C11" i="13"/>
  <c r="F11" i="60"/>
  <c r="K11" i="60"/>
  <c r="O11" i="60"/>
  <c r="R11" i="60"/>
  <c r="S17" i="60"/>
  <c r="N18" i="60"/>
  <c r="L25" i="60"/>
  <c r="E21" i="60"/>
  <c r="S25" i="60"/>
  <c r="T21" i="60" s="1"/>
  <c r="H9" i="31" s="1"/>
  <c r="H32" i="60"/>
  <c r="I32" i="60"/>
  <c r="H35" i="60"/>
  <c r="I35" i="60"/>
  <c r="J35" i="60" s="1"/>
  <c r="H39" i="60" s="1"/>
  <c r="R50" i="60"/>
  <c r="R51" i="60"/>
  <c r="R52" i="60"/>
  <c r="R53" i="60"/>
  <c r="R54" i="60"/>
  <c r="R55" i="60"/>
  <c r="R56" i="60"/>
  <c r="R57" i="60"/>
  <c r="R58" i="60"/>
  <c r="R59" i="60"/>
  <c r="R60" i="60"/>
  <c r="R61" i="60"/>
  <c r="P62" i="60"/>
  <c r="P17" i="60"/>
  <c r="Q62" i="60"/>
  <c r="P18" i="60"/>
  <c r="C29" i="60"/>
  <c r="D29" i="60" s="1"/>
  <c r="P21" i="60"/>
  <c r="E146" i="49"/>
  <c r="E30" i="49"/>
  <c r="AW45" i="59"/>
  <c r="E200" i="49"/>
  <c r="AW71" i="59"/>
  <c r="AW73" i="59"/>
  <c r="AY29" i="59"/>
  <c r="AX29" i="59"/>
  <c r="AW29" i="59"/>
  <c r="AY28" i="59"/>
  <c r="AX28" i="59"/>
  <c r="AY27" i="59"/>
  <c r="AX27" i="59"/>
  <c r="AY26" i="59"/>
  <c r="AX26" i="59"/>
  <c r="AW28" i="59"/>
  <c r="AW27" i="59"/>
  <c r="AW26" i="59"/>
  <c r="AB75" i="59"/>
  <c r="AH75" i="59"/>
  <c r="AQ75" i="59"/>
  <c r="AT75" i="59"/>
  <c r="H17" i="32"/>
  <c r="AV23" i="59"/>
  <c r="AU23" i="59"/>
  <c r="H16" i="32" s="1"/>
  <c r="I36" i="4" s="1"/>
  <c r="R36" i="4" s="1"/>
  <c r="H35" i="1" s="1"/>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V23" i="59"/>
  <c r="U23" i="59"/>
  <c r="T23" i="59"/>
  <c r="S23" i="59"/>
  <c r="R23" i="59"/>
  <c r="Q23" i="59"/>
  <c r="P23" i="59"/>
  <c r="O23" i="59"/>
  <c r="N23" i="59"/>
  <c r="M23" i="59"/>
  <c r="L23" i="59"/>
  <c r="K23" i="59"/>
  <c r="J23" i="59"/>
  <c r="AY22" i="59"/>
  <c r="AX22" i="59"/>
  <c r="AY21" i="59"/>
  <c r="AY20" i="59"/>
  <c r="AY19" i="59"/>
  <c r="AY18" i="59"/>
  <c r="AX18" i="59"/>
  <c r="AW22" i="59"/>
  <c r="AW21" i="59"/>
  <c r="AW20" i="59"/>
  <c r="AW19" i="59"/>
  <c r="AW18" i="59"/>
  <c r="AD153" i="58"/>
  <c r="AC153" i="58"/>
  <c r="AB153" i="58"/>
  <c r="AA153" i="58"/>
  <c r="Z153" i="58"/>
  <c r="Y153" i="58"/>
  <c r="X153" i="58"/>
  <c r="W153" i="58"/>
  <c r="V153" i="58"/>
  <c r="U153" i="58"/>
  <c r="T153" i="58"/>
  <c r="S153" i="58"/>
  <c r="R153" i="58"/>
  <c r="Q153" i="58"/>
  <c r="P153" i="58"/>
  <c r="O153" i="58"/>
  <c r="N153" i="58"/>
  <c r="M153" i="58"/>
  <c r="L153" i="58"/>
  <c r="K153" i="58"/>
  <c r="J153" i="58"/>
  <c r="I153" i="58"/>
  <c r="H153" i="58"/>
  <c r="G153" i="58"/>
  <c r="F153" i="58"/>
  <c r="E153" i="58"/>
  <c r="AF152" i="58"/>
  <c r="AE152" i="58"/>
  <c r="AF151" i="58"/>
  <c r="AE151" i="58"/>
  <c r="AF150" i="58"/>
  <c r="AE150" i="58"/>
  <c r="AD148" i="58"/>
  <c r="AC148" i="58"/>
  <c r="AB148" i="58"/>
  <c r="AA148" i="58"/>
  <c r="Z148" i="58"/>
  <c r="Y148" i="58"/>
  <c r="Y155" i="58" s="1"/>
  <c r="X148" i="58"/>
  <c r="W148" i="58"/>
  <c r="V148" i="58"/>
  <c r="U148" i="58"/>
  <c r="T148" i="58"/>
  <c r="S148" i="58"/>
  <c r="R148" i="58"/>
  <c r="Q148" i="58"/>
  <c r="P148" i="58"/>
  <c r="O148" i="58"/>
  <c r="N148" i="58"/>
  <c r="M148" i="58"/>
  <c r="L148" i="58"/>
  <c r="K148" i="58"/>
  <c r="J148" i="58"/>
  <c r="I148" i="58"/>
  <c r="I155" i="58" s="1"/>
  <c r="H148" i="58"/>
  <c r="G148" i="58"/>
  <c r="F148" i="58"/>
  <c r="E148" i="58"/>
  <c r="AF131" i="58"/>
  <c r="AE131" i="58"/>
  <c r="AF130" i="58"/>
  <c r="AE130" i="58"/>
  <c r="AF129" i="58"/>
  <c r="AE129" i="58"/>
  <c r="AF128" i="58"/>
  <c r="AE128" i="58"/>
  <c r="AF127" i="58"/>
  <c r="AE127" i="58"/>
  <c r="AF126" i="58"/>
  <c r="AE126" i="58"/>
  <c r="AF125" i="58"/>
  <c r="AE125" i="58"/>
  <c r="AF124" i="58"/>
  <c r="AE124" i="58"/>
  <c r="AF123" i="58"/>
  <c r="AE123" i="58"/>
  <c r="AF122" i="58"/>
  <c r="AE122" i="58"/>
  <c r="AF121" i="58"/>
  <c r="AE121" i="58"/>
  <c r="AF120" i="58"/>
  <c r="AE120" i="58"/>
  <c r="AF119" i="58"/>
  <c r="AE119" i="58"/>
  <c r="AF118" i="58"/>
  <c r="AE118" i="58"/>
  <c r="AF117" i="58"/>
  <c r="AE117" i="58"/>
  <c r="AF116" i="58"/>
  <c r="AE116" i="58"/>
  <c r="AF115" i="58"/>
  <c r="AE115" i="58"/>
  <c r="AF114" i="58"/>
  <c r="AE114" i="58"/>
  <c r="AF113" i="58"/>
  <c r="AE113" i="58"/>
  <c r="AF112" i="58"/>
  <c r="AE112" i="58"/>
  <c r="AF111" i="58"/>
  <c r="AE111" i="58"/>
  <c r="AF110" i="58"/>
  <c r="AE110" i="58"/>
  <c r="AF109" i="58"/>
  <c r="AE109" i="58"/>
  <c r="AF108" i="58"/>
  <c r="AE108" i="58"/>
  <c r="AF107" i="58"/>
  <c r="AE107" i="58"/>
  <c r="AF106" i="58"/>
  <c r="AE106" i="58"/>
  <c r="AF105" i="58"/>
  <c r="AE105" i="58"/>
  <c r="AF104" i="58"/>
  <c r="AE104" i="58"/>
  <c r="AF103" i="58"/>
  <c r="AE103" i="58"/>
  <c r="AF102" i="58"/>
  <c r="AE102" i="58"/>
  <c r="AF101" i="58"/>
  <c r="AE101" i="58"/>
  <c r="AF100" i="58"/>
  <c r="AE100" i="58"/>
  <c r="AF99" i="58"/>
  <c r="AE99" i="58"/>
  <c r="AF98" i="58"/>
  <c r="AE98" i="58"/>
  <c r="AF97" i="58"/>
  <c r="AE97" i="58"/>
  <c r="AF96" i="58"/>
  <c r="AE96" i="58"/>
  <c r="AF95" i="58"/>
  <c r="AE95" i="58"/>
  <c r="AF94" i="58"/>
  <c r="AE94" i="58"/>
  <c r="AE148" i="58" s="1"/>
  <c r="AD161" i="58"/>
  <c r="AB92" i="58"/>
  <c r="AB167" i="58" s="1"/>
  <c r="AA92" i="58"/>
  <c r="AB161" i="58" s="1"/>
  <c r="Z92" i="58"/>
  <c r="Z167" i="58" s="1"/>
  <c r="Y92" i="58"/>
  <c r="Z161" i="58" s="1"/>
  <c r="X92" i="58"/>
  <c r="X167" i="58" s="1"/>
  <c r="W92" i="58"/>
  <c r="X161" i="58" s="1"/>
  <c r="V92" i="58"/>
  <c r="V167" i="58" s="1"/>
  <c r="U92" i="58"/>
  <c r="V161" i="58" s="1"/>
  <c r="T92" i="58"/>
  <c r="T167" i="58" s="1"/>
  <c r="S92" i="58"/>
  <c r="T161" i="58" s="1"/>
  <c r="R92" i="58"/>
  <c r="R167" i="58" s="1"/>
  <c r="Q92" i="58"/>
  <c r="R161" i="58" s="1"/>
  <c r="P92" i="58"/>
  <c r="P167" i="58" s="1"/>
  <c r="O92" i="58"/>
  <c r="P161" i="58" s="1"/>
  <c r="N92" i="58"/>
  <c r="N167" i="58" s="1"/>
  <c r="M92" i="58"/>
  <c r="N161" i="58" s="1"/>
  <c r="L92" i="58"/>
  <c r="L167" i="58" s="1"/>
  <c r="K92" i="58"/>
  <c r="L161" i="58" s="1"/>
  <c r="J92" i="58"/>
  <c r="J167" i="58" s="1"/>
  <c r="I92" i="58"/>
  <c r="J161" i="58" s="1"/>
  <c r="H92" i="58"/>
  <c r="H167" i="58" s="1"/>
  <c r="G92" i="58"/>
  <c r="H161" i="58" s="1"/>
  <c r="F92" i="58"/>
  <c r="F167" i="58" s="1"/>
  <c r="F171" i="58" s="1"/>
  <c r="E92" i="58"/>
  <c r="F161" i="58" s="1"/>
  <c r="F165" i="58" s="1"/>
  <c r="AF91" i="58"/>
  <c r="AE91" i="58"/>
  <c r="AF88" i="58"/>
  <c r="AE88" i="58"/>
  <c r="AF87" i="58"/>
  <c r="AE87" i="58"/>
  <c r="AF86" i="58"/>
  <c r="AE86" i="58"/>
  <c r="AF85" i="58"/>
  <c r="AE85" i="58"/>
  <c r="AF84" i="58"/>
  <c r="AE84" i="58"/>
  <c r="AF83" i="58"/>
  <c r="AE83" i="58"/>
  <c r="AF82" i="58"/>
  <c r="AE82" i="58"/>
  <c r="AF81" i="58"/>
  <c r="AE81" i="58"/>
  <c r="AF80" i="58"/>
  <c r="AE80" i="58"/>
  <c r="AF79" i="58"/>
  <c r="AE79" i="58"/>
  <c r="AF78" i="58"/>
  <c r="AE78" i="58"/>
  <c r="AF77" i="58"/>
  <c r="AE77" i="58"/>
  <c r="AF76" i="58"/>
  <c r="AE76" i="58"/>
  <c r="AF75" i="58"/>
  <c r="AE75" i="58"/>
  <c r="AF74" i="58"/>
  <c r="AE74" i="58"/>
  <c r="AF73" i="58"/>
  <c r="AE73" i="58"/>
  <c r="AF72" i="58"/>
  <c r="AE72" i="58"/>
  <c r="AF71" i="58"/>
  <c r="AE71" i="58"/>
  <c r="AF70" i="58"/>
  <c r="AE70" i="58"/>
  <c r="AF69" i="58"/>
  <c r="AE69" i="58"/>
  <c r="AF68" i="58"/>
  <c r="AE68" i="58"/>
  <c r="AF67" i="58"/>
  <c r="AE67" i="58"/>
  <c r="AF66" i="58"/>
  <c r="AE66" i="58"/>
  <c r="AF65" i="58"/>
  <c r="AE65" i="58"/>
  <c r="AF64" i="58"/>
  <c r="AE64" i="58"/>
  <c r="AF63" i="58"/>
  <c r="AE63" i="58"/>
  <c r="AF62" i="58"/>
  <c r="AE62" i="58"/>
  <c r="AF61" i="58"/>
  <c r="AE61" i="58"/>
  <c r="AF60" i="58"/>
  <c r="AE60" i="58"/>
  <c r="AF59" i="58"/>
  <c r="AE59" i="58"/>
  <c r="AF58" i="58"/>
  <c r="AE58" i="58"/>
  <c r="AF57" i="58"/>
  <c r="AE57" i="58"/>
  <c r="AF56" i="58"/>
  <c r="AE56" i="58"/>
  <c r="AF55" i="58"/>
  <c r="AE55" i="58"/>
  <c r="AF54" i="58"/>
  <c r="AE54" i="58"/>
  <c r="AF53" i="58"/>
  <c r="AE53" i="58"/>
  <c r="AF52" i="58"/>
  <c r="AE52" i="58"/>
  <c r="AF51" i="58"/>
  <c r="AE51" i="58"/>
  <c r="AF50" i="58"/>
  <c r="AE50" i="58"/>
  <c r="AF49" i="58"/>
  <c r="AE49" i="58"/>
  <c r="AF45" i="58"/>
  <c r="AE45" i="58"/>
  <c r="AF44" i="58"/>
  <c r="AE44" i="58"/>
  <c r="AF43" i="58"/>
  <c r="AE43" i="58"/>
  <c r="AF42" i="58"/>
  <c r="AE42" i="58"/>
  <c r="AF41" i="58"/>
  <c r="AE41" i="58"/>
  <c r="AF40" i="58"/>
  <c r="AE40" i="58"/>
  <c r="AF39" i="58"/>
  <c r="AE39" i="58"/>
  <c r="AF38" i="58"/>
  <c r="AE38" i="58"/>
  <c r="AF37" i="58"/>
  <c r="AE37" i="58"/>
  <c r="AF36" i="58"/>
  <c r="AE36" i="58"/>
  <c r="AF35" i="58"/>
  <c r="AE35" i="58"/>
  <c r="AF34" i="58"/>
  <c r="AE34" i="58"/>
  <c r="AF33" i="58"/>
  <c r="AE33" i="58"/>
  <c r="AF32" i="58"/>
  <c r="AE32" i="58"/>
  <c r="AF31" i="58"/>
  <c r="AE31" i="58"/>
  <c r="AF30" i="58"/>
  <c r="AE30" i="58"/>
  <c r="AF29" i="58"/>
  <c r="AE29" i="58"/>
  <c r="AF28" i="58"/>
  <c r="AE28" i="58"/>
  <c r="AF27" i="58"/>
  <c r="AE27" i="58"/>
  <c r="AF26" i="58"/>
  <c r="AE26" i="58"/>
  <c r="AF25" i="58"/>
  <c r="AE25" i="58"/>
  <c r="AF24" i="58"/>
  <c r="AE24" i="58"/>
  <c r="AF23" i="58"/>
  <c r="AE23" i="58"/>
  <c r="AF22" i="58"/>
  <c r="AE22" i="58"/>
  <c r="AF21" i="58"/>
  <c r="AE21" i="58"/>
  <c r="AF20" i="58"/>
  <c r="AE20" i="58"/>
  <c r="AF19" i="58"/>
  <c r="AE19" i="58"/>
  <c r="AF18" i="58"/>
  <c r="AE18" i="58"/>
  <c r="AF17" i="58"/>
  <c r="AE17" i="58"/>
  <c r="AF16" i="58"/>
  <c r="AE16" i="58"/>
  <c r="AF15" i="58"/>
  <c r="AE15" i="58"/>
  <c r="AF14" i="58"/>
  <c r="AE14" i="58"/>
  <c r="AF13" i="58"/>
  <c r="AE13" i="58"/>
  <c r="AF12" i="58"/>
  <c r="AE12" i="58"/>
  <c r="AF11" i="58"/>
  <c r="AE11" i="58"/>
  <c r="AF10" i="58"/>
  <c r="AE10" i="58"/>
  <c r="AW78" i="59"/>
  <c r="AX43" i="59"/>
  <c r="AY43" i="59"/>
  <c r="D17" i="32"/>
  <c r="E36" i="1"/>
  <c r="AF47" i="58"/>
  <c r="AE47" i="58"/>
  <c r="AF92" i="58"/>
  <c r="AE153" i="58"/>
  <c r="K155" i="58"/>
  <c r="S155" i="58"/>
  <c r="AA155" i="58"/>
  <c r="AF148" i="58"/>
  <c r="AF153" i="58"/>
  <c r="H155" i="58"/>
  <c r="P155" i="58"/>
  <c r="X155" i="58"/>
  <c r="AB155" i="58"/>
  <c r="G155" i="58"/>
  <c r="O155" i="58"/>
  <c r="W155" i="58"/>
  <c r="AE92" i="58"/>
  <c r="E155" i="58"/>
  <c r="M155" i="58"/>
  <c r="U155" i="58"/>
  <c r="AC155" i="58"/>
  <c r="F155" i="58"/>
  <c r="J155" i="58"/>
  <c r="N155" i="58"/>
  <c r="R155" i="58"/>
  <c r="V155" i="58"/>
  <c r="Z155" i="58"/>
  <c r="AD155" i="58"/>
  <c r="AW23" i="59"/>
  <c r="AX23" i="59"/>
  <c r="D16" i="32"/>
  <c r="E35" i="1" s="1"/>
  <c r="AY23" i="59"/>
  <c r="AF155" i="58"/>
  <c r="V21" i="31"/>
  <c r="V27" i="31" s="1"/>
  <c r="V14" i="4" s="1"/>
  <c r="F12" i="38"/>
  <c r="F66" i="6"/>
  <c r="F13" i="6" s="1"/>
  <c r="D66" i="6"/>
  <c r="D13" i="6" s="1"/>
  <c r="H62" i="6"/>
  <c r="P62" i="6" s="1"/>
  <c r="M110" i="31" s="1"/>
  <c r="H60" i="6"/>
  <c r="H59" i="6"/>
  <c r="H58" i="6"/>
  <c r="I58" i="6" s="1"/>
  <c r="H57" i="6"/>
  <c r="I57" i="6" s="1"/>
  <c r="H56" i="6"/>
  <c r="I56" i="6" s="1"/>
  <c r="H55" i="6"/>
  <c r="H54" i="6"/>
  <c r="P54" i="6" s="1"/>
  <c r="M78" i="31" s="1"/>
  <c r="H53" i="6"/>
  <c r="H52" i="6"/>
  <c r="H51" i="6"/>
  <c r="H50" i="6"/>
  <c r="H47" i="6"/>
  <c r="I47" i="6" s="1"/>
  <c r="F42" i="6"/>
  <c r="F159" i="18"/>
  <c r="F22" i="18"/>
  <c r="Z16" i="31"/>
  <c r="D151" i="31"/>
  <c r="D187" i="31" s="1"/>
  <c r="Y149" i="31"/>
  <c r="X149" i="31"/>
  <c r="Z148" i="31"/>
  <c r="Z147" i="31"/>
  <c r="Z146" i="31"/>
  <c r="Z145" i="31"/>
  <c r="AA145" i="31"/>
  <c r="Z144" i="31"/>
  <c r="Y135" i="31"/>
  <c r="X135" i="31"/>
  <c r="W135" i="31"/>
  <c r="U135" i="31"/>
  <c r="T135" i="31"/>
  <c r="K135" i="31"/>
  <c r="J135" i="31"/>
  <c r="Z134" i="31"/>
  <c r="Z133" i="31"/>
  <c r="Z132" i="31"/>
  <c r="Z131" i="31"/>
  <c r="AA131" i="31" s="1"/>
  <c r="Z130" i="31"/>
  <c r="Z129" i="31"/>
  <c r="D125" i="31"/>
  <c r="Z122" i="31"/>
  <c r="Y121" i="31"/>
  <c r="Y123" i="31"/>
  <c r="X121" i="31"/>
  <c r="X123" i="31"/>
  <c r="T121" i="31"/>
  <c r="T123" i="31"/>
  <c r="T25" i="4" s="1"/>
  <c r="L121" i="31"/>
  <c r="L123" i="31"/>
  <c r="I25" i="4" s="1"/>
  <c r="K121" i="31"/>
  <c r="K123" i="31" s="1"/>
  <c r="X25" i="4" s="1"/>
  <c r="I121" i="31"/>
  <c r="I123" i="31" s="1"/>
  <c r="G25" i="4" s="1"/>
  <c r="Z119" i="31"/>
  <c r="Z118" i="31"/>
  <c r="Z116" i="31"/>
  <c r="Z114" i="31"/>
  <c r="AA114" i="31" s="1"/>
  <c r="Z113" i="31"/>
  <c r="W107" i="31"/>
  <c r="W24" i="4" s="1"/>
  <c r="T107" i="31"/>
  <c r="T24" i="4" s="1"/>
  <c r="L107" i="31"/>
  <c r="I24" i="4"/>
  <c r="K107" i="31"/>
  <c r="X24" i="4" s="1"/>
  <c r="I107" i="31"/>
  <c r="G24" i="4" s="1"/>
  <c r="Z106" i="31"/>
  <c r="Z103" i="31"/>
  <c r="Y100" i="31"/>
  <c r="X100" i="31"/>
  <c r="W100" i="31"/>
  <c r="W23" i="4" s="1"/>
  <c r="T100" i="31"/>
  <c r="T23" i="4" s="1"/>
  <c r="K100" i="31"/>
  <c r="X23" i="4" s="1"/>
  <c r="J100" i="31"/>
  <c r="H23" i="4" s="1"/>
  <c r="I100" i="31"/>
  <c r="G23" i="4" s="1"/>
  <c r="Z96" i="31"/>
  <c r="Y93" i="31"/>
  <c r="X93" i="31"/>
  <c r="Z92" i="31"/>
  <c r="Y84" i="31"/>
  <c r="Y85" i="31" s="1"/>
  <c r="Y125" i="31" s="1"/>
  <c r="X84" i="31"/>
  <c r="T84" i="31"/>
  <c r="T85" i="31" s="1"/>
  <c r="L84" i="31"/>
  <c r="K84" i="31"/>
  <c r="J84" i="31"/>
  <c r="I84" i="31"/>
  <c r="Y72" i="31"/>
  <c r="X72" i="31"/>
  <c r="L72" i="31"/>
  <c r="K72" i="31"/>
  <c r="K85" i="31" s="1"/>
  <c r="J72" i="31"/>
  <c r="I72" i="31"/>
  <c r="I85" i="31" s="1"/>
  <c r="W51" i="31"/>
  <c r="V51" i="31"/>
  <c r="U51" i="31"/>
  <c r="T51" i="31"/>
  <c r="L51" i="31"/>
  <c r="K51" i="31"/>
  <c r="J51" i="31"/>
  <c r="I51" i="31"/>
  <c r="G51" i="31"/>
  <c r="F51" i="31"/>
  <c r="E51" i="31"/>
  <c r="Z50" i="31"/>
  <c r="AA50" i="31" s="1"/>
  <c r="Z49" i="31"/>
  <c r="AA49" i="31" s="1"/>
  <c r="Z48" i="31"/>
  <c r="AA48" i="31" s="1"/>
  <c r="Z47" i="31"/>
  <c r="AA47" i="31" s="1"/>
  <c r="Z46" i="31"/>
  <c r="AA46" i="31" s="1"/>
  <c r="Z45" i="31"/>
  <c r="AA45" i="31" s="1"/>
  <c r="Z44" i="31"/>
  <c r="AA44" i="31" s="1"/>
  <c r="Z43" i="31"/>
  <c r="AA43" i="31" s="1"/>
  <c r="Z42" i="31"/>
  <c r="AA42" i="31" s="1"/>
  <c r="Z41" i="31"/>
  <c r="AA41" i="31" s="1"/>
  <c r="Z40" i="31"/>
  <c r="Y37" i="31"/>
  <c r="X37" i="31"/>
  <c r="W37" i="31"/>
  <c r="W18" i="4"/>
  <c r="V37" i="31"/>
  <c r="V18" i="4"/>
  <c r="U37" i="31"/>
  <c r="U18" i="4"/>
  <c r="T37" i="31"/>
  <c r="T18" i="4"/>
  <c r="L37" i="31"/>
  <c r="I18" i="4" s="1"/>
  <c r="J37" i="31"/>
  <c r="H18" i="4" s="1"/>
  <c r="Z36" i="31"/>
  <c r="Z33" i="31"/>
  <c r="Z32" i="31"/>
  <c r="Y27" i="31"/>
  <c r="X27" i="31"/>
  <c r="Z25" i="31"/>
  <c r="Z23" i="31"/>
  <c r="Z27" i="31" s="1"/>
  <c r="Z22" i="31"/>
  <c r="Z21" i="31"/>
  <c r="Z20" i="31"/>
  <c r="Y17" i="31"/>
  <c r="X17" i="31"/>
  <c r="X28" i="31" s="1"/>
  <c r="X54" i="31" s="1"/>
  <c r="X151" i="31" s="1"/>
  <c r="W17" i="31"/>
  <c r="W12" i="4" s="1"/>
  <c r="W15" i="4" s="1"/>
  <c r="U17" i="31"/>
  <c r="U12" i="4"/>
  <c r="U15" i="4" s="1"/>
  <c r="T17" i="31"/>
  <c r="T28" i="31" s="1"/>
  <c r="J17" i="31"/>
  <c r="H12" i="4"/>
  <c r="H15" i="4" s="1"/>
  <c r="N26" i="1"/>
  <c r="AC27" i="4" s="1"/>
  <c r="C33" i="2"/>
  <c r="Y29" i="4" s="1"/>
  <c r="Y30" i="4" s="1"/>
  <c r="Y31" i="4" s="1"/>
  <c r="T38" i="1"/>
  <c r="F14" i="38"/>
  <c r="F16" i="38"/>
  <c r="W61" i="31" s="1"/>
  <c r="W72" i="31" s="1"/>
  <c r="W85" i="31" s="1"/>
  <c r="P11" i="6"/>
  <c r="I20" i="6"/>
  <c r="I46" i="6"/>
  <c r="K46" i="6"/>
  <c r="L46" i="6" s="1"/>
  <c r="P46" i="6"/>
  <c r="M63" i="31"/>
  <c r="I50" i="6"/>
  <c r="L50" i="6" s="1"/>
  <c r="K50" i="6"/>
  <c r="P50" i="6"/>
  <c r="M67" i="31" s="1"/>
  <c r="I53" i="6"/>
  <c r="K53" i="6" s="1"/>
  <c r="P53" i="6"/>
  <c r="M77" i="31"/>
  <c r="P57" i="6"/>
  <c r="I61" i="6"/>
  <c r="L61" i="6" s="1"/>
  <c r="K61" i="6"/>
  <c r="M90" i="31"/>
  <c r="I65" i="6"/>
  <c r="L65" i="6" s="1"/>
  <c r="K65" i="6"/>
  <c r="P65" i="6"/>
  <c r="M120" i="31" s="1"/>
  <c r="I41" i="6"/>
  <c r="P47" i="6"/>
  <c r="I51" i="6"/>
  <c r="K51" i="6" s="1"/>
  <c r="P51" i="6"/>
  <c r="M68" i="31"/>
  <c r="P58" i="6"/>
  <c r="M82" i="31" s="1"/>
  <c r="I62" i="6"/>
  <c r="K62" i="6" s="1"/>
  <c r="I48" i="6"/>
  <c r="K48" i="6" s="1"/>
  <c r="L48" i="6" s="1"/>
  <c r="P48" i="6"/>
  <c r="M65" i="31" s="1"/>
  <c r="I52" i="6"/>
  <c r="K52" i="6" s="1"/>
  <c r="P52" i="6"/>
  <c r="M69" i="31"/>
  <c r="I55" i="6"/>
  <c r="K55" i="6"/>
  <c r="L55" i="6" s="1"/>
  <c r="P55" i="6"/>
  <c r="M79" i="31"/>
  <c r="I59" i="6"/>
  <c r="K59" i="6"/>
  <c r="L59" i="6" s="1"/>
  <c r="P59" i="6"/>
  <c r="M83" i="31" s="1"/>
  <c r="I45" i="6"/>
  <c r="K45" i="6" s="1"/>
  <c r="P45" i="6"/>
  <c r="I49" i="6"/>
  <c r="K49" i="6" s="1"/>
  <c r="L49" i="6" s="1"/>
  <c r="P49" i="6"/>
  <c r="M66" i="31"/>
  <c r="I60" i="6"/>
  <c r="K60" i="6" s="1"/>
  <c r="P60" i="6"/>
  <c r="M89" i="31" s="1"/>
  <c r="I64" i="6"/>
  <c r="K64" i="6" s="1"/>
  <c r="P64" i="6"/>
  <c r="M115" i="31"/>
  <c r="G24" i="31"/>
  <c r="G159" i="31"/>
  <c r="F17" i="31"/>
  <c r="G116" i="31"/>
  <c r="AA116" i="31" s="1"/>
  <c r="G34" i="31"/>
  <c r="AA34" i="31" s="1"/>
  <c r="G90" i="31"/>
  <c r="G97" i="31"/>
  <c r="G99" i="31"/>
  <c r="G144" i="31"/>
  <c r="AA144" i="31"/>
  <c r="G154" i="31"/>
  <c r="G167" i="31"/>
  <c r="G16" i="31"/>
  <c r="AA16" i="31" s="1"/>
  <c r="J28" i="31"/>
  <c r="J53" i="31" s="1"/>
  <c r="H19" i="4" s="1"/>
  <c r="U28" i="31"/>
  <c r="G36" i="31"/>
  <c r="AA36" i="31" s="1"/>
  <c r="G53" i="31"/>
  <c r="E18" i="1" s="1"/>
  <c r="G69" i="31"/>
  <c r="G70" i="31"/>
  <c r="AA70" i="31" s="1"/>
  <c r="G176" i="31"/>
  <c r="G186" i="31" s="1"/>
  <c r="G32" i="31"/>
  <c r="AA32" i="31"/>
  <c r="G130" i="31"/>
  <c r="G165" i="31"/>
  <c r="G173" i="31" s="1"/>
  <c r="J85" i="31"/>
  <c r="H21" i="4"/>
  <c r="G157" i="31"/>
  <c r="G76" i="31"/>
  <c r="G81" i="31"/>
  <c r="G88" i="31"/>
  <c r="G93" i="31" s="1"/>
  <c r="E21" i="1" s="1"/>
  <c r="G115" i="31"/>
  <c r="G117" i="31"/>
  <c r="G122" i="31"/>
  <c r="AA122" i="31"/>
  <c r="G131" i="31"/>
  <c r="G155" i="31"/>
  <c r="X85" i="31"/>
  <c r="X125" i="31" s="1"/>
  <c r="G133" i="31"/>
  <c r="AA133" i="31" s="1"/>
  <c r="G134" i="31"/>
  <c r="AA134" i="31" s="1"/>
  <c r="G21" i="31"/>
  <c r="E12" i="1"/>
  <c r="K12" i="1" s="1"/>
  <c r="Q12" i="1" s="1"/>
  <c r="F37" i="31"/>
  <c r="G64" i="31"/>
  <c r="G104" i="31"/>
  <c r="G113" i="31"/>
  <c r="AA113" i="31" s="1"/>
  <c r="G132" i="31"/>
  <c r="AA132" i="31" s="1"/>
  <c r="F173" i="31"/>
  <c r="G166" i="31"/>
  <c r="G168" i="31"/>
  <c r="G177" i="31"/>
  <c r="G178" i="31"/>
  <c r="G180" i="31"/>
  <c r="G184" i="31"/>
  <c r="G15" i="31"/>
  <c r="Y28" i="31"/>
  <c r="Y54" i="31"/>
  <c r="G35" i="31"/>
  <c r="AA35" i="31"/>
  <c r="G68" i="31"/>
  <c r="G105" i="31"/>
  <c r="G169" i="31"/>
  <c r="G181" i="31"/>
  <c r="G182" i="31"/>
  <c r="G31" i="31"/>
  <c r="E149" i="31"/>
  <c r="E17" i="31"/>
  <c r="G33" i="31"/>
  <c r="AA33" i="31" s="1"/>
  <c r="G67" i="31"/>
  <c r="L85" i="31"/>
  <c r="I21" i="4"/>
  <c r="G89" i="31"/>
  <c r="G114" i="31"/>
  <c r="G185" i="31"/>
  <c r="G23" i="31"/>
  <c r="AA23" i="31" s="1"/>
  <c r="G25" i="31"/>
  <c r="AA25" i="31" s="1"/>
  <c r="G78" i="31"/>
  <c r="G79" i="31"/>
  <c r="G118" i="31"/>
  <c r="AA118" i="31" s="1"/>
  <c r="H42" i="6"/>
  <c r="Z51" i="31"/>
  <c r="G61" i="31"/>
  <c r="G71" i="31"/>
  <c r="AA71" i="31" s="1"/>
  <c r="G91" i="31"/>
  <c r="E107" i="31"/>
  <c r="G112" i="31"/>
  <c r="G171" i="31"/>
  <c r="G179" i="31"/>
  <c r="G129" i="31"/>
  <c r="AA129" i="31" s="1"/>
  <c r="D42" i="6"/>
  <c r="D11" i="6" s="1"/>
  <c r="I11" i="6" s="1"/>
  <c r="K11" i="6" s="1"/>
  <c r="G57" i="31"/>
  <c r="E84" i="31"/>
  <c r="G77" i="31"/>
  <c r="E160" i="31"/>
  <c r="G158" i="31"/>
  <c r="G20" i="31"/>
  <c r="AA20" i="31" s="1"/>
  <c r="AA27" i="31" s="1"/>
  <c r="AC27" i="31" s="1"/>
  <c r="F135" i="31"/>
  <c r="G128" i="31"/>
  <c r="G16" i="24"/>
  <c r="G80" i="31"/>
  <c r="F93" i="31"/>
  <c r="E37" i="31"/>
  <c r="AA40" i="31"/>
  <c r="AA51" i="31" s="1"/>
  <c r="F72" i="31"/>
  <c r="F85" i="31" s="1"/>
  <c r="F125" i="31" s="1"/>
  <c r="F150" i="31" s="1"/>
  <c r="G63" i="31"/>
  <c r="G66" i="31"/>
  <c r="G98" i="31"/>
  <c r="F121" i="31"/>
  <c r="F123" i="31" s="1"/>
  <c r="E72" i="31"/>
  <c r="E85" i="31" s="1"/>
  <c r="E125" i="31" s="1"/>
  <c r="E150" i="31" s="1"/>
  <c r="G92" i="31"/>
  <c r="G96" i="31"/>
  <c r="G100" i="31" s="1"/>
  <c r="E22" i="1" s="1"/>
  <c r="F100" i="31"/>
  <c r="G137" i="31"/>
  <c r="AA137" i="31" s="1"/>
  <c r="E93" i="31"/>
  <c r="G119" i="31"/>
  <c r="G22" i="31"/>
  <c r="G62" i="31"/>
  <c r="G65" i="31"/>
  <c r="F84" i="31"/>
  <c r="G75" i="31"/>
  <c r="G82" i="31"/>
  <c r="G83" i="31"/>
  <c r="F107" i="31"/>
  <c r="G103" i="31"/>
  <c r="G106" i="31"/>
  <c r="G111" i="31"/>
  <c r="E100" i="31"/>
  <c r="E121" i="31"/>
  <c r="E123" i="31"/>
  <c r="G120" i="31"/>
  <c r="E135" i="31"/>
  <c r="G140" i="31"/>
  <c r="G164" i="31"/>
  <c r="G172" i="31"/>
  <c r="G110" i="31"/>
  <c r="E186" i="31"/>
  <c r="F149" i="31"/>
  <c r="F160" i="31"/>
  <c r="E173" i="31"/>
  <c r="G163" i="31"/>
  <c r="F186" i="31"/>
  <c r="G183" i="31"/>
  <c r="G156" i="31"/>
  <c r="G170" i="31"/>
  <c r="H66" i="6"/>
  <c r="F111" i="6"/>
  <c r="U53" i="31"/>
  <c r="U19" i="4" s="1"/>
  <c r="AA21" i="31"/>
  <c r="M62" i="31"/>
  <c r="Y151" i="31"/>
  <c r="F28" i="31"/>
  <c r="F54" i="31"/>
  <c r="AA146" i="31"/>
  <c r="AA148" i="31"/>
  <c r="AA130" i="31"/>
  <c r="E28" i="31"/>
  <c r="E54" i="31" s="1"/>
  <c r="L100" i="31"/>
  <c r="I23" i="4" s="1"/>
  <c r="G149" i="31"/>
  <c r="E28" i="1" s="1"/>
  <c r="AA106" i="31"/>
  <c r="I37" i="31"/>
  <c r="G18" i="4" s="1"/>
  <c r="G37" i="31"/>
  <c r="E17" i="1" s="1"/>
  <c r="AA92" i="31"/>
  <c r="E27" i="1"/>
  <c r="AA147" i="31"/>
  <c r="AA119" i="31"/>
  <c r="G160" i="31"/>
  <c r="E16" i="24" s="1"/>
  <c r="AA98" i="31"/>
  <c r="AA103" i="31"/>
  <c r="AA22" i="31"/>
  <c r="E19" i="1"/>
  <c r="AA76" i="31"/>
  <c r="Z112" i="31"/>
  <c r="AA112" i="31"/>
  <c r="Z24" i="31"/>
  <c r="AA24" i="31" s="1"/>
  <c r="K37" i="31"/>
  <c r="X18" i="4" s="1"/>
  <c r="Z31" i="31"/>
  <c r="Z37" i="31"/>
  <c r="AA31" i="31"/>
  <c r="AA37" i="31" s="1"/>
  <c r="F13" i="3"/>
  <c r="J13" i="3" s="1"/>
  <c r="J20" i="6"/>
  <c r="J21" i="6" s="1"/>
  <c r="J22" i="6" s="1"/>
  <c r="AC321" i="93" l="1"/>
  <c r="T283" i="93"/>
  <c r="U283" i="93"/>
  <c r="T285" i="93"/>
  <c r="U285" i="93" s="1"/>
  <c r="G27" i="97"/>
  <c r="H27" i="97" s="1"/>
  <c r="D50" i="76"/>
  <c r="AC283" i="93"/>
  <c r="K35" i="1"/>
  <c r="Q35" i="1" s="1"/>
  <c r="W35" i="1" s="1"/>
  <c r="Q26" i="1"/>
  <c r="W26" i="1" s="1"/>
  <c r="H35" i="97"/>
  <c r="G38" i="97"/>
  <c r="G41" i="97" s="1"/>
  <c r="H37" i="97"/>
  <c r="M214" i="49"/>
  <c r="N214" i="49" s="1"/>
  <c r="M222" i="49"/>
  <c r="N222" i="49" s="1"/>
  <c r="M209" i="49"/>
  <c r="N209" i="49" s="1"/>
  <c r="M75" i="6"/>
  <c r="M76" i="6" s="1"/>
  <c r="M77" i="6" s="1"/>
  <c r="M78" i="6" s="1"/>
  <c r="M79" i="6" s="1"/>
  <c r="M80" i="6" s="1"/>
  <c r="M81" i="6" s="1"/>
  <c r="M82" i="6" s="1"/>
  <c r="M83" i="6" s="1"/>
  <c r="M84" i="6" s="1"/>
  <c r="M85" i="6" s="1"/>
  <c r="M86" i="6" s="1"/>
  <c r="M87" i="6" s="1"/>
  <c r="M88" i="6" s="1"/>
  <c r="M89" i="6" s="1"/>
  <c r="M90" i="6" s="1"/>
  <c r="M91" i="6" s="1"/>
  <c r="M92" i="6" s="1"/>
  <c r="M93" i="6" s="1"/>
  <c r="M94" i="6" s="1"/>
  <c r="M95" i="6" s="1"/>
  <c r="M96" i="6" s="1"/>
  <c r="M97" i="6" s="1"/>
  <c r="M98" i="6" s="1"/>
  <c r="M99" i="6" s="1"/>
  <c r="M100" i="6" s="1"/>
  <c r="M101" i="6" s="1"/>
  <c r="M102" i="6" s="1"/>
  <c r="M103" i="6" s="1"/>
  <c r="M104" i="6" s="1"/>
  <c r="M105" i="6" s="1"/>
  <c r="M106" i="6" s="1"/>
  <c r="M107" i="6" s="1"/>
  <c r="M108" i="6" s="1"/>
  <c r="M109" i="6" s="1"/>
  <c r="M110" i="6" s="1"/>
  <c r="K20" i="6"/>
  <c r="L20" i="6" s="1"/>
  <c r="N20" i="6" s="1"/>
  <c r="E22" i="108"/>
  <c r="AD102" i="104"/>
  <c r="AD107" i="104"/>
  <c r="F22" i="108"/>
  <c r="D22" i="108"/>
  <c r="AD100" i="104"/>
  <c r="I22" i="108"/>
  <c r="Z139" i="104"/>
  <c r="T139" i="104"/>
  <c r="P140" i="104"/>
  <c r="D139" i="104"/>
  <c r="X139" i="104"/>
  <c r="F139" i="104"/>
  <c r="H140" i="104"/>
  <c r="H139" i="104"/>
  <c r="F140" i="104"/>
  <c r="N140" i="104"/>
  <c r="AD112" i="104"/>
  <c r="AF112" i="104" s="1"/>
  <c r="R140" i="104"/>
  <c r="P139" i="104"/>
  <c r="P141" i="104" s="1"/>
  <c r="V140" i="104"/>
  <c r="J140" i="104"/>
  <c r="J139" i="104"/>
  <c r="R139" i="104"/>
  <c r="X140" i="104"/>
  <c r="D140" i="104"/>
  <c r="T140" i="104"/>
  <c r="L139" i="104"/>
  <c r="L141" i="104" s="1"/>
  <c r="N139" i="104"/>
  <c r="N141" i="104" s="1"/>
  <c r="Z140" i="104"/>
  <c r="V139" i="104"/>
  <c r="L140" i="104"/>
  <c r="AD99" i="104"/>
  <c r="C22" i="108"/>
  <c r="D136" i="104"/>
  <c r="N127" i="104"/>
  <c r="X127" i="104"/>
  <c r="F135" i="104"/>
  <c r="V127" i="104"/>
  <c r="H129" i="104"/>
  <c r="H134" i="104"/>
  <c r="H126" i="104"/>
  <c r="Z135" i="104"/>
  <c r="Z127" i="104"/>
  <c r="X135" i="104"/>
  <c r="H127" i="104"/>
  <c r="V136" i="104"/>
  <c r="Z130" i="104"/>
  <c r="F127" i="104"/>
  <c r="L131" i="104"/>
  <c r="J135" i="104"/>
  <c r="J127" i="104"/>
  <c r="V131" i="104"/>
  <c r="T131" i="104"/>
  <c r="D135" i="104"/>
  <c r="N131" i="104"/>
  <c r="X136" i="104"/>
  <c r="J130" i="104"/>
  <c r="Z131" i="104"/>
  <c r="X131" i="104"/>
  <c r="F136" i="104"/>
  <c r="X134" i="104"/>
  <c r="V130" i="104"/>
  <c r="T134" i="104"/>
  <c r="F131" i="104"/>
  <c r="D131" i="104"/>
  <c r="N134" i="104"/>
  <c r="X130" i="104"/>
  <c r="L134" i="104"/>
  <c r="T129" i="104"/>
  <c r="J131" i="104"/>
  <c r="H131" i="104"/>
  <c r="H136" i="104"/>
  <c r="R126" i="104"/>
  <c r="F134" i="104"/>
  <c r="F130" i="104"/>
  <c r="D126" i="104"/>
  <c r="N129" i="104"/>
  <c r="D134" i="104"/>
  <c r="Z129" i="104"/>
  <c r="L136" i="104"/>
  <c r="N130" i="104"/>
  <c r="R131" i="104"/>
  <c r="H130" i="104"/>
  <c r="D129" i="104"/>
  <c r="T130" i="104"/>
  <c r="J126" i="104"/>
  <c r="T135" i="104"/>
  <c r="V126" i="104"/>
  <c r="T126" i="104"/>
  <c r="X129" i="104"/>
  <c r="X132" i="104" s="1"/>
  <c r="Z126" i="104"/>
  <c r="P129" i="104"/>
  <c r="R130" i="104"/>
  <c r="J129" i="104"/>
  <c r="P127" i="104"/>
  <c r="L130" i="104"/>
  <c r="R129" i="104"/>
  <c r="D130" i="104"/>
  <c r="J134" i="104"/>
  <c r="V134" i="104"/>
  <c r="P134" i="104"/>
  <c r="N135" i="104"/>
  <c r="R136" i="104"/>
  <c r="L127" i="104"/>
  <c r="L129" i="104"/>
  <c r="L132" i="104" s="1"/>
  <c r="V135" i="104"/>
  <c r="V129" i="104"/>
  <c r="L126" i="104"/>
  <c r="Z134" i="104"/>
  <c r="J136" i="104"/>
  <c r="X126" i="104"/>
  <c r="R135" i="104"/>
  <c r="D127" i="104"/>
  <c r="T127" i="104"/>
  <c r="T136" i="104"/>
  <c r="L135" i="104"/>
  <c r="P136" i="104"/>
  <c r="N136" i="104"/>
  <c r="F129" i="104"/>
  <c r="Z136" i="104"/>
  <c r="P130" i="104"/>
  <c r="P131" i="104"/>
  <c r="R134" i="104"/>
  <c r="R137" i="104" s="1"/>
  <c r="P135" i="104"/>
  <c r="R18" i="4"/>
  <c r="H17" i="1" s="1"/>
  <c r="J23" i="6"/>
  <c r="K22" i="6"/>
  <c r="L22" i="6" s="1"/>
  <c r="N22" i="6" s="1"/>
  <c r="N59" i="6"/>
  <c r="Q59" i="6" s="1"/>
  <c r="M121" i="31"/>
  <c r="M123" i="31" s="1"/>
  <c r="J25" i="4" s="1"/>
  <c r="N46" i="6"/>
  <c r="Q46" i="6" s="1"/>
  <c r="U63" i="31" s="1"/>
  <c r="Z63" i="31" s="1"/>
  <c r="AA63" i="31" s="1"/>
  <c r="G21" i="4"/>
  <c r="D15" i="6"/>
  <c r="C17" i="60"/>
  <c r="D17" i="60" s="1"/>
  <c r="I39" i="60"/>
  <c r="E151" i="31"/>
  <c r="E187" i="31" s="1"/>
  <c r="N48" i="6"/>
  <c r="Q48" i="6" s="1"/>
  <c r="R23" i="4"/>
  <c r="H22" i="1" s="1"/>
  <c r="K22" i="1" s="1"/>
  <c r="H13" i="6"/>
  <c r="F15" i="6"/>
  <c r="F151" i="31"/>
  <c r="F187" i="31" s="1"/>
  <c r="X21" i="4"/>
  <c r="T21" i="4"/>
  <c r="K56" i="6"/>
  <c r="L56" i="6"/>
  <c r="AE155" i="58"/>
  <c r="T53" i="31"/>
  <c r="T19" i="4" s="1"/>
  <c r="T54" i="31"/>
  <c r="L11" i="6"/>
  <c r="W12" i="1"/>
  <c r="AC21" i="31"/>
  <c r="N49" i="6"/>
  <c r="Q49" i="6" s="1"/>
  <c r="U66" i="31" s="1"/>
  <c r="Z66" i="31" s="1"/>
  <c r="AA66" i="31" s="1"/>
  <c r="N55" i="6"/>
  <c r="Q55" i="6" s="1"/>
  <c r="N65" i="6"/>
  <c r="Q65" i="6" s="1"/>
  <c r="U120" i="31" s="1"/>
  <c r="Z120" i="31" s="1"/>
  <c r="AA120" i="31" s="1"/>
  <c r="K47" i="6"/>
  <c r="L47" i="6" s="1"/>
  <c r="K57" i="6"/>
  <c r="L57" i="6"/>
  <c r="N61" i="6"/>
  <c r="Q61" i="6" s="1"/>
  <c r="W21" i="4"/>
  <c r="K58" i="6"/>
  <c r="L58" i="6" s="1"/>
  <c r="C197" i="78"/>
  <c r="N50" i="6"/>
  <c r="Q50" i="6" s="1"/>
  <c r="U67" i="31" s="1"/>
  <c r="Z67" i="31" s="1"/>
  <c r="AA67" i="31" s="1"/>
  <c r="K21" i="6"/>
  <c r="L21" i="6" s="1"/>
  <c r="N21" i="6" s="1"/>
  <c r="J54" i="31"/>
  <c r="G121" i="31"/>
  <c r="G123" i="31" s="1"/>
  <c r="E24" i="1" s="1"/>
  <c r="L60" i="6"/>
  <c r="M64" i="31"/>
  <c r="T12" i="4"/>
  <c r="Q155" i="58"/>
  <c r="T22" i="60"/>
  <c r="H10" i="31" s="1"/>
  <c r="AF124" i="62"/>
  <c r="O36" i="62"/>
  <c r="O389" i="62" s="1"/>
  <c r="AD126" i="62"/>
  <c r="AF126" i="62"/>
  <c r="AD513" i="62"/>
  <c r="AF513" i="62" s="1"/>
  <c r="AD570" i="62"/>
  <c r="AF570" i="62"/>
  <c r="X189" i="62"/>
  <c r="AB189" i="62"/>
  <c r="AD179" i="62"/>
  <c r="AF179" i="62" s="1"/>
  <c r="S181" i="62"/>
  <c r="U171" i="62"/>
  <c r="U157" i="62"/>
  <c r="S169" i="62"/>
  <c r="AF147" i="62"/>
  <c r="AD117" i="62"/>
  <c r="AF117" i="62"/>
  <c r="AF109" i="62"/>
  <c r="S120" i="62"/>
  <c r="X89" i="62"/>
  <c r="S95" i="62"/>
  <c r="AD73" i="62"/>
  <c r="AF73" i="62"/>
  <c r="AD65" i="62"/>
  <c r="AF65" i="62"/>
  <c r="J43" i="59"/>
  <c r="J75" i="59" s="1"/>
  <c r="M43" i="59"/>
  <c r="M75" i="59" s="1"/>
  <c r="S43" i="59"/>
  <c r="S75" i="59" s="1"/>
  <c r="V43" i="59"/>
  <c r="V75" i="59" s="1"/>
  <c r="Y43" i="59"/>
  <c r="Y75" i="59" s="1"/>
  <c r="U132" i="62"/>
  <c r="S149" i="62"/>
  <c r="AF168" i="62"/>
  <c r="AB278" i="62"/>
  <c r="X278" i="62"/>
  <c r="AD241" i="62"/>
  <c r="U241" i="62"/>
  <c r="G389" i="62"/>
  <c r="AD475" i="62"/>
  <c r="AF475" i="62" s="1"/>
  <c r="AD524" i="62"/>
  <c r="AF524" i="62"/>
  <c r="I36" i="6"/>
  <c r="P36" i="6"/>
  <c r="F378" i="78"/>
  <c r="C380" i="78"/>
  <c r="C379" i="78"/>
  <c r="E378" i="78"/>
  <c r="D194" i="78"/>
  <c r="D164" i="78"/>
  <c r="D160" i="78"/>
  <c r="D161" i="78"/>
  <c r="D179" i="78"/>
  <c r="D155" i="78"/>
  <c r="D153" i="78"/>
  <c r="D178" i="78"/>
  <c r="D159" i="78"/>
  <c r="D192" i="78"/>
  <c r="D171" i="78"/>
  <c r="D189" i="78"/>
  <c r="D167" i="78"/>
  <c r="D150" i="78"/>
  <c r="D177" i="78"/>
  <c r="D196" i="78"/>
  <c r="D174" i="78"/>
  <c r="D195" i="78"/>
  <c r="D185" i="78"/>
  <c r="D180" i="78"/>
  <c r="D165" i="78"/>
  <c r="D154" i="78"/>
  <c r="D173" i="78"/>
  <c r="D184" i="78"/>
  <c r="D156" i="78"/>
  <c r="D186" i="78"/>
  <c r="D197" i="78"/>
  <c r="D158" i="78"/>
  <c r="D162" i="78"/>
  <c r="D183" i="78"/>
  <c r="D182" i="78"/>
  <c r="D188" i="78"/>
  <c r="D166" i="78"/>
  <c r="D176" i="78"/>
  <c r="D152" i="78"/>
  <c r="D172" i="78"/>
  <c r="B13" i="78"/>
  <c r="B15" i="78"/>
  <c r="K147" i="107"/>
  <c r="G27" i="31"/>
  <c r="E13" i="1" s="1"/>
  <c r="W28" i="31"/>
  <c r="L64" i="6"/>
  <c r="P56" i="6"/>
  <c r="M80" i="31" s="1"/>
  <c r="L52" i="6"/>
  <c r="L53" i="6"/>
  <c r="AA18" i="4"/>
  <c r="I37" i="4"/>
  <c r="R37" i="4" s="1"/>
  <c r="H36" i="1" s="1"/>
  <c r="K36" i="1" s="1"/>
  <c r="C18" i="60"/>
  <c r="D18" i="60" s="1"/>
  <c r="M25" i="60"/>
  <c r="AD253" i="62"/>
  <c r="AF253" i="62" s="1"/>
  <c r="K700" i="62"/>
  <c r="AF498" i="62"/>
  <c r="S698" i="62"/>
  <c r="AD569" i="62"/>
  <c r="AF569" i="62"/>
  <c r="W211" i="62"/>
  <c r="S224" i="62"/>
  <c r="D170" i="78"/>
  <c r="B213" i="78"/>
  <c r="B218" i="78"/>
  <c r="C232" i="78"/>
  <c r="D230" i="78"/>
  <c r="M26" i="107"/>
  <c r="AA96" i="31"/>
  <c r="G107" i="31"/>
  <c r="E23" i="1" s="1"/>
  <c r="I54" i="6"/>
  <c r="I66" i="6" s="1"/>
  <c r="T155" i="58"/>
  <c r="AF172" i="62"/>
  <c r="AD118" i="62"/>
  <c r="AF118" i="62" s="1"/>
  <c r="J19" i="4"/>
  <c r="M54" i="31"/>
  <c r="AD108" i="62"/>
  <c r="AF108" i="62"/>
  <c r="AF245" i="62"/>
  <c r="I389" i="62"/>
  <c r="Q389" i="62"/>
  <c r="L389" i="62"/>
  <c r="AD490" i="62"/>
  <c r="AF490" i="62" s="1"/>
  <c r="AB607" i="62"/>
  <c r="X607" i="62"/>
  <c r="AF607" i="62" s="1"/>
  <c r="AB601" i="62"/>
  <c r="X601" i="62"/>
  <c r="AF167" i="62"/>
  <c r="AD473" i="62"/>
  <c r="AF473" i="62" s="1"/>
  <c r="L63" i="6"/>
  <c r="D191" i="78"/>
  <c r="U54" i="31"/>
  <c r="L45" i="6"/>
  <c r="M72" i="31"/>
  <c r="AK80" i="59"/>
  <c r="AF48" i="62"/>
  <c r="AD187" i="62"/>
  <c r="AF187" i="62"/>
  <c r="W382" i="62"/>
  <c r="AC382" i="62"/>
  <c r="W374" i="62"/>
  <c r="S384" i="62"/>
  <c r="AC374" i="62"/>
  <c r="W363" i="62"/>
  <c r="AC363" i="62"/>
  <c r="W355" i="62"/>
  <c r="AC355" i="62"/>
  <c r="W345" i="62"/>
  <c r="AC345" i="62"/>
  <c r="S348" i="62"/>
  <c r="W320" i="62"/>
  <c r="AC320" i="62"/>
  <c r="AC703" i="62" s="1"/>
  <c r="S325" i="62"/>
  <c r="W312" i="62"/>
  <c r="AC312" i="62"/>
  <c r="S304" i="62"/>
  <c r="W300" i="62"/>
  <c r="AB270" i="62"/>
  <c r="X270" i="62"/>
  <c r="AD259" i="62"/>
  <c r="AF259" i="62" s="1"/>
  <c r="AD251" i="62"/>
  <c r="AF251" i="62"/>
  <c r="AD243" i="62"/>
  <c r="AF243" i="62" s="1"/>
  <c r="AF235" i="62"/>
  <c r="U54" i="62"/>
  <c r="S59" i="62"/>
  <c r="AD231" i="62"/>
  <c r="U231" i="62"/>
  <c r="S298" i="62"/>
  <c r="F54" i="67"/>
  <c r="L54" i="67" s="1"/>
  <c r="L23" i="67"/>
  <c r="G23" i="67"/>
  <c r="H23" i="67" s="1"/>
  <c r="D168" i="78"/>
  <c r="A10" i="80"/>
  <c r="G135" i="31"/>
  <c r="E25" i="1" s="1"/>
  <c r="E57" i="67" s="1"/>
  <c r="G17" i="31"/>
  <c r="L155" i="58"/>
  <c r="AF548" i="62"/>
  <c r="AD151" i="62"/>
  <c r="AF151" i="62"/>
  <c r="AF531" i="62"/>
  <c r="AD72" i="62"/>
  <c r="AF72" i="62" s="1"/>
  <c r="P389" i="62"/>
  <c r="N389" i="62"/>
  <c r="M700" i="62"/>
  <c r="K44" i="6"/>
  <c r="L44" i="6"/>
  <c r="AD140" i="62"/>
  <c r="AF140" i="62" s="1"/>
  <c r="AD566" i="62"/>
  <c r="AF566" i="62"/>
  <c r="S588" i="62"/>
  <c r="AD530" i="62"/>
  <c r="AF530" i="62"/>
  <c r="AD512" i="62"/>
  <c r="AF512" i="62"/>
  <c r="AF497" i="62"/>
  <c r="AD489" i="62"/>
  <c r="AF489" i="62"/>
  <c r="S546" i="62"/>
  <c r="V471" i="62"/>
  <c r="X444" i="62"/>
  <c r="S451" i="62"/>
  <c r="S459" i="62" s="1"/>
  <c r="AF434" i="62"/>
  <c r="AC425" i="62"/>
  <c r="W425" i="62"/>
  <c r="S419" i="62"/>
  <c r="AC406" i="62"/>
  <c r="W396" i="62"/>
  <c r="S399" i="62"/>
  <c r="AC396" i="62"/>
  <c r="AK43" i="59"/>
  <c r="AK75" i="59" s="1"/>
  <c r="AW41" i="59"/>
  <c r="V582" i="62"/>
  <c r="V703" i="62" s="1"/>
  <c r="AD439" i="62"/>
  <c r="AF439" i="62"/>
  <c r="F377" i="78"/>
  <c r="G377" i="78" s="1"/>
  <c r="H377" i="78" s="1"/>
  <c r="A14" i="77"/>
  <c r="L64" i="107"/>
  <c r="L62" i="6"/>
  <c r="L51" i="6"/>
  <c r="Q17" i="60"/>
  <c r="AD53" i="62"/>
  <c r="AF53" i="62"/>
  <c r="AF175" i="62"/>
  <c r="AD477" i="62"/>
  <c r="AF477" i="62"/>
  <c r="AD549" i="62"/>
  <c r="AF549" i="62"/>
  <c r="W692" i="62"/>
  <c r="AC692" i="62"/>
  <c r="W672" i="62"/>
  <c r="AC672" i="62"/>
  <c r="AC660" i="62"/>
  <c r="W660" i="62"/>
  <c r="AC652" i="62"/>
  <c r="W652" i="62"/>
  <c r="AC642" i="62"/>
  <c r="W642" i="62"/>
  <c r="AC634" i="62"/>
  <c r="W634" i="62"/>
  <c r="AC626" i="62"/>
  <c r="W626" i="62"/>
  <c r="S685" i="62"/>
  <c r="AC618" i="62"/>
  <c r="W618" i="62"/>
  <c r="AH77" i="59"/>
  <c r="AH80" i="59" s="1"/>
  <c r="AW36" i="59"/>
  <c r="AN43" i="59"/>
  <c r="AN75" i="59" s="1"/>
  <c r="AW33" i="59"/>
  <c r="AN77" i="59"/>
  <c r="AN80" i="59" s="1"/>
  <c r="AW32" i="59"/>
  <c r="AQ77" i="59"/>
  <c r="AQ80" i="59" s="1"/>
  <c r="AW40" i="59"/>
  <c r="AW79" i="59" s="1"/>
  <c r="L17" i="67"/>
  <c r="G17" i="67"/>
  <c r="H17" i="67" s="1"/>
  <c r="H54" i="67" s="1"/>
  <c r="B79" i="78"/>
  <c r="J37" i="76"/>
  <c r="K37" i="76" s="1"/>
  <c r="D35" i="75"/>
  <c r="D30" i="75"/>
  <c r="O77" i="107"/>
  <c r="O78" i="107" s="1"/>
  <c r="F14" i="3"/>
  <c r="G84" i="31"/>
  <c r="G72" i="31"/>
  <c r="G85" i="31" s="1"/>
  <c r="AF101" i="62"/>
  <c r="AD261" i="62"/>
  <c r="AF261" i="62" s="1"/>
  <c r="AD435" i="62"/>
  <c r="AF435" i="62"/>
  <c r="AD456" i="62"/>
  <c r="AF456" i="62"/>
  <c r="AD467" i="62"/>
  <c r="AF467" i="62"/>
  <c r="J77" i="59"/>
  <c r="J80" i="59" s="1"/>
  <c r="AW53" i="59"/>
  <c r="X596" i="62"/>
  <c r="S81" i="62"/>
  <c r="AT79" i="59"/>
  <c r="P79" i="59"/>
  <c r="P80" i="59" s="1"/>
  <c r="S79" i="59"/>
  <c r="S80" i="59" s="1"/>
  <c r="AE43" i="59"/>
  <c r="AE75" i="59" s="1"/>
  <c r="AC650" i="62"/>
  <c r="W650" i="62"/>
  <c r="N700" i="62"/>
  <c r="I700" i="62"/>
  <c r="V79" i="59"/>
  <c r="V80" i="59" s="1"/>
  <c r="B150" i="78"/>
  <c r="B299" i="78"/>
  <c r="B300" i="78" s="1"/>
  <c r="B297" i="78"/>
  <c r="C303" i="78"/>
  <c r="D302" i="78"/>
  <c r="N54" i="31"/>
  <c r="K19" i="4"/>
  <c r="AD145" i="62"/>
  <c r="AF145" i="62"/>
  <c r="AD427" i="62"/>
  <c r="AF427" i="62"/>
  <c r="AD578" i="62"/>
  <c r="AF578" i="62"/>
  <c r="F700" i="62"/>
  <c r="AT80" i="59"/>
  <c r="S28" i="62"/>
  <c r="S34" i="62" s="1"/>
  <c r="X22" i="62"/>
  <c r="I31" i="6"/>
  <c r="P31" i="6"/>
  <c r="M81" i="31" s="1"/>
  <c r="I25" i="6"/>
  <c r="P25" i="6"/>
  <c r="P42" i="6" s="1"/>
  <c r="J220" i="49"/>
  <c r="L32" i="67"/>
  <c r="G32" i="67"/>
  <c r="H32" i="67" s="1"/>
  <c r="P34" i="6"/>
  <c r="J117" i="107"/>
  <c r="M52" i="107"/>
  <c r="B360" i="78"/>
  <c r="M162" i="107"/>
  <c r="AF119" i="62"/>
  <c r="AF527" i="62"/>
  <c r="V587" i="62"/>
  <c r="U279" i="62"/>
  <c r="B361" i="78"/>
  <c r="AF56" i="62"/>
  <c r="AF163" i="62"/>
  <c r="AF550" i="62"/>
  <c r="U203" i="62"/>
  <c r="U703" i="62" s="1"/>
  <c r="V704" i="62" s="1"/>
  <c r="P26" i="6"/>
  <c r="V21" i="4"/>
  <c r="AF139" i="62"/>
  <c r="J41" i="107"/>
  <c r="I132" i="107"/>
  <c r="G28" i="97"/>
  <c r="D51" i="76"/>
  <c r="H167" i="107"/>
  <c r="R75" i="107"/>
  <c r="H176" i="107"/>
  <c r="D14" i="95"/>
  <c r="H23" i="70"/>
  <c r="D11" i="95"/>
  <c r="H19" i="70"/>
  <c r="G82" i="93"/>
  <c r="K218" i="93"/>
  <c r="M218" i="93" s="1"/>
  <c r="P126" i="104"/>
  <c r="P99" i="104"/>
  <c r="S80" i="93"/>
  <c r="T80" i="93" s="1"/>
  <c r="J104" i="104"/>
  <c r="G44" i="93"/>
  <c r="I186" i="93"/>
  <c r="I187" i="93" s="1"/>
  <c r="I506" i="93"/>
  <c r="K506" i="93"/>
  <c r="M506" i="93" s="1"/>
  <c r="D20" i="95"/>
  <c r="H25" i="70"/>
  <c r="AK314" i="93"/>
  <c r="P19" i="104"/>
  <c r="P23" i="104" s="1"/>
  <c r="G319" i="93"/>
  <c r="K507" i="93"/>
  <c r="M507" i="93" s="1"/>
  <c r="N126" i="104"/>
  <c r="N99" i="104"/>
  <c r="G117" i="93"/>
  <c r="I117" i="93" s="1"/>
  <c r="C216" i="93"/>
  <c r="E220" i="93"/>
  <c r="E246" i="93" s="1"/>
  <c r="C246" i="93" s="1"/>
  <c r="M382" i="93"/>
  <c r="M383" i="93" s="1"/>
  <c r="I428" i="102"/>
  <c r="I430" i="102" s="1"/>
  <c r="K185" i="93"/>
  <c r="M185" i="93" s="1"/>
  <c r="M187" i="93" s="1"/>
  <c r="G43" i="93"/>
  <c r="M438" i="93"/>
  <c r="M439" i="93" s="1"/>
  <c r="L83" i="104"/>
  <c r="G150" i="93"/>
  <c r="K150" i="93" s="1"/>
  <c r="M150" i="93" s="1"/>
  <c r="M154" i="93" s="1"/>
  <c r="K153" i="93"/>
  <c r="M153" i="93" s="1"/>
  <c r="AI13" i="102"/>
  <c r="E21" i="93"/>
  <c r="AI20" i="102"/>
  <c r="E28" i="93"/>
  <c r="C252" i="93"/>
  <c r="G252" i="93" s="1"/>
  <c r="I252" i="93" s="1"/>
  <c r="I253" i="93" s="1"/>
  <c r="E253" i="93"/>
  <c r="E279" i="93" s="1"/>
  <c r="C279" i="93" s="1"/>
  <c r="C117" i="93"/>
  <c r="K117" i="93" s="1"/>
  <c r="M117" i="93" s="1"/>
  <c r="E119" i="93"/>
  <c r="K482" i="93"/>
  <c r="M482" i="93" s="1"/>
  <c r="M485" i="93" s="1"/>
  <c r="G505" i="93"/>
  <c r="I505" i="93" s="1"/>
  <c r="I509" i="93" s="1"/>
  <c r="R127" i="104"/>
  <c r="R100" i="104"/>
  <c r="AA100" i="104" s="1"/>
  <c r="S49" i="93" s="1"/>
  <c r="T49" i="93" s="1"/>
  <c r="G358" i="93"/>
  <c r="K358" i="93" s="1"/>
  <c r="G217" i="93"/>
  <c r="G454" i="93"/>
  <c r="K454" i="93"/>
  <c r="M454" i="93" s="1"/>
  <c r="K363" i="93"/>
  <c r="M363" i="93" s="1"/>
  <c r="M364" i="93" s="1"/>
  <c r="AF35" i="102"/>
  <c r="AI8" i="102"/>
  <c r="AF7" i="102"/>
  <c r="C81" i="93"/>
  <c r="E84" i="93"/>
  <c r="E112" i="93" s="1"/>
  <c r="C112" i="93" s="1"/>
  <c r="X35" i="104"/>
  <c r="AA36" i="104"/>
  <c r="G452" i="93"/>
  <c r="K452" i="93" s="1"/>
  <c r="M452" i="93" s="1"/>
  <c r="M458" i="93" s="1"/>
  <c r="T62" i="104"/>
  <c r="T58" i="104"/>
  <c r="E529" i="93"/>
  <c r="E531" i="93" s="1"/>
  <c r="V99" i="104"/>
  <c r="T99" i="104"/>
  <c r="AF20" i="102"/>
  <c r="AI9" i="102"/>
  <c r="AI14" i="102"/>
  <c r="E22" i="93"/>
  <c r="E37" i="93" s="1"/>
  <c r="AI21" i="102"/>
  <c r="E29" i="93"/>
  <c r="G425" i="103"/>
  <c r="G429" i="103" s="1"/>
  <c r="AI23" i="102"/>
  <c r="AI10" i="102"/>
  <c r="T68" i="104"/>
  <c r="T72" i="104" s="1"/>
  <c r="E7" i="93"/>
  <c r="AI16" i="102"/>
  <c r="H31" i="104"/>
  <c r="T18" i="103"/>
  <c r="E35" i="93"/>
  <c r="AF19" i="102"/>
  <c r="AI11" i="102"/>
  <c r="AI17" i="102"/>
  <c r="I26" i="77"/>
  <c r="R99" i="104"/>
  <c r="AI18" i="102"/>
  <c r="E427" i="93"/>
  <c r="E429" i="93" s="1"/>
  <c r="C429" i="93" s="1"/>
  <c r="P428" i="103"/>
  <c r="P429" i="103" s="1"/>
  <c r="O26" i="105"/>
  <c r="O28" i="105" s="1"/>
  <c r="O29" i="105" s="1"/>
  <c r="O23" i="107"/>
  <c r="O25" i="107" s="1"/>
  <c r="AF8" i="102"/>
  <c r="AI12" i="102"/>
  <c r="AF36" i="102"/>
  <c r="D68" i="104"/>
  <c r="D72" i="104" s="1"/>
  <c r="T21" i="103"/>
  <c r="L428" i="103"/>
  <c r="L429" i="103" s="1"/>
  <c r="I27" i="77"/>
  <c r="AF34" i="102"/>
  <c r="AF6" i="102"/>
  <c r="AF13" i="102" s="1"/>
  <c r="AF14" i="102" s="1"/>
  <c r="AF15" i="102" s="1"/>
  <c r="AI7" i="102"/>
  <c r="P19" i="105"/>
  <c r="P25" i="105" s="1"/>
  <c r="D27" i="105"/>
  <c r="D28" i="105" s="1"/>
  <c r="D29" i="105" s="1"/>
  <c r="AI15" i="102"/>
  <c r="T19" i="103"/>
  <c r="AK3" i="102"/>
  <c r="AL3" i="102" s="1"/>
  <c r="P22" i="107"/>
  <c r="P23" i="107" s="1"/>
  <c r="P25" i="107" s="1"/>
  <c r="K104" i="107"/>
  <c r="K106" i="107" s="1"/>
  <c r="K176" i="107" s="1"/>
  <c r="T15" i="103"/>
  <c r="AK23" i="102" s="1"/>
  <c r="AK24" i="102" s="1"/>
  <c r="AK1" i="102" s="1"/>
  <c r="AL1" i="102" s="1"/>
  <c r="T20" i="103"/>
  <c r="K428" i="103"/>
  <c r="K429" i="103" s="1"/>
  <c r="AI22" i="102"/>
  <c r="T16" i="103"/>
  <c r="I25" i="77"/>
  <c r="I30" i="77"/>
  <c r="D6" i="108"/>
  <c r="T17" i="103"/>
  <c r="AF22" i="102" s="1"/>
  <c r="F7" i="104"/>
  <c r="F8" i="104" s="1"/>
  <c r="O19" i="154"/>
  <c r="M19" i="154" s="1"/>
  <c r="L16" i="49"/>
  <c r="W16" i="49"/>
  <c r="R16" i="49"/>
  <c r="G16" i="49" s="1"/>
  <c r="L24" i="49"/>
  <c r="R24" i="49"/>
  <c r="G24" i="49" s="1"/>
  <c r="W24" i="49"/>
  <c r="L42" i="49"/>
  <c r="W42" i="49"/>
  <c r="G41" i="49"/>
  <c r="H41" i="49"/>
  <c r="H216" i="49" s="1"/>
  <c r="AG12" i="152"/>
  <c r="AH12" i="152"/>
  <c r="AG20" i="152"/>
  <c r="AH20" i="152"/>
  <c r="AG28" i="152"/>
  <c r="AH28" i="152"/>
  <c r="G8" i="49"/>
  <c r="C25" i="159"/>
  <c r="L17" i="49"/>
  <c r="W17" i="49"/>
  <c r="R17" i="49"/>
  <c r="G17" i="49" s="1"/>
  <c r="L35" i="49"/>
  <c r="W35" i="49"/>
  <c r="R35" i="49"/>
  <c r="G35" i="49" s="1"/>
  <c r="L43" i="49"/>
  <c r="W43" i="49"/>
  <c r="R43" i="49"/>
  <c r="G43" i="49" s="1"/>
  <c r="M217" i="49" s="1"/>
  <c r="N217" i="49" s="1"/>
  <c r="R25" i="49"/>
  <c r="G25" i="49" s="1"/>
  <c r="K25" i="49" s="1"/>
  <c r="AG13" i="152"/>
  <c r="AH13" i="152"/>
  <c r="AG21" i="152"/>
  <c r="AH21" i="152"/>
  <c r="AG29" i="152"/>
  <c r="AH29" i="152"/>
  <c r="R10" i="49"/>
  <c r="G10" i="49" s="1"/>
  <c r="K10" i="49" s="1"/>
  <c r="L11" i="49"/>
  <c r="R11" i="49"/>
  <c r="G11" i="49" s="1"/>
  <c r="G85" i="49"/>
  <c r="H85" i="49"/>
  <c r="R34" i="49"/>
  <c r="G34" i="49" s="1"/>
  <c r="L46" i="49"/>
  <c r="W46" i="49"/>
  <c r="R46" i="49"/>
  <c r="G46" i="49" s="1"/>
  <c r="L54" i="49"/>
  <c r="R54" i="49"/>
  <c r="G54" i="49" s="1"/>
  <c r="W54" i="49"/>
  <c r="L62" i="49"/>
  <c r="R62" i="49"/>
  <c r="G62" i="49" s="1"/>
  <c r="W62" i="49"/>
  <c r="R70" i="49"/>
  <c r="G70" i="49" s="1"/>
  <c r="K70" i="49" s="1"/>
  <c r="L78" i="49"/>
  <c r="W78" i="49"/>
  <c r="R78" i="49"/>
  <c r="G78" i="49" s="1"/>
  <c r="L86" i="49"/>
  <c r="R86" i="49"/>
  <c r="G86" i="49" s="1"/>
  <c r="W86" i="49"/>
  <c r="L94" i="49"/>
  <c r="R94" i="49"/>
  <c r="G94" i="49" s="1"/>
  <c r="L102" i="49"/>
  <c r="R102" i="49"/>
  <c r="G102" i="49" s="1"/>
  <c r="W102" i="49"/>
  <c r="L110" i="49"/>
  <c r="W110" i="49"/>
  <c r="R110" i="49"/>
  <c r="G110" i="49" s="1"/>
  <c r="L118" i="49"/>
  <c r="W118" i="49"/>
  <c r="R118" i="49"/>
  <c r="G118" i="49" s="1"/>
  <c r="R126" i="49"/>
  <c r="G126" i="49" s="1"/>
  <c r="K126" i="49" s="1"/>
  <c r="L134" i="49"/>
  <c r="R134" i="49"/>
  <c r="G134" i="49" s="1"/>
  <c r="W134" i="49"/>
  <c r="L142" i="49"/>
  <c r="R142" i="49"/>
  <c r="G142" i="49" s="1"/>
  <c r="W142" i="49"/>
  <c r="L160" i="49"/>
  <c r="R160" i="49"/>
  <c r="G160" i="49" s="1"/>
  <c r="W160" i="49"/>
  <c r="L168" i="49"/>
  <c r="R168" i="49"/>
  <c r="G168" i="49" s="1"/>
  <c r="W168" i="49"/>
  <c r="L176" i="49"/>
  <c r="W176" i="49"/>
  <c r="R176" i="49"/>
  <c r="G176" i="49" s="1"/>
  <c r="L184" i="49"/>
  <c r="W184" i="49"/>
  <c r="R184" i="49"/>
  <c r="G184" i="49" s="1"/>
  <c r="L192" i="49"/>
  <c r="W192" i="49"/>
  <c r="R192" i="49"/>
  <c r="G192" i="49" s="1"/>
  <c r="L47" i="49"/>
  <c r="R47" i="49"/>
  <c r="G47" i="49" s="1"/>
  <c r="W47" i="49"/>
  <c r="L55" i="49"/>
  <c r="R55" i="49"/>
  <c r="G55" i="49" s="1"/>
  <c r="L63" i="49"/>
  <c r="R63" i="49"/>
  <c r="G63" i="49" s="1"/>
  <c r="W63" i="49"/>
  <c r="L71" i="49"/>
  <c r="R71" i="49"/>
  <c r="G71" i="49" s="1"/>
  <c r="W71" i="49"/>
  <c r="L79" i="49"/>
  <c r="W79" i="49"/>
  <c r="R79" i="49"/>
  <c r="L87" i="49"/>
  <c r="W87" i="49"/>
  <c r="R87" i="49"/>
  <c r="L95" i="49"/>
  <c r="W95" i="49"/>
  <c r="R95" i="49"/>
  <c r="L103" i="49"/>
  <c r="W103" i="49"/>
  <c r="R103" i="49"/>
  <c r="L111" i="49"/>
  <c r="W111" i="49"/>
  <c r="L119" i="49"/>
  <c r="W119" i="49"/>
  <c r="R127" i="49"/>
  <c r="G127" i="49" s="1"/>
  <c r="K127" i="49" s="1"/>
  <c r="L135" i="49"/>
  <c r="W135" i="49"/>
  <c r="R135" i="49"/>
  <c r="G135" i="49" s="1"/>
  <c r="L143" i="49"/>
  <c r="W143" i="49"/>
  <c r="R143" i="49"/>
  <c r="G143" i="49" s="1"/>
  <c r="L153" i="49"/>
  <c r="W153" i="49"/>
  <c r="R153" i="49"/>
  <c r="G153" i="49" s="1"/>
  <c r="L161" i="49"/>
  <c r="W161" i="49"/>
  <c r="R161" i="49"/>
  <c r="G161" i="49" s="1"/>
  <c r="L169" i="49"/>
  <c r="R169" i="49"/>
  <c r="G169" i="49" s="1"/>
  <c r="L177" i="49"/>
  <c r="W177" i="49"/>
  <c r="R177" i="49"/>
  <c r="G177" i="49" s="1"/>
  <c r="L185" i="49"/>
  <c r="R185" i="49"/>
  <c r="G185" i="49" s="1"/>
  <c r="W185" i="49"/>
  <c r="L193" i="49"/>
  <c r="W193" i="49"/>
  <c r="R152" i="49"/>
  <c r="G152" i="49" s="1"/>
  <c r="R119" i="49"/>
  <c r="G119" i="49" s="1"/>
  <c r="G83" i="49"/>
  <c r="H83" i="49"/>
  <c r="R12" i="49"/>
  <c r="G12" i="49" s="1"/>
  <c r="K12" i="49" s="1"/>
  <c r="L18" i="49"/>
  <c r="W18" i="49"/>
  <c r="R191" i="49"/>
  <c r="G191" i="49" s="1"/>
  <c r="R164" i="49"/>
  <c r="G164" i="49" s="1"/>
  <c r="R109" i="49"/>
  <c r="W50" i="49"/>
  <c r="L13" i="49"/>
  <c r="W13" i="49"/>
  <c r="L19" i="49"/>
  <c r="R19" i="49"/>
  <c r="G19" i="49" s="1"/>
  <c r="L27" i="49"/>
  <c r="W27" i="49"/>
  <c r="L37" i="49"/>
  <c r="W37" i="49"/>
  <c r="L57" i="49"/>
  <c r="W57" i="49"/>
  <c r="L65" i="49"/>
  <c r="W65" i="49"/>
  <c r="L73" i="49"/>
  <c r="R73" i="49"/>
  <c r="G73" i="49" s="1"/>
  <c r="L89" i="49"/>
  <c r="R89" i="49"/>
  <c r="W89" i="49"/>
  <c r="L105" i="49"/>
  <c r="R105" i="49"/>
  <c r="R129" i="49"/>
  <c r="G129" i="49" s="1"/>
  <c r="K129" i="49" s="1"/>
  <c r="L137" i="49"/>
  <c r="R137" i="49"/>
  <c r="G137" i="49" s="1"/>
  <c r="L155" i="49"/>
  <c r="R155" i="49"/>
  <c r="G155" i="49" s="1"/>
  <c r="W155" i="49"/>
  <c r="L163" i="49"/>
  <c r="W163" i="49"/>
  <c r="L171" i="49"/>
  <c r="W171" i="49"/>
  <c r="L195" i="49"/>
  <c r="W195" i="49"/>
  <c r="R195" i="49"/>
  <c r="G195" i="49" s="1"/>
  <c r="R190" i="49"/>
  <c r="G190" i="49" s="1"/>
  <c r="R171" i="49"/>
  <c r="G171" i="49" s="1"/>
  <c r="R150" i="49"/>
  <c r="G150" i="49" s="1"/>
  <c r="R141" i="49"/>
  <c r="G141" i="49" s="1"/>
  <c r="R90" i="49"/>
  <c r="G90" i="49" s="1"/>
  <c r="R49" i="49"/>
  <c r="G49" i="49" s="1"/>
  <c r="K49" i="49" s="1"/>
  <c r="R15" i="49"/>
  <c r="G15" i="49" s="1"/>
  <c r="W133" i="49"/>
  <c r="W105" i="49"/>
  <c r="W90" i="49"/>
  <c r="W26" i="49"/>
  <c r="AG15" i="152"/>
  <c r="AH15" i="152"/>
  <c r="AH23" i="152"/>
  <c r="AG23" i="152"/>
  <c r="AG31" i="152"/>
  <c r="AH31" i="152"/>
  <c r="L14" i="49"/>
  <c r="R14" i="49"/>
  <c r="G14" i="49" s="1"/>
  <c r="W14" i="49"/>
  <c r="L28" i="49"/>
  <c r="R28" i="49"/>
  <c r="G28" i="49" s="1"/>
  <c r="W28" i="49"/>
  <c r="L38" i="49"/>
  <c r="W38" i="49"/>
  <c r="R38" i="49"/>
  <c r="G38" i="49" s="1"/>
  <c r="L58" i="49"/>
  <c r="R58" i="49"/>
  <c r="G58" i="49" s="1"/>
  <c r="L66" i="49"/>
  <c r="W66" i="49"/>
  <c r="R66" i="49"/>
  <c r="G66" i="49" s="1"/>
  <c r="L82" i="49"/>
  <c r="W82" i="49"/>
  <c r="R82" i="49"/>
  <c r="G82" i="49" s="1"/>
  <c r="L106" i="49"/>
  <c r="W106" i="49"/>
  <c r="L114" i="49"/>
  <c r="W114" i="49"/>
  <c r="R114" i="49"/>
  <c r="L138" i="49"/>
  <c r="W138" i="49"/>
  <c r="L148" i="49"/>
  <c r="W148" i="49"/>
  <c r="L156" i="49"/>
  <c r="W156" i="49"/>
  <c r="L172" i="49"/>
  <c r="R172" i="49"/>
  <c r="G172" i="49" s="1"/>
  <c r="L188" i="49"/>
  <c r="W188" i="49"/>
  <c r="R156" i="49"/>
  <c r="G156" i="49" s="1"/>
  <c r="R133" i="49"/>
  <c r="G133" i="49" s="1"/>
  <c r="R122" i="49"/>
  <c r="G122" i="49" s="1"/>
  <c r="K122" i="49" s="1"/>
  <c r="R98" i="49"/>
  <c r="G98" i="49" s="1"/>
  <c r="W180" i="49"/>
  <c r="W164" i="49"/>
  <c r="W20" i="49"/>
  <c r="L22" i="49"/>
  <c r="W22" i="49"/>
  <c r="O15" i="49"/>
  <c r="O23" i="49"/>
  <c r="O27" i="49"/>
  <c r="O16" i="49"/>
  <c r="O24" i="49"/>
  <c r="O9" i="49"/>
  <c r="O17" i="49"/>
  <c r="O25" i="49"/>
  <c r="O10" i="49"/>
  <c r="O12" i="49"/>
  <c r="O20" i="49"/>
  <c r="O88" i="49"/>
  <c r="N88" i="49" s="1"/>
  <c r="O14" i="49"/>
  <c r="O22" i="49"/>
  <c r="O11" i="49"/>
  <c r="O106" i="49"/>
  <c r="N106" i="49" s="1"/>
  <c r="O102" i="49"/>
  <c r="N102" i="49" s="1"/>
  <c r="O98" i="49"/>
  <c r="N98" i="49" s="1"/>
  <c r="O94" i="49"/>
  <c r="N94" i="49" s="1"/>
  <c r="O90" i="49"/>
  <c r="N90" i="49" s="1"/>
  <c r="O13" i="49"/>
  <c r="O18" i="49"/>
  <c r="L32" i="49"/>
  <c r="O105" i="49"/>
  <c r="N105" i="49" s="1"/>
  <c r="O101" i="49"/>
  <c r="N101" i="49" s="1"/>
  <c r="O97" i="49"/>
  <c r="N97" i="49" s="1"/>
  <c r="O93" i="49"/>
  <c r="N93" i="49" s="1"/>
  <c r="O89" i="49"/>
  <c r="N89" i="49" s="1"/>
  <c r="O19" i="49"/>
  <c r="O21" i="49"/>
  <c r="O104" i="49"/>
  <c r="N104" i="49" s="1"/>
  <c r="O100" i="49"/>
  <c r="N100" i="49" s="1"/>
  <c r="O96" i="49"/>
  <c r="N96" i="49" s="1"/>
  <c r="O92" i="49"/>
  <c r="N92" i="49" s="1"/>
  <c r="O26" i="49"/>
  <c r="O8" i="49"/>
  <c r="O107" i="49"/>
  <c r="N107" i="49" s="1"/>
  <c r="O103" i="49"/>
  <c r="N103" i="49" s="1"/>
  <c r="O99" i="49"/>
  <c r="N99" i="49" s="1"/>
  <c r="O95" i="49"/>
  <c r="N95" i="49" s="1"/>
  <c r="O91" i="49"/>
  <c r="N91" i="49" s="1"/>
  <c r="R32" i="49"/>
  <c r="G32" i="49" s="1"/>
  <c r="L40" i="49"/>
  <c r="R40" i="49"/>
  <c r="G40" i="49" s="1"/>
  <c r="M218" i="49" s="1"/>
  <c r="N218" i="49" s="1"/>
  <c r="R52" i="49"/>
  <c r="G52" i="49" s="1"/>
  <c r="K52" i="49" s="1"/>
  <c r="L60" i="49"/>
  <c r="W60" i="49"/>
  <c r="L76" i="49"/>
  <c r="R76" i="49"/>
  <c r="G76" i="49" s="1"/>
  <c r="L84" i="49"/>
  <c r="W84" i="49"/>
  <c r="R84" i="49"/>
  <c r="G84" i="49" s="1"/>
  <c r="L92" i="49"/>
  <c r="W92" i="49"/>
  <c r="L100" i="49"/>
  <c r="W100" i="49"/>
  <c r="R100" i="49"/>
  <c r="G100" i="49" s="1"/>
  <c r="L108" i="49"/>
  <c r="W108" i="49"/>
  <c r="R108" i="49"/>
  <c r="G108" i="49" s="1"/>
  <c r="L116" i="49"/>
  <c r="W116" i="49"/>
  <c r="L132" i="49"/>
  <c r="W132" i="49"/>
  <c r="L166" i="49"/>
  <c r="R166" i="49"/>
  <c r="G166" i="49" s="1"/>
  <c r="L174" i="49"/>
  <c r="R174" i="49"/>
  <c r="G174" i="49" s="1"/>
  <c r="W174" i="49"/>
  <c r="L182" i="49"/>
  <c r="R182" i="49"/>
  <c r="G182" i="49" s="1"/>
  <c r="W182" i="49"/>
  <c r="R188" i="49"/>
  <c r="G188" i="49" s="1"/>
  <c r="R175" i="49"/>
  <c r="G175" i="49" s="1"/>
  <c r="R138" i="49"/>
  <c r="G138" i="49" s="1"/>
  <c r="R121" i="49"/>
  <c r="G121" i="49" s="1"/>
  <c r="K121" i="49" s="1"/>
  <c r="R65" i="49"/>
  <c r="G65" i="49" s="1"/>
  <c r="R27" i="49"/>
  <c r="G27" i="49" s="1"/>
  <c r="R20" i="49"/>
  <c r="G20" i="49" s="1"/>
  <c r="W158" i="49"/>
  <c r="W141" i="49"/>
  <c r="W101" i="49"/>
  <c r="W40" i="49"/>
  <c r="W19" i="49"/>
  <c r="AH10" i="152"/>
  <c r="AG10" i="152"/>
  <c r="AH18" i="152"/>
  <c r="AG18" i="152"/>
  <c r="AG26" i="152"/>
  <c r="AH26" i="152"/>
  <c r="L9" i="49"/>
  <c r="R9" i="49"/>
  <c r="G9" i="49" s="1"/>
  <c r="R23" i="49"/>
  <c r="G23" i="49" s="1"/>
  <c r="K23" i="49" s="1"/>
  <c r="L33" i="49"/>
  <c r="W33" i="49"/>
  <c r="L41" i="49"/>
  <c r="W41" i="49"/>
  <c r="L53" i="49"/>
  <c r="W53" i="49"/>
  <c r="L61" i="49"/>
  <c r="W61" i="49"/>
  <c r="R61" i="49"/>
  <c r="G61" i="49" s="1"/>
  <c r="L85" i="49"/>
  <c r="W85" i="49"/>
  <c r="L93" i="49"/>
  <c r="W93" i="49"/>
  <c r="R93" i="49"/>
  <c r="L117" i="49"/>
  <c r="R117" i="49"/>
  <c r="G117" i="49" s="1"/>
  <c r="W117" i="49"/>
  <c r="R125" i="49"/>
  <c r="G125" i="49" s="1"/>
  <c r="K125" i="49" s="1"/>
  <c r="L151" i="49"/>
  <c r="W151" i="49"/>
  <c r="L159" i="49"/>
  <c r="W159" i="49"/>
  <c r="L167" i="49"/>
  <c r="W167" i="49"/>
  <c r="R167" i="49"/>
  <c r="G167" i="49" s="1"/>
  <c r="L183" i="49"/>
  <c r="R183" i="49"/>
  <c r="G183" i="49" s="1"/>
  <c r="R77" i="49"/>
  <c r="G77" i="49" s="1"/>
  <c r="K77" i="49" s="1"/>
  <c r="W191" i="49"/>
  <c r="W175" i="49"/>
  <c r="W58" i="49"/>
  <c r="W15" i="49"/>
  <c r="L36" i="49"/>
  <c r="R36" i="49"/>
  <c r="L56" i="49"/>
  <c r="W56" i="49"/>
  <c r="L112" i="49"/>
  <c r="R112" i="49"/>
  <c r="L170" i="49"/>
  <c r="W170" i="49"/>
  <c r="R170" i="49"/>
  <c r="G170" i="49" s="1"/>
  <c r="L178" i="49"/>
  <c r="W178" i="49"/>
  <c r="R178" i="49"/>
  <c r="G178" i="49" s="1"/>
  <c r="L186" i="49"/>
  <c r="W186" i="49"/>
  <c r="R162" i="49"/>
  <c r="G162" i="49" s="1"/>
  <c r="K162" i="49" s="1"/>
  <c r="R144" i="49"/>
  <c r="G144" i="49" s="1"/>
  <c r="R96" i="49"/>
  <c r="G96" i="49" s="1"/>
  <c r="R48" i="49"/>
  <c r="G48" i="49" s="1"/>
  <c r="W99" i="49"/>
  <c r="W48" i="49"/>
  <c r="W21" i="49"/>
  <c r="AH14" i="152"/>
  <c r="AG14" i="152"/>
  <c r="AG22" i="152"/>
  <c r="AH22" i="152"/>
  <c r="AG30" i="152"/>
  <c r="AH30" i="152"/>
  <c r="W8" i="49"/>
  <c r="L8" i="49"/>
  <c r="R67" i="49"/>
  <c r="G67" i="49" s="1"/>
  <c r="K67" i="49" s="1"/>
  <c r="L75" i="49"/>
  <c r="W75" i="49"/>
  <c r="R75" i="49"/>
  <c r="G75" i="49" s="1"/>
  <c r="L91" i="49"/>
  <c r="R91" i="49"/>
  <c r="L107" i="49"/>
  <c r="R107" i="49"/>
  <c r="R131" i="49"/>
  <c r="G131" i="49" s="1"/>
  <c r="K131" i="49" s="1"/>
  <c r="L139" i="49"/>
  <c r="R139" i="49"/>
  <c r="G139" i="49" s="1"/>
  <c r="L149" i="49"/>
  <c r="R149" i="49"/>
  <c r="G149" i="49" s="1"/>
  <c r="L157" i="49"/>
  <c r="R157" i="49"/>
  <c r="G157" i="49" s="1"/>
  <c r="L165" i="49"/>
  <c r="W165" i="49"/>
  <c r="L173" i="49"/>
  <c r="W173" i="49"/>
  <c r="L181" i="49"/>
  <c r="W181" i="49"/>
  <c r="L189" i="49"/>
  <c r="W189" i="49"/>
  <c r="R181" i="49"/>
  <c r="G181" i="49" s="1"/>
  <c r="R165" i="49"/>
  <c r="G165" i="49" s="1"/>
  <c r="R120" i="49"/>
  <c r="G120" i="49" s="1"/>
  <c r="K120" i="49" s="1"/>
  <c r="R56" i="49"/>
  <c r="G56" i="49" s="1"/>
  <c r="R51" i="49"/>
  <c r="G51" i="49" s="1"/>
  <c r="R44" i="49"/>
  <c r="G44" i="49" s="1"/>
  <c r="R21" i="49"/>
  <c r="G21" i="49" s="1"/>
  <c r="W139" i="49"/>
  <c r="W96" i="49"/>
  <c r="W72" i="49"/>
  <c r="W44" i="49"/>
  <c r="AH9" i="152"/>
  <c r="AG9" i="152"/>
  <c r="AG17" i="152"/>
  <c r="AH17" i="152"/>
  <c r="AG25" i="152"/>
  <c r="AH25" i="152"/>
  <c r="O53" i="31"/>
  <c r="L19" i="4" s="1"/>
  <c r="AH8" i="152"/>
  <c r="AG8" i="152"/>
  <c r="U18" i="152"/>
  <c r="AA19" i="49" s="1"/>
  <c r="W77" i="49" s="1"/>
  <c r="H77" i="49" s="1"/>
  <c r="U26" i="152"/>
  <c r="AA27" i="49" s="1"/>
  <c r="W126" i="49" s="1"/>
  <c r="H126" i="49" s="1"/>
  <c r="U31" i="152"/>
  <c r="AA32" i="49" s="1"/>
  <c r="W130" i="49" s="1"/>
  <c r="H130" i="49" s="1"/>
  <c r="AG16" i="152"/>
  <c r="AH16" i="152"/>
  <c r="AG24" i="152"/>
  <c r="AH24" i="152"/>
  <c r="AG32" i="152"/>
  <c r="AH32" i="152"/>
  <c r="U9" i="152"/>
  <c r="AA10" i="49" s="1"/>
  <c r="W52" i="49" s="1"/>
  <c r="H52" i="49" s="1"/>
  <c r="K19" i="1"/>
  <c r="U17" i="152"/>
  <c r="AA18" i="49" s="1"/>
  <c r="W23" i="49" s="1"/>
  <c r="H23" i="49" s="1"/>
  <c r="V27" i="152"/>
  <c r="AB28" i="49" s="1"/>
  <c r="L25" i="49" s="1"/>
  <c r="U24" i="152"/>
  <c r="AA25" i="49" s="1"/>
  <c r="W124" i="49" s="1"/>
  <c r="H124" i="49" s="1"/>
  <c r="AA14" i="4"/>
  <c r="N13" i="1" s="1"/>
  <c r="W194" i="49"/>
  <c r="AG11" i="152"/>
  <c r="AH11" i="152"/>
  <c r="AG19" i="152"/>
  <c r="AH19" i="152"/>
  <c r="AH27" i="152"/>
  <c r="AG27" i="152"/>
  <c r="L15" i="4"/>
  <c r="P53" i="31"/>
  <c r="M19" i="4" s="1"/>
  <c r="R14" i="4"/>
  <c r="H13" i="1" s="1"/>
  <c r="K13" i="1" s="1"/>
  <c r="N15" i="4"/>
  <c r="U23" i="152"/>
  <c r="AA24" i="49" s="1"/>
  <c r="W123" i="49" s="1"/>
  <c r="H123" i="49" s="1"/>
  <c r="H210" i="49" s="1"/>
  <c r="U11" i="152"/>
  <c r="AA12" i="49" s="1"/>
  <c r="W64" i="49" s="1"/>
  <c r="H64" i="49" s="1"/>
  <c r="U14" i="152"/>
  <c r="AA15" i="49" s="1"/>
  <c r="W69" i="49" s="1"/>
  <c r="H69" i="49" s="1"/>
  <c r="U13" i="152"/>
  <c r="AA14" i="49" s="1"/>
  <c r="W68" i="49" s="1"/>
  <c r="H68" i="49" s="1"/>
  <c r="F30" i="159"/>
  <c r="V31" i="152"/>
  <c r="AB32" i="49" s="1"/>
  <c r="L130" i="49" s="1"/>
  <c r="U19" i="152"/>
  <c r="AA20" i="49" s="1"/>
  <c r="W162" i="49" s="1"/>
  <c r="H162" i="49" s="1"/>
  <c r="U16" i="152"/>
  <c r="AA17" i="49" s="1"/>
  <c r="W74" i="49" s="1"/>
  <c r="H74" i="49" s="1"/>
  <c r="U28" i="152"/>
  <c r="AA29" i="49" s="1"/>
  <c r="W127" i="49" s="1"/>
  <c r="H127" i="49" s="1"/>
  <c r="V8" i="152"/>
  <c r="AB9" i="49" s="1"/>
  <c r="L10" i="49" s="1"/>
  <c r="V12" i="152"/>
  <c r="AB13" i="49" s="1"/>
  <c r="L67" i="49" s="1"/>
  <c r="V16" i="152"/>
  <c r="AB17" i="49" s="1"/>
  <c r="L74" i="49" s="1"/>
  <c r="V20" i="152"/>
  <c r="AB21" i="49" s="1"/>
  <c r="L120" i="49" s="1"/>
  <c r="V24" i="152"/>
  <c r="AB25" i="49" s="1"/>
  <c r="L124" i="49" s="1"/>
  <c r="V28" i="152"/>
  <c r="AB29" i="49" s="1"/>
  <c r="L127" i="49" s="1"/>
  <c r="V32" i="152"/>
  <c r="AB33" i="49" s="1"/>
  <c r="L131" i="49" s="1"/>
  <c r="U7" i="152"/>
  <c r="V9" i="152"/>
  <c r="AB10" i="49" s="1"/>
  <c r="L52" i="49" s="1"/>
  <c r="V13" i="152"/>
  <c r="AB14" i="49" s="1"/>
  <c r="L68" i="49" s="1"/>
  <c r="V17" i="152"/>
  <c r="AB18" i="49" s="1"/>
  <c r="L23" i="49" s="1"/>
  <c r="V21" i="152"/>
  <c r="AB22" i="49" s="1"/>
  <c r="L121" i="49" s="1"/>
  <c r="V25" i="152"/>
  <c r="AB26" i="49" s="1"/>
  <c r="L125" i="49" s="1"/>
  <c r="V29" i="152"/>
  <c r="AB30" i="49" s="1"/>
  <c r="L29" i="49" s="1"/>
  <c r="V7" i="152"/>
  <c r="AB8" i="49" s="1"/>
  <c r="L49" i="49" s="1"/>
  <c r="AG7" i="152"/>
  <c r="V10" i="152"/>
  <c r="AB11" i="49" s="1"/>
  <c r="L12" i="49" s="1"/>
  <c r="V14" i="152"/>
  <c r="AB15" i="49" s="1"/>
  <c r="L69" i="49" s="1"/>
  <c r="V18" i="152"/>
  <c r="AB19" i="49" s="1"/>
  <c r="L77" i="49" s="1"/>
  <c r="V22" i="152"/>
  <c r="AB23" i="49" s="1"/>
  <c r="L122" i="49" s="1"/>
  <c r="V26" i="152"/>
  <c r="AB27" i="49" s="1"/>
  <c r="L126" i="49" s="1"/>
  <c r="V30" i="152"/>
  <c r="AB31" i="49" s="1"/>
  <c r="L129" i="49" s="1"/>
  <c r="AH7" i="152"/>
  <c r="V11" i="152"/>
  <c r="AB12" i="49" s="1"/>
  <c r="L64" i="49" s="1"/>
  <c r="M12" i="4"/>
  <c r="M15" i="4" s="1"/>
  <c r="V23" i="152"/>
  <c r="AB24" i="49" s="1"/>
  <c r="L123" i="49" s="1"/>
  <c r="S54" i="31"/>
  <c r="V19" i="152"/>
  <c r="AB20" i="49" s="1"/>
  <c r="L162" i="49" s="1"/>
  <c r="U22" i="152"/>
  <c r="AA23" i="49" s="1"/>
  <c r="W122" i="49" s="1"/>
  <c r="H122" i="49" s="1"/>
  <c r="U29" i="152"/>
  <c r="AA30" i="49" s="1"/>
  <c r="W29" i="49" s="1"/>
  <c r="H29" i="49" s="1"/>
  <c r="M21" i="154"/>
  <c r="F8" i="159"/>
  <c r="F10" i="159" s="1"/>
  <c r="V15" i="152"/>
  <c r="AB16" i="49" s="1"/>
  <c r="L70" i="49" s="1"/>
  <c r="U21" i="152"/>
  <c r="AA22" i="49" s="1"/>
  <c r="W121" i="49" s="1"/>
  <c r="H121" i="49" s="1"/>
  <c r="U32" i="152"/>
  <c r="AA33" i="49" s="1"/>
  <c r="W131" i="49" s="1"/>
  <c r="H131" i="49" s="1"/>
  <c r="U25" i="152"/>
  <c r="AA26" i="49" s="1"/>
  <c r="W125" i="49" s="1"/>
  <c r="H125" i="49" s="1"/>
  <c r="U15" i="152"/>
  <c r="AA16" i="49" s="1"/>
  <c r="W70" i="49" s="1"/>
  <c r="H70" i="49" s="1"/>
  <c r="Q54" i="31"/>
  <c r="U20" i="152"/>
  <c r="AA21" i="49" s="1"/>
  <c r="W120" i="49" s="1"/>
  <c r="H120" i="49" s="1"/>
  <c r="U12" i="152"/>
  <c r="AA13" i="49" s="1"/>
  <c r="W67" i="49" s="1"/>
  <c r="H67" i="49" s="1"/>
  <c r="U10" i="152"/>
  <c r="AA11" i="49" s="1"/>
  <c r="W12" i="49" s="1"/>
  <c r="H12" i="49" s="1"/>
  <c r="C31" i="160"/>
  <c r="U8" i="152"/>
  <c r="AA9" i="49" s="1"/>
  <c r="W10" i="49" s="1"/>
  <c r="H10" i="49" s="1"/>
  <c r="U30" i="152"/>
  <c r="AA31" i="49" s="1"/>
  <c r="W129" i="49" s="1"/>
  <c r="H129" i="49" s="1"/>
  <c r="U27" i="152"/>
  <c r="AA28" i="49" s="1"/>
  <c r="W25" i="49" s="1"/>
  <c r="H25" i="49" s="1"/>
  <c r="F50" i="76" l="1"/>
  <c r="G50" i="76"/>
  <c r="Q13" i="1"/>
  <c r="W13" i="1" s="1"/>
  <c r="H38" i="97"/>
  <c r="H41" i="97" s="1"/>
  <c r="G196" i="49"/>
  <c r="M220" i="49"/>
  <c r="N220" i="49" s="1"/>
  <c r="O55" i="6"/>
  <c r="O48" i="6"/>
  <c r="O50" i="6"/>
  <c r="O59" i="6"/>
  <c r="O61" i="6"/>
  <c r="O49" i="6"/>
  <c r="V141" i="104"/>
  <c r="V132" i="104"/>
  <c r="J137" i="104"/>
  <c r="AA131" i="104"/>
  <c r="AE83" i="93" s="1"/>
  <c r="AA130" i="104"/>
  <c r="AE82" i="93" s="1"/>
  <c r="AC82" i="93" s="1"/>
  <c r="F137" i="104"/>
  <c r="N137" i="104"/>
  <c r="AA136" i="104"/>
  <c r="AE118" i="93" s="1"/>
  <c r="G23" i="97" s="1"/>
  <c r="H23" i="97" s="1"/>
  <c r="C24" i="108"/>
  <c r="AA129" i="104"/>
  <c r="AE81" i="93" s="1"/>
  <c r="AA134" i="104"/>
  <c r="AE116" i="93" s="1"/>
  <c r="AC116" i="93" s="1"/>
  <c r="Z137" i="104"/>
  <c r="X137" i="104"/>
  <c r="R132" i="104"/>
  <c r="AA140" i="104"/>
  <c r="F132" i="104"/>
  <c r="Z132" i="104"/>
  <c r="T137" i="104"/>
  <c r="H132" i="104"/>
  <c r="R141" i="104"/>
  <c r="Z141" i="104"/>
  <c r="J132" i="104"/>
  <c r="D137" i="104"/>
  <c r="J141" i="104"/>
  <c r="H141" i="104"/>
  <c r="P137" i="104"/>
  <c r="N132" i="104"/>
  <c r="T132" i="104"/>
  <c r="AE43" i="93"/>
  <c r="AF100" i="104"/>
  <c r="V137" i="104"/>
  <c r="P132" i="104"/>
  <c r="D132" i="104"/>
  <c r="L137" i="104"/>
  <c r="F141" i="104"/>
  <c r="AA139" i="104"/>
  <c r="D141" i="104"/>
  <c r="AE115" i="93"/>
  <c r="AF107" i="104"/>
  <c r="AE80" i="93"/>
  <c r="AF102" i="104"/>
  <c r="AE7" i="93"/>
  <c r="AF99" i="104"/>
  <c r="X141" i="104"/>
  <c r="T141" i="104"/>
  <c r="N47" i="6"/>
  <c r="Q47" i="6" s="1"/>
  <c r="J210" i="49"/>
  <c r="M210" i="49"/>
  <c r="N210" i="49" s="1"/>
  <c r="N58" i="6"/>
  <c r="Q58" i="6" s="1"/>
  <c r="U82" i="31" s="1"/>
  <c r="Z82" i="31" s="1"/>
  <c r="AA82" i="31" s="1"/>
  <c r="H30" i="49"/>
  <c r="H11" i="3"/>
  <c r="J11" i="3" s="1"/>
  <c r="U34" i="152"/>
  <c r="AA8" i="49"/>
  <c r="P54" i="31"/>
  <c r="G79" i="49"/>
  <c r="H79" i="49"/>
  <c r="AF37" i="102"/>
  <c r="AF41" i="102" s="1"/>
  <c r="K81" i="93"/>
  <c r="M81" i="93" s="1"/>
  <c r="U81" i="93" s="1"/>
  <c r="I454" i="93"/>
  <c r="G317" i="93"/>
  <c r="G16" i="97"/>
  <c r="H16" i="97" s="1"/>
  <c r="D23" i="76"/>
  <c r="D22" i="76"/>
  <c r="AF116" i="93"/>
  <c r="AG116" i="93" s="1"/>
  <c r="D30" i="76"/>
  <c r="G21" i="97"/>
  <c r="I42" i="6"/>
  <c r="AW77" i="59"/>
  <c r="AW80" i="59" s="1"/>
  <c r="N44" i="6"/>
  <c r="O44" i="6" s="1"/>
  <c r="AF54" i="62"/>
  <c r="AD54" i="62"/>
  <c r="N64" i="6"/>
  <c r="Q64" i="6" s="1"/>
  <c r="H93" i="49"/>
  <c r="G93" i="49"/>
  <c r="G89" i="49"/>
  <c r="H89" i="49"/>
  <c r="D206" i="49"/>
  <c r="F126" i="104"/>
  <c r="F99" i="104"/>
  <c r="AA99" i="104" s="1"/>
  <c r="T13" i="93" s="1"/>
  <c r="I452" i="93"/>
  <c r="I458" i="93" s="1"/>
  <c r="G315" i="93"/>
  <c r="I217" i="93"/>
  <c r="G81" i="93"/>
  <c r="I81" i="93" s="1"/>
  <c r="E147" i="93"/>
  <c r="C147" i="93" s="1"/>
  <c r="D32" i="76"/>
  <c r="H28" i="97"/>
  <c r="G29" i="97"/>
  <c r="M84" i="31"/>
  <c r="M85" i="31" s="1"/>
  <c r="G125" i="31"/>
  <c r="G150" i="31" s="1"/>
  <c r="E20" i="1"/>
  <c r="E29" i="1" s="1"/>
  <c r="G54" i="67"/>
  <c r="E55" i="67" s="1"/>
  <c r="E56" i="67" s="1"/>
  <c r="E58" i="67" s="1"/>
  <c r="L128" i="31" s="1"/>
  <c r="B224" i="78"/>
  <c r="W54" i="31"/>
  <c r="B21" i="78"/>
  <c r="B23" i="78" s="1"/>
  <c r="T15" i="4"/>
  <c r="O65" i="6"/>
  <c r="N56" i="6"/>
  <c r="Q56" i="6" s="1"/>
  <c r="U80" i="31" s="1"/>
  <c r="P66" i="6"/>
  <c r="G107" i="49"/>
  <c r="H107" i="49"/>
  <c r="N108" i="49"/>
  <c r="H95" i="49"/>
  <c r="G95" i="49"/>
  <c r="AF23" i="102"/>
  <c r="AF24" i="102" s="1"/>
  <c r="K217" i="93"/>
  <c r="M217" i="93" s="1"/>
  <c r="G118" i="93"/>
  <c r="I44" i="93"/>
  <c r="K44" i="93"/>
  <c r="J105" i="104"/>
  <c r="AA105" i="104" s="1"/>
  <c r="AA104" i="104"/>
  <c r="S83" i="93" s="1"/>
  <c r="T83" i="93" s="1"/>
  <c r="U83" i="93" s="1"/>
  <c r="C253" i="93"/>
  <c r="G253" i="93" s="1"/>
  <c r="K82" i="93"/>
  <c r="M82" i="93" s="1"/>
  <c r="U82" i="93" s="1"/>
  <c r="I82" i="93"/>
  <c r="B362" i="78"/>
  <c r="B81" i="78"/>
  <c r="AD471" i="62"/>
  <c r="AF471" i="62" s="1"/>
  <c r="N45" i="6"/>
  <c r="Q45" i="6" s="1"/>
  <c r="N63" i="6"/>
  <c r="Q63" i="6" s="1"/>
  <c r="S700" i="62"/>
  <c r="A16" i="77"/>
  <c r="K200" i="49"/>
  <c r="K196" i="49"/>
  <c r="T84" i="93"/>
  <c r="C16" i="60"/>
  <c r="Q18" i="60"/>
  <c r="M27" i="107"/>
  <c r="M28" i="107" s="1"/>
  <c r="N28" i="107" s="1"/>
  <c r="AB703" i="62"/>
  <c r="N60" i="6"/>
  <c r="Q60" i="6" s="1"/>
  <c r="N11" i="6"/>
  <c r="O11" i="6" s="1"/>
  <c r="O20" i="6"/>
  <c r="Q20" i="6"/>
  <c r="P13" i="6"/>
  <c r="P15" i="6" s="1"/>
  <c r="P17" i="6" s="1"/>
  <c r="M140" i="31" s="1"/>
  <c r="H15" i="6"/>
  <c r="I13" i="6"/>
  <c r="O46" i="6"/>
  <c r="AD24" i="4"/>
  <c r="O54" i="31"/>
  <c r="G91" i="49"/>
  <c r="H91" i="49"/>
  <c r="G36" i="49"/>
  <c r="H36" i="49"/>
  <c r="M221" i="49"/>
  <c r="N221" i="49" s="1"/>
  <c r="G109" i="49"/>
  <c r="H109" i="49"/>
  <c r="M208" i="49"/>
  <c r="N208" i="49" s="1"/>
  <c r="O20" i="154"/>
  <c r="R106" i="107"/>
  <c r="K167" i="107"/>
  <c r="K173" i="107" s="1"/>
  <c r="K108" i="107"/>
  <c r="K109" i="107" s="1"/>
  <c r="H34" i="104"/>
  <c r="H36" i="104"/>
  <c r="I358" i="93"/>
  <c r="I364" i="93" s="1"/>
  <c r="G316" i="93"/>
  <c r="T50" i="93"/>
  <c r="I133" i="107"/>
  <c r="I134" i="107" s="1"/>
  <c r="I168" i="107"/>
  <c r="M53" i="107"/>
  <c r="M54" i="107" s="1"/>
  <c r="N54" i="107" s="1"/>
  <c r="S36" i="62"/>
  <c r="X34" i="62"/>
  <c r="X703" i="62" s="1"/>
  <c r="C305" i="78"/>
  <c r="D303" i="78"/>
  <c r="AW43" i="59"/>
  <c r="AW75" i="59" s="1"/>
  <c r="N51" i="6"/>
  <c r="Q51" i="6" s="1"/>
  <c r="U68" i="31" s="1"/>
  <c r="Z68" i="31" s="1"/>
  <c r="AA68" i="31" s="1"/>
  <c r="B152" i="78"/>
  <c r="N17" i="1"/>
  <c r="AC18" i="4" s="1"/>
  <c r="K148" i="107"/>
  <c r="K149" i="107" s="1"/>
  <c r="C382" i="78"/>
  <c r="F379" i="78"/>
  <c r="E379" i="78"/>
  <c r="AD132" i="62"/>
  <c r="AF132" i="62" s="1"/>
  <c r="N57" i="6"/>
  <c r="Q57" i="6" s="1"/>
  <c r="O22" i="6"/>
  <c r="Q22" i="6"/>
  <c r="H219" i="49"/>
  <c r="H196" i="49"/>
  <c r="G114" i="49"/>
  <c r="H114" i="49"/>
  <c r="G87" i="49"/>
  <c r="H87" i="49"/>
  <c r="G30" i="49"/>
  <c r="J216" i="49"/>
  <c r="M216" i="49"/>
  <c r="N216" i="49" s="1"/>
  <c r="P174" i="107"/>
  <c r="P167" i="107"/>
  <c r="P173" i="107" s="1"/>
  <c r="C531" i="93"/>
  <c r="AA127" i="104"/>
  <c r="AE49" i="93" s="1"/>
  <c r="I150" i="93"/>
  <c r="G115" i="93"/>
  <c r="G216" i="93"/>
  <c r="K216" i="93" s="1"/>
  <c r="M216" i="93" s="1"/>
  <c r="M220" i="93" s="1"/>
  <c r="I319" i="93"/>
  <c r="K319" i="93"/>
  <c r="M319" i="93" s="1"/>
  <c r="U319" i="93" s="1"/>
  <c r="S176" i="107"/>
  <c r="P76" i="107"/>
  <c r="N62" i="6"/>
  <c r="Q62" i="6" s="1"/>
  <c r="A11" i="80"/>
  <c r="N53" i="6"/>
  <c r="Q53" i="6" s="1"/>
  <c r="E380" i="78"/>
  <c r="F380" i="78"/>
  <c r="G380" i="78" s="1"/>
  <c r="H380" i="78" s="1"/>
  <c r="AD27" i="31"/>
  <c r="J24" i="6"/>
  <c r="K23" i="6"/>
  <c r="G105" i="49"/>
  <c r="H105" i="49"/>
  <c r="R197" i="49"/>
  <c r="R199" i="49" s="1"/>
  <c r="E9" i="93"/>
  <c r="E39" i="93" s="1"/>
  <c r="C39" i="93" s="1"/>
  <c r="C7" i="93"/>
  <c r="K7" i="93" s="1"/>
  <c r="K505" i="93"/>
  <c r="M505" i="93" s="1"/>
  <c r="M509" i="93" s="1"/>
  <c r="I43" i="93"/>
  <c r="I45" i="93" s="1"/>
  <c r="K43" i="93"/>
  <c r="M43" i="93" s="1"/>
  <c r="U43" i="93" s="1"/>
  <c r="M163" i="107"/>
  <c r="M164" i="107" s="1"/>
  <c r="N164" i="107" s="1"/>
  <c r="B303" i="78"/>
  <c r="B301" i="78"/>
  <c r="B305" i="78" s="1"/>
  <c r="B302" i="78"/>
  <c r="E30" i="75"/>
  <c r="F30" i="75" s="1"/>
  <c r="B83" i="78"/>
  <c r="G28" i="31"/>
  <c r="E11" i="1"/>
  <c r="E14" i="1" s="1"/>
  <c r="B363" i="78"/>
  <c r="B364" i="78" s="1"/>
  <c r="W703" i="62"/>
  <c r="N52" i="6"/>
  <c r="Q52" i="6" s="1"/>
  <c r="G378" i="78"/>
  <c r="H378" i="78" s="1"/>
  <c r="S99" i="62"/>
  <c r="S122" i="62" s="1"/>
  <c r="S389" i="62" s="1"/>
  <c r="AD157" i="62"/>
  <c r="AF157" i="62"/>
  <c r="O21" i="6"/>
  <c r="Q21" i="6"/>
  <c r="K17" i="1"/>
  <c r="G112" i="49"/>
  <c r="H112" i="49"/>
  <c r="G103" i="49"/>
  <c r="G146" i="49" s="1"/>
  <c r="H103" i="49"/>
  <c r="O174" i="107"/>
  <c r="O191" i="107" s="1"/>
  <c r="O167" i="107"/>
  <c r="O173" i="107" s="1"/>
  <c r="O190" i="107" s="1"/>
  <c r="R25" i="107"/>
  <c r="AF83" i="93"/>
  <c r="AG83" i="93" s="1"/>
  <c r="G17" i="97"/>
  <c r="H17" i="97" s="1"/>
  <c r="AC83" i="93"/>
  <c r="D24" i="76"/>
  <c r="H173" i="107"/>
  <c r="S173" i="107" s="1"/>
  <c r="H169" i="107"/>
  <c r="I169" i="107" s="1"/>
  <c r="G51" i="76"/>
  <c r="F51" i="76"/>
  <c r="K39" i="107"/>
  <c r="J118" i="107"/>
  <c r="J119" i="107" s="1"/>
  <c r="E35" i="75"/>
  <c r="F35" i="75" s="1"/>
  <c r="L65" i="107"/>
  <c r="L66" i="107" s="1"/>
  <c r="K54" i="6"/>
  <c r="K66" i="6" s="1"/>
  <c r="C233" i="78"/>
  <c r="D232" i="78"/>
  <c r="Z80" i="31"/>
  <c r="AA80" i="31" s="1"/>
  <c r="AD171" i="62"/>
  <c r="AF171" i="62" s="1"/>
  <c r="C198" i="78"/>
  <c r="H215" i="49" l="1"/>
  <c r="J215" i="49" s="1"/>
  <c r="O45" i="6"/>
  <c r="O58" i="6"/>
  <c r="O52" i="6"/>
  <c r="O64" i="6"/>
  <c r="AC118" i="93"/>
  <c r="AF118" i="93"/>
  <c r="AG118" i="93" s="1"/>
  <c r="AF82" i="93"/>
  <c r="AG82" i="93" s="1"/>
  <c r="F12" i="99"/>
  <c r="AF115" i="104"/>
  <c r="AF116" i="104" s="1"/>
  <c r="G15" i="97"/>
  <c r="AF81" i="93"/>
  <c r="AG81" i="93" s="1"/>
  <c r="AC81" i="93"/>
  <c r="AC84" i="93" s="1"/>
  <c r="AA141" i="104"/>
  <c r="AJ7" i="93"/>
  <c r="D9" i="76"/>
  <c r="AF7" i="93"/>
  <c r="AJ43" i="93"/>
  <c r="AF43" i="93"/>
  <c r="AG43" i="93" s="1"/>
  <c r="D15" i="76"/>
  <c r="AJ80" i="93"/>
  <c r="AF80" i="93"/>
  <c r="AG80" i="93" s="1"/>
  <c r="D21" i="76"/>
  <c r="AA132" i="104"/>
  <c r="AJ115" i="93"/>
  <c r="AF115" i="93"/>
  <c r="AG115" i="93" s="1"/>
  <c r="D29" i="76"/>
  <c r="B306" i="78"/>
  <c r="M215" i="49"/>
  <c r="N215" i="49" s="1"/>
  <c r="J21" i="4"/>
  <c r="B153" i="78"/>
  <c r="C21" i="60"/>
  <c r="G163" i="58"/>
  <c r="D16" i="60"/>
  <c r="G9" i="31"/>
  <c r="I118" i="93"/>
  <c r="K118" i="93"/>
  <c r="M118" i="93" s="1"/>
  <c r="U118" i="93" s="1"/>
  <c r="H29" i="97"/>
  <c r="I315" i="93"/>
  <c r="K315" i="93"/>
  <c r="H212" i="49"/>
  <c r="G54" i="31"/>
  <c r="G151" i="31" s="1"/>
  <c r="G187" i="31" s="1"/>
  <c r="C8" i="2"/>
  <c r="O52" i="107"/>
  <c r="B365" i="78"/>
  <c r="B366" i="78" s="1"/>
  <c r="F32" i="76"/>
  <c r="G32" i="76"/>
  <c r="U13" i="93"/>
  <c r="T14" i="93"/>
  <c r="G22" i="76"/>
  <c r="F22" i="76"/>
  <c r="J14" i="3"/>
  <c r="C16" i="24"/>
  <c r="L54" i="6"/>
  <c r="F52" i="76"/>
  <c r="C32" i="75"/>
  <c r="G24" i="76"/>
  <c r="F24" i="76"/>
  <c r="O162" i="107"/>
  <c r="P77" i="107"/>
  <c r="P78" i="107" s="1"/>
  <c r="R76" i="107"/>
  <c r="R77" i="107" s="1"/>
  <c r="AC44" i="93"/>
  <c r="D16" i="76"/>
  <c r="G11" i="97"/>
  <c r="AF49" i="93"/>
  <c r="F10" i="99"/>
  <c r="G200" i="49"/>
  <c r="AF84" i="93"/>
  <c r="G379" i="78"/>
  <c r="H379" i="78" s="1"/>
  <c r="O51" i="6"/>
  <c r="H213" i="49"/>
  <c r="Q11" i="6"/>
  <c r="O63" i="6"/>
  <c r="AA126" i="104"/>
  <c r="AE13" i="93" s="1"/>
  <c r="Q44" i="6"/>
  <c r="U61" i="31" s="1"/>
  <c r="H15" i="97"/>
  <c r="G18" i="97"/>
  <c r="M7" i="93"/>
  <c r="J23" i="77"/>
  <c r="O53" i="6"/>
  <c r="AG84" i="93"/>
  <c r="C383" i="78"/>
  <c r="E382" i="78"/>
  <c r="O26" i="107"/>
  <c r="O47" i="6"/>
  <c r="I115" i="93"/>
  <c r="K115" i="93"/>
  <c r="M115" i="93" s="1"/>
  <c r="K40" i="107"/>
  <c r="K41" i="107" s="1"/>
  <c r="R167" i="107"/>
  <c r="X704" i="62"/>
  <c r="L23" i="6"/>
  <c r="A12" i="80"/>
  <c r="A14" i="80" s="1"/>
  <c r="G80" i="93"/>
  <c r="I216" i="93"/>
  <c r="I220" i="93" s="1"/>
  <c r="J219" i="49"/>
  <c r="M219" i="49"/>
  <c r="N219" i="49" s="1"/>
  <c r="H135" i="104"/>
  <c r="H108" i="104"/>
  <c r="L107" i="107"/>
  <c r="K13" i="6"/>
  <c r="K15" i="6" s="1"/>
  <c r="I15" i="6"/>
  <c r="B84" i="78"/>
  <c r="B85" i="78"/>
  <c r="K47" i="93"/>
  <c r="M47" i="93" s="1"/>
  <c r="M44" i="93"/>
  <c r="K49" i="93"/>
  <c r="M49" i="93" s="1"/>
  <c r="B25" i="78"/>
  <c r="B26" i="78" s="1"/>
  <c r="B154" i="78"/>
  <c r="H21" i="97"/>
  <c r="I317" i="93"/>
  <c r="K317" i="93"/>
  <c r="M317" i="93" s="1"/>
  <c r="U317" i="93" s="1"/>
  <c r="C199" i="78"/>
  <c r="D198" i="78"/>
  <c r="M64" i="107"/>
  <c r="K117" i="107"/>
  <c r="K24" i="6"/>
  <c r="L24" i="6" s="1"/>
  <c r="N24" i="6" s="1"/>
  <c r="J25" i="6"/>
  <c r="L147" i="107"/>
  <c r="C306" i="78"/>
  <c r="D305" i="78"/>
  <c r="J132" i="107"/>
  <c r="I316" i="93"/>
  <c r="K316" i="93"/>
  <c r="M316" i="93" s="1"/>
  <c r="U316" i="93" s="1"/>
  <c r="O60" i="6"/>
  <c r="E589" i="93"/>
  <c r="B226" i="78"/>
  <c r="F30" i="76"/>
  <c r="G30" i="76"/>
  <c r="O57" i="6"/>
  <c r="J28" i="4"/>
  <c r="R28" i="4" s="1"/>
  <c r="H27" i="1" s="1"/>
  <c r="K27" i="1" s="1"/>
  <c r="A23" i="77"/>
  <c r="A24" i="77" s="1"/>
  <c r="G23" i="76"/>
  <c r="F23" i="76"/>
  <c r="C234" i="78"/>
  <c r="D233" i="78"/>
  <c r="E30" i="1"/>
  <c r="O62" i="6"/>
  <c r="E590" i="93"/>
  <c r="E598" i="93" s="1"/>
  <c r="E599" i="93" s="1"/>
  <c r="Q17" i="1"/>
  <c r="U57" i="31"/>
  <c r="O56" i="6"/>
  <c r="I26" i="4"/>
  <c r="L135" i="31"/>
  <c r="AD703" i="62"/>
  <c r="AA35" i="49"/>
  <c r="F17" i="159" s="1"/>
  <c r="W49" i="49"/>
  <c r="H207" i="49"/>
  <c r="AK80" i="93" l="1"/>
  <c r="G29" i="76"/>
  <c r="I29" i="76" s="1"/>
  <c r="F29" i="76"/>
  <c r="C25" i="75" s="1"/>
  <c r="G15" i="76"/>
  <c r="I15" i="76" s="1"/>
  <c r="F15" i="76"/>
  <c r="C15" i="75" s="1"/>
  <c r="AK115" i="93"/>
  <c r="AK43" i="93"/>
  <c r="AK7" i="93"/>
  <c r="AG7" i="93"/>
  <c r="F9" i="76"/>
  <c r="C10" i="75" s="1"/>
  <c r="G9" i="76"/>
  <c r="I9" i="76" s="1"/>
  <c r="F21" i="76"/>
  <c r="C20" i="75" s="1"/>
  <c r="G21" i="76"/>
  <c r="I21" i="76" s="1"/>
  <c r="B27" i="78"/>
  <c r="B368" i="78"/>
  <c r="B374" i="78"/>
  <c r="N23" i="6"/>
  <c r="W17" i="1"/>
  <c r="AC37" i="31"/>
  <c r="L148" i="107"/>
  <c r="L149" i="107" s="1"/>
  <c r="B227" i="78"/>
  <c r="B28" i="78"/>
  <c r="L13" i="6"/>
  <c r="L39" i="107"/>
  <c r="E383" i="78"/>
  <c r="C384" i="78"/>
  <c r="D10" i="76"/>
  <c r="G7" i="97"/>
  <c r="AC8" i="93"/>
  <c r="AF13" i="93"/>
  <c r="F8" i="99"/>
  <c r="C21" i="75"/>
  <c r="S315" i="93"/>
  <c r="M315" i="93"/>
  <c r="M321" i="93" s="1"/>
  <c r="H169" i="58"/>
  <c r="I163" i="58"/>
  <c r="H163" i="58"/>
  <c r="J207" i="49"/>
  <c r="M207" i="49"/>
  <c r="A25" i="77"/>
  <c r="L108" i="107"/>
  <c r="L109" i="107" s="1"/>
  <c r="Z61" i="31"/>
  <c r="C33" i="77"/>
  <c r="D33" i="77" s="1"/>
  <c r="C29" i="77"/>
  <c r="D29" i="77" s="1"/>
  <c r="C32" i="77"/>
  <c r="D32" i="77" s="1"/>
  <c r="C24" i="77"/>
  <c r="D24" i="77" s="1"/>
  <c r="C34" i="77"/>
  <c r="D34" i="77" s="1"/>
  <c r="C23" i="77"/>
  <c r="C28" i="77"/>
  <c r="D28" i="77" s="1"/>
  <c r="C31" i="77"/>
  <c r="D31" i="77" s="1"/>
  <c r="C25" i="77"/>
  <c r="D25" i="77" s="1"/>
  <c r="C30" i="77"/>
  <c r="D30" i="77" s="1"/>
  <c r="C26" i="77"/>
  <c r="D26" i="77" s="1"/>
  <c r="C27" i="77"/>
  <c r="D27" i="77" s="1"/>
  <c r="AG49" i="93"/>
  <c r="AG50" i="93" s="1"/>
  <c r="AF50" i="93"/>
  <c r="N54" i="6"/>
  <c r="O54" i="6" s="1"/>
  <c r="O66" i="6" s="1"/>
  <c r="L66" i="6"/>
  <c r="O53" i="107"/>
  <c r="O54" i="107" s="1"/>
  <c r="M212" i="49"/>
  <c r="N212" i="49" s="1"/>
  <c r="J212" i="49"/>
  <c r="F152" i="49"/>
  <c r="F177" i="49"/>
  <c r="F178" i="49"/>
  <c r="E60" i="18"/>
  <c r="E92" i="18"/>
  <c r="E124" i="18"/>
  <c r="E156" i="18"/>
  <c r="E81" i="18"/>
  <c r="F42" i="49"/>
  <c r="F154" i="49"/>
  <c r="F18" i="49"/>
  <c r="E64" i="18"/>
  <c r="E96" i="18"/>
  <c r="E128" i="18"/>
  <c r="E53" i="18"/>
  <c r="E85" i="18"/>
  <c r="F158" i="49"/>
  <c r="F151" i="49"/>
  <c r="F27" i="49"/>
  <c r="E68" i="18"/>
  <c r="E100" i="18"/>
  <c r="E132" i="18"/>
  <c r="E57" i="18"/>
  <c r="E89" i="18"/>
  <c r="E121" i="18"/>
  <c r="F32" i="49"/>
  <c r="F176" i="49"/>
  <c r="F28" i="49"/>
  <c r="E76" i="18"/>
  <c r="E108" i="18"/>
  <c r="E140" i="18"/>
  <c r="E65" i="18"/>
  <c r="E97" i="18"/>
  <c r="E129" i="18"/>
  <c r="F48" i="49"/>
  <c r="F174" i="49"/>
  <c r="E80" i="18"/>
  <c r="E144" i="18"/>
  <c r="E101" i="18"/>
  <c r="E141" i="18"/>
  <c r="E74" i="18"/>
  <c r="E114" i="18"/>
  <c r="E75" i="18"/>
  <c r="E151" i="18"/>
  <c r="E150" i="18"/>
  <c r="E107" i="18"/>
  <c r="E157" i="18"/>
  <c r="F194" i="49"/>
  <c r="F33" i="49"/>
  <c r="F179" i="49"/>
  <c r="E84" i="18"/>
  <c r="E148" i="18"/>
  <c r="E105" i="18"/>
  <c r="E145" i="18"/>
  <c r="E78" i="18"/>
  <c r="E126" i="18"/>
  <c r="E83" i="18"/>
  <c r="E62" i="18"/>
  <c r="E55" i="18"/>
  <c r="E115" i="18"/>
  <c r="E20" i="18"/>
  <c r="F20" i="49"/>
  <c r="F153" i="49"/>
  <c r="F22" i="49"/>
  <c r="E88" i="18"/>
  <c r="E152" i="18"/>
  <c r="E109" i="18"/>
  <c r="E149" i="18"/>
  <c r="E82" i="18"/>
  <c r="E134" i="18"/>
  <c r="E91" i="18"/>
  <c r="E94" i="18"/>
  <c r="E63" i="18"/>
  <c r="E119" i="18"/>
  <c r="E17" i="18"/>
  <c r="F13" i="49"/>
  <c r="F43" i="49"/>
  <c r="F15" i="49"/>
  <c r="E104" i="18"/>
  <c r="E61" i="18"/>
  <c r="E113" i="18"/>
  <c r="E153" i="18"/>
  <c r="E86" i="18"/>
  <c r="E138" i="18"/>
  <c r="E103" i="18"/>
  <c r="E110" i="18"/>
  <c r="E71" i="18"/>
  <c r="E127" i="18"/>
  <c r="E19" i="18"/>
  <c r="F16" i="49"/>
  <c r="F159" i="49"/>
  <c r="F9" i="49"/>
  <c r="E112" i="18"/>
  <c r="E69" i="18"/>
  <c r="E117" i="18"/>
  <c r="E54" i="18"/>
  <c r="E90" i="18"/>
  <c r="E146" i="18"/>
  <c r="E111" i="18"/>
  <c r="E118" i="18"/>
  <c r="E79" i="18"/>
  <c r="E131" i="18"/>
  <c r="F24" i="49"/>
  <c r="F14" i="49"/>
  <c r="F41" i="49"/>
  <c r="E52" i="18"/>
  <c r="E116" i="18"/>
  <c r="E73" i="18"/>
  <c r="E125" i="18"/>
  <c r="E58" i="18"/>
  <c r="E98" i="18"/>
  <c r="E154" i="18"/>
  <c r="E123" i="18"/>
  <c r="E122" i="18"/>
  <c r="E87" i="18"/>
  <c r="E139" i="18"/>
  <c r="F9" i="31"/>
  <c r="F11" i="49"/>
  <c r="F51" i="49"/>
  <c r="E56" i="18"/>
  <c r="E120" i="18"/>
  <c r="E77" i="18"/>
  <c r="E133" i="18"/>
  <c r="E66" i="18"/>
  <c r="E102" i="18"/>
  <c r="E59" i="18"/>
  <c r="E135" i="18"/>
  <c r="E130" i="18"/>
  <c r="E95" i="18"/>
  <c r="E147" i="18"/>
  <c r="Z7" i="62"/>
  <c r="F163" i="49"/>
  <c r="E72" i="18"/>
  <c r="E136" i="18"/>
  <c r="E93" i="18"/>
  <c r="E137" i="18"/>
  <c r="E70" i="18"/>
  <c r="E106" i="18"/>
  <c r="E67" i="18"/>
  <c r="E143" i="18"/>
  <c r="E142" i="18"/>
  <c r="E99" i="18"/>
  <c r="E155" i="18"/>
  <c r="G162" i="58"/>
  <c r="X705" i="62"/>
  <c r="U7" i="93"/>
  <c r="M14" i="93"/>
  <c r="H11" i="97"/>
  <c r="H12" i="97" s="1"/>
  <c r="G12" i="97"/>
  <c r="O163" i="107"/>
  <c r="O164" i="107" s="1"/>
  <c r="D8" i="26"/>
  <c r="M65" i="107"/>
  <c r="M66" i="107" s="1"/>
  <c r="N66" i="107" s="1"/>
  <c r="H49" i="49"/>
  <c r="W197" i="49"/>
  <c r="W199" i="49" s="1"/>
  <c r="A13" i="80"/>
  <c r="D8" i="95"/>
  <c r="M591" i="93"/>
  <c r="H14" i="70" s="1"/>
  <c r="J26" i="6"/>
  <c r="K25" i="6"/>
  <c r="L25" i="6" s="1"/>
  <c r="N25" i="6" s="1"/>
  <c r="J213" i="49"/>
  <c r="M213" i="49"/>
  <c r="N213" i="49" s="1"/>
  <c r="G16" i="76"/>
  <c r="F16" i="76"/>
  <c r="S91" i="31"/>
  <c r="S93" i="31" s="1"/>
  <c r="P91" i="31"/>
  <c r="P93" i="31" s="1"/>
  <c r="M91" i="31"/>
  <c r="M93" i="31" s="1"/>
  <c r="Q91" i="31"/>
  <c r="Q93" i="31" s="1"/>
  <c r="N91" i="31"/>
  <c r="N93" i="31" s="1"/>
  <c r="J91" i="31"/>
  <c r="J93" i="31" s="1"/>
  <c r="C12" i="2"/>
  <c r="R91" i="31"/>
  <c r="R93" i="31" s="1"/>
  <c r="U91" i="31"/>
  <c r="O91" i="31"/>
  <c r="O93" i="31" s="1"/>
  <c r="D10" i="2"/>
  <c r="T91" i="31"/>
  <c r="T93" i="31" s="1"/>
  <c r="W91" i="31"/>
  <c r="W93" i="31" s="1"/>
  <c r="R21" i="4"/>
  <c r="H20" i="1" s="1"/>
  <c r="K20" i="1" s="1"/>
  <c r="B307" i="78"/>
  <c r="C307" i="78"/>
  <c r="D306" i="78"/>
  <c r="D21" i="60"/>
  <c r="G10" i="31"/>
  <c r="B155" i="78"/>
  <c r="U20" i="4"/>
  <c r="Z57" i="31"/>
  <c r="AA57" i="31" s="1"/>
  <c r="J133" i="107"/>
  <c r="J134" i="107" s="1"/>
  <c r="J168" i="107"/>
  <c r="J169" i="107" s="1"/>
  <c r="O24" i="6"/>
  <c r="Q24" i="6"/>
  <c r="U64" i="31" s="1"/>
  <c r="Z64" i="31" s="1"/>
  <c r="AA64" i="31" s="1"/>
  <c r="K118" i="107"/>
  <c r="K119" i="107" s="1"/>
  <c r="D199" i="78"/>
  <c r="B29" i="78"/>
  <c r="M50" i="93"/>
  <c r="U50" i="93" s="1"/>
  <c r="U49" i="93"/>
  <c r="B86" i="78"/>
  <c r="AA108" i="104"/>
  <c r="S117" i="93" s="1"/>
  <c r="T117" i="93" s="1"/>
  <c r="H110" i="104"/>
  <c r="AA110" i="104" s="1"/>
  <c r="A16" i="80"/>
  <c r="F25" i="76"/>
  <c r="C235" i="78"/>
  <c r="D234" i="78"/>
  <c r="H137" i="104"/>
  <c r="AA135" i="104"/>
  <c r="AE117" i="93" s="1"/>
  <c r="U115" i="93"/>
  <c r="M119" i="93"/>
  <c r="H18" i="97"/>
  <c r="B228" i="78"/>
  <c r="C22" i="75"/>
  <c r="B31" i="78"/>
  <c r="B32" i="78" s="1"/>
  <c r="K80" i="93"/>
  <c r="M80" i="93" s="1"/>
  <c r="I80" i="93"/>
  <c r="I84" i="93" s="1"/>
  <c r="O27" i="107"/>
  <c r="O28" i="107" s="1"/>
  <c r="U14" i="93"/>
  <c r="A17" i="80" l="1"/>
  <c r="A18" i="80" s="1"/>
  <c r="A20" i="80" s="1"/>
  <c r="A21" i="80" s="1"/>
  <c r="A22" i="80" s="1"/>
  <c r="D20" i="75"/>
  <c r="E20" i="75" s="1"/>
  <c r="F20" i="75" s="1"/>
  <c r="J21" i="76"/>
  <c r="K21" i="76" s="1"/>
  <c r="J9" i="76"/>
  <c r="K9" i="76" s="1"/>
  <c r="D10" i="75"/>
  <c r="E10" i="75" s="1"/>
  <c r="F10" i="75" s="1"/>
  <c r="D15" i="75"/>
  <c r="E15" i="75" s="1"/>
  <c r="F15" i="75" s="1"/>
  <c r="J15" i="76"/>
  <c r="K15" i="76" s="1"/>
  <c r="D25" i="75"/>
  <c r="E25" i="75" s="1"/>
  <c r="J29" i="76"/>
  <c r="K29" i="76" s="1"/>
  <c r="Q125" i="31"/>
  <c r="Q143" i="31" s="1"/>
  <c r="N22" i="4"/>
  <c r="P162" i="107"/>
  <c r="K163" i="58"/>
  <c r="J169" i="58"/>
  <c r="J163" i="58"/>
  <c r="AA137" i="104"/>
  <c r="B87" i="78"/>
  <c r="L117" i="107"/>
  <c r="L22" i="4"/>
  <c r="O125" i="31"/>
  <c r="O143" i="31" s="1"/>
  <c r="J22" i="4"/>
  <c r="M125" i="31"/>
  <c r="M143" i="31" s="1"/>
  <c r="C16" i="75"/>
  <c r="C17" i="75" s="1"/>
  <c r="F17" i="76"/>
  <c r="O25" i="6"/>
  <c r="Q25" i="6"/>
  <c r="U65" i="31" s="1"/>
  <c r="Z65" i="31" s="1"/>
  <c r="AA65" i="31" s="1"/>
  <c r="O64" i="107"/>
  <c r="Y185" i="62"/>
  <c r="Y559" i="62"/>
  <c r="Y603" i="62"/>
  <c r="Y560" i="62"/>
  <c r="Y580" i="62"/>
  <c r="Y558" i="62"/>
  <c r="Y557" i="62"/>
  <c r="Y561" i="62"/>
  <c r="Y554" i="62"/>
  <c r="Y593" i="62"/>
  <c r="Y18" i="62"/>
  <c r="Y17" i="62"/>
  <c r="Y15" i="62"/>
  <c r="Y22" i="62"/>
  <c r="Y34" i="62"/>
  <c r="E22" i="18"/>
  <c r="F23" i="18" s="1"/>
  <c r="J105" i="31" s="1"/>
  <c r="N13" i="6"/>
  <c r="L15" i="6"/>
  <c r="AF117" i="93"/>
  <c r="AC117" i="93"/>
  <c r="AC119" i="93" s="1"/>
  <c r="AC587" i="93" s="1"/>
  <c r="D31" i="76"/>
  <c r="G22" i="97"/>
  <c r="F14" i="99"/>
  <c r="M84" i="93"/>
  <c r="U84" i="93" s="1"/>
  <c r="U80" i="93"/>
  <c r="U117" i="93"/>
  <c r="T119" i="93"/>
  <c r="U119" i="93" s="1"/>
  <c r="P125" i="31"/>
  <c r="P143" i="31" s="1"/>
  <c r="M22" i="4"/>
  <c r="J27" i="6"/>
  <c r="K26" i="6"/>
  <c r="H211" i="49"/>
  <c r="H146" i="49"/>
  <c r="H200" i="49" s="1"/>
  <c r="B156" i="78"/>
  <c r="B158" i="78" s="1"/>
  <c r="E159" i="18"/>
  <c r="F160" i="18" s="1"/>
  <c r="J117" i="31" s="1"/>
  <c r="P52" i="107"/>
  <c r="N207" i="49"/>
  <c r="B377" i="78"/>
  <c r="B376" i="78"/>
  <c r="O22" i="4"/>
  <c r="R125" i="31"/>
  <c r="S125" i="31"/>
  <c r="S143" i="31" s="1"/>
  <c r="P22" i="4"/>
  <c r="Q54" i="6"/>
  <c r="N66" i="6"/>
  <c r="C35" i="77"/>
  <c r="D23" i="77"/>
  <c r="D35" i="77" s="1"/>
  <c r="D37" i="77" s="1"/>
  <c r="AG13" i="93"/>
  <c r="AG14" i="93" s="1"/>
  <c r="AF14" i="93"/>
  <c r="P26" i="107"/>
  <c r="AA20" i="4"/>
  <c r="F10" i="31"/>
  <c r="Z8" i="62"/>
  <c r="C14" i="2"/>
  <c r="C16" i="2" s="1"/>
  <c r="C18" i="2" s="1"/>
  <c r="H168" i="58"/>
  <c r="H171" i="58" s="1"/>
  <c r="I162" i="58"/>
  <c r="H162" i="58"/>
  <c r="H165" i="58" s="1"/>
  <c r="M147" i="107"/>
  <c r="B308" i="78"/>
  <c r="B309" i="78" s="1"/>
  <c r="K132" i="107"/>
  <c r="AA61" i="31"/>
  <c r="M107" i="107"/>
  <c r="H7" i="97"/>
  <c r="H8" i="97" s="1"/>
  <c r="G8" i="97"/>
  <c r="C385" i="78"/>
  <c r="E384" i="78"/>
  <c r="D235" i="78"/>
  <c r="C236" i="78"/>
  <c r="W22" i="4"/>
  <c r="W125" i="31"/>
  <c r="W143" i="31" s="1"/>
  <c r="H22" i="4"/>
  <c r="D38" i="76"/>
  <c r="T315" i="93"/>
  <c r="AJ315" i="93"/>
  <c r="F10" i="76"/>
  <c r="G10" i="76"/>
  <c r="L40" i="107"/>
  <c r="L41" i="107" s="1"/>
  <c r="A26" i="77"/>
  <c r="B229" i="78"/>
  <c r="D307" i="78"/>
  <c r="C308" i="78"/>
  <c r="T22" i="4"/>
  <c r="T125" i="31"/>
  <c r="K22" i="4"/>
  <c r="N125" i="31"/>
  <c r="N143" i="31" s="1"/>
  <c r="B33" i="78"/>
  <c r="Q23" i="6"/>
  <c r="O23" i="6"/>
  <c r="B161" i="78" l="1"/>
  <c r="B159" i="78"/>
  <c r="B232" i="78"/>
  <c r="M108" i="107"/>
  <c r="M109" i="107" s="1"/>
  <c r="N109" i="107" s="1"/>
  <c r="B230" i="78"/>
  <c r="Z117" i="31"/>
  <c r="AA117" i="31" s="1"/>
  <c r="J121" i="31"/>
  <c r="J123" i="31" s="1"/>
  <c r="H25" i="4" s="1"/>
  <c r="R25" i="4" s="1"/>
  <c r="H24" i="1" s="1"/>
  <c r="K24" i="1" s="1"/>
  <c r="B89" i="78"/>
  <c r="P163" i="107"/>
  <c r="P164" i="107" s="1"/>
  <c r="R162" i="107"/>
  <c r="R163" i="107" s="1"/>
  <c r="Q149" i="31"/>
  <c r="Q150" i="31" s="1"/>
  <c r="Q151" i="31" s="1"/>
  <c r="N29" i="4"/>
  <c r="A27" i="77"/>
  <c r="A28" i="77"/>
  <c r="A29" i="77"/>
  <c r="AK315" i="93"/>
  <c r="C386" i="78"/>
  <c r="E385" i="78"/>
  <c r="C20" i="2"/>
  <c r="C22" i="2" s="1"/>
  <c r="C25" i="2" s="1"/>
  <c r="AG117" i="93"/>
  <c r="AG119" i="93" s="1"/>
  <c r="AG589" i="93" s="1"/>
  <c r="AF119" i="93"/>
  <c r="O65" i="107"/>
  <c r="O66" i="107" s="1"/>
  <c r="Z561" i="62"/>
  <c r="Z559" i="62"/>
  <c r="Z560" i="62"/>
  <c r="Z593" i="62"/>
  <c r="Z17" i="62"/>
  <c r="Z554" i="62"/>
  <c r="Z185" i="62"/>
  <c r="Z15" i="62"/>
  <c r="Z18" i="62"/>
  <c r="Z558" i="62"/>
  <c r="Z603" i="62"/>
  <c r="Z557" i="62"/>
  <c r="Z580" i="62"/>
  <c r="Z22" i="62"/>
  <c r="Z34" i="62"/>
  <c r="P29" i="4"/>
  <c r="S149" i="31"/>
  <c r="S150" i="31" s="1"/>
  <c r="S151" i="31" s="1"/>
  <c r="M589" i="93"/>
  <c r="J168" i="58"/>
  <c r="J171" i="58" s="1"/>
  <c r="J162" i="58"/>
  <c r="J165" i="58" s="1"/>
  <c r="K162" i="58"/>
  <c r="N19" i="1"/>
  <c r="Q19" i="1" s="1"/>
  <c r="AC20" i="4"/>
  <c r="Y703" i="62"/>
  <c r="D9" i="73"/>
  <c r="D11" i="73" s="1"/>
  <c r="I15" i="31" s="1"/>
  <c r="D37" i="95"/>
  <c r="AC589" i="93"/>
  <c r="D43" i="95" s="1"/>
  <c r="U315" i="93"/>
  <c r="U321" i="93" s="1"/>
  <c r="U589" i="93" s="1"/>
  <c r="T321" i="93"/>
  <c r="D308" i="78"/>
  <c r="C309" i="78"/>
  <c r="M39" i="107"/>
  <c r="F38" i="76"/>
  <c r="G38" i="76"/>
  <c r="I38" i="76" s="1"/>
  <c r="P27" i="107"/>
  <c r="P28" i="107" s="1"/>
  <c r="R26" i="107"/>
  <c r="B160" i="78"/>
  <c r="M149" i="31"/>
  <c r="M150" i="31" s="1"/>
  <c r="M151" i="31" s="1"/>
  <c r="J29" i="4"/>
  <c r="B311" i="78"/>
  <c r="B313" i="78" s="1"/>
  <c r="L30" i="4"/>
  <c r="L31" i="4" s="1"/>
  <c r="L41" i="4" s="1"/>
  <c r="W149" i="31"/>
  <c r="W150" i="31" s="1"/>
  <c r="W151" i="31" s="1"/>
  <c r="W29" i="4"/>
  <c r="W30" i="4" s="1"/>
  <c r="W31" i="4" s="1"/>
  <c r="W41" i="4" s="1"/>
  <c r="W44" i="4" s="1"/>
  <c r="U62" i="31"/>
  <c r="M148" i="107"/>
  <c r="M149" i="107" s="1"/>
  <c r="N149" i="107" s="1"/>
  <c r="L26" i="6"/>
  <c r="P149" i="31"/>
  <c r="P150" i="31" s="1"/>
  <c r="P151" i="31" s="1"/>
  <c r="M29" i="4"/>
  <c r="M30" i="4" s="1"/>
  <c r="M31" i="4" s="1"/>
  <c r="M41" i="4" s="1"/>
  <c r="K133" i="107"/>
  <c r="K134" i="107" s="1"/>
  <c r="K168" i="107"/>
  <c r="K169" i="107" s="1"/>
  <c r="J211" i="49"/>
  <c r="J223" i="49" s="1"/>
  <c r="M211" i="49"/>
  <c r="H223" i="49"/>
  <c r="H225" i="49" s="1"/>
  <c r="Z105" i="31"/>
  <c r="AA105" i="31" s="1"/>
  <c r="J107" i="31"/>
  <c r="N149" i="31"/>
  <c r="N150" i="31" s="1"/>
  <c r="N151" i="31" s="1"/>
  <c r="K29" i="4"/>
  <c r="K30" i="4" s="1"/>
  <c r="K31" i="4" s="1"/>
  <c r="K41" i="4" s="1"/>
  <c r="B34" i="78"/>
  <c r="C238" i="78"/>
  <c r="D236" i="78"/>
  <c r="P30" i="4"/>
  <c r="P31" i="4" s="1"/>
  <c r="P41" i="4" s="1"/>
  <c r="P44" i="4" s="1"/>
  <c r="P53" i="107"/>
  <c r="P54" i="107" s="1"/>
  <c r="R52" i="107"/>
  <c r="R53" i="107" s="1"/>
  <c r="K27" i="6"/>
  <c r="L27" i="6" s="1"/>
  <c r="N27" i="6" s="1"/>
  <c r="J28" i="6"/>
  <c r="J30" i="4"/>
  <c r="J31" i="4" s="1"/>
  <c r="J41" i="4" s="1"/>
  <c r="J44" i="4" s="1"/>
  <c r="L118" i="107"/>
  <c r="L119" i="107" s="1"/>
  <c r="B312" i="78"/>
  <c r="C37" i="77"/>
  <c r="I36" i="77"/>
  <c r="F31" i="76"/>
  <c r="G31" i="76"/>
  <c r="Q13" i="6"/>
  <c r="N15" i="6"/>
  <c r="C11" i="75"/>
  <c r="C12" i="75" s="1"/>
  <c r="F11" i="76"/>
  <c r="U78" i="31"/>
  <c r="Z78" i="31" s="1"/>
  <c r="AA78" i="31" s="1"/>
  <c r="Q66" i="6"/>
  <c r="B378" i="78"/>
  <c r="C35" i="160"/>
  <c r="C37" i="160" s="1"/>
  <c r="C39" i="160" s="1"/>
  <c r="E9" i="13"/>
  <c r="F25" i="159"/>
  <c r="H22" i="97"/>
  <c r="G24" i="97"/>
  <c r="O13" i="6"/>
  <c r="A23" i="80"/>
  <c r="A24" i="80" s="1"/>
  <c r="A25" i="80" s="1"/>
  <c r="A26" i="80" s="1"/>
  <c r="A27" i="80" s="1"/>
  <c r="A29" i="80" s="1"/>
  <c r="A37" i="80" s="1"/>
  <c r="L29" i="4"/>
  <c r="O149" i="31"/>
  <c r="O150" i="31" s="1"/>
  <c r="O151" i="31" s="1"/>
  <c r="L169" i="58"/>
  <c r="M163" i="58"/>
  <c r="L163" i="58"/>
  <c r="N30" i="4"/>
  <c r="N31" i="4" s="1"/>
  <c r="N41" i="4" s="1"/>
  <c r="K44" i="4" l="1"/>
  <c r="K47" i="4"/>
  <c r="N161" i="31"/>
  <c r="G31" i="97"/>
  <c r="M40" i="107"/>
  <c r="M41" i="107" s="1"/>
  <c r="N41" i="107" s="1"/>
  <c r="D5" i="95"/>
  <c r="D17" i="95" s="1"/>
  <c r="D23" i="95" s="1"/>
  <c r="H11" i="70"/>
  <c r="H16" i="70" s="1"/>
  <c r="H21" i="70" s="1"/>
  <c r="H27" i="70" s="1"/>
  <c r="K15" i="31" s="1"/>
  <c r="K17" i="31" s="1"/>
  <c r="M595" i="93"/>
  <c r="E27" i="13"/>
  <c r="V15" i="31" s="1"/>
  <c r="V17" i="31" s="1"/>
  <c r="D48" i="95"/>
  <c r="L44" i="4"/>
  <c r="D29" i="95"/>
  <c r="D32" i="95" s="1"/>
  <c r="F10" i="74"/>
  <c r="F11" i="74" s="1"/>
  <c r="L15" i="31" s="1"/>
  <c r="L17" i="31" s="1"/>
  <c r="Q15" i="6"/>
  <c r="M117" i="107"/>
  <c r="M44" i="4"/>
  <c r="B162" i="78"/>
  <c r="Z62" i="31"/>
  <c r="B233" i="78"/>
  <c r="B234" i="78"/>
  <c r="H24" i="97"/>
  <c r="B379" i="78"/>
  <c r="L132" i="107"/>
  <c r="R27" i="107"/>
  <c r="W19" i="1"/>
  <c r="AC57" i="31"/>
  <c r="F33" i="76"/>
  <c r="C26" i="75"/>
  <c r="C27" i="75" s="1"/>
  <c r="D238" i="78"/>
  <c r="C239" i="78"/>
  <c r="M223" i="49"/>
  <c r="N223" i="49" s="1"/>
  <c r="O147" i="107"/>
  <c r="S161" i="31"/>
  <c r="P64" i="107"/>
  <c r="D15" i="26"/>
  <c r="Y41" i="4"/>
  <c r="N169" i="58"/>
  <c r="N163" i="58"/>
  <c r="O163" i="58"/>
  <c r="E12" i="13"/>
  <c r="V140" i="31" s="1"/>
  <c r="V28" i="4" s="1"/>
  <c r="E16" i="13"/>
  <c r="B314" i="78"/>
  <c r="N211" i="49"/>
  <c r="W161" i="31"/>
  <c r="Z703" i="62"/>
  <c r="H24" i="4"/>
  <c r="J125" i="31"/>
  <c r="J143" i="31" s="1"/>
  <c r="K223" i="49"/>
  <c r="E18" i="13"/>
  <c r="P161" i="31"/>
  <c r="L168" i="58"/>
  <c r="L171" i="58" s="1"/>
  <c r="M162" i="58"/>
  <c r="L162" i="58"/>
  <c r="L165" i="58" s="1"/>
  <c r="O107" i="107"/>
  <c r="N44" i="4"/>
  <c r="R135" i="31"/>
  <c r="O26" i="4"/>
  <c r="B380" i="78"/>
  <c r="K28" i="6"/>
  <c r="L28" i="6" s="1"/>
  <c r="N28" i="6" s="1"/>
  <c r="J29" i="6"/>
  <c r="O27" i="6"/>
  <c r="Q27" i="6"/>
  <c r="U75" i="31" s="1"/>
  <c r="B35" i="78"/>
  <c r="B37" i="78" s="1"/>
  <c r="N26" i="6"/>
  <c r="D36" i="75"/>
  <c r="D31" i="75"/>
  <c r="J38" i="76"/>
  <c r="I17" i="31"/>
  <c r="G12" i="4" s="1"/>
  <c r="AA705" i="62"/>
  <c r="X706" i="62"/>
  <c r="Q161" i="31"/>
  <c r="B90" i="78"/>
  <c r="B91" i="78" s="1"/>
  <c r="B92" i="78" s="1"/>
  <c r="B93" i="78" s="1"/>
  <c r="B95" i="78" s="1"/>
  <c r="B96" i="78" s="1"/>
  <c r="B97" i="78" s="1"/>
  <c r="B98" i="78" s="1"/>
  <c r="B99" i="78" s="1"/>
  <c r="B101" i="78" s="1"/>
  <c r="B102" i="78" s="1"/>
  <c r="B103" i="78" s="1"/>
  <c r="O161" i="31"/>
  <c r="M161" i="31"/>
  <c r="F44" i="76"/>
  <c r="F57" i="76" s="1"/>
  <c r="C36" i="75"/>
  <c r="C38" i="75" s="1"/>
  <c r="C31" i="75"/>
  <c r="C33" i="75" s="1"/>
  <c r="C39" i="75" s="1"/>
  <c r="D309" i="78"/>
  <c r="C311" i="78"/>
  <c r="C388" i="78"/>
  <c r="E386" i="78"/>
  <c r="A30" i="77"/>
  <c r="Z15" i="31" l="1"/>
  <c r="Z17" i="31" s="1"/>
  <c r="Z28" i="31" s="1"/>
  <c r="M224" i="49"/>
  <c r="Q223" i="49" s="1"/>
  <c r="Q224" i="49" s="1"/>
  <c r="N224" i="49"/>
  <c r="G43" i="97"/>
  <c r="Q29" i="97"/>
  <c r="R29" i="97" s="1"/>
  <c r="Q32" i="97"/>
  <c r="Q18" i="97"/>
  <c r="R18" i="97" s="1"/>
  <c r="Q12" i="97"/>
  <c r="R12" i="97" s="1"/>
  <c r="Q8" i="97"/>
  <c r="R8" i="97" s="1"/>
  <c r="S8" i="97" s="1"/>
  <c r="T8" i="97" s="1"/>
  <c r="Q24" i="97"/>
  <c r="R24" i="97" s="1"/>
  <c r="B38" i="78"/>
  <c r="AA62" i="31"/>
  <c r="I28" i="31"/>
  <c r="Z75" i="31"/>
  <c r="J30" i="6"/>
  <c r="K29" i="6"/>
  <c r="L29" i="6" s="1"/>
  <c r="F18" i="13"/>
  <c r="F23" i="13" s="1"/>
  <c r="E19" i="13"/>
  <c r="V35" i="4" s="1"/>
  <c r="AA35" i="4" s="1"/>
  <c r="N34" i="1" s="1"/>
  <c r="V128" i="31"/>
  <c r="P169" i="58"/>
  <c r="Q163" i="58"/>
  <c r="P163" i="58"/>
  <c r="Q17" i="6"/>
  <c r="U140" i="31" s="1"/>
  <c r="S11" i="6"/>
  <c r="K28" i="31"/>
  <c r="X12" i="4"/>
  <c r="X15" i="4" s="1"/>
  <c r="O28" i="6"/>
  <c r="Q28" i="6"/>
  <c r="L133" i="107"/>
  <c r="L134" i="107" s="1"/>
  <c r="L168" i="107"/>
  <c r="L169" i="107" s="1"/>
  <c r="S13" i="6"/>
  <c r="I12" i="4"/>
  <c r="I15" i="4" s="1"/>
  <c r="L28" i="31"/>
  <c r="O26" i="6"/>
  <c r="Q26" i="6"/>
  <c r="H29" i="4"/>
  <c r="J149" i="31"/>
  <c r="J150" i="31" s="1"/>
  <c r="J151" i="31" s="1"/>
  <c r="O148" i="107"/>
  <c r="O149" i="107" s="1"/>
  <c r="B235" i="78"/>
  <c r="C312" i="78"/>
  <c r="D311" i="78"/>
  <c r="E31" i="75"/>
  <c r="Z706" i="62"/>
  <c r="Z708" i="62" s="1"/>
  <c r="AE703" i="62"/>
  <c r="AE704" i="62" s="1"/>
  <c r="AC704" i="62"/>
  <c r="B164" i="78"/>
  <c r="E36" i="75"/>
  <c r="O34" i="4"/>
  <c r="O39" i="4" s="1"/>
  <c r="O50" i="4" s="1"/>
  <c r="R26" i="4"/>
  <c r="H25" i="1" s="1"/>
  <c r="K25" i="1" s="1"/>
  <c r="O108" i="107"/>
  <c r="O109" i="107" s="1"/>
  <c r="R24" i="4"/>
  <c r="H23" i="1" s="1"/>
  <c r="K23" i="1" s="1"/>
  <c r="H30" i="4"/>
  <c r="H31" i="4" s="1"/>
  <c r="H41" i="4" s="1"/>
  <c r="H44" i="4" s="1"/>
  <c r="B382" i="78"/>
  <c r="B383" i="78" s="1"/>
  <c r="B315" i="78"/>
  <c r="A31" i="77"/>
  <c r="A32" i="77" s="1"/>
  <c r="A33" i="77" s="1"/>
  <c r="A34" i="77" s="1"/>
  <c r="V12" i="4"/>
  <c r="V28" i="31"/>
  <c r="C389" i="78"/>
  <c r="C390" i="78" s="1"/>
  <c r="E388" i="78"/>
  <c r="B104" i="78"/>
  <c r="B105" i="78" s="1"/>
  <c r="B107" i="78" s="1"/>
  <c r="B108" i="78" s="1"/>
  <c r="B109" i="78" s="1"/>
  <c r="B110" i="78" s="1"/>
  <c r="B111" i="78" s="1"/>
  <c r="B113" i="78" s="1"/>
  <c r="B114" i="78" s="1"/>
  <c r="B115" i="78" s="1"/>
  <c r="B116" i="78" s="1"/>
  <c r="B118" i="78" s="1"/>
  <c r="B119" i="78" s="1"/>
  <c r="B120" i="78" s="1"/>
  <c r="B121" i="78" s="1"/>
  <c r="R143" i="31"/>
  <c r="O162" i="58"/>
  <c r="N168" i="58"/>
  <c r="N171" i="58" s="1"/>
  <c r="N162" i="58"/>
  <c r="N165" i="58" s="1"/>
  <c r="H31" i="97"/>
  <c r="O39" i="107"/>
  <c r="E20" i="13"/>
  <c r="E21" i="13" s="1"/>
  <c r="E22" i="13" s="1"/>
  <c r="V37" i="4" s="1"/>
  <c r="AA37" i="4" s="1"/>
  <c r="N36" i="1" s="1"/>
  <c r="Q36" i="1" s="1"/>
  <c r="W36" i="1" s="1"/>
  <c r="V34" i="4"/>
  <c r="P65" i="107"/>
  <c r="P66" i="107" s="1"/>
  <c r="R64" i="107"/>
  <c r="R65" i="107" s="1"/>
  <c r="D239" i="78"/>
  <c r="C240" i="78"/>
  <c r="M118" i="107"/>
  <c r="M119" i="107" s="1"/>
  <c r="N119" i="107" s="1"/>
  <c r="AA15" i="31" l="1"/>
  <c r="AA17" i="31" s="1"/>
  <c r="AA28" i="31" s="1"/>
  <c r="E25" i="13"/>
  <c r="E390" i="78"/>
  <c r="R163" i="58"/>
  <c r="S163" i="58"/>
  <c r="R169" i="58"/>
  <c r="I53" i="31"/>
  <c r="I54" i="31" s="1"/>
  <c r="I91" i="31"/>
  <c r="B165" i="78"/>
  <c r="U69" i="31"/>
  <c r="C241" i="78"/>
  <c r="D240" i="78"/>
  <c r="H43" i="97"/>
  <c r="J31" i="97" s="1"/>
  <c r="R149" i="31"/>
  <c r="R150" i="31" s="1"/>
  <c r="R151" i="31" s="1"/>
  <c r="O29" i="4"/>
  <c r="O30" i="4" s="1"/>
  <c r="O31" i="4" s="1"/>
  <c r="O41" i="4" s="1"/>
  <c r="P147" i="107"/>
  <c r="J161" i="31"/>
  <c r="A35" i="77"/>
  <c r="N29" i="6"/>
  <c r="B39" i="78"/>
  <c r="C391" i="78"/>
  <c r="A37" i="77"/>
  <c r="B236" i="78"/>
  <c r="AB706" i="62"/>
  <c r="AB708" i="62" s="1"/>
  <c r="Y706" i="62"/>
  <c r="Y708" i="62" s="1"/>
  <c r="J31" i="6"/>
  <c r="K30" i="6"/>
  <c r="L30" i="6" s="1"/>
  <c r="N30" i="6" s="1"/>
  <c r="P168" i="58"/>
  <c r="P171" i="58" s="1"/>
  <c r="Q162" i="58"/>
  <c r="P162" i="58"/>
  <c r="P165" i="58" s="1"/>
  <c r="B317" i="78"/>
  <c r="L91" i="31"/>
  <c r="L93" i="31" s="1"/>
  <c r="L53" i="31"/>
  <c r="I19" i="4" s="1"/>
  <c r="K53" i="31"/>
  <c r="X19" i="4" s="1"/>
  <c r="K91" i="31"/>
  <c r="K93" i="31" s="1"/>
  <c r="K54" i="31"/>
  <c r="U28" i="4"/>
  <c r="AA28" i="4" s="1"/>
  <c r="Z140" i="31"/>
  <c r="AA140" i="31" s="1"/>
  <c r="V135" i="31"/>
  <c r="V26" i="4"/>
  <c r="AA26" i="4" s="1"/>
  <c r="Z128" i="31"/>
  <c r="AA34" i="4"/>
  <c r="N33" i="1" s="1"/>
  <c r="V39" i="4"/>
  <c r="V50" i="4" s="1"/>
  <c r="V53" i="31"/>
  <c r="V19" i="4" s="1"/>
  <c r="V91" i="31"/>
  <c r="V93" i="31" s="1"/>
  <c r="P107" i="107"/>
  <c r="M132" i="107"/>
  <c r="AA75" i="31"/>
  <c r="O117" i="107"/>
  <c r="O40" i="107"/>
  <c r="O41" i="107" s="1"/>
  <c r="E389" i="78"/>
  <c r="V15" i="4"/>
  <c r="AA12" i="4"/>
  <c r="N11" i="1" s="1"/>
  <c r="D312" i="78"/>
  <c r="C313" i="78"/>
  <c r="G15" i="4"/>
  <c r="R12" i="4"/>
  <c r="H11" i="1" s="1"/>
  <c r="B384" i="78"/>
  <c r="B385" i="78" s="1"/>
  <c r="R161" i="31" l="1"/>
  <c r="O44" i="4"/>
  <c r="O47" i="4"/>
  <c r="B388" i="78"/>
  <c r="B386" i="78"/>
  <c r="D18" i="32"/>
  <c r="H18" i="32" s="1"/>
  <c r="I38" i="4" s="1"/>
  <c r="R38" i="4" s="1"/>
  <c r="H37" i="1" s="1"/>
  <c r="E37" i="1"/>
  <c r="N14" i="1"/>
  <c r="N38" i="1"/>
  <c r="Z135" i="31"/>
  <c r="AA128" i="31"/>
  <c r="AA135" i="31" s="1"/>
  <c r="X22" i="4"/>
  <c r="K125" i="31"/>
  <c r="J32" i="6"/>
  <c r="K31" i="6"/>
  <c r="L31" i="6" s="1"/>
  <c r="N31" i="6" s="1"/>
  <c r="J34" i="97"/>
  <c r="J41" i="97"/>
  <c r="J27" i="97"/>
  <c r="J35" i="97"/>
  <c r="J37" i="97"/>
  <c r="J38" i="97"/>
  <c r="J36" i="97"/>
  <c r="J16" i="97"/>
  <c r="J28" i="97"/>
  <c r="J17" i="97"/>
  <c r="J23" i="97"/>
  <c r="J29" i="97"/>
  <c r="J21" i="97"/>
  <c r="J15" i="97"/>
  <c r="J12" i="97"/>
  <c r="J18" i="97"/>
  <c r="J8" i="97"/>
  <c r="J22" i="97"/>
  <c r="J24" i="97"/>
  <c r="O30" i="6"/>
  <c r="Q30" i="6"/>
  <c r="U79" i="31" s="1"/>
  <c r="Z79" i="31" s="1"/>
  <c r="AA79" i="31" s="1"/>
  <c r="AA15" i="4"/>
  <c r="N25" i="1"/>
  <c r="Q25" i="1" s="1"/>
  <c r="W25" i="1" s="1"/>
  <c r="I93" i="31"/>
  <c r="Z91" i="31"/>
  <c r="AA91" i="31" s="1"/>
  <c r="K143" i="31"/>
  <c r="E391" i="78"/>
  <c r="P108" i="107"/>
  <c r="P109" i="107" s="1"/>
  <c r="R107" i="107"/>
  <c r="R108" i="107" s="1"/>
  <c r="B318" i="78"/>
  <c r="R162" i="58"/>
  <c r="R165" i="58" s="1"/>
  <c r="S162" i="58"/>
  <c r="R168" i="58"/>
  <c r="R171" i="58" s="1"/>
  <c r="P39" i="107"/>
  <c r="D313" i="78"/>
  <c r="C314" i="78"/>
  <c r="C392" i="78"/>
  <c r="G19" i="4"/>
  <c r="Z53" i="31"/>
  <c r="K11" i="1"/>
  <c r="K14" i="1" s="1"/>
  <c r="H14" i="1"/>
  <c r="M133" i="107"/>
  <c r="M134" i="107" s="1"/>
  <c r="N134" i="107" s="1"/>
  <c r="M168" i="107"/>
  <c r="M169" i="107" s="1"/>
  <c r="N169" i="107" s="1"/>
  <c r="V22" i="4"/>
  <c r="V125" i="31"/>
  <c r="L54" i="31"/>
  <c r="O29" i="6"/>
  <c r="Q29" i="6"/>
  <c r="D241" i="78"/>
  <c r="C242" i="78"/>
  <c r="AA39" i="4"/>
  <c r="R15" i="4"/>
  <c r="O118" i="107"/>
  <c r="O119" i="107" s="1"/>
  <c r="AA19" i="4"/>
  <c r="N27" i="1"/>
  <c r="Q27" i="1" s="1"/>
  <c r="W27" i="1" s="1"/>
  <c r="B238" i="78"/>
  <c r="B239" i="78" s="1"/>
  <c r="P148" i="107"/>
  <c r="P149" i="107" s="1"/>
  <c r="R147" i="107"/>
  <c r="R148" i="107" s="1"/>
  <c r="V54" i="31"/>
  <c r="I22" i="4"/>
  <c r="L125" i="31"/>
  <c r="B40" i="78"/>
  <c r="Z69" i="31"/>
  <c r="U72" i="31"/>
  <c r="B166" i="78"/>
  <c r="U163" i="58"/>
  <c r="T163" i="58"/>
  <c r="T169" i="58"/>
  <c r="V143" i="31" l="1"/>
  <c r="AC26" i="4"/>
  <c r="AA50" i="4"/>
  <c r="AC28" i="4"/>
  <c r="O132" i="107"/>
  <c r="AA53" i="31"/>
  <c r="Z54" i="31"/>
  <c r="R19" i="4"/>
  <c r="H18" i="1" s="1"/>
  <c r="B320" i="78"/>
  <c r="B319" i="78"/>
  <c r="Q11" i="1"/>
  <c r="K37" i="1"/>
  <c r="Q37" i="1" s="1"/>
  <c r="W37" i="1" s="1"/>
  <c r="N18" i="1"/>
  <c r="AC19" i="4" s="1"/>
  <c r="U77" i="31"/>
  <c r="AC135" i="31"/>
  <c r="B389" i="78"/>
  <c r="D314" i="78"/>
  <c r="C315" i="78"/>
  <c r="G22" i="4"/>
  <c r="R22" i="4" s="1"/>
  <c r="H21" i="1" s="1"/>
  <c r="K21" i="1" s="1"/>
  <c r="I125" i="31"/>
  <c r="I143" i="31" s="1"/>
  <c r="O31" i="6"/>
  <c r="Q31" i="6"/>
  <c r="U81" i="31" s="1"/>
  <c r="Z81" i="31" s="1"/>
  <c r="AA81" i="31" s="1"/>
  <c r="B390" i="78"/>
  <c r="B391" i="78"/>
  <c r="C244" i="78"/>
  <c r="D242" i="78"/>
  <c r="E392" i="78"/>
  <c r="C395" i="78"/>
  <c r="J43" i="97"/>
  <c r="K32" i="6"/>
  <c r="L32" i="6" s="1"/>
  <c r="N32" i="6" s="1"/>
  <c r="J33" i="6"/>
  <c r="C393" i="78"/>
  <c r="AA69" i="31"/>
  <c r="AA72" i="31" s="1"/>
  <c r="Z72" i="31"/>
  <c r="B41" i="78"/>
  <c r="B167" i="78"/>
  <c r="B168" i="78"/>
  <c r="B170" i="78" s="1"/>
  <c r="P117" i="107"/>
  <c r="L143" i="31"/>
  <c r="P40" i="107"/>
  <c r="P41" i="107" s="1"/>
  <c r="R39" i="107"/>
  <c r="K149" i="31"/>
  <c r="K150" i="31" s="1"/>
  <c r="K151" i="31" s="1"/>
  <c r="X29" i="4"/>
  <c r="X30" i="4" s="1"/>
  <c r="X31" i="4" s="1"/>
  <c r="X41" i="4" s="1"/>
  <c r="X44" i="4" s="1"/>
  <c r="V29" i="4"/>
  <c r="V30" i="4" s="1"/>
  <c r="V31" i="4" s="1"/>
  <c r="V41" i="4" s="1"/>
  <c r="V149" i="31"/>
  <c r="V150" i="31" s="1"/>
  <c r="V151" i="31" s="1"/>
  <c r="V169" i="58"/>
  <c r="V163" i="58"/>
  <c r="W163" i="58"/>
  <c r="B240" i="78"/>
  <c r="AC140" i="31"/>
  <c r="T168" i="58"/>
  <c r="T171" i="58" s="1"/>
  <c r="U162" i="58"/>
  <c r="T162" i="58"/>
  <c r="T165" i="58" s="1"/>
  <c r="V44" i="4" l="1"/>
  <c r="V47" i="4"/>
  <c r="V161" i="31"/>
  <c r="P118" i="107"/>
  <c r="P119" i="107" s="1"/>
  <c r="R117" i="107"/>
  <c r="R118" i="107" s="1"/>
  <c r="C396" i="78"/>
  <c r="E393" i="78"/>
  <c r="E395" i="78"/>
  <c r="C397" i="78"/>
  <c r="B321" i="78"/>
  <c r="C317" i="78"/>
  <c r="D315" i="78"/>
  <c r="K161" i="31"/>
  <c r="B44" i="78"/>
  <c r="B43" i="78"/>
  <c r="Q14" i="1"/>
  <c r="AC17" i="31"/>
  <c r="O133" i="107"/>
  <c r="O134" i="107" s="1"/>
  <c r="O168" i="107"/>
  <c r="O169" i="107" s="1"/>
  <c r="Z77" i="31"/>
  <c r="AA54" i="31"/>
  <c r="W162" i="58"/>
  <c r="V168" i="58"/>
  <c r="V171" i="58" s="1"/>
  <c r="V162" i="58"/>
  <c r="V165" i="58" s="1"/>
  <c r="I29" i="4"/>
  <c r="I30" i="4" s="1"/>
  <c r="I31" i="4" s="1"/>
  <c r="L149" i="31"/>
  <c r="L150" i="31" s="1"/>
  <c r="L151" i="31" s="1"/>
  <c r="B172" i="78"/>
  <c r="B241" i="78"/>
  <c r="D244" i="78"/>
  <c r="C245" i="78"/>
  <c r="Y163" i="58"/>
  <c r="X163" i="58"/>
  <c r="X169" i="58"/>
  <c r="R40" i="107"/>
  <c r="B173" i="78"/>
  <c r="J34" i="6"/>
  <c r="K33" i="6"/>
  <c r="L33" i="6" s="1"/>
  <c r="N33" i="6" s="1"/>
  <c r="B171" i="78"/>
  <c r="B174" i="78" s="1"/>
  <c r="O32" i="6"/>
  <c r="Q32" i="6"/>
  <c r="U83" i="31" s="1"/>
  <c r="Z83" i="31" s="1"/>
  <c r="AA83" i="31" s="1"/>
  <c r="B392" i="78"/>
  <c r="B393" i="78" s="1"/>
  <c r="G29" i="4"/>
  <c r="R29" i="4" s="1"/>
  <c r="H28" i="1" s="1"/>
  <c r="K28" i="1" s="1"/>
  <c r="I149" i="31"/>
  <c r="I150" i="31" s="1"/>
  <c r="I151" i="31" s="1"/>
  <c r="K18" i="1"/>
  <c r="U84" i="31" l="1"/>
  <c r="U85" i="31" s="1"/>
  <c r="U21" i="4" s="1"/>
  <c r="H29" i="1"/>
  <c r="H30" i="1" s="1"/>
  <c r="Z169" i="58"/>
  <c r="Z163" i="58"/>
  <c r="AA163" i="58"/>
  <c r="AA77" i="31"/>
  <c r="AA84" i="31" s="1"/>
  <c r="AA85" i="31" s="1"/>
  <c r="Z84" i="31"/>
  <c r="Z85" i="31" s="1"/>
  <c r="P132" i="107"/>
  <c r="C318" i="78"/>
  <c r="D317" i="78"/>
  <c r="E397" i="78"/>
  <c r="X168" i="58"/>
  <c r="X171" i="58" s="1"/>
  <c r="Y162" i="58"/>
  <c r="X162" i="58"/>
  <c r="X165" i="58" s="1"/>
  <c r="B395" i="78"/>
  <c r="C398" i="78"/>
  <c r="B242" i="78"/>
  <c r="Q33" i="6"/>
  <c r="U88" i="31" s="1"/>
  <c r="O33" i="6"/>
  <c r="B244" i="78"/>
  <c r="B245" i="78" s="1"/>
  <c r="B323" i="78"/>
  <c r="K29" i="1"/>
  <c r="K30" i="1" s="1"/>
  <c r="G30" i="4"/>
  <c r="J35" i="6"/>
  <c r="K34" i="6"/>
  <c r="L34" i="6" s="1"/>
  <c r="N34" i="6" s="1"/>
  <c r="B176" i="78"/>
  <c r="Q18" i="1"/>
  <c r="C399" i="78"/>
  <c r="E396" i="78"/>
  <c r="D245" i="78"/>
  <c r="C246" i="78"/>
  <c r="L161" i="31"/>
  <c r="B45" i="78"/>
  <c r="D19" i="26"/>
  <c r="AC28" i="31"/>
  <c r="R30" i="4" l="1"/>
  <c r="G31" i="4"/>
  <c r="B396" i="78"/>
  <c r="C247" i="78"/>
  <c r="D246" i="78"/>
  <c r="AC53" i="31"/>
  <c r="E398" i="78"/>
  <c r="C401" i="78"/>
  <c r="P133" i="107"/>
  <c r="P134" i="107" s="1"/>
  <c r="R132" i="107"/>
  <c r="P168" i="107"/>
  <c r="P169" i="107" s="1"/>
  <c r="AB163" i="58"/>
  <c r="AB169" i="58"/>
  <c r="AC163" i="58"/>
  <c r="Z88" i="31"/>
  <c r="B324" i="78"/>
  <c r="B46" i="78"/>
  <c r="B47" i="78" s="1"/>
  <c r="B397" i="78"/>
  <c r="B177" i="78"/>
  <c r="AA162" i="58"/>
  <c r="Z168" i="58"/>
  <c r="Z171" i="58" s="1"/>
  <c r="Z162" i="58"/>
  <c r="Z165" i="58" s="1"/>
  <c r="AA21" i="4"/>
  <c r="O34" i="6"/>
  <c r="Q34" i="6"/>
  <c r="U89" i="31" s="1"/>
  <c r="Z89" i="31" s="1"/>
  <c r="AA89" i="31" s="1"/>
  <c r="B246" i="78"/>
  <c r="E399" i="78"/>
  <c r="C402" i="78"/>
  <c r="J36" i="6"/>
  <c r="K35" i="6"/>
  <c r="L35" i="6" s="1"/>
  <c r="N35" i="6" s="1"/>
  <c r="B325" i="78"/>
  <c r="D318" i="78"/>
  <c r="C319" i="78"/>
  <c r="AA88" i="31" l="1"/>
  <c r="N20" i="1"/>
  <c r="B398" i="78"/>
  <c r="E402" i="78"/>
  <c r="B247" i="78"/>
  <c r="R31" i="4"/>
  <c r="G41" i="4"/>
  <c r="I161" i="31"/>
  <c r="O35" i="6"/>
  <c r="Q35" i="6"/>
  <c r="U90" i="31" s="1"/>
  <c r="Z90" i="31" s="1"/>
  <c r="AA90" i="31" s="1"/>
  <c r="J37" i="6"/>
  <c r="K36" i="6"/>
  <c r="L36" i="6" s="1"/>
  <c r="N36" i="6" s="1"/>
  <c r="B178" i="78"/>
  <c r="B179" i="78"/>
  <c r="B326" i="78"/>
  <c r="R133" i="107"/>
  <c r="R168" i="107"/>
  <c r="R169" i="107" s="1"/>
  <c r="B399" i="78"/>
  <c r="B401" i="78" s="1"/>
  <c r="D319" i="78"/>
  <c r="C320" i="78"/>
  <c r="B49" i="78"/>
  <c r="B50" i="78" s="1"/>
  <c r="AD169" i="58"/>
  <c r="AD163" i="58"/>
  <c r="C403" i="78"/>
  <c r="C404" i="78"/>
  <c r="E401" i="78"/>
  <c r="C248" i="78"/>
  <c r="D247" i="78"/>
  <c r="AB168" i="58"/>
  <c r="AB171" i="58" s="1"/>
  <c r="AC162" i="58"/>
  <c r="AB162" i="58"/>
  <c r="AB165" i="58" s="1"/>
  <c r="G44" i="4" l="1"/>
  <c r="G47" i="4"/>
  <c r="U93" i="31"/>
  <c r="B402" i="78"/>
  <c r="B183" i="78"/>
  <c r="B403" i="78"/>
  <c r="B404" i="78" s="1"/>
  <c r="D248" i="78"/>
  <c r="C250" i="78"/>
  <c r="U22" i="4"/>
  <c r="B248" i="78"/>
  <c r="K37" i="6"/>
  <c r="L37" i="6" s="1"/>
  <c r="N37" i="6" s="1"/>
  <c r="J38" i="6"/>
  <c r="AD162" i="58"/>
  <c r="AD165" i="58" s="1"/>
  <c r="AD168" i="58"/>
  <c r="AD171" i="58" s="1"/>
  <c r="Q20" i="1"/>
  <c r="E404" i="78"/>
  <c r="B327" i="78"/>
  <c r="B180" i="78"/>
  <c r="AC21" i="4"/>
  <c r="Z93" i="31"/>
  <c r="C405" i="78"/>
  <c r="C407" i="78" s="1"/>
  <c r="E403" i="78"/>
  <c r="AA93" i="31"/>
  <c r="B329" i="78"/>
  <c r="C321" i="78"/>
  <c r="D320" i="78"/>
  <c r="B51" i="78"/>
  <c r="B52" i="78" s="1"/>
  <c r="B53" i="78" s="1"/>
  <c r="B182" i="78"/>
  <c r="O36" i="6"/>
  <c r="Q36" i="6"/>
  <c r="U97" i="31" s="1"/>
  <c r="E407" i="78" l="1"/>
  <c r="B330" i="78"/>
  <c r="B331" i="78"/>
  <c r="B250" i="78"/>
  <c r="B251" i="78"/>
  <c r="B252" i="78"/>
  <c r="C323" i="78"/>
  <c r="D321" i="78"/>
  <c r="B184" i="78"/>
  <c r="B185" i="78" s="1"/>
  <c r="W20" i="1"/>
  <c r="AC85" i="31"/>
  <c r="J39" i="6"/>
  <c r="K38" i="6"/>
  <c r="L38" i="6" s="1"/>
  <c r="N38" i="6" s="1"/>
  <c r="B253" i="78"/>
  <c r="B405" i="78"/>
  <c r="O37" i="6"/>
  <c r="Q37" i="6"/>
  <c r="U99" i="31" s="1"/>
  <c r="Z99" i="31" s="1"/>
  <c r="AA99" i="31" s="1"/>
  <c r="E405" i="78"/>
  <c r="C408" i="78"/>
  <c r="C409" i="78" s="1"/>
  <c r="H13" i="32"/>
  <c r="AF165" i="58"/>
  <c r="D13" i="32" s="1"/>
  <c r="C251" i="78"/>
  <c r="D250" i="78"/>
  <c r="Z97" i="31"/>
  <c r="H14" i="32"/>
  <c r="AF171" i="58"/>
  <c r="D14" i="32" s="1"/>
  <c r="E34" i="1" s="1"/>
  <c r="AA22" i="4"/>
  <c r="U100" i="31" l="1"/>
  <c r="U23" i="4" s="1"/>
  <c r="AA23" i="4" s="1"/>
  <c r="B186" i="78"/>
  <c r="E409" i="78"/>
  <c r="N21" i="1"/>
  <c r="E33" i="1"/>
  <c r="E38" i="1" s="1"/>
  <c r="E39" i="1" s="1"/>
  <c r="D15" i="32"/>
  <c r="D19" i="32" s="1"/>
  <c r="B407" i="78"/>
  <c r="C324" i="78"/>
  <c r="D323" i="78"/>
  <c r="C411" i="78"/>
  <c r="E408" i="78"/>
  <c r="I34" i="4"/>
  <c r="H15" i="32"/>
  <c r="H19" i="32" s="1"/>
  <c r="I35" i="4"/>
  <c r="R35" i="4" s="1"/>
  <c r="H34" i="1" s="1"/>
  <c r="K34" i="1" s="1"/>
  <c r="Q34" i="1" s="1"/>
  <c r="W34" i="1" s="1"/>
  <c r="C410" i="78"/>
  <c r="O38" i="6"/>
  <c r="Q38" i="6"/>
  <c r="U104" i="31" s="1"/>
  <c r="B254" i="78"/>
  <c r="B332" i="78"/>
  <c r="Z100" i="31"/>
  <c r="AA97" i="31"/>
  <c r="AA100" i="31" s="1"/>
  <c r="C252" i="78"/>
  <c r="D251" i="78"/>
  <c r="J40" i="6"/>
  <c r="K39" i="6"/>
  <c r="L39" i="6" s="1"/>
  <c r="N39" i="6" s="1"/>
  <c r="E411" i="78" l="1"/>
  <c r="Q21" i="1"/>
  <c r="C253" i="78"/>
  <c r="D252" i="78"/>
  <c r="R34" i="4"/>
  <c r="H33" i="1" s="1"/>
  <c r="I39" i="4"/>
  <c r="U107" i="31"/>
  <c r="Z104" i="31"/>
  <c r="B408" i="78"/>
  <c r="B410" i="78" s="1"/>
  <c r="B409" i="78"/>
  <c r="B333" i="78"/>
  <c r="B335" i="78"/>
  <c r="E410" i="78"/>
  <c r="C413" i="78"/>
  <c r="C414" i="78" s="1"/>
  <c r="B188" i="78"/>
  <c r="N22" i="1"/>
  <c r="Q22" i="1" s="1"/>
  <c r="W22" i="1" s="1"/>
  <c r="O39" i="6"/>
  <c r="Q39" i="6"/>
  <c r="K40" i="6"/>
  <c r="L40" i="6" s="1"/>
  <c r="N40" i="6" s="1"/>
  <c r="J41" i="6"/>
  <c r="B256" i="78"/>
  <c r="D324" i="78"/>
  <c r="C325" i="78"/>
  <c r="AC22" i="4"/>
  <c r="AC100" i="31" l="1"/>
  <c r="AC23" i="4"/>
  <c r="E414" i="78"/>
  <c r="AC93" i="31"/>
  <c r="B189" i="78"/>
  <c r="B337" i="78"/>
  <c r="B411" i="78"/>
  <c r="B413" i="78" s="1"/>
  <c r="B257" i="78"/>
  <c r="B258" i="78"/>
  <c r="B259" i="78" s="1"/>
  <c r="B336" i="78"/>
  <c r="I41" i="4"/>
  <c r="R39" i="4"/>
  <c r="AC39" i="4" s="1"/>
  <c r="AC50" i="4" s="1"/>
  <c r="U24" i="4"/>
  <c r="AA24" i="4" s="1"/>
  <c r="D325" i="78"/>
  <c r="C326" i="78"/>
  <c r="H38" i="1"/>
  <c r="K33" i="1"/>
  <c r="J75" i="6"/>
  <c r="K41" i="6"/>
  <c r="O40" i="6"/>
  <c r="Q40" i="6"/>
  <c r="U111" i="31" s="1"/>
  <c r="Z111" i="31" s="1"/>
  <c r="AA111" i="31" s="1"/>
  <c r="E413" i="78"/>
  <c r="C415" i="78"/>
  <c r="AA104" i="31"/>
  <c r="AA107" i="31" s="1"/>
  <c r="Z107" i="31"/>
  <c r="C254" i="78"/>
  <c r="D253" i="78"/>
  <c r="I44" i="4" l="1"/>
  <c r="R44" i="4" s="1"/>
  <c r="I47" i="4"/>
  <c r="R41" i="4"/>
  <c r="R47" i="4" s="1"/>
  <c r="R50" i="4"/>
  <c r="B414" i="78"/>
  <c r="B415" i="78" s="1"/>
  <c r="K38" i="1"/>
  <c r="K39" i="1" s="1"/>
  <c r="Q33" i="1"/>
  <c r="J76" i="6"/>
  <c r="K75" i="6"/>
  <c r="C327" i="78"/>
  <c r="D326" i="78"/>
  <c r="B260" i="78"/>
  <c r="B262" i="78" s="1"/>
  <c r="B190" i="78"/>
  <c r="L41" i="6"/>
  <c r="K42" i="6"/>
  <c r="N23" i="1"/>
  <c r="AC24" i="4" s="1"/>
  <c r="C256" i="78"/>
  <c r="D254" i="78"/>
  <c r="E415" i="78"/>
  <c r="B338" i="78"/>
  <c r="B339" i="78" s="1"/>
  <c r="N41" i="6" l="1"/>
  <c r="L42" i="6"/>
  <c r="B263" i="78"/>
  <c r="C329" i="78"/>
  <c r="D327" i="78"/>
  <c r="Q38" i="1"/>
  <c r="D7" i="26" s="1"/>
  <c r="D10" i="26" s="1"/>
  <c r="W33" i="1"/>
  <c r="W38" i="1" s="1"/>
  <c r="B16" i="24" s="1"/>
  <c r="D16" i="24" s="1"/>
  <c r="F16" i="24" s="1"/>
  <c r="H16" i="24" s="1"/>
  <c r="T143" i="31" s="1"/>
  <c r="B264" i="78"/>
  <c r="C257" i="78"/>
  <c r="D256" i="78"/>
  <c r="L75" i="6"/>
  <c r="B191" i="78"/>
  <c r="B192" i="78" s="1"/>
  <c r="K76" i="6"/>
  <c r="L76" i="6" s="1"/>
  <c r="J77" i="6"/>
  <c r="Q23" i="1"/>
  <c r="B341" i="78"/>
  <c r="B342" i="78" s="1"/>
  <c r="J78" i="6" l="1"/>
  <c r="K77" i="6"/>
  <c r="L77" i="6" s="1"/>
  <c r="O41" i="6"/>
  <c r="O42" i="6" s="1"/>
  <c r="Q41" i="6"/>
  <c r="N42" i="6"/>
  <c r="T29" i="4"/>
  <c r="T149" i="31"/>
  <c r="T150" i="31" s="1"/>
  <c r="T151" i="31" s="1"/>
  <c r="N75" i="6"/>
  <c r="O75" i="6" s="1"/>
  <c r="D257" i="78"/>
  <c r="C258" i="78"/>
  <c r="C330" i="78"/>
  <c r="D329" i="78"/>
  <c r="B343" i="78"/>
  <c r="N76" i="6"/>
  <c r="Q76" i="6" s="1"/>
  <c r="B194" i="78"/>
  <c r="W23" i="1"/>
  <c r="AC107" i="31"/>
  <c r="B344" i="78"/>
  <c r="B345" i="78" s="1"/>
  <c r="B265" i="78"/>
  <c r="O76" i="6" l="1"/>
  <c r="U115" i="31"/>
  <c r="Z115" i="31" s="1"/>
  <c r="AA115" i="31" s="1"/>
  <c r="Q42" i="6"/>
  <c r="Q75" i="6"/>
  <c r="T30" i="4"/>
  <c r="D258" i="78"/>
  <c r="C259" i="78"/>
  <c r="N77" i="6"/>
  <c r="Q77" i="6" s="1"/>
  <c r="C331" i="78"/>
  <c r="D330" i="78"/>
  <c r="J79" i="6"/>
  <c r="K78" i="6"/>
  <c r="B195" i="78"/>
  <c r="B266" i="78"/>
  <c r="O77" i="6" l="1"/>
  <c r="T31" i="4"/>
  <c r="K79" i="6"/>
  <c r="L79" i="6" s="1"/>
  <c r="J80" i="6"/>
  <c r="C332" i="78"/>
  <c r="D331" i="78"/>
  <c r="B268" i="78"/>
  <c r="B269" i="78" s="1"/>
  <c r="B196" i="78"/>
  <c r="B197" i="78" s="1"/>
  <c r="L78" i="6"/>
  <c r="C260" i="78"/>
  <c r="D259" i="78"/>
  <c r="C262" i="78" l="1"/>
  <c r="D260" i="78"/>
  <c r="J81" i="6"/>
  <c r="K80" i="6"/>
  <c r="L80" i="6" s="1"/>
  <c r="N79" i="6"/>
  <c r="Q79" i="6" s="1"/>
  <c r="T41" i="4"/>
  <c r="T161" i="31"/>
  <c r="C333" i="78"/>
  <c r="D332" i="78"/>
  <c r="N78" i="6"/>
  <c r="B270" i="78"/>
  <c r="B271" i="78" s="1"/>
  <c r="B272" i="78" s="1"/>
  <c r="B273" i="78" s="1"/>
  <c r="B198" i="78"/>
  <c r="B199" i="78" s="1"/>
  <c r="T44" i="4" l="1"/>
  <c r="T47" i="4"/>
  <c r="AA47" i="4" s="1"/>
  <c r="J82" i="6"/>
  <c r="K81" i="6"/>
  <c r="L81" i="6" s="1"/>
  <c r="N80" i="6"/>
  <c r="Q80" i="6" s="1"/>
  <c r="O80" i="6"/>
  <c r="Q78" i="6"/>
  <c r="C335" i="78"/>
  <c r="D333" i="78"/>
  <c r="O78" i="6"/>
  <c r="O79" i="6"/>
  <c r="C263" i="78"/>
  <c r="D262" i="78"/>
  <c r="D263" i="78" l="1"/>
  <c r="C264" i="78"/>
  <c r="N81" i="6"/>
  <c r="O81" i="6" s="1"/>
  <c r="D335" i="78"/>
  <c r="C336" i="78"/>
  <c r="J83" i="6"/>
  <c r="K82" i="6"/>
  <c r="L82" i="6" s="1"/>
  <c r="Q81" i="6" l="1"/>
  <c r="N82" i="6"/>
  <c r="Q82" i="6" s="1"/>
  <c r="K83" i="6"/>
  <c r="L83" i="6" s="1"/>
  <c r="J84" i="6"/>
  <c r="C265" i="78"/>
  <c r="D264" i="78"/>
  <c r="D336" i="78"/>
  <c r="C337" i="78"/>
  <c r="D265" i="78" l="1"/>
  <c r="C266" i="78"/>
  <c r="N83" i="6"/>
  <c r="Q83" i="6" s="1"/>
  <c r="O82" i="6"/>
  <c r="J85" i="6"/>
  <c r="K84" i="6"/>
  <c r="L84" i="6" s="1"/>
  <c r="D337" i="78"/>
  <c r="C338" i="78"/>
  <c r="N84" i="6" l="1"/>
  <c r="O84" i="6"/>
  <c r="J86" i="6"/>
  <c r="K85" i="6"/>
  <c r="L85" i="6" s="1"/>
  <c r="D266" i="78"/>
  <c r="C268" i="78"/>
  <c r="D338" i="78"/>
  <c r="C339" i="78"/>
  <c r="O83" i="6"/>
  <c r="D268" i="78" l="1"/>
  <c r="C269" i="78"/>
  <c r="N85" i="6"/>
  <c r="Q85" i="6" s="1"/>
  <c r="J87" i="6"/>
  <c r="K86" i="6"/>
  <c r="L86" i="6" s="1"/>
  <c r="C341" i="78"/>
  <c r="D339" i="78"/>
  <c r="Q84" i="6"/>
  <c r="O85" i="6" l="1"/>
  <c r="C342" i="78"/>
  <c r="D341" i="78"/>
  <c r="N86" i="6"/>
  <c r="Q86" i="6" s="1"/>
  <c r="C270" i="78"/>
  <c r="D269" i="78"/>
  <c r="J88" i="6"/>
  <c r="K87" i="6"/>
  <c r="L87" i="6" s="1"/>
  <c r="O86" i="6" l="1"/>
  <c r="C271" i="78"/>
  <c r="D270" i="78"/>
  <c r="N87" i="6"/>
  <c r="Q87" i="6" s="1"/>
  <c r="K88" i="6"/>
  <c r="L88" i="6" s="1"/>
  <c r="J89" i="6"/>
  <c r="C343" i="78"/>
  <c r="D342" i="78"/>
  <c r="O87" i="6" l="1"/>
  <c r="N88" i="6"/>
  <c r="Q88" i="6" s="1"/>
  <c r="J90" i="6"/>
  <c r="K89" i="6"/>
  <c r="L89" i="6" s="1"/>
  <c r="C344" i="78"/>
  <c r="D343" i="78"/>
  <c r="D271" i="78"/>
  <c r="C272" i="78"/>
  <c r="C345" i="78" l="1"/>
  <c r="D344" i="78"/>
  <c r="D272" i="78"/>
  <c r="C273" i="78"/>
  <c r="N89" i="6"/>
  <c r="Q89" i="6" s="1"/>
  <c r="J91" i="6"/>
  <c r="K90" i="6"/>
  <c r="L90" i="6" s="1"/>
  <c r="O88" i="6"/>
  <c r="O89" i="6" l="1"/>
  <c r="D273" i="78"/>
  <c r="N90" i="6"/>
  <c r="Q90" i="6" s="1"/>
  <c r="O90" i="6"/>
  <c r="J92" i="6"/>
  <c r="K91" i="6"/>
  <c r="L91" i="6" s="1"/>
  <c r="D345" i="78"/>
  <c r="C346" i="78"/>
  <c r="K92" i="6" l="1"/>
  <c r="L92" i="6" s="1"/>
  <c r="J93" i="6"/>
  <c r="D346" i="78"/>
  <c r="N91" i="6"/>
  <c r="Q91" i="6" s="1"/>
  <c r="O91" i="6"/>
  <c r="J94" i="6" l="1"/>
  <c r="K93" i="6"/>
  <c r="L93" i="6" s="1"/>
  <c r="N92" i="6"/>
  <c r="Q92" i="6" s="1"/>
  <c r="O92" i="6" l="1"/>
  <c r="N93" i="6"/>
  <c r="Q93" i="6" s="1"/>
  <c r="O93" i="6"/>
  <c r="J95" i="6"/>
  <c r="K94" i="6"/>
  <c r="L94" i="6" s="1"/>
  <c r="N94" i="6" l="1"/>
  <c r="Q94" i="6" s="1"/>
  <c r="K95" i="6"/>
  <c r="L95" i="6" s="1"/>
  <c r="J96" i="6"/>
  <c r="K96" i="6" l="1"/>
  <c r="L96" i="6" s="1"/>
  <c r="J97" i="6"/>
  <c r="N95" i="6"/>
  <c r="Q95" i="6" s="1"/>
  <c r="O95" i="6"/>
  <c r="O94" i="6"/>
  <c r="J98" i="6" l="1"/>
  <c r="K97" i="6"/>
  <c r="L97" i="6" s="1"/>
  <c r="N96" i="6"/>
  <c r="Q96" i="6" s="1"/>
  <c r="O96" i="6" l="1"/>
  <c r="N97" i="6"/>
  <c r="Q97" i="6" s="1"/>
  <c r="O97" i="6"/>
  <c r="J99" i="6"/>
  <c r="K98" i="6"/>
  <c r="L98" i="6" s="1"/>
  <c r="K99" i="6" l="1"/>
  <c r="L99" i="6" s="1"/>
  <c r="J100" i="6"/>
  <c r="N98" i="6"/>
  <c r="Q98" i="6" s="1"/>
  <c r="O98" i="6" l="1"/>
  <c r="K100" i="6"/>
  <c r="L100" i="6" s="1"/>
  <c r="J101" i="6"/>
  <c r="N99" i="6"/>
  <c r="Q99" i="6" s="1"/>
  <c r="O99" i="6" l="1"/>
  <c r="J102" i="6"/>
  <c r="K101" i="6"/>
  <c r="L101" i="6" s="1"/>
  <c r="N100" i="6"/>
  <c r="Q100" i="6" s="1"/>
  <c r="N101" i="6" l="1"/>
  <c r="Q101" i="6" s="1"/>
  <c r="O101" i="6"/>
  <c r="O100" i="6"/>
  <c r="J103" i="6"/>
  <c r="K102" i="6"/>
  <c r="L102" i="6" s="1"/>
  <c r="N102" i="6" l="1"/>
  <c r="Q102" i="6" s="1"/>
  <c r="K103" i="6"/>
  <c r="L103" i="6" s="1"/>
  <c r="J104" i="6"/>
  <c r="N103" i="6" l="1"/>
  <c r="Q103" i="6" s="1"/>
  <c r="O103" i="6"/>
  <c r="K104" i="6"/>
  <c r="L104" i="6" s="1"/>
  <c r="J105" i="6"/>
  <c r="O102" i="6"/>
  <c r="J106" i="6" l="1"/>
  <c r="K105" i="6"/>
  <c r="L105" i="6" s="1"/>
  <c r="N104" i="6"/>
  <c r="Q104" i="6" s="1"/>
  <c r="O104" i="6" l="1"/>
  <c r="N105" i="6"/>
  <c r="Q105" i="6" s="1"/>
  <c r="J107" i="6"/>
  <c r="K106" i="6"/>
  <c r="L106" i="6" s="1"/>
  <c r="O105" i="6" l="1"/>
  <c r="N106" i="6"/>
  <c r="Q106" i="6" s="1"/>
  <c r="K107" i="6"/>
  <c r="L107" i="6" s="1"/>
  <c r="J108" i="6"/>
  <c r="N107" i="6" l="1"/>
  <c r="Q107" i="6" s="1"/>
  <c r="O107" i="6"/>
  <c r="K108" i="6"/>
  <c r="L108" i="6" s="1"/>
  <c r="J109" i="6"/>
  <c r="O106" i="6"/>
  <c r="J110" i="6" l="1"/>
  <c r="K110" i="6" s="1"/>
  <c r="K109" i="6"/>
  <c r="L109" i="6" s="1"/>
  <c r="N108" i="6"/>
  <c r="Q108" i="6" s="1"/>
  <c r="O108" i="6" l="1"/>
  <c r="N109" i="6"/>
  <c r="Q109" i="6" s="1"/>
  <c r="O109" i="6"/>
  <c r="L110" i="6"/>
  <c r="K111" i="6"/>
  <c r="O3" i="6" s="1"/>
  <c r="O4" i="6" s="1"/>
  <c r="N110" i="6" l="1"/>
  <c r="O110" i="6"/>
  <c r="O111" i="6" s="1"/>
  <c r="L111" i="6"/>
  <c r="Q110" i="6" l="1"/>
  <c r="Q111" i="6" s="1"/>
  <c r="U110" i="31" s="1"/>
  <c r="N111" i="6"/>
  <c r="U121" i="31" l="1"/>
  <c r="U123" i="31" s="1"/>
  <c r="Z110" i="31"/>
  <c r="Z121" i="31" l="1"/>
  <c r="Z123" i="31" s="1"/>
  <c r="AA110" i="31"/>
  <c r="AA121" i="31" s="1"/>
  <c r="AA123" i="31" s="1"/>
  <c r="U25" i="4"/>
  <c r="AA25" i="4" s="1"/>
  <c r="U125" i="31"/>
  <c r="U143" i="31" s="1"/>
  <c r="AA125" i="31" l="1"/>
  <c r="U149" i="31"/>
  <c r="U150" i="31" s="1"/>
  <c r="U151" i="31" s="1"/>
  <c r="U29" i="4"/>
  <c r="Z143" i="31"/>
  <c r="N24" i="1"/>
  <c r="Q24" i="1" s="1"/>
  <c r="W24" i="1" s="1"/>
  <c r="Z125" i="31"/>
  <c r="AC25" i="4" l="1"/>
  <c r="AC123" i="31"/>
  <c r="Z149" i="31"/>
  <c r="Z150" i="31" s="1"/>
  <c r="AA143" i="31"/>
  <c r="AA149" i="31" s="1"/>
  <c r="U30" i="4"/>
  <c r="AA29" i="4"/>
  <c r="AA150" i="31" l="1"/>
  <c r="N28" i="1"/>
  <c r="AC29" i="4" s="1"/>
  <c r="U31" i="4"/>
  <c r="AA30" i="4"/>
  <c r="Z151" i="31"/>
  <c r="U41" i="4" l="1"/>
  <c r="AA31" i="4"/>
  <c r="U161" i="31"/>
  <c r="Q28" i="1"/>
  <c r="N29" i="1"/>
  <c r="AA151" i="31"/>
  <c r="U44" i="4" l="1"/>
  <c r="U47" i="4"/>
  <c r="AA41" i="4"/>
  <c r="Q29" i="1"/>
  <c r="AC149" i="31"/>
  <c r="Z161" i="31"/>
  <c r="N30" i="1"/>
  <c r="AC151" i="31" s="1"/>
  <c r="AC150" i="31"/>
  <c r="AA44" i="4"/>
  <c r="AC30" i="4"/>
  <c r="AC31" i="4" l="1"/>
  <c r="Q30" i="1"/>
  <c r="D11" i="26" s="1"/>
  <c r="AD150" i="31"/>
  <c r="D13" i="26" l="1"/>
  <c r="D17" i="26" s="1"/>
  <c r="Q39" i="1"/>
  <c r="AD151" i="31"/>
  <c r="T11" i="1" l="1"/>
  <c r="D21" i="26"/>
  <c r="T14" i="1" l="1"/>
  <c r="W11" i="1"/>
  <c r="W14" i="1" l="1"/>
  <c r="T21" i="1"/>
  <c r="W21" i="1" s="1"/>
  <c r="T18" i="1"/>
  <c r="W18" i="1" l="1"/>
  <c r="L43" i="97"/>
  <c r="K31" i="97"/>
  <c r="L31" i="97" s="1"/>
  <c r="K27" i="97"/>
  <c r="L27" i="97" s="1"/>
  <c r="K28" i="97"/>
  <c r="L28" i="97" s="1"/>
  <c r="F27" i="97" s="1"/>
  <c r="N27" i="97" s="1"/>
  <c r="O27" i="97" s="1"/>
  <c r="K38" i="97"/>
  <c r="L38" i="97" s="1"/>
  <c r="F37" i="97" s="1"/>
  <c r="N37" i="97" s="1"/>
  <c r="O37" i="97" s="1"/>
  <c r="K21" i="97"/>
  <c r="L21" i="97" s="1"/>
  <c r="K22" i="97"/>
  <c r="L22" i="97" s="1"/>
  <c r="F21" i="97" s="1"/>
  <c r="N21" i="97" s="1"/>
  <c r="O21" i="97" s="1"/>
  <c r="K34" i="97"/>
  <c r="L34" i="97" s="1"/>
  <c r="K37" i="97"/>
  <c r="L37" i="97" s="1"/>
  <c r="F36" i="97" s="1"/>
  <c r="N36" i="97" s="1"/>
  <c r="O36" i="97" s="1"/>
  <c r="K23" i="97"/>
  <c r="L23" i="97" s="1"/>
  <c r="F22" i="97" s="1"/>
  <c r="N22" i="97" s="1"/>
  <c r="O22" i="97" s="1"/>
  <c r="K17" i="97"/>
  <c r="L17" i="97" s="1"/>
  <c r="F16" i="97" s="1"/>
  <c r="N16" i="97" s="1"/>
  <c r="O16" i="97" s="1"/>
  <c r="K35" i="97"/>
  <c r="L35" i="97" s="1"/>
  <c r="F34" i="97" s="1"/>
  <c r="N34" i="97" s="1"/>
  <c r="O34" i="97" s="1"/>
  <c r="K41" i="97"/>
  <c r="L41" i="97" s="1"/>
  <c r="K29" i="97"/>
  <c r="L29" i="97" s="1"/>
  <c r="F28" i="97" s="1"/>
  <c r="N28" i="97" s="1"/>
  <c r="O28" i="97" s="1"/>
  <c r="K8" i="97"/>
  <c r="L8" i="97" s="1"/>
  <c r="F7" i="97" s="1"/>
  <c r="N7" i="97" s="1"/>
  <c r="O7" i="97" s="1"/>
  <c r="K36" i="97"/>
  <c r="L36" i="97" s="1"/>
  <c r="F35" i="97" s="1"/>
  <c r="N35" i="97" s="1"/>
  <c r="O35" i="97" s="1"/>
  <c r="K18" i="97"/>
  <c r="L18" i="97" s="1"/>
  <c r="F17" i="97" s="1"/>
  <c r="N17" i="97" s="1"/>
  <c r="O17" i="97" s="1"/>
  <c r="K15" i="97"/>
  <c r="L15" i="97" s="1"/>
  <c r="K24" i="97"/>
  <c r="L24" i="97" s="1"/>
  <c r="F23" i="97" s="1"/>
  <c r="N23" i="97" s="1"/>
  <c r="O23" i="97" s="1"/>
  <c r="K16" i="97"/>
  <c r="L16" i="97" s="1"/>
  <c r="F15" i="97" s="1"/>
  <c r="N15" i="97" s="1"/>
  <c r="O15" i="97" s="1"/>
  <c r="K12" i="97"/>
  <c r="L12" i="97" s="1"/>
  <c r="F11" i="97" s="1"/>
  <c r="N11" i="97" s="1"/>
  <c r="O11" i="97" s="1"/>
  <c r="T28" i="1"/>
  <c r="W28" i="1" s="1"/>
  <c r="H22" i="76" l="1"/>
  <c r="I15" i="97"/>
  <c r="H32" i="76"/>
  <c r="I23" i="97"/>
  <c r="H31" i="76"/>
  <c r="I22" i="97"/>
  <c r="H50" i="76"/>
  <c r="I27" i="97"/>
  <c r="H24" i="76"/>
  <c r="I17" i="97"/>
  <c r="H42" i="76"/>
  <c r="I36" i="97"/>
  <c r="H16" i="76"/>
  <c r="I11" i="97"/>
  <c r="I12" i="97" s="1"/>
  <c r="H40" i="76"/>
  <c r="I34" i="97"/>
  <c r="H23" i="76"/>
  <c r="I16" i="97"/>
  <c r="H41" i="76"/>
  <c r="I35" i="97"/>
  <c r="W29" i="1"/>
  <c r="W30" i="1" s="1"/>
  <c r="W39" i="1" s="1"/>
  <c r="H51" i="76"/>
  <c r="I28" i="97"/>
  <c r="H43" i="76"/>
  <c r="I37" i="97"/>
  <c r="H10" i="76"/>
  <c r="I7" i="97"/>
  <c r="I8" i="97" s="1"/>
  <c r="H30" i="76"/>
  <c r="I21" i="97"/>
  <c r="T29" i="1"/>
  <c r="T30" i="1" s="1"/>
  <c r="I24" i="97" l="1"/>
  <c r="I29" i="97"/>
  <c r="AI318" i="93"/>
  <c r="AJ318" i="93" s="1"/>
  <c r="AK318" i="93" s="1"/>
  <c r="E362" i="78"/>
  <c r="I41" i="76"/>
  <c r="J41" i="76" s="1"/>
  <c r="K41" i="76" s="1"/>
  <c r="AI116" i="93"/>
  <c r="AJ116" i="93" s="1"/>
  <c r="I30" i="76"/>
  <c r="E363" i="78"/>
  <c r="AI319" i="93"/>
  <c r="AJ319" i="93" s="1"/>
  <c r="AK319" i="93" s="1"/>
  <c r="I42" i="76"/>
  <c r="J42" i="76" s="1"/>
  <c r="K42" i="76" s="1"/>
  <c r="AI118" i="93"/>
  <c r="AJ118" i="93" s="1"/>
  <c r="AK118" i="93" s="1"/>
  <c r="I32" i="76"/>
  <c r="J32" i="76" s="1"/>
  <c r="K32" i="76" s="1"/>
  <c r="E71" i="78"/>
  <c r="AI49" i="93"/>
  <c r="AJ49" i="93" s="1"/>
  <c r="I16" i="76"/>
  <c r="AI117" i="93"/>
  <c r="AJ117" i="93" s="1"/>
  <c r="AK117" i="93" s="1"/>
  <c r="I31" i="76"/>
  <c r="J31" i="76" s="1"/>
  <c r="K31" i="76" s="1"/>
  <c r="E215" i="78"/>
  <c r="E141" i="78"/>
  <c r="AI82" i="93"/>
  <c r="AJ82" i="93" s="1"/>
  <c r="AK82" i="93" s="1"/>
  <c r="I23" i="76"/>
  <c r="J23" i="76" s="1"/>
  <c r="K23" i="76" s="1"/>
  <c r="E365" i="78"/>
  <c r="AI320" i="93"/>
  <c r="AJ320" i="93" s="1"/>
  <c r="AK320" i="93" s="1"/>
  <c r="I43" i="76"/>
  <c r="J43" i="76" s="1"/>
  <c r="K43" i="76" s="1"/>
  <c r="I18" i="97"/>
  <c r="E289" i="78"/>
  <c r="AI284" i="93"/>
  <c r="AJ284" i="93" s="1"/>
  <c r="AK284" i="93" s="1"/>
  <c r="I51" i="76"/>
  <c r="J51" i="76" s="1"/>
  <c r="K51" i="76" s="1"/>
  <c r="E13" i="78"/>
  <c r="E14" i="77"/>
  <c r="AI13" i="93"/>
  <c r="AJ13" i="93" s="1"/>
  <c r="I10" i="76"/>
  <c r="E142" i="78"/>
  <c r="E216" i="78"/>
  <c r="AI83" i="93"/>
  <c r="AJ83" i="93" s="1"/>
  <c r="AK83" i="93" s="1"/>
  <c r="I24" i="76"/>
  <c r="J24" i="76" s="1"/>
  <c r="K24" i="76" s="1"/>
  <c r="I38" i="97"/>
  <c r="I41" i="97" s="1"/>
  <c r="AI317" i="93"/>
  <c r="AJ317" i="93" s="1"/>
  <c r="E361" i="78"/>
  <c r="I40" i="76"/>
  <c r="E288" i="78"/>
  <c r="AI283" i="93"/>
  <c r="AJ283" i="93" s="1"/>
  <c r="I50" i="76"/>
  <c r="E140" i="78"/>
  <c r="AI81" i="93"/>
  <c r="AJ81" i="93" s="1"/>
  <c r="E214" i="78"/>
  <c r="I22" i="76"/>
  <c r="I31" i="97" l="1"/>
  <c r="I43" i="97" s="1"/>
  <c r="D21" i="75"/>
  <c r="J22" i="76"/>
  <c r="I25" i="76"/>
  <c r="E33" i="77"/>
  <c r="F33" i="77" s="1"/>
  <c r="G33" i="77" s="1"/>
  <c r="E34" i="77"/>
  <c r="F34" i="77" s="1"/>
  <c r="G34" i="77" s="1"/>
  <c r="E32" i="77"/>
  <c r="F32" i="77" s="1"/>
  <c r="G32" i="77" s="1"/>
  <c r="E23" i="77"/>
  <c r="E25" i="77"/>
  <c r="F25" i="77" s="1"/>
  <c r="G25" i="77" s="1"/>
  <c r="E30" i="77"/>
  <c r="F30" i="77" s="1"/>
  <c r="G30" i="77" s="1"/>
  <c r="E24" i="77"/>
  <c r="F24" i="77" s="1"/>
  <c r="G24" i="77" s="1"/>
  <c r="E28" i="77"/>
  <c r="F28" i="77" s="1"/>
  <c r="G28" i="77" s="1"/>
  <c r="E27" i="77"/>
  <c r="F27" i="77" s="1"/>
  <c r="G27" i="77" s="1"/>
  <c r="E26" i="77"/>
  <c r="F26" i="77" s="1"/>
  <c r="G26" i="77" s="1"/>
  <c r="E29" i="77"/>
  <c r="F29" i="77" s="1"/>
  <c r="G29" i="77" s="1"/>
  <c r="E31" i="77"/>
  <c r="F31" i="77" s="1"/>
  <c r="G31" i="77" s="1"/>
  <c r="D16" i="75"/>
  <c r="J16" i="76"/>
  <c r="I17" i="76"/>
  <c r="D26" i="75"/>
  <c r="J30" i="76"/>
  <c r="I33" i="76"/>
  <c r="D8" i="99"/>
  <c r="H8" i="99" s="1"/>
  <c r="AK13" i="93"/>
  <c r="AK14" i="93" s="1"/>
  <c r="AJ14" i="93"/>
  <c r="E35" i="78"/>
  <c r="F35" i="78" s="1"/>
  <c r="G35" i="78" s="1"/>
  <c r="E53" i="78"/>
  <c r="F53" i="78" s="1"/>
  <c r="G53" i="78" s="1"/>
  <c r="E38" i="78"/>
  <c r="F38" i="78" s="1"/>
  <c r="G38" i="78" s="1"/>
  <c r="E26" i="78"/>
  <c r="F26" i="78" s="1"/>
  <c r="G26" i="78" s="1"/>
  <c r="E45" i="78"/>
  <c r="F45" i="78" s="1"/>
  <c r="G45" i="78" s="1"/>
  <c r="E46" i="78"/>
  <c r="F46" i="78" s="1"/>
  <c r="G46" i="78" s="1"/>
  <c r="E40" i="78"/>
  <c r="F40" i="78" s="1"/>
  <c r="G40" i="78" s="1"/>
  <c r="E29" i="78"/>
  <c r="F29" i="78" s="1"/>
  <c r="G29" i="78" s="1"/>
  <c r="E49" i="78"/>
  <c r="F49" i="78" s="1"/>
  <c r="G49" i="78" s="1"/>
  <c r="E33" i="78"/>
  <c r="F33" i="78" s="1"/>
  <c r="G33" i="78" s="1"/>
  <c r="E52" i="78"/>
  <c r="F52" i="78" s="1"/>
  <c r="G52" i="78" s="1"/>
  <c r="E41" i="78"/>
  <c r="F41" i="78" s="1"/>
  <c r="G41" i="78" s="1"/>
  <c r="E43" i="78"/>
  <c r="F43" i="78" s="1"/>
  <c r="G43" i="78" s="1"/>
  <c r="E21" i="78"/>
  <c r="F21" i="78" s="1"/>
  <c r="G21" i="78" s="1"/>
  <c r="E32" i="78"/>
  <c r="F32" i="78" s="1"/>
  <c r="G32" i="78" s="1"/>
  <c r="E27" i="78"/>
  <c r="F27" i="78" s="1"/>
  <c r="G27" i="78" s="1"/>
  <c r="E28" i="78"/>
  <c r="F28" i="78" s="1"/>
  <c r="G28" i="78" s="1"/>
  <c r="E47" i="78"/>
  <c r="F47" i="78" s="1"/>
  <c r="G47" i="78" s="1"/>
  <c r="E50" i="78"/>
  <c r="F50" i="78" s="1"/>
  <c r="G50" i="78" s="1"/>
  <c r="E44" i="78"/>
  <c r="F44" i="78" s="1"/>
  <c r="G44" i="78" s="1"/>
  <c r="E37" i="78"/>
  <c r="F37" i="78" s="1"/>
  <c r="G37" i="78" s="1"/>
  <c r="E31" i="78"/>
  <c r="F31" i="78" s="1"/>
  <c r="G31" i="78" s="1"/>
  <c r="E51" i="78"/>
  <c r="F51" i="78" s="1"/>
  <c r="G51" i="78" s="1"/>
  <c r="E34" i="78"/>
  <c r="F34" i="78" s="1"/>
  <c r="G34" i="78" s="1"/>
  <c r="E39" i="78"/>
  <c r="F39" i="78" s="1"/>
  <c r="G39" i="78" s="1"/>
  <c r="E23" i="78"/>
  <c r="F23" i="78" s="1"/>
  <c r="G23" i="78" s="1"/>
  <c r="E25" i="78"/>
  <c r="F25" i="78" s="1"/>
  <c r="G25" i="78" s="1"/>
  <c r="F414" i="78"/>
  <c r="G414" i="78" s="1"/>
  <c r="H414" i="78" s="1"/>
  <c r="F413" i="78"/>
  <c r="G413" i="78" s="1"/>
  <c r="H413" i="78" s="1"/>
  <c r="F415" i="78"/>
  <c r="G415" i="78" s="1"/>
  <c r="H415" i="78" s="1"/>
  <c r="AJ50" i="93"/>
  <c r="D10" i="99"/>
  <c r="H10" i="99" s="1"/>
  <c r="AK49" i="93"/>
  <c r="AK50" i="93" s="1"/>
  <c r="AJ119" i="93"/>
  <c r="AK116" i="93"/>
  <c r="AK119" i="93" s="1"/>
  <c r="D14" i="99"/>
  <c r="H14" i="99" s="1"/>
  <c r="AJ84" i="93"/>
  <c r="D12" i="99"/>
  <c r="H12" i="99" s="1"/>
  <c r="AK81" i="93"/>
  <c r="AK84" i="93" s="1"/>
  <c r="E155" i="78"/>
  <c r="F155" i="78" s="1"/>
  <c r="G155" i="78" s="1"/>
  <c r="E150" i="78"/>
  <c r="F150" i="78" s="1"/>
  <c r="G150" i="78" s="1"/>
  <c r="E156" i="78"/>
  <c r="F156" i="78" s="1"/>
  <c r="G156" i="78" s="1"/>
  <c r="E153" i="78"/>
  <c r="F153" i="78" s="1"/>
  <c r="G153" i="78" s="1"/>
  <c r="E154" i="78"/>
  <c r="F154" i="78" s="1"/>
  <c r="G154" i="78" s="1"/>
  <c r="E152" i="78"/>
  <c r="F152" i="78" s="1"/>
  <c r="G152" i="78" s="1"/>
  <c r="E96" i="78"/>
  <c r="F96" i="78" s="1"/>
  <c r="G96" i="78" s="1"/>
  <c r="E99" i="78"/>
  <c r="F99" i="78" s="1"/>
  <c r="G99" i="78" s="1"/>
  <c r="E114" i="78"/>
  <c r="F114" i="78" s="1"/>
  <c r="G114" i="78" s="1"/>
  <c r="E101" i="78"/>
  <c r="F101" i="78" s="1"/>
  <c r="G101" i="78" s="1"/>
  <c r="E90" i="78"/>
  <c r="F90" i="78" s="1"/>
  <c r="G90" i="78" s="1"/>
  <c r="E121" i="78"/>
  <c r="F121" i="78" s="1"/>
  <c r="G121" i="78" s="1"/>
  <c r="E95" i="78"/>
  <c r="F95" i="78" s="1"/>
  <c r="G95" i="78" s="1"/>
  <c r="E116" i="78"/>
  <c r="F116" i="78" s="1"/>
  <c r="G116" i="78" s="1"/>
  <c r="E91" i="78"/>
  <c r="F91" i="78" s="1"/>
  <c r="G91" i="78" s="1"/>
  <c r="E79" i="78"/>
  <c r="F79" i="78" s="1"/>
  <c r="G79" i="78" s="1"/>
  <c r="E118" i="78"/>
  <c r="F118" i="78" s="1"/>
  <c r="G118" i="78" s="1"/>
  <c r="E84" i="78"/>
  <c r="F84" i="78" s="1"/>
  <c r="G84" i="78" s="1"/>
  <c r="E115" i="78"/>
  <c r="F115" i="78" s="1"/>
  <c r="G115" i="78" s="1"/>
  <c r="E108" i="78"/>
  <c r="F108" i="78" s="1"/>
  <c r="G108" i="78" s="1"/>
  <c r="E97" i="78"/>
  <c r="F97" i="78" s="1"/>
  <c r="G97" i="78" s="1"/>
  <c r="E86" i="78"/>
  <c r="F86" i="78" s="1"/>
  <c r="G86" i="78" s="1"/>
  <c r="E105" i="78"/>
  <c r="F105" i="78" s="1"/>
  <c r="G105" i="78" s="1"/>
  <c r="E98" i="78"/>
  <c r="F98" i="78" s="1"/>
  <c r="G98" i="78" s="1"/>
  <c r="E87" i="78"/>
  <c r="F87" i="78" s="1"/>
  <c r="G87" i="78" s="1"/>
  <c r="E109" i="78"/>
  <c r="F109" i="78" s="1"/>
  <c r="G109" i="78" s="1"/>
  <c r="E104" i="78"/>
  <c r="F104" i="78" s="1"/>
  <c r="G104" i="78" s="1"/>
  <c r="E89" i="78"/>
  <c r="F89" i="78" s="1"/>
  <c r="G89" i="78" s="1"/>
  <c r="E113" i="78"/>
  <c r="F113" i="78" s="1"/>
  <c r="G113" i="78" s="1"/>
  <c r="E111" i="78"/>
  <c r="F111" i="78" s="1"/>
  <c r="G111" i="78" s="1"/>
  <c r="E83" i="78"/>
  <c r="F83" i="78" s="1"/>
  <c r="G83" i="78" s="1"/>
  <c r="E81" i="78"/>
  <c r="F81" i="78" s="1"/>
  <c r="G81" i="78" s="1"/>
  <c r="E103" i="78"/>
  <c r="F103" i="78" s="1"/>
  <c r="G103" i="78" s="1"/>
  <c r="E102" i="78"/>
  <c r="F102" i="78" s="1"/>
  <c r="G102" i="78" s="1"/>
  <c r="E85" i="78"/>
  <c r="F85" i="78" s="1"/>
  <c r="G85" i="78" s="1"/>
  <c r="E110" i="78"/>
  <c r="F110" i="78" s="1"/>
  <c r="G110" i="78" s="1"/>
  <c r="E119" i="78"/>
  <c r="F119" i="78" s="1"/>
  <c r="G119" i="78" s="1"/>
  <c r="E93" i="78"/>
  <c r="F93" i="78" s="1"/>
  <c r="G93" i="78" s="1"/>
  <c r="E92" i="78"/>
  <c r="F92" i="78" s="1"/>
  <c r="G92" i="78" s="1"/>
  <c r="E120" i="78"/>
  <c r="F120" i="78" s="1"/>
  <c r="G120" i="78" s="1"/>
  <c r="E107" i="78"/>
  <c r="F107" i="78" s="1"/>
  <c r="G107" i="78" s="1"/>
  <c r="AK317" i="93"/>
  <c r="AK321" i="93" s="1"/>
  <c r="AJ321" i="93"/>
  <c r="E164" i="78"/>
  <c r="F164" i="78" s="1"/>
  <c r="G164" i="78" s="1"/>
  <c r="E168" i="78"/>
  <c r="F168" i="78" s="1"/>
  <c r="G168" i="78" s="1"/>
  <c r="E160" i="78"/>
  <c r="F160" i="78" s="1"/>
  <c r="G160" i="78" s="1"/>
  <c r="E170" i="78"/>
  <c r="F170" i="78" s="1"/>
  <c r="G170" i="78" s="1"/>
  <c r="E167" i="78"/>
  <c r="F167" i="78" s="1"/>
  <c r="G167" i="78" s="1"/>
  <c r="E159" i="78"/>
  <c r="F159" i="78" s="1"/>
  <c r="G159" i="78" s="1"/>
  <c r="E166" i="78"/>
  <c r="F166" i="78" s="1"/>
  <c r="G166" i="78" s="1"/>
  <c r="E158" i="78"/>
  <c r="F158" i="78" s="1"/>
  <c r="G158" i="78" s="1"/>
  <c r="E161" i="78"/>
  <c r="F161" i="78" s="1"/>
  <c r="G161" i="78" s="1"/>
  <c r="E174" i="78"/>
  <c r="F174" i="78" s="1"/>
  <c r="G174" i="78" s="1"/>
  <c r="E172" i="78"/>
  <c r="F172" i="78" s="1"/>
  <c r="G172" i="78" s="1"/>
  <c r="E173" i="78"/>
  <c r="F173" i="78" s="1"/>
  <c r="G173" i="78" s="1"/>
  <c r="E171" i="78"/>
  <c r="F171" i="78" s="1"/>
  <c r="G171" i="78" s="1"/>
  <c r="E165" i="78"/>
  <c r="F165" i="78" s="1"/>
  <c r="G165" i="78" s="1"/>
  <c r="E162" i="78"/>
  <c r="F162" i="78" s="1"/>
  <c r="G162" i="78" s="1"/>
  <c r="E229" i="78"/>
  <c r="F229" i="78" s="1"/>
  <c r="G229" i="78" s="1"/>
  <c r="E226" i="78"/>
  <c r="F226" i="78" s="1"/>
  <c r="G226" i="78" s="1"/>
  <c r="E236" i="78"/>
  <c r="F236" i="78" s="1"/>
  <c r="G236" i="78" s="1"/>
  <c r="E232" i="78"/>
  <c r="F232" i="78" s="1"/>
  <c r="G232" i="78" s="1"/>
  <c r="E233" i="78"/>
  <c r="F233" i="78" s="1"/>
  <c r="G233" i="78" s="1"/>
  <c r="E234" i="78"/>
  <c r="F234" i="78" s="1"/>
  <c r="G234" i="78" s="1"/>
  <c r="E228" i="78"/>
  <c r="F228" i="78" s="1"/>
  <c r="G228" i="78" s="1"/>
  <c r="E224" i="78"/>
  <c r="F224" i="78" s="1"/>
  <c r="G224" i="78" s="1"/>
  <c r="E227" i="78"/>
  <c r="F227" i="78" s="1"/>
  <c r="G227" i="78" s="1"/>
  <c r="E235" i="78"/>
  <c r="F235" i="78" s="1"/>
  <c r="G235" i="78" s="1"/>
  <c r="E230" i="78"/>
  <c r="F230" i="78" s="1"/>
  <c r="G230" i="78" s="1"/>
  <c r="AJ285" i="93"/>
  <c r="D16" i="99"/>
  <c r="H16" i="99" s="1"/>
  <c r="AK283" i="93"/>
  <c r="AK285" i="93" s="1"/>
  <c r="E256" i="78"/>
  <c r="F256" i="78" s="1"/>
  <c r="G256" i="78" s="1"/>
  <c r="E257" i="78"/>
  <c r="F257" i="78" s="1"/>
  <c r="G257" i="78" s="1"/>
  <c r="E258" i="78"/>
  <c r="F258" i="78" s="1"/>
  <c r="G258" i="78" s="1"/>
  <c r="E259" i="78"/>
  <c r="F259" i="78" s="1"/>
  <c r="G259" i="78" s="1"/>
  <c r="E260" i="78"/>
  <c r="F260" i="78" s="1"/>
  <c r="G260" i="78" s="1"/>
  <c r="E262" i="78"/>
  <c r="F262" i="78" s="1"/>
  <c r="G262" i="78" s="1"/>
  <c r="E263" i="78"/>
  <c r="F263" i="78" s="1"/>
  <c r="G263" i="78" s="1"/>
  <c r="E264" i="78"/>
  <c r="F264" i="78" s="1"/>
  <c r="G264" i="78" s="1"/>
  <c r="E265" i="78"/>
  <c r="F265" i="78" s="1"/>
  <c r="G265" i="78" s="1"/>
  <c r="E266" i="78"/>
  <c r="F266" i="78" s="1"/>
  <c r="G266" i="78" s="1"/>
  <c r="E268" i="78"/>
  <c r="F268" i="78" s="1"/>
  <c r="G268" i="78" s="1"/>
  <c r="E269" i="78"/>
  <c r="F269" i="78" s="1"/>
  <c r="G269" i="78" s="1"/>
  <c r="E270" i="78"/>
  <c r="F270" i="78" s="1"/>
  <c r="G270" i="78" s="1"/>
  <c r="E271" i="78"/>
  <c r="F271" i="78" s="1"/>
  <c r="G271" i="78" s="1"/>
  <c r="E272" i="78"/>
  <c r="F272" i="78" s="1"/>
  <c r="G272" i="78" s="1"/>
  <c r="E273" i="78"/>
  <c r="F273" i="78" s="1"/>
  <c r="G273" i="78" s="1"/>
  <c r="E320" i="78"/>
  <c r="F320" i="78" s="1"/>
  <c r="G320" i="78" s="1"/>
  <c r="E313" i="78"/>
  <c r="F313" i="78" s="1"/>
  <c r="G313" i="78" s="1"/>
  <c r="E325" i="78"/>
  <c r="F325" i="78" s="1"/>
  <c r="G325" i="78" s="1"/>
  <c r="E309" i="78"/>
  <c r="F309" i="78" s="1"/>
  <c r="G309" i="78" s="1"/>
  <c r="E305" i="78"/>
  <c r="F305" i="78" s="1"/>
  <c r="G305" i="78" s="1"/>
  <c r="E323" i="78"/>
  <c r="F323" i="78" s="1"/>
  <c r="G323" i="78" s="1"/>
  <c r="E318" i="78"/>
  <c r="F318" i="78" s="1"/>
  <c r="G318" i="78" s="1"/>
  <c r="E314" i="78"/>
  <c r="F314" i="78" s="1"/>
  <c r="G314" i="78" s="1"/>
  <c r="E297" i="78"/>
  <c r="F297" i="78" s="1"/>
  <c r="G297" i="78" s="1"/>
  <c r="E311" i="78"/>
  <c r="F311" i="78" s="1"/>
  <c r="G311" i="78" s="1"/>
  <c r="E302" i="78"/>
  <c r="F302" i="78" s="1"/>
  <c r="G302" i="78" s="1"/>
  <c r="E324" i="78"/>
  <c r="F324" i="78" s="1"/>
  <c r="G324" i="78" s="1"/>
  <c r="E307" i="78"/>
  <c r="F307" i="78" s="1"/>
  <c r="G307" i="78" s="1"/>
  <c r="E326" i="78"/>
  <c r="F326" i="78" s="1"/>
  <c r="G326" i="78" s="1"/>
  <c r="E303" i="78"/>
  <c r="F303" i="78" s="1"/>
  <c r="G303" i="78" s="1"/>
  <c r="E312" i="78"/>
  <c r="F312" i="78" s="1"/>
  <c r="G312" i="78" s="1"/>
  <c r="E299" i="78"/>
  <c r="F299" i="78" s="1"/>
  <c r="G299" i="78" s="1"/>
  <c r="E300" i="78"/>
  <c r="F300" i="78" s="1"/>
  <c r="G300" i="78" s="1"/>
  <c r="E315" i="78"/>
  <c r="F315" i="78" s="1"/>
  <c r="G315" i="78" s="1"/>
  <c r="E321" i="78"/>
  <c r="F321" i="78" s="1"/>
  <c r="G321" i="78" s="1"/>
  <c r="E308" i="78"/>
  <c r="F308" i="78" s="1"/>
  <c r="G308" i="78" s="1"/>
  <c r="E327" i="78"/>
  <c r="F327" i="78" s="1"/>
  <c r="G327" i="78" s="1"/>
  <c r="E319" i="78"/>
  <c r="F319" i="78" s="1"/>
  <c r="G319" i="78" s="1"/>
  <c r="E306" i="78"/>
  <c r="F306" i="78" s="1"/>
  <c r="G306" i="78" s="1"/>
  <c r="E301" i="78"/>
  <c r="F301" i="78" s="1"/>
  <c r="G301" i="78" s="1"/>
  <c r="E317" i="78"/>
  <c r="F317" i="78" s="1"/>
  <c r="G317" i="78" s="1"/>
  <c r="E178" i="78"/>
  <c r="F178" i="78" s="1"/>
  <c r="G178" i="78" s="1"/>
  <c r="E180" i="78"/>
  <c r="F180" i="78" s="1"/>
  <c r="G180" i="78" s="1"/>
  <c r="E184" i="78"/>
  <c r="F184" i="78" s="1"/>
  <c r="G184" i="78" s="1"/>
  <c r="E188" i="78"/>
  <c r="F188" i="78" s="1"/>
  <c r="G188" i="78" s="1"/>
  <c r="E190" i="78"/>
  <c r="F190" i="78" s="1"/>
  <c r="G190" i="78" s="1"/>
  <c r="E195" i="78"/>
  <c r="F195" i="78" s="1"/>
  <c r="G195" i="78" s="1"/>
  <c r="E182" i="78"/>
  <c r="F182" i="78" s="1"/>
  <c r="G182" i="78" s="1"/>
  <c r="E179" i="78"/>
  <c r="F179" i="78" s="1"/>
  <c r="G179" i="78" s="1"/>
  <c r="E194" i="78"/>
  <c r="F194" i="78" s="1"/>
  <c r="G194" i="78" s="1"/>
  <c r="E192" i="78"/>
  <c r="F192" i="78" s="1"/>
  <c r="G192" i="78" s="1"/>
  <c r="E185" i="78"/>
  <c r="F185" i="78" s="1"/>
  <c r="G185" i="78" s="1"/>
  <c r="E189" i="78"/>
  <c r="F189" i="78" s="1"/>
  <c r="G189" i="78" s="1"/>
  <c r="E191" i="78"/>
  <c r="F191" i="78" s="1"/>
  <c r="G191" i="78" s="1"/>
  <c r="E177" i="78"/>
  <c r="F177" i="78" s="1"/>
  <c r="G177" i="78" s="1"/>
  <c r="E176" i="78"/>
  <c r="F176" i="78" s="1"/>
  <c r="G176" i="78" s="1"/>
  <c r="E186" i="78"/>
  <c r="F186" i="78" s="1"/>
  <c r="G186" i="78" s="1"/>
  <c r="E183" i="78"/>
  <c r="F183" i="78" s="1"/>
  <c r="G183" i="78" s="1"/>
  <c r="E196" i="78"/>
  <c r="F196" i="78" s="1"/>
  <c r="G196" i="78" s="1"/>
  <c r="E197" i="78"/>
  <c r="F197" i="78" s="1"/>
  <c r="G197" i="78" s="1"/>
  <c r="E198" i="78"/>
  <c r="F198" i="78" s="1"/>
  <c r="G198" i="78" s="1"/>
  <c r="E199" i="78"/>
  <c r="F199" i="78" s="1"/>
  <c r="G199" i="78" s="1"/>
  <c r="E329" i="78"/>
  <c r="F329" i="78" s="1"/>
  <c r="G329" i="78" s="1"/>
  <c r="E330" i="78"/>
  <c r="F330" i="78" s="1"/>
  <c r="G330" i="78" s="1"/>
  <c r="E331" i="78"/>
  <c r="F331" i="78" s="1"/>
  <c r="G331" i="78" s="1"/>
  <c r="E332" i="78"/>
  <c r="F332" i="78" s="1"/>
  <c r="G332" i="78" s="1"/>
  <c r="E333" i="78"/>
  <c r="F333" i="78" s="1"/>
  <c r="G333" i="78" s="1"/>
  <c r="E335" i="78"/>
  <c r="F335" i="78" s="1"/>
  <c r="G335" i="78" s="1"/>
  <c r="E336" i="78"/>
  <c r="F336" i="78" s="1"/>
  <c r="G336" i="78" s="1"/>
  <c r="E337" i="78"/>
  <c r="F337" i="78" s="1"/>
  <c r="G337" i="78" s="1"/>
  <c r="E338" i="78"/>
  <c r="F338" i="78" s="1"/>
  <c r="G338" i="78" s="1"/>
  <c r="E339" i="78"/>
  <c r="F339" i="78" s="1"/>
  <c r="G339" i="78" s="1"/>
  <c r="E341" i="78"/>
  <c r="F341" i="78" s="1"/>
  <c r="G341" i="78" s="1"/>
  <c r="E342" i="78"/>
  <c r="F342" i="78" s="1"/>
  <c r="G342" i="78" s="1"/>
  <c r="E343" i="78"/>
  <c r="F343" i="78" s="1"/>
  <c r="G343" i="78" s="1"/>
  <c r="E344" i="78"/>
  <c r="F344" i="78" s="1"/>
  <c r="G344" i="78" s="1"/>
  <c r="E345" i="78"/>
  <c r="F345" i="78" s="1"/>
  <c r="G345" i="78" s="1"/>
  <c r="E346" i="78"/>
  <c r="F346" i="78" s="1"/>
  <c r="G346" i="78" s="1"/>
  <c r="E238" i="78"/>
  <c r="F238" i="78" s="1"/>
  <c r="G238" i="78" s="1"/>
  <c r="E239" i="78"/>
  <c r="F239" i="78" s="1"/>
  <c r="G239" i="78" s="1"/>
  <c r="E240" i="78"/>
  <c r="F240" i="78" s="1"/>
  <c r="G240" i="78" s="1"/>
  <c r="E241" i="78"/>
  <c r="F241" i="78" s="1"/>
  <c r="G241" i="78" s="1"/>
  <c r="E242" i="78"/>
  <c r="F242" i="78" s="1"/>
  <c r="G242" i="78" s="1"/>
  <c r="E244" i="78"/>
  <c r="F244" i="78" s="1"/>
  <c r="G244" i="78" s="1"/>
  <c r="E245" i="78"/>
  <c r="F245" i="78" s="1"/>
  <c r="G245" i="78" s="1"/>
  <c r="E246" i="78"/>
  <c r="F246" i="78" s="1"/>
  <c r="G246" i="78" s="1"/>
  <c r="E247" i="78"/>
  <c r="F247" i="78" s="1"/>
  <c r="G247" i="78" s="1"/>
  <c r="E248" i="78"/>
  <c r="F248" i="78" s="1"/>
  <c r="G248" i="78" s="1"/>
  <c r="E250" i="78"/>
  <c r="F250" i="78" s="1"/>
  <c r="G250" i="78" s="1"/>
  <c r="E251" i="78"/>
  <c r="F251" i="78" s="1"/>
  <c r="G251" i="78" s="1"/>
  <c r="E252" i="78"/>
  <c r="F252" i="78" s="1"/>
  <c r="G252" i="78" s="1"/>
  <c r="E253" i="78"/>
  <c r="F253" i="78" s="1"/>
  <c r="G253" i="78" s="1"/>
  <c r="E254" i="78"/>
  <c r="F254" i="78" s="1"/>
  <c r="G254" i="78" s="1"/>
  <c r="F388" i="78"/>
  <c r="G388" i="78" s="1"/>
  <c r="H388" i="78" s="1"/>
  <c r="F390" i="78"/>
  <c r="G390" i="78" s="1"/>
  <c r="H390" i="78" s="1"/>
  <c r="F389" i="78"/>
  <c r="G389" i="78" s="1"/>
  <c r="H389" i="78" s="1"/>
  <c r="F391" i="78"/>
  <c r="G391" i="78" s="1"/>
  <c r="H391" i="78" s="1"/>
  <c r="F392" i="78"/>
  <c r="G392" i="78" s="1"/>
  <c r="H392" i="78" s="1"/>
  <c r="F393" i="78"/>
  <c r="G393" i="78" s="1"/>
  <c r="H393" i="78" s="1"/>
  <c r="F382" i="78"/>
  <c r="G382" i="78" s="1"/>
  <c r="H382" i="78" s="1"/>
  <c r="F383" i="78"/>
  <c r="G383" i="78" s="1"/>
  <c r="H383" i="78" s="1"/>
  <c r="F384" i="78"/>
  <c r="G384" i="78" s="1"/>
  <c r="H384" i="78" s="1"/>
  <c r="F385" i="78"/>
  <c r="G385" i="78" s="1"/>
  <c r="H385" i="78" s="1"/>
  <c r="F386" i="78"/>
  <c r="G386" i="78" s="1"/>
  <c r="H386" i="78" s="1"/>
  <c r="F401" i="78"/>
  <c r="G401" i="78" s="1"/>
  <c r="H401" i="78" s="1"/>
  <c r="F402" i="78"/>
  <c r="G402" i="78" s="1"/>
  <c r="H402" i="78" s="1"/>
  <c r="F404" i="78"/>
  <c r="G404" i="78" s="1"/>
  <c r="H404" i="78" s="1"/>
  <c r="F403" i="78"/>
  <c r="G403" i="78" s="1"/>
  <c r="H403" i="78" s="1"/>
  <c r="F405" i="78"/>
  <c r="G405" i="78" s="1"/>
  <c r="H405" i="78" s="1"/>
  <c r="F407" i="78"/>
  <c r="G407" i="78" s="1"/>
  <c r="H407" i="78" s="1"/>
  <c r="F408" i="78"/>
  <c r="G408" i="78" s="1"/>
  <c r="H408" i="78" s="1"/>
  <c r="F409" i="78"/>
  <c r="G409" i="78" s="1"/>
  <c r="H409" i="78" s="1"/>
  <c r="F410" i="78"/>
  <c r="G410" i="78" s="1"/>
  <c r="H410" i="78" s="1"/>
  <c r="F411" i="78"/>
  <c r="G411" i="78" s="1"/>
  <c r="H411" i="78" s="1"/>
  <c r="F395" i="78"/>
  <c r="G395" i="78" s="1"/>
  <c r="H395" i="78" s="1"/>
  <c r="F396" i="78"/>
  <c r="G396" i="78" s="1"/>
  <c r="H396" i="78" s="1"/>
  <c r="F397" i="78"/>
  <c r="G397" i="78" s="1"/>
  <c r="H397" i="78" s="1"/>
  <c r="F398" i="78"/>
  <c r="G398" i="78" s="1"/>
  <c r="H398" i="78" s="1"/>
  <c r="F399" i="78"/>
  <c r="G399" i="78" s="1"/>
  <c r="H399" i="78" s="1"/>
  <c r="D32" i="75"/>
  <c r="J50" i="76"/>
  <c r="K50" i="76" s="1"/>
  <c r="I52" i="76"/>
  <c r="J52" i="76" s="1"/>
  <c r="D37" i="75"/>
  <c r="J40" i="76"/>
  <c r="K40" i="76" s="1"/>
  <c r="I44" i="76"/>
  <c r="J44" i="76" s="1"/>
  <c r="K44" i="76" s="1"/>
  <c r="D11" i="75"/>
  <c r="J10" i="76"/>
  <c r="I11" i="76"/>
  <c r="AK589" i="93" l="1"/>
  <c r="F23" i="77"/>
  <c r="E35" i="77"/>
  <c r="E37" i="77" s="1"/>
  <c r="G56" i="99"/>
  <c r="I56" i="99"/>
  <c r="K56" i="99"/>
  <c r="J56" i="99"/>
  <c r="O56" i="99"/>
  <c r="M56" i="99"/>
  <c r="F56" i="99"/>
  <c r="H56" i="99"/>
  <c r="E56" i="99"/>
  <c r="N56" i="99"/>
  <c r="L56" i="99"/>
  <c r="D56" i="99"/>
  <c r="K50" i="99"/>
  <c r="N50" i="99"/>
  <c r="O50" i="99"/>
  <c r="M50" i="99"/>
  <c r="G50" i="99"/>
  <c r="F50" i="99"/>
  <c r="D50" i="99"/>
  <c r="H50" i="99"/>
  <c r="L50" i="99"/>
  <c r="J50" i="99"/>
  <c r="I50" i="99"/>
  <c r="E50" i="99"/>
  <c r="K52" i="76"/>
  <c r="E32" i="75"/>
  <c r="F32" i="75" s="1"/>
  <c r="D33" i="75"/>
  <c r="E33" i="75" s="1"/>
  <c r="F33" i="75" s="1"/>
  <c r="K59" i="99"/>
  <c r="D59" i="99"/>
  <c r="J59" i="99"/>
  <c r="M59" i="99"/>
  <c r="G59" i="99"/>
  <c r="I59" i="99"/>
  <c r="E59" i="99"/>
  <c r="N59" i="99"/>
  <c r="O59" i="99"/>
  <c r="L59" i="99"/>
  <c r="H59" i="99"/>
  <c r="F59" i="99"/>
  <c r="K30" i="76"/>
  <c r="J33" i="76"/>
  <c r="K33" i="76" s="1"/>
  <c r="E37" i="75"/>
  <c r="F37" i="75" s="1"/>
  <c r="D38" i="75"/>
  <c r="E38" i="75" s="1"/>
  <c r="F38" i="75" s="1"/>
  <c r="K10" i="76"/>
  <c r="J11" i="76"/>
  <c r="K11" i="76" s="1"/>
  <c r="E26" i="75"/>
  <c r="F26" i="75" s="1"/>
  <c r="D27" i="75"/>
  <c r="E27" i="75" s="1"/>
  <c r="F27" i="75" s="1"/>
  <c r="F53" i="99"/>
  <c r="E53" i="99"/>
  <c r="G53" i="99"/>
  <c r="J53" i="99"/>
  <c r="N53" i="99"/>
  <c r="H53" i="99"/>
  <c r="O53" i="99"/>
  <c r="M53" i="99"/>
  <c r="I53" i="99"/>
  <c r="D53" i="99"/>
  <c r="L53" i="99"/>
  <c r="K53" i="99"/>
  <c r="E11" i="75"/>
  <c r="F11" i="75" s="1"/>
  <c r="D12" i="75"/>
  <c r="F62" i="99"/>
  <c r="D62" i="99"/>
  <c r="M62" i="99"/>
  <c r="H62" i="99"/>
  <c r="K62" i="99"/>
  <c r="N62" i="99"/>
  <c r="L62" i="99"/>
  <c r="I62" i="99"/>
  <c r="O62" i="99"/>
  <c r="G62" i="99"/>
  <c r="E62" i="99"/>
  <c r="J62" i="99"/>
  <c r="K22" i="76"/>
  <c r="J25" i="76"/>
  <c r="K25" i="76" s="1"/>
  <c r="E16" i="75"/>
  <c r="F16" i="75" s="1"/>
  <c r="D17" i="75"/>
  <c r="E17" i="75" s="1"/>
  <c r="F17" i="75" s="1"/>
  <c r="K16" i="76"/>
  <c r="J17" i="76"/>
  <c r="K17" i="76" s="1"/>
  <c r="E21" i="75"/>
  <c r="F21" i="75" s="1"/>
  <c r="D22" i="75"/>
  <c r="E22" i="75" s="1"/>
  <c r="F22" i="75" s="1"/>
  <c r="J57" i="76" l="1"/>
  <c r="K57" i="76" s="1"/>
  <c r="E12" i="75"/>
  <c r="D39" i="75"/>
  <c r="G23" i="77"/>
  <c r="F35" i="77"/>
  <c r="F37" i="77" s="1"/>
  <c r="G37" i="77" s="1"/>
  <c r="E41" i="75" l="1"/>
  <c r="F12" i="7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tc={16B61CCE-73A8-4707-8C64-7D187BF1C70E}</author>
  </authors>
  <commentList>
    <comment ref="S313" authorId="0" shapeId="0" xr:uid="{16B61CCE-73A8-4707-8C64-7D187BF1C70E}">
      <text>
        <t>[Threaded comment]
Your version of Excel allows you to read this threaded comment; however, any edits to it will get removed if the file is opened in a newer version of Excel. Learn more: https://go.microsoft.com/fwlink/?linkid=870924
Comment:
    Needs to include 916</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tc={0F6CF6E9-B4F1-4D40-A2A1-7E4DAFC1313D}</author>
    <author>Cascade Natural Gas</author>
    <author>tc={AFC22D1B-C89B-4869-8E8D-7B543DC6AA30}</author>
  </authors>
  <commentList>
    <comment ref="AA10" authorId="0" shapeId="0" xr:uid="{0F6CF6E9-B4F1-4D40-A2A1-7E4DAFC1313D}">
      <text>
        <t>[Threaded comment]
Your version of Excel allows you to read this threaded comment; however, any edits to it will get removed if the file is opened in a newer version of Excel. Learn more: https://go.microsoft.com/fwlink/?linkid=870924
Comment:
    Low income bill assistance liability</t>
      </text>
    </comment>
    <comment ref="B127" authorId="1" shapeId="0" xr:uid="{5219A80A-9159-4ED1-8F76-7DD046ED5F12}">
      <text>
        <r>
          <rPr>
            <b/>
            <sz val="9"/>
            <color indexed="81"/>
            <rFont val="Tahoma"/>
            <family val="2"/>
          </rPr>
          <t>Cascade Natural Gas:</t>
        </r>
        <r>
          <rPr>
            <sz val="9"/>
            <color indexed="81"/>
            <rFont val="Tahoma"/>
            <family val="2"/>
          </rPr>
          <t xml:space="preserve">
Must blend 511 - 1501s</t>
        </r>
      </text>
    </comment>
    <comment ref="B153" authorId="1" shapeId="0" xr:uid="{B20B0FA6-8815-4885-A426-7433B7006817}">
      <text>
        <r>
          <rPr>
            <b/>
            <sz val="9"/>
            <color indexed="81"/>
            <rFont val="Tahoma"/>
            <family val="2"/>
          </rPr>
          <t>Cascade Natural Gas:</t>
        </r>
        <r>
          <rPr>
            <sz val="9"/>
            <color indexed="81"/>
            <rFont val="Tahoma"/>
            <family val="2"/>
          </rPr>
          <t xml:space="preserve">
Must blend 511 - 1501s</t>
        </r>
      </text>
    </comment>
    <comment ref="B219" authorId="1" shapeId="0" xr:uid="{C8A85319-2293-4AE5-BE6B-AF925421583C}">
      <text>
        <r>
          <rPr>
            <b/>
            <sz val="9"/>
            <color indexed="81"/>
            <rFont val="Tahoma"/>
            <family val="2"/>
          </rPr>
          <t>Cascade Natural Gas:</t>
        </r>
        <r>
          <rPr>
            <sz val="9"/>
            <color indexed="81"/>
            <rFont val="Tahoma"/>
            <family val="2"/>
          </rPr>
          <t xml:space="preserve">
Combined
</t>
        </r>
      </text>
    </comment>
    <comment ref="I430" authorId="2" shapeId="0" xr:uid="{AFC22D1B-C89B-4869-8E8D-7B543DC6AA30}">
      <text>
        <t>[Threaded comment]
Your version of Excel allows you to read this threaded comment; however, any edits to it will get removed if the file is opened in a newer version of Excel. Learn more: https://go.microsoft.com/fwlink/?linkid=870924
Comment:
    WA502-Adjusted in Revenue Reconciliation, cell F19.</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tc={5316388D-9D55-4A67-AF8A-5C3148E66F87}</author>
    <author>tc={83560EEB-ED2D-4F8D-9F09-E5D40201EADA}</author>
    <author>tc={FDEB6750-CFD0-40C7-9A24-BBB64E0D8DE6}</author>
    <author>tc={F8F55C9B-AF4D-4083-BA1D-644B7D2BCDCA}</author>
    <author>tc={B9F9BFD2-C533-4E85-9AF8-7956B200ECBE}</author>
    <author>tc={98B62C50-B9DD-4A98-A28C-E7CFDC2AB039}</author>
    <author>tc={266E56CC-EA47-4ACB-9FFE-114DA4206F63}</author>
  </authors>
  <commentList>
    <comment ref="E19" authorId="0" shapeId="0" xr:uid="{5316388D-9D55-4A67-AF8A-5C3148E66F87}">
      <text>
        <t>[Threaded comment]
Your version of Excel allows you to read this threaded comment; however, any edits to it will get removed if the file is opened in a newer version of Excel. Learn more: https://go.microsoft.com/fwlink/?linkid=870924
Comment:
    502(R) ADJUSTMENT</t>
      </text>
    </comment>
    <comment ref="F19" authorId="1" shapeId="0" xr:uid="{83560EEB-ED2D-4F8D-9F09-E5D40201EADA}">
      <text>
        <t>[Threaded comment]
Your version of Excel allows you to read this threaded comment; however, any edits to it will get removed if the file is opened in a newer version of Excel. Learn more: https://go.microsoft.com/fwlink/?linkid=870924
Comment:
    502(R) ADJUSTMENT</t>
      </text>
    </comment>
    <comment ref="H19" authorId="2" shapeId="0" xr:uid="{FDEB6750-CFD0-40C7-9A24-BBB64E0D8DE6}">
      <text>
        <t>[Threaded comment]
Your version of Excel allows you to read this threaded comment; however, any edits to it will get removed if the file is opened in a newer version of Excel. Learn more: https://go.microsoft.com/fwlink/?linkid=870924
Comment:
    502(R) ADJUSTMENT</t>
      </text>
    </comment>
    <comment ref="O19" authorId="3" shapeId="0" xr:uid="{F8F55C9B-AF4D-4083-BA1D-644B7D2BCDCA}">
      <text>
        <t>[Threaded comment]
Your version of Excel allows you to read this threaded comment; however, any edits to it will get removed if the file is opened in a newer version of Excel. Learn more: https://go.microsoft.com/fwlink/?linkid=870924
Comment:
    502R ADJUSTMENT</t>
      </text>
    </comment>
    <comment ref="N159" authorId="4" shapeId="0" xr:uid="{B9F9BFD2-C533-4E85-9AF8-7956B200ECBE}">
      <text>
        <t>[Threaded comment]
Your version of Excel allows you to read this threaded comment; however, any edits to it will get removed if the file is opened in a newer version of Excel. Learn more: https://go.microsoft.com/fwlink/?linkid=870924
Comment:
    05LV(4809)</t>
      </text>
    </comment>
    <comment ref="P399" authorId="5" shapeId="0" xr:uid="{98B62C50-B9DD-4A98-A28C-E7CFDC2AB039}">
      <text>
        <t>[Threaded comment]
Your version of Excel allows you to read this threaded comment; however, any edits to it will get removed if the file is opened in a newer version of Excel. Learn more: https://go.microsoft.com/fwlink/?linkid=870924
Comment:
    This value is a reverse value of the difference from CNGCWA908.</t>
      </text>
    </comment>
    <comment ref="P419" authorId="6" shapeId="0" xr:uid="{266E56CC-EA47-4ACB-9FFE-114DA4206F63}">
      <text>
        <t>[Threaded comment]
Your version of Excel allows you to read this threaded comment; however, any edits to it will get removed if the file is opened in a newer version of Excel. Learn more: https://go.microsoft.com/fwlink/?linkid=870924
Comment:
    Mirror adjustment with WA903</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Ryan, Christopher</author>
  </authors>
  <commentList>
    <comment ref="D8" authorId="0" shapeId="0" xr:uid="{8127901F-5F00-45FC-8ED0-55A23522531E}">
      <text>
        <r>
          <rPr>
            <b/>
            <sz val="9"/>
            <color indexed="81"/>
            <rFont val="Tahoma"/>
            <family val="2"/>
          </rPr>
          <t>Ryan, Christopher:</t>
        </r>
        <r>
          <rPr>
            <sz val="9"/>
            <color indexed="81"/>
            <rFont val="Tahoma"/>
            <family val="2"/>
          </rPr>
          <t xml:space="preserve">
MOVED TO 503 BELOW</t>
        </r>
      </text>
    </comment>
    <comment ref="D151" authorId="0" shapeId="0" xr:uid="{61D912AF-3355-4164-A96F-CDD258D81D88}">
      <text>
        <r>
          <rPr>
            <b/>
            <sz val="9"/>
            <color indexed="81"/>
            <rFont val="Tahoma"/>
            <family val="2"/>
          </rPr>
          <t>Ryan, Christopher:</t>
        </r>
        <r>
          <rPr>
            <sz val="9"/>
            <color indexed="81"/>
            <rFont val="Tahoma"/>
            <family val="2"/>
          </rPr>
          <t xml:space="preserve">
MOVED TO 570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Cascade Natural Gas</author>
    <author>tc={5F543D96-E48D-43DD-8D13-BD2270702666}</author>
    <author>Peters, Maryalice</author>
  </authors>
  <commentList>
    <comment ref="J11" authorId="0" shapeId="0" xr:uid="{00000000-0006-0000-1900-000001000000}">
      <text>
        <r>
          <rPr>
            <b/>
            <sz val="9"/>
            <color indexed="81"/>
            <rFont val="Tahoma"/>
            <family val="2"/>
          </rPr>
          <t>Cascade Natural Gas:</t>
        </r>
        <r>
          <rPr>
            <sz val="9"/>
            <color indexed="81"/>
            <rFont val="Tahoma"/>
            <family val="2"/>
          </rPr>
          <t xml:space="preserve">
Average of 2017 increases</t>
        </r>
      </text>
    </comment>
    <comment ref="M11" authorId="0" shapeId="0" xr:uid="{00000000-0006-0000-1900-000002000000}">
      <text>
        <r>
          <rPr>
            <b/>
            <sz val="9"/>
            <color indexed="81"/>
            <rFont val="Tahoma"/>
            <family val="2"/>
          </rPr>
          <t>Cascade Natural Gas:</t>
        </r>
        <r>
          <rPr>
            <sz val="9"/>
            <color indexed="81"/>
            <rFont val="Tahoma"/>
            <family val="2"/>
          </rPr>
          <t xml:space="preserve">
Average of 2017 increases</t>
        </r>
      </text>
    </comment>
    <comment ref="B19" authorId="1" shapeId="0" xr:uid="{5F543D96-E48D-43DD-8D13-BD2270702666}">
      <text>
        <t>[Threaded comment]
Your version of Excel allows you to read this threaded comment; however, any edits to it will get removed if the file is opened in a newer version of Excel. Learn more: https://go.microsoft.com/fwlink/?linkid=870924
Comment:
    Missing $1.7M of resources group from MDU.</t>
      </text>
    </comment>
    <comment ref="C65" authorId="2" shapeId="0" xr:uid="{00000000-0006-0000-1900-000003000000}">
      <text>
        <r>
          <rPr>
            <b/>
            <sz val="9"/>
            <color indexed="81"/>
            <rFont val="Tahoma"/>
            <family val="2"/>
          </rPr>
          <t>Peters, Maryalice:</t>
        </r>
        <r>
          <rPr>
            <sz val="9"/>
            <color indexed="81"/>
            <rFont val="Tahoma"/>
            <family val="2"/>
          </rPr>
          <t xml:space="preserve">
Codes to 29320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Macias</author>
  </authors>
  <commentList>
    <comment ref="C28" authorId="0" shapeId="0" xr:uid="{13E0A704-B429-4ACA-B7E4-8A4C84E95EF5}">
      <text>
        <r>
          <rPr>
            <b/>
            <sz val="9"/>
            <color indexed="81"/>
            <rFont val="Tahoma"/>
            <family val="2"/>
          </rPr>
          <t>Macias:</t>
        </r>
        <r>
          <rPr>
            <sz val="9"/>
            <color indexed="81"/>
            <rFont val="Tahoma"/>
            <family val="2"/>
          </rPr>
          <t xml:space="preserve">
this is commercial and industrial combined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Greg Macias</author>
  </authors>
  <commentList>
    <comment ref="D15" authorId="0" shapeId="0" xr:uid="{0FEE082A-9260-4F97-8729-92A8F93C8DA4}">
      <text>
        <r>
          <rPr>
            <b/>
            <sz val="9"/>
            <color indexed="81"/>
            <rFont val="Tahoma"/>
            <family val="2"/>
          </rPr>
          <t>Greg Macias:</t>
        </r>
        <r>
          <rPr>
            <sz val="9"/>
            <color indexed="81"/>
            <rFont val="Tahoma"/>
            <family val="2"/>
          </rPr>
          <t xml:space="preserve">
Schedule 177
</t>
        </r>
      </text>
    </comment>
  </commentList>
</comments>
</file>

<file path=xl/sharedStrings.xml><?xml version="1.0" encoding="utf-8"?>
<sst xmlns="http://schemas.openxmlformats.org/spreadsheetml/2006/main" count="8794" uniqueCount="3389">
  <si>
    <t>Adjustments</t>
  </si>
  <si>
    <t>Adjusted</t>
  </si>
  <si>
    <t>Company</t>
  </si>
  <si>
    <t>SUMMARY SHEET</t>
  </si>
  <si>
    <t>Operating Revenues</t>
  </si>
  <si>
    <t>Operating Expenses</t>
  </si>
  <si>
    <t>Distribution</t>
  </si>
  <si>
    <t>Customer Service</t>
  </si>
  <si>
    <t>Sales</t>
  </si>
  <si>
    <t>Administrative and General</t>
  </si>
  <si>
    <t>Net Operating Revenues</t>
  </si>
  <si>
    <t xml:space="preserve">  Customer Adv. For Construction</t>
  </si>
  <si>
    <t>Rate of Return</t>
  </si>
  <si>
    <t xml:space="preserve">REVENUE SENSITIVE COSTS </t>
  </si>
  <si>
    <t xml:space="preserve">  Revenues</t>
  </si>
  <si>
    <t>Operating Revenue Deductions</t>
  </si>
  <si>
    <t>Uncollectible Accounts</t>
  </si>
  <si>
    <t>Interest expense</t>
  </si>
  <si>
    <t>State Taxable Income</t>
  </si>
  <si>
    <t>State Income Tax</t>
  </si>
  <si>
    <t>Federal Taxable Income</t>
  </si>
  <si>
    <t>Total Revenue Sensitive Costs</t>
  </si>
  <si>
    <t xml:space="preserve">Net-to-Gross Factor </t>
  </si>
  <si>
    <t>Natural Gas Sales</t>
  </si>
  <si>
    <t>Gas Transportation Revenue</t>
  </si>
  <si>
    <t>Other Operating Revenues</t>
  </si>
  <si>
    <t>Revenue Taxes</t>
  </si>
  <si>
    <t>Production</t>
  </si>
  <si>
    <t>Customer Accounts</t>
  </si>
  <si>
    <t>Depreciation &amp; Amortization</t>
  </si>
  <si>
    <t>Regulatory Debits</t>
  </si>
  <si>
    <t>Taxes Other Than Income</t>
  </si>
  <si>
    <t>State &amp; Federal Income Taxes</t>
  </si>
  <si>
    <t xml:space="preserve">     Total Operating Expenses </t>
  </si>
  <si>
    <t>Rate Base</t>
  </si>
  <si>
    <t>TOTAL RATE BASE</t>
  </si>
  <si>
    <t xml:space="preserve">  Total Plant in Service</t>
  </si>
  <si>
    <t xml:space="preserve">  Total Accumulated Depreciation</t>
  </si>
  <si>
    <t xml:space="preserve">  Deferred Accumulated Income Taxes</t>
  </si>
  <si>
    <t xml:space="preserve">  Working Capital Allowance</t>
  </si>
  <si>
    <t xml:space="preserve">      </t>
  </si>
  <si>
    <t>COST OF CAPITAL - Company</t>
  </si>
  <si>
    <t xml:space="preserve"> % of CAPITAL</t>
  </si>
  <si>
    <t>COST</t>
  </si>
  <si>
    <t>WEIGHTED</t>
  </si>
  <si>
    <t xml:space="preserve">Long Term Debt     </t>
  </si>
  <si>
    <t xml:space="preserve">Preferred Stock      </t>
  </si>
  <si>
    <t xml:space="preserve">Common Equity     </t>
  </si>
  <si>
    <t xml:space="preserve">     Total          </t>
  </si>
  <si>
    <t xml:space="preserve"> </t>
  </si>
  <si>
    <t>Advertising</t>
  </si>
  <si>
    <t>Total</t>
  </si>
  <si>
    <t>Cascade Natural Gas Corporation</t>
  </si>
  <si>
    <t>Promotional</t>
  </si>
  <si>
    <t>Adjustment</t>
  </si>
  <si>
    <t xml:space="preserve">Interest </t>
  </si>
  <si>
    <t>Coordination</t>
  </si>
  <si>
    <t>Additions</t>
  </si>
  <si>
    <t>Total Income Taxes</t>
  </si>
  <si>
    <t>Increase</t>
  </si>
  <si>
    <t>Adjusted Rate Base</t>
  </si>
  <si>
    <t>Required Return (ln 1 x ln 2)</t>
  </si>
  <si>
    <t>Adjusted Net Income</t>
  </si>
  <si>
    <t>Conversion Factor</t>
  </si>
  <si>
    <t>Revenue Increase Required (ln 5 / ln 6)</t>
  </si>
  <si>
    <t>Required Net Income Increase (ln 3 - ln 4)</t>
  </si>
  <si>
    <t>Summary</t>
  </si>
  <si>
    <t>Revenues</t>
  </si>
  <si>
    <t>PROMOTIONAL ADVERTISING EXPENSE ADJUSTMENT</t>
  </si>
  <si>
    <t>Account</t>
  </si>
  <si>
    <t>OR</t>
  </si>
  <si>
    <t>Interest Coordination Adjustment</t>
  </si>
  <si>
    <t>427.0</t>
  </si>
  <si>
    <t>428.0</t>
  </si>
  <si>
    <t>Amort. of Debt Discount and Exp.</t>
  </si>
  <si>
    <t>428.1</t>
  </si>
  <si>
    <t>Amort. of Loss on Reacquired Debt</t>
  </si>
  <si>
    <t xml:space="preserve">Rate Base </t>
  </si>
  <si>
    <t>Avg Cost of</t>
  </si>
  <si>
    <t>Test period</t>
  </si>
  <si>
    <t>State and</t>
  </si>
  <si>
    <t>Debt</t>
  </si>
  <si>
    <t>Subtotal</t>
  </si>
  <si>
    <t>Interest Expense</t>
  </si>
  <si>
    <t>F.I.T.</t>
  </si>
  <si>
    <t>Total Adjust</t>
  </si>
  <si>
    <t>Combo-State &amp; Federal Income Tax</t>
  </si>
  <si>
    <t xml:space="preserve">  State</t>
  </si>
  <si>
    <t xml:space="preserve">  Federal </t>
  </si>
  <si>
    <t>State and Federal Effective Tax Rate</t>
  </si>
  <si>
    <t>Deferred Tax</t>
  </si>
  <si>
    <t xml:space="preserve">   </t>
  </si>
  <si>
    <t>Total Wages</t>
  </si>
  <si>
    <t>WA</t>
  </si>
  <si>
    <t>Services</t>
  </si>
  <si>
    <t>Wages</t>
  </si>
  <si>
    <t>Test Year Adjusted Revenue</t>
  </si>
  <si>
    <t>(a)</t>
  </si>
  <si>
    <t>(b)</t>
  </si>
  <si>
    <t>Revenue Requirement Calculation</t>
  </si>
  <si>
    <t>Cascade Natural Gas</t>
  </si>
  <si>
    <t xml:space="preserve">Cascade Natural Gas </t>
  </si>
  <si>
    <t>3-Factor Formula</t>
  </si>
  <si>
    <t>Customer Formula</t>
  </si>
  <si>
    <t>Rate Base Ratio</t>
  </si>
  <si>
    <t>WA:</t>
  </si>
  <si>
    <t>OR:</t>
  </si>
  <si>
    <t>CASCADE NATURAL GAS CORPORATION</t>
  </si>
  <si>
    <t>ROLLING 12 MONTHS:</t>
  </si>
  <si>
    <t>WASHINGTON:</t>
  </si>
  <si>
    <t>STATE ALLOCATION OF INCOME &amp; EXPENSES</t>
  </si>
  <si>
    <t>DIRECT</t>
  </si>
  <si>
    <t>ALLOCATED</t>
  </si>
  <si>
    <t>TOTAL</t>
  </si>
  <si>
    <t>GAS SALES</t>
  </si>
  <si>
    <t>480</t>
  </si>
  <si>
    <t>Residential Sales</t>
  </si>
  <si>
    <t>481</t>
  </si>
  <si>
    <t>Commercial - Interruptible Sales</t>
  </si>
  <si>
    <t xml:space="preserve">    TOTAL GAS SALES</t>
  </si>
  <si>
    <t>OTHER OPERATING REVENUE</t>
  </si>
  <si>
    <t xml:space="preserve"> 4880</t>
  </si>
  <si>
    <t>Miscellaneous Service Revenues</t>
  </si>
  <si>
    <t>4890</t>
  </si>
  <si>
    <t>Rev. From Transp. of Gas of Others</t>
  </si>
  <si>
    <t>4930</t>
  </si>
  <si>
    <t>Rent From Gas Property</t>
  </si>
  <si>
    <t>4940</t>
  </si>
  <si>
    <t>Interdepartmental Rents</t>
  </si>
  <si>
    <t>4950</t>
  </si>
  <si>
    <t>Other Gas Revenue</t>
  </si>
  <si>
    <t xml:space="preserve"> 495.1</t>
  </si>
  <si>
    <t>Overrun Penalty Income</t>
  </si>
  <si>
    <t xml:space="preserve">    TOTAL OTHER OPERATING REVENUE</t>
  </si>
  <si>
    <t xml:space="preserve">      * TOTAL OPERATING REVENUE *</t>
  </si>
  <si>
    <t>NATURAL GAS PURCHASED</t>
  </si>
  <si>
    <t>804</t>
  </si>
  <si>
    <t>Natural Gas City Gate Purchases</t>
  </si>
  <si>
    <t>805</t>
  </si>
  <si>
    <t>Other Gas Purchases</t>
  </si>
  <si>
    <t xml:space="preserve"> 805.1</t>
  </si>
  <si>
    <t>Purchased Gas Cost Adjustments</t>
  </si>
  <si>
    <t xml:space="preserve"> 808.1</t>
  </si>
  <si>
    <t>Gas Withdrawn From Storage</t>
  </si>
  <si>
    <t xml:space="preserve"> 808.2</t>
  </si>
  <si>
    <t>Gas Delivered To Storage</t>
  </si>
  <si>
    <t>812</t>
  </si>
  <si>
    <t>Gas Used For Other Utility Oper.</t>
  </si>
  <si>
    <t xml:space="preserve">    TOTAL NATURAL GAS PURCHASED</t>
  </si>
  <si>
    <t>MANUFACTURED GAS PRODUCTION</t>
  </si>
  <si>
    <t>712</t>
  </si>
  <si>
    <t>Other Power Expenses</t>
  </si>
  <si>
    <t>717</t>
  </si>
  <si>
    <t>Liquefied Petroleum Gas Expenses</t>
  </si>
  <si>
    <t>718</t>
  </si>
  <si>
    <t>Other Process Production Expenses</t>
  </si>
  <si>
    <t>723</t>
  </si>
  <si>
    <t>Fuel for Liq. Petrol. Gas Process</t>
  </si>
  <si>
    <t>724</t>
  </si>
  <si>
    <t>Other Gas Fuels</t>
  </si>
  <si>
    <t>728</t>
  </si>
  <si>
    <t>Liquefied Petroleum Gas</t>
  </si>
  <si>
    <t>733</t>
  </si>
  <si>
    <t>Gas Mixing Expenses</t>
  </si>
  <si>
    <t>735</t>
  </si>
  <si>
    <t>Miscellaneous Production Expenses</t>
  </si>
  <si>
    <t>740</t>
  </si>
  <si>
    <t>Maint. Supervision &amp; Engineering</t>
  </si>
  <si>
    <t>741</t>
  </si>
  <si>
    <t>Maint. of Structures &amp; Improvement</t>
  </si>
  <si>
    <t>742</t>
  </si>
  <si>
    <t>Maint. of Production Equipment</t>
  </si>
  <si>
    <t xml:space="preserve">    TOTAL MANUFACTURED GAS PRODUCTION EXPENSE</t>
  </si>
  <si>
    <t xml:space="preserve"> 408.5</t>
  </si>
  <si>
    <t xml:space="preserve">          * OPERATING MARGIN *</t>
  </si>
  <si>
    <t>PRODUCTION EXPENSES</t>
  </si>
  <si>
    <t>Other Gas Supply Expenses</t>
  </si>
  <si>
    <t>DISTRIBUTION EXPENSES</t>
  </si>
  <si>
    <t xml:space="preserve">   Operation</t>
  </si>
  <si>
    <t>870</t>
  </si>
  <si>
    <t>Oper.,Supervision &amp; Engineering</t>
  </si>
  <si>
    <t>871</t>
  </si>
  <si>
    <t>Distribution Load Dispatching</t>
  </si>
  <si>
    <t>872</t>
  </si>
  <si>
    <t>Compressor Station</t>
  </si>
  <si>
    <t xml:space="preserve"> 874</t>
  </si>
  <si>
    <t>Mains &amp; Services Exp.</t>
  </si>
  <si>
    <t>875</t>
  </si>
  <si>
    <t>Meas. &amp; Reg. Stat. Exp.-Gen.</t>
  </si>
  <si>
    <t>876</t>
  </si>
  <si>
    <t>Meas. &amp; Reg. Stat. Exp.-Ind.</t>
  </si>
  <si>
    <t>878</t>
  </si>
  <si>
    <t>Meter &amp; House Regulator Exp.</t>
  </si>
  <si>
    <t>879</t>
  </si>
  <si>
    <t>Customer Installations Exp.</t>
  </si>
  <si>
    <t>880</t>
  </si>
  <si>
    <t>Other Exp.</t>
  </si>
  <si>
    <t>881</t>
  </si>
  <si>
    <t>Rents</t>
  </si>
  <si>
    <t>882</t>
  </si>
  <si>
    <t>Transportation Exp.</t>
  </si>
  <si>
    <t>Subtotal Operations</t>
  </si>
  <si>
    <t xml:space="preserve">   Maintenance</t>
  </si>
  <si>
    <t>885</t>
  </si>
  <si>
    <t>Supervision &amp; Engineering</t>
  </si>
  <si>
    <t>886</t>
  </si>
  <si>
    <t>Structures &amp; Improvements</t>
  </si>
  <si>
    <t>887</t>
  </si>
  <si>
    <t>Mains</t>
  </si>
  <si>
    <t>8880</t>
  </si>
  <si>
    <t>889</t>
  </si>
  <si>
    <t>Meas. &amp; Reg. Equip.-Gen.</t>
  </si>
  <si>
    <t>890</t>
  </si>
  <si>
    <t>Meas. &amp; Reg. Equip.-Ind.</t>
  </si>
  <si>
    <t>892</t>
  </si>
  <si>
    <t>893</t>
  </si>
  <si>
    <t>Meters &amp; House Regulators</t>
  </si>
  <si>
    <t>894</t>
  </si>
  <si>
    <t>Other Equipment</t>
  </si>
  <si>
    <t>Subtotal Maintenance</t>
  </si>
  <si>
    <t xml:space="preserve">    TOTAL DISTRIBUTION EXPENSES</t>
  </si>
  <si>
    <t>CUSTOMER ACCOUNTS EXPENSES</t>
  </si>
  <si>
    <t>901</t>
  </si>
  <si>
    <t>Supervision</t>
  </si>
  <si>
    <t>902</t>
  </si>
  <si>
    <t>Meter Reading Exp.</t>
  </si>
  <si>
    <t>903</t>
  </si>
  <si>
    <t>Cust. Records &amp; Collection Exp.</t>
  </si>
  <si>
    <t>904</t>
  </si>
  <si>
    <t>905</t>
  </si>
  <si>
    <t>Misc. Exp.</t>
  </si>
  <si>
    <t xml:space="preserve">    TOTAL CUSTOMER ACCOUNTS EXP.</t>
  </si>
  <si>
    <t>CUSTOMER SERVICE AND INFORMATIONAL EXPENSES</t>
  </si>
  <si>
    <t>907</t>
  </si>
  <si>
    <t>908</t>
  </si>
  <si>
    <t>Cust. Assistance Exp.</t>
  </si>
  <si>
    <t>909</t>
  </si>
  <si>
    <t>Info. &amp; Instr. Advertising Exp.</t>
  </si>
  <si>
    <t>910</t>
  </si>
  <si>
    <t>Misc. Cust. Serv. &amp; Info. Exp.</t>
  </si>
  <si>
    <t xml:space="preserve">    TOTAL CUST. SRVC. &amp; INFO. EXPENSES</t>
  </si>
  <si>
    <t>SALES EXPENSES</t>
  </si>
  <si>
    <t>911</t>
  </si>
  <si>
    <t>912</t>
  </si>
  <si>
    <t>Demonstrating &amp; Selling</t>
  </si>
  <si>
    <t>913</t>
  </si>
  <si>
    <t>916</t>
  </si>
  <si>
    <t>Misc. Sales Exp.</t>
  </si>
  <si>
    <t xml:space="preserve">    TOTAL SALES EXPENSES</t>
  </si>
  <si>
    <t>ADMINISTRATIVE AND GENERAL EXPENSES</t>
  </si>
  <si>
    <t>920</t>
  </si>
  <si>
    <t>Admin. &amp; General Salaries</t>
  </si>
  <si>
    <t>921</t>
  </si>
  <si>
    <t>Office Supplies &amp; Exp.</t>
  </si>
  <si>
    <t>923</t>
  </si>
  <si>
    <t>Outside Services Employed</t>
  </si>
  <si>
    <t>924</t>
  </si>
  <si>
    <t>Property Insurance</t>
  </si>
  <si>
    <t>925</t>
  </si>
  <si>
    <t>Injuries &amp; Damages</t>
  </si>
  <si>
    <t>926</t>
  </si>
  <si>
    <t>Employee Pensions &amp; Benefits</t>
  </si>
  <si>
    <t>928</t>
  </si>
  <si>
    <t>Regulatory Commission Exp.</t>
  </si>
  <si>
    <t xml:space="preserve"> 930.1</t>
  </si>
  <si>
    <t>General Advertising Exp.</t>
  </si>
  <si>
    <t xml:space="preserve"> 930.2</t>
  </si>
  <si>
    <t>Misc. General Exp.</t>
  </si>
  <si>
    <t>931</t>
  </si>
  <si>
    <t>932</t>
  </si>
  <si>
    <t>Maintenance of General Plant</t>
  </si>
  <si>
    <t>922</t>
  </si>
  <si>
    <t>Capitalized Exp.</t>
  </si>
  <si>
    <t xml:space="preserve">    TOTAL ADM. &amp; GEN. EXPENSES</t>
  </si>
  <si>
    <t xml:space="preserve">       TOTAL O&amp;M EXPENSES (Excluding Gas Cost and Revenue Taxes)</t>
  </si>
  <si>
    <t>DEPRECIATION AND AMORTIZATION</t>
  </si>
  <si>
    <t>403</t>
  </si>
  <si>
    <t>Depreciation Expense</t>
  </si>
  <si>
    <t xml:space="preserve">  Propane Air Plant</t>
  </si>
  <si>
    <t xml:space="preserve">  Telemetry</t>
  </si>
  <si>
    <t xml:space="preserve">  Meters &amp; Regulators</t>
  </si>
  <si>
    <t xml:space="preserve">  Central Stores Warehouse</t>
  </si>
  <si>
    <t xml:space="preserve">  General Office</t>
  </si>
  <si>
    <t>407.1</t>
  </si>
  <si>
    <t>Amortization of Property Losses</t>
  </si>
  <si>
    <t xml:space="preserve">    TOTAL DEPRECIATION AND AMORTIZATION</t>
  </si>
  <si>
    <t>407.3</t>
  </si>
  <si>
    <t>TAXES OTHER THAN INCOME TAXES</t>
  </si>
  <si>
    <t xml:space="preserve"> 408.1</t>
  </si>
  <si>
    <t>Property, Payroll and Misc. Taxes</t>
  </si>
  <si>
    <t>INCOME TAXES - OPERATING</t>
  </si>
  <si>
    <t xml:space="preserve"> 409.1</t>
  </si>
  <si>
    <t>Federal Inc Taxes, Util Oper Inc</t>
  </si>
  <si>
    <t>State Income Taxes, Util Oper Inc</t>
  </si>
  <si>
    <t xml:space="preserve"> 410.1</t>
  </si>
  <si>
    <t>Provision For Defer'd Fed Inc Tax</t>
  </si>
  <si>
    <t>Provis'n For Defer'd State Inc Tax</t>
  </si>
  <si>
    <t xml:space="preserve"> 411.1</t>
  </si>
  <si>
    <t>Prov For Deferred Inc Tax - Credit</t>
  </si>
  <si>
    <t xml:space="preserve"> 411.4</t>
  </si>
  <si>
    <t>Investment Tax Credit Adjustments</t>
  </si>
  <si>
    <t xml:space="preserve">    TOTAL INCOME TAXES - OPERATING</t>
  </si>
  <si>
    <t xml:space="preserve">      * TOTAL OPERATING EXPENSES *</t>
  </si>
  <si>
    <t xml:space="preserve">          * TOTAL OPERATING INCOME *</t>
  </si>
  <si>
    <t>INTEREST CHARGES</t>
  </si>
  <si>
    <t>Interest on Long Term Debt</t>
  </si>
  <si>
    <t>431.0</t>
  </si>
  <si>
    <t>Other Interest Expense</t>
  </si>
  <si>
    <t>431.1</t>
  </si>
  <si>
    <t>Interest on Short Term Debt</t>
  </si>
  <si>
    <t>432.0</t>
  </si>
  <si>
    <t>AFUDC - Borrowed Funds</t>
  </si>
  <si>
    <t xml:space="preserve">    TOTAL INTEREST CHARGES</t>
  </si>
  <si>
    <t>MISCELLANEOUS NON-OPERATING INCOME</t>
  </si>
  <si>
    <t>415</t>
  </si>
  <si>
    <t>Rev. from Jobbing &amp; Contract Work</t>
  </si>
  <si>
    <t>416</t>
  </si>
  <si>
    <t>Exp. of Jobbing &amp; Contract Work</t>
  </si>
  <si>
    <t>417</t>
  </si>
  <si>
    <t>Revenues of Non-Utility Operations</t>
  </si>
  <si>
    <t xml:space="preserve"> 417.1</t>
  </si>
  <si>
    <t>Expenses of Non-Utility Operations</t>
  </si>
  <si>
    <t xml:space="preserve"> 418.1</t>
  </si>
  <si>
    <t>Equity in Earnings of Sub. Co.'s</t>
  </si>
  <si>
    <t>419</t>
  </si>
  <si>
    <t>Interest and Dividend Income</t>
  </si>
  <si>
    <t xml:space="preserve"> 419.1</t>
  </si>
  <si>
    <t>AFUDC - Equity Funds</t>
  </si>
  <si>
    <t>Taxes other Than Income Taxes</t>
  </si>
  <si>
    <t>421</t>
  </si>
  <si>
    <t>Misc. Non-Operating Income</t>
  </si>
  <si>
    <t xml:space="preserve"> 421.1</t>
  </si>
  <si>
    <t xml:space="preserve">    TOTAL MISCELLANEOUS NON-OPERATING INCOME</t>
  </si>
  <si>
    <t>INCOME TAXES AND OTHER INCOME DEDUCTIONS</t>
  </si>
  <si>
    <t xml:space="preserve"> 409.2</t>
  </si>
  <si>
    <t>Fed Income Taxes, Other Inc. &amp; Ded</t>
  </si>
  <si>
    <t>State Inc Taxes, Other Inc. &amp; Ded.</t>
  </si>
  <si>
    <t xml:space="preserve"> 410.2</t>
  </si>
  <si>
    <t>Prov For Def'd Inc Tax - Non Op</t>
  </si>
  <si>
    <t xml:space="preserve"> 411.2</t>
  </si>
  <si>
    <t>Prov For Def'd Inc Tax  CR  Non Op</t>
  </si>
  <si>
    <t xml:space="preserve"> 421.2</t>
  </si>
  <si>
    <t>Loss on Disposition of Property</t>
  </si>
  <si>
    <t xml:space="preserve"> 426.1</t>
  </si>
  <si>
    <t>Donations</t>
  </si>
  <si>
    <t xml:space="preserve"> 426.2</t>
  </si>
  <si>
    <t>Life Insurance</t>
  </si>
  <si>
    <t xml:space="preserve"> 426.3</t>
  </si>
  <si>
    <t>Penalties</t>
  </si>
  <si>
    <t xml:space="preserve"> 426.4</t>
  </si>
  <si>
    <t>Civic, Political &amp; Related Activ.</t>
  </si>
  <si>
    <t xml:space="preserve"> 426.5</t>
  </si>
  <si>
    <t>Other Deductions</t>
  </si>
  <si>
    <t xml:space="preserve">    TOTAL INCOME TAXES &amp; OTHER INCOME DEDUCTIONS</t>
  </si>
  <si>
    <t xml:space="preserve">              * NET INCOME *</t>
  </si>
  <si>
    <t>Net Plant in Service</t>
  </si>
  <si>
    <t>AMA</t>
  </si>
  <si>
    <t>Twelve Months</t>
  </si>
  <si>
    <t>Invested Capital</t>
  </si>
  <si>
    <t>Washington</t>
  </si>
  <si>
    <t>Ledger Type</t>
  </si>
  <si>
    <t>Year</t>
  </si>
  <si>
    <t>Format</t>
  </si>
  <si>
    <t>Period</t>
  </si>
  <si>
    <t>Currency</t>
  </si>
  <si>
    <t>Invested</t>
  </si>
  <si>
    <t>Capital</t>
  </si>
  <si>
    <t>Investment</t>
  </si>
  <si>
    <t>1012</t>
  </si>
  <si>
    <t>*</t>
  </si>
  <si>
    <t>Gas Plant In Service</t>
  </si>
  <si>
    <t>1062</t>
  </si>
  <si>
    <t>Gas Plant Completed Not Classified</t>
  </si>
  <si>
    <t>CWIP - Gas</t>
  </si>
  <si>
    <t xml:space="preserve">   TOTAL UTILITY PLANT</t>
  </si>
  <si>
    <t>1082</t>
  </si>
  <si>
    <t>8</t>
  </si>
  <si>
    <t>RWIP - Gas</t>
  </si>
  <si>
    <t>Accum Prov Deprec - Gas Util</t>
  </si>
  <si>
    <t>1112</t>
  </si>
  <si>
    <t>Amortization Expense (Intangible Plant)</t>
  </si>
  <si>
    <t>1152</t>
  </si>
  <si>
    <t>Accum Prov for Gas Acq Adj</t>
  </si>
  <si>
    <t xml:space="preserve">    Subtotal - Accum Depreciation</t>
  </si>
  <si>
    <t>1087</t>
  </si>
  <si>
    <t>Accum Prov Gas - Non-ARO</t>
  </si>
  <si>
    <t xml:space="preserve">   Subtotal - reclassed Accum Deprec</t>
  </si>
  <si>
    <t xml:space="preserve">   TOTAL ACCUM DEPRECIATION</t>
  </si>
  <si>
    <t xml:space="preserve">    NET PLANT</t>
  </si>
  <si>
    <t>1231</t>
  </si>
  <si>
    <t xml:space="preserve">Investment in Subs </t>
  </si>
  <si>
    <t xml:space="preserve">   TOTAL INVESTMENT IN SUBS</t>
  </si>
  <si>
    <t>1210</t>
  </si>
  <si>
    <t>Nonutility Property</t>
  </si>
  <si>
    <t>1220</t>
  </si>
  <si>
    <t>Nonutility Acc Prov Depr &amp; Amort</t>
  </si>
  <si>
    <t xml:space="preserve">   TOTAL OTHER INVESTMENTS</t>
  </si>
  <si>
    <t>1310</t>
  </si>
  <si>
    <t>1*</t>
  </si>
  <si>
    <t>1350</t>
  </si>
  <si>
    <t xml:space="preserve">   TOTAL CASH</t>
  </si>
  <si>
    <t>1360</t>
  </si>
  <si>
    <t xml:space="preserve">   TOTAL CASH EQUIVALENTS</t>
  </si>
  <si>
    <t>1420</t>
  </si>
  <si>
    <t>1432</t>
  </si>
  <si>
    <t xml:space="preserve">   Subtotal - Other A/R</t>
  </si>
  <si>
    <t>1410</t>
  </si>
  <si>
    <t xml:space="preserve">Notes Receivable - Imperium Renewable  </t>
  </si>
  <si>
    <t>2*</t>
  </si>
  <si>
    <t>Notes Receivable - Touchstone</t>
  </si>
  <si>
    <t>1460</t>
  </si>
  <si>
    <t>Accts Receivable - MDU</t>
  </si>
  <si>
    <t>001*</t>
  </si>
  <si>
    <t>041*</t>
  </si>
  <si>
    <t>067*</t>
  </si>
  <si>
    <t>Accts Receivable - CSG</t>
  </si>
  <si>
    <t>044*</t>
  </si>
  <si>
    <t>046*</t>
  </si>
  <si>
    <t>Accts Receivable - PCEH</t>
  </si>
  <si>
    <t>048*</t>
  </si>
  <si>
    <t>Accts Receivable - IGC</t>
  </si>
  <si>
    <t>060*</t>
  </si>
  <si>
    <t>Accts Receivable - WBI</t>
  </si>
  <si>
    <t>062*</t>
  </si>
  <si>
    <t>Accts Receivable - Knife River</t>
  </si>
  <si>
    <t xml:space="preserve">   Subtotal - Interco A/R</t>
  </si>
  <si>
    <t>1466</t>
  </si>
  <si>
    <t>Intercompany settlements</t>
  </si>
  <si>
    <t xml:space="preserve">   TOTAL RECEIVABLES</t>
  </si>
  <si>
    <t>1442</t>
  </si>
  <si>
    <t>1443</t>
  </si>
  <si>
    <t>1449</t>
  </si>
  <si>
    <t xml:space="preserve">   TOTAL ACCUM PROV UNCOLLECT</t>
  </si>
  <si>
    <t xml:space="preserve">   NET RECEIVABLES</t>
  </si>
  <si>
    <t>1540</t>
  </si>
  <si>
    <t>1630</t>
  </si>
  <si>
    <t>1641</t>
  </si>
  <si>
    <t>02</t>
  </si>
  <si>
    <t>Pipeline Imbalances</t>
  </si>
  <si>
    <t>1642</t>
  </si>
  <si>
    <t>Liquified Natural Gas Stored</t>
  </si>
  <si>
    <t xml:space="preserve">    NET INVENTORIES</t>
  </si>
  <si>
    <t>1655</t>
  </si>
  <si>
    <t>1659</t>
  </si>
  <si>
    <t>22</t>
  </si>
  <si>
    <t>Prepayments - Gas Storage</t>
  </si>
  <si>
    <t>1860</t>
  </si>
  <si>
    <t>1747</t>
  </si>
  <si>
    <t>Misc Current and Accrued Assets</t>
  </si>
  <si>
    <t>1750</t>
  </si>
  <si>
    <t>01</t>
  </si>
  <si>
    <t>Derivative Instruments - Current</t>
  </si>
  <si>
    <t xml:space="preserve">   TOTAL CURRENT &amp; ACCR ASSETS</t>
  </si>
  <si>
    <t>1732</t>
  </si>
  <si>
    <t>1734</t>
  </si>
  <si>
    <t xml:space="preserve">   TOTAL ACCRUED REVENUES</t>
  </si>
  <si>
    <t>1900</t>
  </si>
  <si>
    <t>1910</t>
  </si>
  <si>
    <t>(Over) Under Recovery of Purchased Gas</t>
  </si>
  <si>
    <t>1810</t>
  </si>
  <si>
    <t>12</t>
  </si>
  <si>
    <t>Unamort Debt Exp - 7.48% - 2027</t>
  </si>
  <si>
    <t>13</t>
  </si>
  <si>
    <t>Unamort Debt Exp - 7.10% - 2029</t>
  </si>
  <si>
    <t>17</t>
  </si>
  <si>
    <t xml:space="preserve">Unamort Debt Exp - 5.25% Insured notes </t>
  </si>
  <si>
    <t>18</t>
  </si>
  <si>
    <t>Unamort Debt Exp - 5.21% - 2020</t>
  </si>
  <si>
    <t>19</t>
  </si>
  <si>
    <t>Unamort Debt Exp - 5.79% - 2037</t>
  </si>
  <si>
    <t>20</t>
  </si>
  <si>
    <t>Unamort Debt Exp - 4.11% - 2025</t>
  </si>
  <si>
    <t>21</t>
  </si>
  <si>
    <t>Unamort Debt Exp - 4.36% - 2028</t>
  </si>
  <si>
    <t>Unamort Debt Exp - LOC 7/9/2018</t>
  </si>
  <si>
    <t>23</t>
  </si>
  <si>
    <t>24</t>
  </si>
  <si>
    <t>25</t>
  </si>
  <si>
    <t>26</t>
  </si>
  <si>
    <t xml:space="preserve">   TOTAL UNAMORT DEBT EXPENSE</t>
  </si>
  <si>
    <t>1890</t>
  </si>
  <si>
    <t>03</t>
  </si>
  <si>
    <t>04</t>
  </si>
  <si>
    <t>Unam Loss Reaq Debt - 7.50% - 2031</t>
  </si>
  <si>
    <t>Derivative Instruments - Noncurrent</t>
  </si>
  <si>
    <t>1823</t>
  </si>
  <si>
    <t>1840</t>
  </si>
  <si>
    <t>@2:184</t>
  </si>
  <si>
    <t>Other clearing</t>
  </si>
  <si>
    <t>1862</t>
  </si>
  <si>
    <t>1866</t>
  </si>
  <si>
    <t xml:space="preserve">   TOTAL DEFERRED CHG &amp; OTH ASSETS</t>
  </si>
  <si>
    <t>^Pgas</t>
  </si>
  <si>
    <t>Purchased Gas Costs</t>
  </si>
  <si>
    <t>^OMGasOp</t>
  </si>
  <si>
    <t>Gas Operating Expense</t>
  </si>
  <si>
    <t>[*,/5191]</t>
  </si>
  <si>
    <t>2488*</t>
  </si>
  <si>
    <t>Gas Operating Expense-4880</t>
  </si>
  <si>
    <t>^OMGasM</t>
  </si>
  <si>
    <t>Gas Maintenance Expense</t>
  </si>
  <si>
    <t xml:space="preserve">   TOTAL O&amp;M EXPENSES</t>
  </si>
  <si>
    <t>4073</t>
  </si>
  <si>
    <t>Regulatory debits</t>
  </si>
  <si>
    <t>4081</t>
  </si>
  <si>
    <t>^TOIPR</t>
  </si>
  <si>
    <t xml:space="preserve">     Subtotal Taxes Other Than Income</t>
  </si>
  <si>
    <t>4032</t>
  </si>
  <si>
    <t>4042</t>
  </si>
  <si>
    <t>4062</t>
  </si>
  <si>
    <t xml:space="preserve">   TOTAL DEPRECIATION</t>
  </si>
  <si>
    <t>4271</t>
  </si>
  <si>
    <t>Interest on LTD - 1st Mortgage Bonds</t>
  </si>
  <si>
    <t>4279</t>
  </si>
  <si>
    <t>Interest on LTD - Other</t>
  </si>
  <si>
    <t>1</t>
  </si>
  <si>
    <t>LOC Interest</t>
  </si>
  <si>
    <t>4310</t>
  </si>
  <si>
    <t>4280</t>
  </si>
  <si>
    <t>Amort of Debt Disc &amp; Expense</t>
  </si>
  <si>
    <t>4281</t>
  </si>
  <si>
    <t xml:space="preserve">     Subtotal Interest Expense</t>
  </si>
  <si>
    <t>4091</t>
  </si>
  <si>
    <t>4092</t>
  </si>
  <si>
    <t>4101</t>
  </si>
  <si>
    <t>4102</t>
  </si>
  <si>
    <t>4111</t>
  </si>
  <si>
    <t>4112</t>
  </si>
  <si>
    <t>Investment Tax Credit</t>
  </si>
  <si>
    <t xml:space="preserve">     Subtotal Income Taxes</t>
  </si>
  <si>
    <t>4211</t>
  </si>
  <si>
    <t>Gain on Disposition of Property</t>
  </si>
  <si>
    <t>4212</t>
  </si>
  <si>
    <t>4261</t>
  </si>
  <si>
    <t>4263</t>
  </si>
  <si>
    <t>4264</t>
  </si>
  <si>
    <t>4265</t>
  </si>
  <si>
    <t>4171</t>
  </si>
  <si>
    <t>6011</t>
  </si>
  <si>
    <t>4082</t>
  </si>
  <si>
    <t xml:space="preserve">     Subtotal BTL Expense</t>
  </si>
  <si>
    <t>4380</t>
  </si>
  <si>
    <t>Dividend Decl - Common Stock</t>
  </si>
  <si>
    <t xml:space="preserve">     Subtotal Dividends</t>
  </si>
  <si>
    <t xml:space="preserve">   TOTAL DEBITS</t>
  </si>
  <si>
    <t>2010</t>
  </si>
  <si>
    <t>Common Stock Issued</t>
  </si>
  <si>
    <t>2160</t>
  </si>
  <si>
    <t>Unapprop Retained Earnings</t>
  </si>
  <si>
    <t>2</t>
  </si>
  <si>
    <t>3</t>
  </si>
  <si>
    <t>R/E Performance Share Dividend Equivalents</t>
  </si>
  <si>
    <t>2071</t>
  </si>
  <si>
    <t>Premium on Capital Stock</t>
  </si>
  <si>
    <t>2100</t>
  </si>
  <si>
    <t>Misc Paid in Capital</t>
  </si>
  <si>
    <t>2190</t>
  </si>
  <si>
    <t>2141</t>
  </si>
  <si>
    <t xml:space="preserve">     TOTAL EQUITY</t>
  </si>
  <si>
    <t>2240</t>
  </si>
  <si>
    <t>7.48% MTN Due 9/15/2027</t>
  </si>
  <si>
    <t>7.10% MTN Due 3/16/2029</t>
  </si>
  <si>
    <t>Insured Qtrly 5.25% Notes Due 2/1/2035</t>
  </si>
  <si>
    <t>5.21% MTN Due 9/1/2020</t>
  </si>
  <si>
    <t>5.79% MTN Due 3/8/2037</t>
  </si>
  <si>
    <t>4.11% Snr Nt Due 8/23/2025</t>
  </si>
  <si>
    <t>4.36% Snr Nt Due 8/23/2028</t>
  </si>
  <si>
    <t>06</t>
  </si>
  <si>
    <t>07</t>
  </si>
  <si>
    <t>2242</t>
  </si>
  <si>
    <t>Committed Line of Credit</t>
  </si>
  <si>
    <t xml:space="preserve">     TOTAL LONG-TERM DEBT</t>
  </si>
  <si>
    <t>2310</t>
  </si>
  <si>
    <t>Short-term debt</t>
  </si>
  <si>
    <t>2330</t>
  </si>
  <si>
    <t>045</t>
  </si>
  <si>
    <t>Notes payable to Associated Companies</t>
  </si>
  <si>
    <t>2321</t>
  </si>
  <si>
    <t>2322</t>
  </si>
  <si>
    <t>Accts Pay - Gas costs</t>
  </si>
  <si>
    <t>Accts Pay - Miscellaneous Accruals</t>
  </si>
  <si>
    <t>2323</t>
  </si>
  <si>
    <t>Received Not Vouchered</t>
  </si>
  <si>
    <t>2340</t>
  </si>
  <si>
    <t>Accts Pay - Future Source</t>
  </si>
  <si>
    <t>0620</t>
  </si>
  <si>
    <t>Accts Pay - Knife River</t>
  </si>
  <si>
    <t>Accts Pay - CSG</t>
  </si>
  <si>
    <t>Accts Pay - PCEH</t>
  </si>
  <si>
    <t xml:space="preserve">     Subtotal Accounts Payable Intercompany</t>
  </si>
  <si>
    <t>2412</t>
  </si>
  <si>
    <t>2411</t>
  </si>
  <si>
    <t xml:space="preserve">     Subtotal Tax Collections Payable</t>
  </si>
  <si>
    <t xml:space="preserve">     TOTAL ACCOUNTS PAYABLE</t>
  </si>
  <si>
    <t>2361</t>
  </si>
  <si>
    <t>2362</t>
  </si>
  <si>
    <t>2363</t>
  </si>
  <si>
    <t>2364</t>
  </si>
  <si>
    <t>2380</t>
  </si>
  <si>
    <t>Dividends Declared</t>
  </si>
  <si>
    <t>2351</t>
  </si>
  <si>
    <t>Customer Deposits</t>
  </si>
  <si>
    <t>2372</t>
  </si>
  <si>
    <t>2422</t>
  </si>
  <si>
    <t>2420</t>
  </si>
  <si>
    <t>2423</t>
  </si>
  <si>
    <t>Misc Current Liab - Vacation Wages</t>
  </si>
  <si>
    <t>2429</t>
  </si>
  <si>
    <t>2282</t>
  </si>
  <si>
    <t>2284</t>
  </si>
  <si>
    <t>Curr Yr Due SGL Automotive</t>
  </si>
  <si>
    <t>2292</t>
  </si>
  <si>
    <t>2530</t>
  </si>
  <si>
    <t>Other Deferred Credits - Gas costs</t>
  </si>
  <si>
    <t>Core Gas Supply Hedging - Reg Liability</t>
  </si>
  <si>
    <t>2440</t>
  </si>
  <si>
    <t xml:space="preserve">     TOTAL MISC CURRENT LIABILITIES</t>
  </si>
  <si>
    <t>2283</t>
  </si>
  <si>
    <t>2300</t>
  </si>
  <si>
    <t>2520</t>
  </si>
  <si>
    <t>2539</t>
  </si>
  <si>
    <t>2540</t>
  </si>
  <si>
    <t>20222</t>
  </si>
  <si>
    <t>Reg Liab Post Retirement FAS 158</t>
  </si>
  <si>
    <t>Other Regulatory Liabilities - SFAS 109 Regulatory</t>
  </si>
  <si>
    <t xml:space="preserve">     TOTAL DEFERRED CREDITS</t>
  </si>
  <si>
    <t>2550</t>
  </si>
  <si>
    <t>Deferred Investment Tax Credits</t>
  </si>
  <si>
    <t>2820</t>
  </si>
  <si>
    <t>2830</t>
  </si>
  <si>
    <t xml:space="preserve">    TOTAL INCOME TAXES</t>
  </si>
  <si>
    <t>4002</t>
  </si>
  <si>
    <t>4009</t>
  </si>
  <si>
    <t>4880</t>
  </si>
  <si>
    <t>4891</t>
  </si>
  <si>
    <t>Rent from Gas Properties</t>
  </si>
  <si>
    <t>5000</t>
  </si>
  <si>
    <t>conversion earnings</t>
  </si>
  <si>
    <t xml:space="preserve">     TOTAL GAS REVENUE</t>
  </si>
  <si>
    <t>4190</t>
  </si>
  <si>
    <t>4210</t>
  </si>
  <si>
    <t>Misc Non-Oper Income</t>
  </si>
  <si>
    <t>4191</t>
  </si>
  <si>
    <t>4170</t>
  </si>
  <si>
    <t>Nonutility Revenues</t>
  </si>
  <si>
    <t xml:space="preserve">     TOTAL OTHER REVENUE</t>
  </si>
  <si>
    <t xml:space="preserve">     TOTAL CREDITS</t>
  </si>
  <si>
    <t>Totals</t>
  </si>
  <si>
    <t>Total Investment</t>
  </si>
  <si>
    <t>Line No.</t>
  </si>
  <si>
    <t xml:space="preserve">   Accumulated Depr. (Avg)</t>
  </si>
  <si>
    <t>Accum Tax depreciation</t>
  </si>
  <si>
    <t xml:space="preserve">   Accum Def Tax (Avg)</t>
  </si>
  <si>
    <t>FIT</t>
  </si>
  <si>
    <t>Rate Bate</t>
  </si>
  <si>
    <t>UTC Fees</t>
  </si>
  <si>
    <t>State B&amp;O Tax</t>
  </si>
  <si>
    <t xml:space="preserve">HOQUIAM LOGGERS PLAYDAY INC   </t>
  </si>
  <si>
    <t xml:space="preserve">GRAYS HARBOR MOUNTED POSSE    </t>
  </si>
  <si>
    <t>MASON COUNTY FOREST FESTIVAL A</t>
  </si>
  <si>
    <t>Total account 913</t>
  </si>
  <si>
    <t>Total Account 930.1</t>
  </si>
  <si>
    <t>Proposed Adjustments to Test Year Results</t>
  </si>
  <si>
    <t>R-1</t>
  </si>
  <si>
    <t>R-2</t>
  </si>
  <si>
    <t>P-1</t>
  </si>
  <si>
    <t>P-2</t>
  </si>
  <si>
    <t>P-4</t>
  </si>
  <si>
    <t>Pro Forma</t>
  </si>
  <si>
    <t>Results of</t>
  </si>
  <si>
    <t>Operation</t>
  </si>
  <si>
    <t>Annual Wages</t>
  </si>
  <si>
    <t>Wage</t>
  </si>
  <si>
    <t>Annual Wage</t>
  </si>
  <si>
    <t>Annualize</t>
  </si>
  <si>
    <t>Number</t>
  </si>
  <si>
    <t>Non-Capital</t>
  </si>
  <si>
    <t>Date</t>
  </si>
  <si>
    <t>Prior to increase</t>
  </si>
  <si>
    <t>increase</t>
  </si>
  <si>
    <t>Non-Union</t>
  </si>
  <si>
    <t>Union</t>
  </si>
  <si>
    <t>28130</t>
  </si>
  <si>
    <t>28700</t>
  </si>
  <si>
    <t>28710</t>
  </si>
  <si>
    <t>28740</t>
  </si>
  <si>
    <t>28780</t>
  </si>
  <si>
    <t>28790</t>
  </si>
  <si>
    <t>28800</t>
  </si>
  <si>
    <t>28870</t>
  </si>
  <si>
    <t>28890</t>
  </si>
  <si>
    <t>28900</t>
  </si>
  <si>
    <t>28920</t>
  </si>
  <si>
    <t>28930</t>
  </si>
  <si>
    <t>29020</t>
  </si>
  <si>
    <t>29030</t>
  </si>
  <si>
    <t>29200</t>
  </si>
  <si>
    <t>28720</t>
  </si>
  <si>
    <t>28750</t>
  </si>
  <si>
    <t>28760</t>
  </si>
  <si>
    <t>28880</t>
  </si>
  <si>
    <t>28940</t>
  </si>
  <si>
    <t>29350</t>
  </si>
  <si>
    <t>Employer FICA</t>
  </si>
  <si>
    <t>Revenue</t>
  </si>
  <si>
    <t>Property Tax</t>
  </si>
  <si>
    <t>R-3</t>
  </si>
  <si>
    <t>Restate</t>
  </si>
  <si>
    <t>Plant</t>
  </si>
  <si>
    <t>Capital Structure Calculation</t>
  </si>
  <si>
    <t>Pro Forma Plant Additions</t>
  </si>
  <si>
    <t xml:space="preserve">                       -  </t>
  </si>
  <si>
    <t>***</t>
  </si>
  <si>
    <t>1088</t>
  </si>
  <si>
    <t>Gas Accum Prov ARO</t>
  </si>
  <si>
    <t>Storage Boil-Off</t>
  </si>
  <si>
    <t>99</t>
  </si>
  <si>
    <t>Debt Issuance Cost Reclass</t>
  </si>
  <si>
    <t>000</t>
  </si>
  <si>
    <t>20209</t>
  </si>
  <si>
    <t>Regulatory Asset - ARO</t>
  </si>
  <si>
    <t>Oregon</t>
  </si>
  <si>
    <t>Annual Amortization</t>
  </si>
  <si>
    <t>MAOP</t>
  </si>
  <si>
    <t>Deferral</t>
  </si>
  <si>
    <t>Amortization</t>
  </si>
  <si>
    <t>MAOP Deferral Amortization</t>
  </si>
  <si>
    <t xml:space="preserve">CENTURYLINK                   </t>
  </si>
  <si>
    <t xml:space="preserve">YAKIMA VALLEY PIPPINS         </t>
  </si>
  <si>
    <t>Amount</t>
  </si>
  <si>
    <t>WA Allocated</t>
  </si>
  <si>
    <t xml:space="preserve">TOWN &amp; COUNTRY ADVERTISING    </t>
  </si>
  <si>
    <t>R-4</t>
  </si>
  <si>
    <t>CRM</t>
  </si>
  <si>
    <t>P-3</t>
  </si>
  <si>
    <t>4760500 MDUR Cross Charges to CNGC</t>
  </si>
  <si>
    <t>4767000 Credit and Collections</t>
  </si>
  <si>
    <t>4767400 Scheduling</t>
  </si>
  <si>
    <t>4767700 Communications</t>
  </si>
  <si>
    <t>4767800 Information Systems</t>
  </si>
  <si>
    <t>AA</t>
  </si>
  <si>
    <t>00047</t>
  </si>
  <si>
    <t>District</t>
  </si>
  <si>
    <t>Operating Report</t>
  </si>
  <si>
    <t xml:space="preserve">    REVENUES</t>
  </si>
  <si>
    <t xml:space="preserve">  Nat. Gas/Production Costs</t>
  </si>
  <si>
    <t xml:space="preserve">  Revenue Taxes</t>
  </si>
  <si>
    <t xml:space="preserve">    REVENUE</t>
  </si>
  <si>
    <t>WA Alloc</t>
  </si>
  <si>
    <t>Proposed Adjustment</t>
  </si>
  <si>
    <t>Notes</t>
  </si>
  <si>
    <t>Gas Intangible</t>
  </si>
  <si>
    <t>Total Intangible Plant</t>
  </si>
  <si>
    <t>Gas Distribution</t>
  </si>
  <si>
    <t>FP-101192 - MAIN-RELO-REPL-WASHINGTON</t>
  </si>
  <si>
    <t>FP-101196 - R STA-RELO-REPL-WASHINGTON</t>
  </si>
  <si>
    <t>FP-101197 - SERV-GROWTH-WASHINGTON</t>
  </si>
  <si>
    <t>FP-101200 - IND M&amp;R-GROWTH-WASHINGTON</t>
  </si>
  <si>
    <t>FP-101201 - IND M&amp;R-REMOVE&amp;REPL-WASHINGTON</t>
  </si>
  <si>
    <t>FP-101275 - SERV-RELO-REPL-WASHINGTON</t>
  </si>
  <si>
    <t>FP-302369 - GB - GROUNDBED WASHINGTON</t>
  </si>
  <si>
    <t>Total Distribution Plant</t>
  </si>
  <si>
    <t>Gas General</t>
  </si>
  <si>
    <t>FP-101204 - GP TRAN. VEHICLE - WASHINGTO</t>
  </si>
  <si>
    <t>Notes:</t>
  </si>
  <si>
    <t>Depreciation</t>
  </si>
  <si>
    <t>Expense</t>
  </si>
  <si>
    <t>FERC</t>
  </si>
  <si>
    <t>Acct</t>
  </si>
  <si>
    <t>Note:</t>
  </si>
  <si>
    <t xml:space="preserve">           Cascade Natural Gas</t>
  </si>
  <si>
    <t>Overall Revenue Increase</t>
  </si>
  <si>
    <t>RESULTS OF OPERATIONS SUMMARY SHEET</t>
  </si>
  <si>
    <t>Results of Operations Summary Sheet</t>
  </si>
  <si>
    <t>Summary of Proposed Plant Additions</t>
  </si>
  <si>
    <t>Line No:</t>
  </si>
  <si>
    <t>B</t>
  </si>
  <si>
    <t>C</t>
  </si>
  <si>
    <t>A</t>
  </si>
  <si>
    <t xml:space="preserve">C </t>
  </si>
  <si>
    <t>D</t>
  </si>
  <si>
    <t>E</t>
  </si>
  <si>
    <t>F</t>
  </si>
  <si>
    <t>G</t>
  </si>
  <si>
    <t>H</t>
  </si>
  <si>
    <t>I</t>
  </si>
  <si>
    <t>J</t>
  </si>
  <si>
    <t>K</t>
  </si>
  <si>
    <t>L</t>
  </si>
  <si>
    <t>M</t>
  </si>
  <si>
    <t>N</t>
  </si>
  <si>
    <t>O</t>
  </si>
  <si>
    <t>Ln 1</t>
  </si>
  <si>
    <t>Ln.</t>
  </si>
  <si>
    <t>Ln 6 / 2</t>
  </si>
  <si>
    <t>Ln 5 *3.75%</t>
  </si>
  <si>
    <t>Ln 9 / 2</t>
  </si>
  <si>
    <t>AMA Total</t>
  </si>
  <si>
    <t>State</t>
  </si>
  <si>
    <t>Depr Group</t>
  </si>
  <si>
    <t>Average of Monthly Avg Plant</t>
  </si>
  <si>
    <t>Average of MonthlyAvg Reserve</t>
  </si>
  <si>
    <t>CNG-302-G-Franchises-00038</t>
  </si>
  <si>
    <t>CNG-303-G-Intang-00038-40 YR-2014</t>
  </si>
  <si>
    <t>00038</t>
  </si>
  <si>
    <t>CNG-365-G-Land and Land Right-00038</t>
  </si>
  <si>
    <t>CNG-365-G-Rights-of-Way-00038</t>
  </si>
  <si>
    <t>CNG-367-G-Mains-00038</t>
  </si>
  <si>
    <t>CNG-369-G-Measuring/Regulatin-00038</t>
  </si>
  <si>
    <t>CNG-374-G-Land Right-00038</t>
  </si>
  <si>
    <t>CNG-374-G-Land-00038</t>
  </si>
  <si>
    <t>CNG-375-G-Lease Hold Improvem-00038</t>
  </si>
  <si>
    <t>CNG-375-G-Structures &amp; Improv-00038</t>
  </si>
  <si>
    <t>CNG-376-G-Mains-High Pressure-00038</t>
  </si>
  <si>
    <t>CNG-376-G-Mains-Plastic-00038</t>
  </si>
  <si>
    <t>CNG-376-G-Mains-Steel-00038</t>
  </si>
  <si>
    <t>CNG-378-G-Measure/Regulation -00038</t>
  </si>
  <si>
    <t>CNG-380-G-Services-Plastc-00038</t>
  </si>
  <si>
    <t>CNG-380-G-Services-Steel-00038</t>
  </si>
  <si>
    <t>CNG-382-G-Meter Set Installat-00038</t>
  </si>
  <si>
    <t>CNG-385-G-Industrial Meas. &amp; -00038</t>
  </si>
  <si>
    <t>CNG-386-G-Other Property Cust-00038</t>
  </si>
  <si>
    <t>CNG-389-G-Land &amp; Land Rights-00038</t>
  </si>
  <si>
    <t>CNG-390-G-Leasehold Improveme-00038</t>
  </si>
  <si>
    <t>CNG-390-G-Structures &amp; Improv-00038</t>
  </si>
  <si>
    <t>CNG-391-G-Office Equip-00038</t>
  </si>
  <si>
    <t>CNG-391-G-Office Furniture &amp; -00038</t>
  </si>
  <si>
    <t>CNG-392-G-Trailers-00038</t>
  </si>
  <si>
    <t>CNG-392-G-Transportation Equi-00038</t>
  </si>
  <si>
    <t>CNG-393-G-Stores Equip-00038</t>
  </si>
  <si>
    <t>CNG-394-G-Tools,Shop,Garage E-00038</t>
  </si>
  <si>
    <t>CNG-396-G-Power Operated Equi-00038</t>
  </si>
  <si>
    <t>CNG-396-G-Trailers-Work Equip-00038</t>
  </si>
  <si>
    <t>CNG-397-G-Radio Comm Equip-Fi-00038</t>
  </si>
  <si>
    <t>CNG-397-G-Radio Comm Equip-Mo-00038</t>
  </si>
  <si>
    <t>CNG-397-G-Supervisory &amp; Telem-00038</t>
  </si>
  <si>
    <t>CNG-397-G-Telephone &amp; Telex E-00038</t>
  </si>
  <si>
    <t>CNG-398-G-Miscellaneous Equip-00038</t>
  </si>
  <si>
    <t>00038 Total</t>
  </si>
  <si>
    <t>CNG-302-G-Franchises-00048</t>
  </si>
  <si>
    <t>CNG-303-G-Intang-00048-20 YR-2016</t>
  </si>
  <si>
    <t>00048</t>
  </si>
  <si>
    <t>CNG-303-G-Intang-00048-40 YR-2014</t>
  </si>
  <si>
    <t>CNG-303-G-Intang-00048-40 YR-2015</t>
  </si>
  <si>
    <t>CNG-365-G-Land and Land Right-00048</t>
  </si>
  <si>
    <t>CNG-365-G-Rights-of-Way-00048</t>
  </si>
  <si>
    <t>CNG-367-G-Mains-00048</t>
  </si>
  <si>
    <t>CNG-369-G-Measuring/Regulatin-00048</t>
  </si>
  <si>
    <t>CNG-374-G-Land Right-00048</t>
  </si>
  <si>
    <t>CNG-374-G-Land-00048</t>
  </si>
  <si>
    <t>CNG-375-G-Structures &amp; Improv-00048</t>
  </si>
  <si>
    <t>CNG-376-G-Mains-High Pressure-00048</t>
  </si>
  <si>
    <t>CNG-376-G-Mains-Plastic-00048</t>
  </si>
  <si>
    <t>CNG-376-G-Mains-Steel-00048</t>
  </si>
  <si>
    <t>CNG-377-G-Compressor Station-00048</t>
  </si>
  <si>
    <t>CNG-378-G-Measure/Regulation -00048</t>
  </si>
  <si>
    <t>CNG-380-G-Services-Plastc-00048</t>
  </si>
  <si>
    <t>CNG-380-G-Services-Steel-00048</t>
  </si>
  <si>
    <t>CNG-381-G-Meters-00048</t>
  </si>
  <si>
    <t>CNG-382-G-Meter Set Installat-00048</t>
  </si>
  <si>
    <t>CNG-385-G-Industrial Meas. &amp; -00048</t>
  </si>
  <si>
    <t>CNG-386-G-Other Property Cust-00048</t>
  </si>
  <si>
    <t>CNG-389-G-Land &amp; Land Rights-00048</t>
  </si>
  <si>
    <t>CNG-390-G-Leasehold Improveme-00048</t>
  </si>
  <si>
    <t>CNG-390-G-Structures &amp; Improv-00048</t>
  </si>
  <si>
    <t>CNG-391-G-Office Equip-00048</t>
  </si>
  <si>
    <t>CNG-391-G-Office Furniture &amp; -00048</t>
  </si>
  <si>
    <t>CNG-392-G-Trailers-00048</t>
  </si>
  <si>
    <t>CNG-392-G-Transportation Equi-00048</t>
  </si>
  <si>
    <t>CNG-393-G-Stores Equip-00048</t>
  </si>
  <si>
    <t>CNG-394-G-Tools,Shop,Garage E-00048</t>
  </si>
  <si>
    <t>CNG-394-G-Vehicle CNG Equip-00048</t>
  </si>
  <si>
    <t>CNG-395-G-Laboratory Equip-00048</t>
  </si>
  <si>
    <t>CNG-396-G-Power Operated Equi-00048</t>
  </si>
  <si>
    <t>CNG-396-G-Trailers-Work Equip-00048</t>
  </si>
  <si>
    <t>CNG-397-G-Radio Comm Equip-Fi-00048</t>
  </si>
  <si>
    <t>CNG-397-G-Radio Comm Equip-Mo-00048</t>
  </si>
  <si>
    <t>CNG-397-G-Supervisory &amp; Telem-00048</t>
  </si>
  <si>
    <t>CNG-397-G-Telephone &amp; Telex E-00048</t>
  </si>
  <si>
    <t>CNG-398-G-Miscellaneous Equip-00048</t>
  </si>
  <si>
    <t>00048 Total</t>
  </si>
  <si>
    <t>AS</t>
  </si>
  <si>
    <t>Allocated States</t>
  </si>
  <si>
    <t>CNG-301-G-Organization-00100</t>
  </si>
  <si>
    <t>CNG-303-G-Intang-00100-10 YR-2013</t>
  </si>
  <si>
    <t>00100</t>
  </si>
  <si>
    <t>CNG-303-G-Intang-00100-10 YR-2015</t>
  </si>
  <si>
    <t>CNG-303-G-Intang-00100-11 YR-2015</t>
  </si>
  <si>
    <t>CNG-303-G-Intang-00100-13 YR-2012</t>
  </si>
  <si>
    <t>CNG-303-G-Intang-00100-14 YR-2010</t>
  </si>
  <si>
    <t>CNG-303-G-Intang-00100-14 YR-2011</t>
  </si>
  <si>
    <t>CNG-303-G-Intang-00100-15 YR-2010</t>
  </si>
  <si>
    <t>CNG-303-G-Intang-00100-15 YR-2012</t>
  </si>
  <si>
    <t>CNG-303-G-Intang-00100-3 YR-2010</t>
  </si>
  <si>
    <t>CNG-303-G-Intang-00100-5 YR-2011</t>
  </si>
  <si>
    <t>CNG-303-G-Intang-00100-7 YR-2012</t>
  </si>
  <si>
    <t>CNG-303-G-Intang-00100-7 YR-2013</t>
  </si>
  <si>
    <t>CNG-303-G-Intang-00100-7 YR-2014</t>
  </si>
  <si>
    <t>CNG-303-G-Intang-00100-7 YR-2015</t>
  </si>
  <si>
    <t>CNG-374-G-Land-00100</t>
  </si>
  <si>
    <t>CNG-375-G-Structures &amp; Improv-00100</t>
  </si>
  <si>
    <t>CNG-389-G-Land &amp; Land Rights-00100</t>
  </si>
  <si>
    <t>CNG-390-G-Structures &amp; Improv-00100</t>
  </si>
  <si>
    <t>CNG-391-G-Comp Equip-Server &amp;-00100</t>
  </si>
  <si>
    <t>CNG-391-G-Office Equip-00100</t>
  </si>
  <si>
    <t>CNG-391-G-Office Furniture &amp; -00100</t>
  </si>
  <si>
    <t>CNG-391-G-Software-00100</t>
  </si>
  <si>
    <t>CNG-392-G-Trailers-00100</t>
  </si>
  <si>
    <t>CNG-392-G-Transportation Equi-00100</t>
  </si>
  <si>
    <t>CNG-393-G-Stores Equip-00100</t>
  </si>
  <si>
    <t>CNG-394-G-Tools,Shop,Garage E-00100</t>
  </si>
  <si>
    <t>CNG-395-G-Laboratory Equip-00100</t>
  </si>
  <si>
    <t>CNG-396-G-Power Operated Equi-00100</t>
  </si>
  <si>
    <t>CNG-396-G-Trailers-Work Equip-00100</t>
  </si>
  <si>
    <t>CNG-397-G-Radio Comm Equip-Mo-00100</t>
  </si>
  <si>
    <t>CNG-397-G-Supervisory &amp; Telem-00100</t>
  </si>
  <si>
    <t>CNG-397-G-Telephone &amp; Telex E-00100</t>
  </si>
  <si>
    <t>CNG-398-G-Miscellaneous Equip-00100</t>
  </si>
  <si>
    <t>CNG-381-G-ERTS-00101</t>
  </si>
  <si>
    <t>CNG-381-G-Meters-00101</t>
  </si>
  <si>
    <t>CNG-383-G-Service Regulators-00101</t>
  </si>
  <si>
    <t>00100 - 00101 Total</t>
  </si>
  <si>
    <t>No Jurisdiction Allocation</t>
  </si>
  <si>
    <t>CNG-372-G-Aro Trans Plant</t>
  </si>
  <si>
    <t>CNG-388-G-Aro Distrib Plant-OR</t>
  </si>
  <si>
    <t>CNG-388-G-Aro Distrib Plant-WA</t>
  </si>
  <si>
    <t>Grand Total</t>
  </si>
  <si>
    <t>WA 00048 Total (from above)</t>
  </si>
  <si>
    <t>100 AS accounts (allocation on 3 Factor Allocator)</t>
  </si>
  <si>
    <t>101 AS accounts (allocation on Customer Allocator)</t>
  </si>
  <si>
    <t>Total WA Plant)</t>
  </si>
  <si>
    <t>Total WA Reserve</t>
  </si>
  <si>
    <t>Total WA Plant in Service</t>
  </si>
  <si>
    <t>Total WA Accumulated Depreciation</t>
  </si>
  <si>
    <t>WA Customer Advances for Construction</t>
  </si>
  <si>
    <t>WA Deferred Taxes</t>
  </si>
  <si>
    <t>WA Working Capital</t>
  </si>
  <si>
    <t>Total WA Rate Base</t>
  </si>
  <si>
    <t>Total WA Plant in Service (AMA)</t>
  </si>
  <si>
    <t>Total WA Accum. Deprec. (AMA)</t>
  </si>
  <si>
    <t>UW</t>
  </si>
  <si>
    <t>UO</t>
  </si>
  <si>
    <t>LTD</t>
  </si>
  <si>
    <t>4</t>
  </si>
  <si>
    <t>5</t>
  </si>
  <si>
    <t>6</t>
  </si>
  <si>
    <t>7</t>
  </si>
  <si>
    <t>9</t>
  </si>
  <si>
    <t>10</t>
  </si>
  <si>
    <t>11</t>
  </si>
  <si>
    <t>CO</t>
  </si>
  <si>
    <t>BUS UNIT</t>
  </si>
  <si>
    <t>OBJ</t>
  </si>
  <si>
    <t>SUB ACCT</t>
  </si>
  <si>
    <t>S/L TYPE</t>
  </si>
  <si>
    <t>S/L NAME</t>
  </si>
  <si>
    <t>47</t>
  </si>
  <si>
    <t>CUSTOMER ADVANCES FOR CONSTRUCTION:</t>
  </si>
  <si>
    <t>WA OLD ACCOUNTS</t>
  </si>
  <si>
    <t>47WA</t>
  </si>
  <si>
    <t>[2000.2900]</t>
  </si>
  <si>
    <t>NEW ACCOUNTS</t>
  </si>
  <si>
    <t>[000.2000]</t>
  </si>
  <si>
    <t>FORFEITURES</t>
  </si>
  <si>
    <t>300</t>
  </si>
  <si>
    <t>MRC</t>
  </si>
  <si>
    <t>2991</t>
  </si>
  <si>
    <t>REFUND. CUST COM.</t>
  </si>
  <si>
    <t>2992</t>
  </si>
  <si>
    <t>REFUND. COMM CONTR.</t>
  </si>
  <si>
    <t>2993</t>
  </si>
  <si>
    <t>DEFERRED TAXES:</t>
  </si>
  <si>
    <t>FED UTIL ACRS DEP.</t>
  </si>
  <si>
    <t>96301</t>
  </si>
  <si>
    <t>FED DEBT REFINANCING COSTS</t>
  </si>
  <si>
    <t>96302</t>
  </si>
  <si>
    <t>STATE UTIL ACRS DEP.</t>
  </si>
  <si>
    <t>86301</t>
  </si>
  <si>
    <t>STATE DEBT REFINANCING COSTS</t>
  </si>
  <si>
    <t>86302</t>
  </si>
  <si>
    <t>SYSTEM</t>
  </si>
  <si>
    <t>See "Plant in Serv &amp; Accum Depr" tab</t>
  </si>
  <si>
    <t>See " Adv for Const. &amp; Def Tax" tab</t>
  </si>
  <si>
    <t>See "Working Capital" tab</t>
  </si>
  <si>
    <t>47OR</t>
  </si>
  <si>
    <t>861</t>
  </si>
  <si>
    <t>862</t>
  </si>
  <si>
    <t>865</t>
  </si>
  <si>
    <t>961</t>
  </si>
  <si>
    <t>962</t>
  </si>
  <si>
    <t>965</t>
  </si>
  <si>
    <t>T/B Total-2820</t>
  </si>
  <si>
    <t>T/B Total-2830</t>
  </si>
  <si>
    <t>OTHER DEFERRED TAXES:</t>
  </si>
  <si>
    <t xml:space="preserve">Line No. </t>
  </si>
  <si>
    <t>P</t>
  </si>
  <si>
    <t>Q</t>
  </si>
  <si>
    <t>R</t>
  </si>
  <si>
    <t>S</t>
  </si>
  <si>
    <t>T</t>
  </si>
  <si>
    <t>U</t>
  </si>
  <si>
    <t>V</t>
  </si>
  <si>
    <t>W</t>
  </si>
  <si>
    <t>X</t>
  </si>
  <si>
    <t>Y</t>
  </si>
  <si>
    <t>Z</t>
  </si>
  <si>
    <t>AB</t>
  </si>
  <si>
    <t>AC</t>
  </si>
  <si>
    <t>AD</t>
  </si>
  <si>
    <t>AE</t>
  </si>
  <si>
    <t>Plant in Service &amp; Accumulated Depreciation</t>
  </si>
  <si>
    <t>AF</t>
  </si>
  <si>
    <t>AG</t>
  </si>
  <si>
    <t>AH</t>
  </si>
  <si>
    <t>AI</t>
  </si>
  <si>
    <t>AJ</t>
  </si>
  <si>
    <t>AK</t>
  </si>
  <si>
    <t>AL</t>
  </si>
  <si>
    <t>AM</t>
  </si>
  <si>
    <t>AN</t>
  </si>
  <si>
    <t>AO</t>
  </si>
  <si>
    <t>AP</t>
  </si>
  <si>
    <t>AQ</t>
  </si>
  <si>
    <t>AR</t>
  </si>
  <si>
    <t>AT</t>
  </si>
  <si>
    <t>AU</t>
  </si>
  <si>
    <t>AV</t>
  </si>
  <si>
    <t>AW</t>
  </si>
  <si>
    <t>Advance for Construction &amp; Deferred Taxes</t>
  </si>
  <si>
    <r>
      <rPr>
        <vertAlign val="superscript"/>
        <sz val="12"/>
        <color theme="1"/>
        <rFont val="Calibri"/>
        <family val="2"/>
        <scheme val="minor"/>
      </rPr>
      <t>1</t>
    </r>
    <r>
      <rPr>
        <sz val="12"/>
        <color theme="1"/>
        <rFont val="Calibri"/>
        <family val="2"/>
        <scheme val="minor"/>
      </rPr>
      <t>Remaining period of the program after rate case effective date</t>
    </r>
  </si>
  <si>
    <t>Average</t>
  </si>
  <si>
    <t>dec</t>
  </si>
  <si>
    <t>nov</t>
  </si>
  <si>
    <t>oct</t>
  </si>
  <si>
    <t>sep</t>
  </si>
  <si>
    <t>aug</t>
  </si>
  <si>
    <t>jul</t>
  </si>
  <si>
    <t>jun</t>
  </si>
  <si>
    <t>may</t>
  </si>
  <si>
    <t>apr</t>
  </si>
  <si>
    <t>mar</t>
  </si>
  <si>
    <t>feb</t>
  </si>
  <si>
    <t>jan</t>
  </si>
  <si>
    <r>
      <rPr>
        <vertAlign val="superscript"/>
        <sz val="10"/>
        <rFont val="Arial"/>
        <family val="2"/>
      </rPr>
      <t>3</t>
    </r>
    <r>
      <rPr>
        <sz val="10"/>
        <rFont val="Arial"/>
        <family val="2"/>
      </rPr>
      <t xml:space="preserve"> CC&amp;B Revs, Bills, and Therms File</t>
    </r>
  </si>
  <si>
    <r>
      <t>OR</t>
    </r>
    <r>
      <rPr>
        <vertAlign val="superscript"/>
        <sz val="10"/>
        <rFont val="Arial"/>
        <family val="2"/>
      </rPr>
      <t>3</t>
    </r>
  </si>
  <si>
    <r>
      <t>WA</t>
    </r>
    <r>
      <rPr>
        <vertAlign val="superscript"/>
        <sz val="10"/>
        <rFont val="Arial"/>
        <family val="2"/>
      </rPr>
      <t>3</t>
    </r>
  </si>
  <si>
    <r>
      <rPr>
        <vertAlign val="superscript"/>
        <sz val="10"/>
        <rFont val="Arial"/>
        <family val="2"/>
      </rPr>
      <t>2</t>
    </r>
    <r>
      <rPr>
        <sz val="10"/>
        <rFont val="Arial"/>
        <family val="2"/>
      </rPr>
      <t xml:space="preserve"> JD Edwards Rate Base File </t>
    </r>
  </si>
  <si>
    <r>
      <rPr>
        <vertAlign val="superscript"/>
        <sz val="10"/>
        <rFont val="Arial"/>
        <family val="2"/>
      </rPr>
      <t>1</t>
    </r>
    <r>
      <rPr>
        <sz val="10"/>
        <rFont val="Arial"/>
        <family val="2"/>
      </rPr>
      <t>Human Resources Department Monthly Employee Count Spreadsheet</t>
    </r>
  </si>
  <si>
    <t>(1)  Excludes Interstate employees</t>
  </si>
  <si>
    <t xml:space="preserve">  Percentage</t>
  </si>
  <si>
    <t>Average of Monthly Averages</t>
  </si>
  <si>
    <t>Percentage</t>
  </si>
  <si>
    <t>Formula</t>
  </si>
  <si>
    <t>Avg. of Mo. Avgs.</t>
  </si>
  <si>
    <t>Gross Plant</t>
  </si>
  <si>
    <t>Employees</t>
  </si>
  <si>
    <t>Incl. CCNC</t>
  </si>
  <si>
    <t>Customers</t>
  </si>
  <si>
    <t>of Customers</t>
  </si>
  <si>
    <t xml:space="preserve">  Employees (1)</t>
  </si>
  <si>
    <t>Mo-Yr</t>
  </si>
  <si>
    <t>The following percentages are used for allocating interest on debt:</t>
  </si>
  <si>
    <t>Average No.</t>
  </si>
  <si>
    <t>Source: Customers Per Employee report</t>
  </si>
  <si>
    <t>Average Number of Customers</t>
  </si>
  <si>
    <r>
      <t>Gross Plant Percentage</t>
    </r>
    <r>
      <rPr>
        <vertAlign val="superscript"/>
        <sz val="10"/>
        <rFont val="Arial"/>
        <family val="2"/>
      </rPr>
      <t>2</t>
    </r>
  </si>
  <si>
    <r>
      <t>Average No. of Employees</t>
    </r>
    <r>
      <rPr>
        <vertAlign val="superscript"/>
        <sz val="10"/>
        <rFont val="Arial"/>
        <family val="2"/>
      </rPr>
      <t>1</t>
    </r>
  </si>
  <si>
    <t>State Allocation Formulas</t>
  </si>
  <si>
    <t>Depr. Rate</t>
  </si>
  <si>
    <t>Operating Report (Report is exported from Company's JDE accounting software)</t>
  </si>
  <si>
    <t>Figures are exported from JDE the company's accounting software.</t>
  </si>
  <si>
    <t>Figures are exported from JDE, the company's accounting software.</t>
  </si>
  <si>
    <t>Figures come from Tammy J Nygard Testimony Exhibit No. ____ (TJN-1T), page 3</t>
  </si>
  <si>
    <t>[1] Provided by Cascade Human Resources Accounting System</t>
  </si>
  <si>
    <t>Year-to-date [1]</t>
  </si>
  <si>
    <t>[2]</t>
  </si>
  <si>
    <t>Increase [2]</t>
  </si>
  <si>
    <t>[1]</t>
  </si>
  <si>
    <t>Effective Tax Rate</t>
  </si>
  <si>
    <t>State Allocation Formula</t>
  </si>
  <si>
    <t>Federal Income Tax @ 21%</t>
  </si>
  <si>
    <t>Executive</t>
  </si>
  <si>
    <t>Incentives</t>
  </si>
  <si>
    <t>Allocator (3-Factor Formula)</t>
  </si>
  <si>
    <t>YTD</t>
  </si>
  <si>
    <t>Bus'n</t>
  </si>
  <si>
    <t>Sub</t>
  </si>
  <si>
    <t xml:space="preserve">           Operating Investment</t>
  </si>
  <si>
    <t>Ln</t>
  </si>
  <si>
    <t>Current</t>
  </si>
  <si>
    <t>#</t>
  </si>
  <si>
    <t>Unit</t>
  </si>
  <si>
    <t>Assets</t>
  </si>
  <si>
    <t>Liabilities</t>
  </si>
  <si>
    <t>Allocated</t>
  </si>
  <si>
    <t>Non-Utility</t>
  </si>
  <si>
    <t>Working Capital</t>
  </si>
  <si>
    <t>( c)</t>
  </si>
  <si>
    <t>(d)</t>
  </si>
  <si>
    <t>( e)</t>
  </si>
  <si>
    <t>(f)</t>
  </si>
  <si>
    <t>(g)</t>
  </si>
  <si>
    <t>(h)</t>
  </si>
  <si>
    <t>1244</t>
  </si>
  <si>
    <t>2104</t>
  </si>
  <si>
    <t>2105</t>
  </si>
  <si>
    <t>2106</t>
  </si>
  <si>
    <t>2107</t>
  </si>
  <si>
    <t>47031</t>
  </si>
  <si>
    <t>47088</t>
  </si>
  <si>
    <t>47107</t>
  </si>
  <si>
    <t>47531</t>
  </si>
  <si>
    <t>00</t>
  </si>
  <si>
    <t>100</t>
  </si>
  <si>
    <t>400</t>
  </si>
  <si>
    <t>47031000</t>
  </si>
  <si>
    <t>47088000</t>
  </si>
  <si>
    <t>47090000</t>
  </si>
  <si>
    <t>47107000</t>
  </si>
  <si>
    <t>47358000</t>
  </si>
  <si>
    <t>47491000</t>
  </si>
  <si>
    <t>47531000</t>
  </si>
  <si>
    <t>47585000</t>
  </si>
  <si>
    <t>47586000</t>
  </si>
  <si>
    <t>47657000</t>
  </si>
  <si>
    <t>47698000</t>
  </si>
  <si>
    <t>47920000</t>
  </si>
  <si>
    <t>47931000</t>
  </si>
  <si>
    <t>47968000</t>
  </si>
  <si>
    <t>2308</t>
  </si>
  <si>
    <t>2400</t>
  </si>
  <si>
    <t>2301</t>
  </si>
  <si>
    <t>2401</t>
  </si>
  <si>
    <t>2501</t>
  </si>
  <si>
    <t>14</t>
  </si>
  <si>
    <t>20425</t>
  </si>
  <si>
    <t>20424</t>
  </si>
  <si>
    <t>975</t>
  </si>
  <si>
    <t>2037</t>
  </si>
  <si>
    <t>2042</t>
  </si>
  <si>
    <t>Other Regulatory Asset - FAS 158</t>
  </si>
  <si>
    <t>2044</t>
  </si>
  <si>
    <t>1000</t>
  </si>
  <si>
    <t>1010</t>
  </si>
  <si>
    <t>1020</t>
  </si>
  <si>
    <t>1100</t>
  </si>
  <si>
    <t>1110</t>
  </si>
  <si>
    <t>1120</t>
  </si>
  <si>
    <t>1200</t>
  </si>
  <si>
    <t>2020</t>
  </si>
  <si>
    <t>2200</t>
  </si>
  <si>
    <t>2220</t>
  </si>
  <si>
    <t>4020</t>
  </si>
  <si>
    <t>4100</t>
  </si>
  <si>
    <t>4120</t>
  </si>
  <si>
    <t>4220</t>
  </si>
  <si>
    <t>OR1</t>
  </si>
  <si>
    <t>201</t>
  </si>
  <si>
    <t>20208</t>
  </si>
  <si>
    <t>20443</t>
  </si>
  <si>
    <t>20444</t>
  </si>
  <si>
    <t>20448</t>
  </si>
  <si>
    <t>20449</t>
  </si>
  <si>
    <t>20460</t>
  </si>
  <si>
    <t>20472</t>
  </si>
  <si>
    <t>20478</t>
  </si>
  <si>
    <t>20479</t>
  </si>
  <si>
    <t>20430</t>
  </si>
  <si>
    <t>20431</t>
  </si>
  <si>
    <t>20462</t>
  </si>
  <si>
    <t>20463</t>
  </si>
  <si>
    <t>20466</t>
  </si>
  <si>
    <t>20476</t>
  </si>
  <si>
    <t>20477</t>
  </si>
  <si>
    <t>1441</t>
  </si>
  <si>
    <t>1445</t>
  </si>
  <si>
    <t>2442</t>
  </si>
  <si>
    <t>2443</t>
  </si>
  <si>
    <t>3441</t>
  </si>
  <si>
    <t>3442</t>
  </si>
  <si>
    <t>2111</t>
  </si>
  <si>
    <t>3111</t>
  </si>
  <si>
    <t>3112</t>
  </si>
  <si>
    <t>1221</t>
  </si>
  <si>
    <t>1222</t>
  </si>
  <si>
    <t>4114</t>
  </si>
  <si>
    <t>0</t>
  </si>
  <si>
    <t>101</t>
  </si>
  <si>
    <t>010</t>
  </si>
  <si>
    <t>009</t>
  </si>
  <si>
    <t>401</t>
  </si>
  <si>
    <t>320</t>
  </si>
  <si>
    <t>321</t>
  </si>
  <si>
    <t>322</t>
  </si>
  <si>
    <t>335</t>
  </si>
  <si>
    <t>339</t>
  </si>
  <si>
    <t>005*</t>
  </si>
  <si>
    <t>008*</t>
  </si>
  <si>
    <t>30</t>
  </si>
  <si>
    <t>31</t>
  </si>
  <si>
    <t>202</t>
  </si>
  <si>
    <t>224</t>
  </si>
  <si>
    <t>408</t>
  </si>
  <si>
    <t>304</t>
  </si>
  <si>
    <t>329</t>
  </si>
  <si>
    <t>01272</t>
  </si>
  <si>
    <t>01273</t>
  </si>
  <si>
    <t>01285</t>
  </si>
  <si>
    <t>01287</t>
  </si>
  <si>
    <t>01999</t>
  </si>
  <si>
    <t>01253</t>
  </si>
  <si>
    <t>01254</t>
  </si>
  <si>
    <t>01286</t>
  </si>
  <si>
    <t>02009</t>
  </si>
  <si>
    <t>02008</t>
  </si>
  <si>
    <t>0200</t>
  </si>
  <si>
    <t>200</t>
  </si>
  <si>
    <t>0101</t>
  </si>
  <si>
    <t>0106</t>
  </si>
  <si>
    <t>0104</t>
  </si>
  <si>
    <t>0108</t>
  </si>
  <si>
    <t>20201</t>
  </si>
  <si>
    <t>20217</t>
  </si>
  <si>
    <t>4800</t>
  </si>
  <si>
    <t>4800CP</t>
  </si>
  <si>
    <t>4809</t>
  </si>
  <si>
    <t>4809DE</t>
  </si>
  <si>
    <t>4810</t>
  </si>
  <si>
    <t>4810CP</t>
  </si>
  <si>
    <t>4810DE</t>
  </si>
  <si>
    <t>4813</t>
  </si>
  <si>
    <t>4809CP</t>
  </si>
  <si>
    <t>4811</t>
  </si>
  <si>
    <t>4811CP</t>
  </si>
  <si>
    <t>4811DE</t>
  </si>
  <si>
    <t>4813CP</t>
  </si>
  <si>
    <t>MSRV</t>
  </si>
  <si>
    <t>SLMD</t>
  </si>
  <si>
    <t>MMAT</t>
  </si>
  <si>
    <t>4861</t>
  </si>
  <si>
    <t>4863</t>
  </si>
  <si>
    <t>MISC</t>
  </si>
  <si>
    <t>DAMG</t>
  </si>
  <si>
    <t>1331</t>
  </si>
  <si>
    <t>1333</t>
  </si>
  <si>
    <t>1511</t>
  </si>
  <si>
    <t>TOTALS</t>
  </si>
  <si>
    <t>Cash Working Capital</t>
  </si>
  <si>
    <t>CWC</t>
  </si>
  <si>
    <t>ISWC</t>
  </si>
  <si>
    <t>Allocation Percentages based to Total Investment</t>
  </si>
  <si>
    <t>Allocated Investor Supplied Working Capital</t>
  </si>
  <si>
    <t>Pro Forma Wage</t>
  </si>
  <si>
    <t>Restate Wage</t>
  </si>
  <si>
    <t>2020 Wage</t>
  </si>
  <si>
    <t>MCP WP-1.8</t>
  </si>
  <si>
    <t>MCP WP-1.9</t>
  </si>
  <si>
    <t>MCP WP-1.10</t>
  </si>
  <si>
    <t>UG 19_____</t>
  </si>
  <si>
    <t>MCP WP-1.1</t>
  </si>
  <si>
    <t>MCP WP-1.7</t>
  </si>
  <si>
    <t>Provision for Rate Refund</t>
  </si>
  <si>
    <t>FP-300233 - ARLINGTON 6" HP REINFORCEMENT</t>
  </si>
  <si>
    <t>FP-316429 - RF; 6" HP; ABER; 12,500' BASICH BLV</t>
  </si>
  <si>
    <t>FP-316670 - RF; 12" HP; KENN; WALLULA HP LINE</t>
  </si>
  <si>
    <t>FP-317291 - Roof replacement/Parking lot - Bell</t>
  </si>
  <si>
    <t>MCP WP-1.2</t>
  </si>
  <si>
    <t xml:space="preserve">LOWER COLUMBIA CONTRACTORS    </t>
  </si>
  <si>
    <t>NORTHWEST EVENT ORGANIZERS INC</t>
  </si>
  <si>
    <t xml:space="preserve">OTHELLO RODEO ASSOCIATION     </t>
  </si>
  <si>
    <t>CENTRAL OREGON BUILDERS ASSOCI</t>
  </si>
  <si>
    <t xml:space="preserve">acct. 20856                   </t>
  </si>
  <si>
    <t>MCP WP-1.12</t>
  </si>
  <si>
    <t>MCP WP-1.13</t>
  </si>
  <si>
    <t>MCP WP-1.14</t>
  </si>
  <si>
    <t>Investment from MCP-6</t>
  </si>
  <si>
    <t>Ln 6 * .21</t>
  </si>
  <si>
    <t>(Ln 8 - Ln 6) * .21</t>
  </si>
  <si>
    <t>MCP WP-1.15</t>
  </si>
  <si>
    <t>[2] Union increase from the 2018 Agreement between CNGC and Local No. 121-C of the International Chemical Workers' Union Council/UFCW</t>
  </si>
  <si>
    <t>Routine Main/Service Operation</t>
  </si>
  <si>
    <t>Other</t>
  </si>
  <si>
    <t>Mains-Maintenance</t>
  </si>
  <si>
    <t>Station &amp; Odorizer Station</t>
  </si>
  <si>
    <t>Routine Meter Reading</t>
  </si>
  <si>
    <t>Customer Collection</t>
  </si>
  <si>
    <t>Administration &amp; General</t>
  </si>
  <si>
    <t>Operation Supervision &amp; Engineering</t>
  </si>
  <si>
    <t>Other Gas Supply</t>
  </si>
  <si>
    <t>Maintenance Supervision &amp; Engineering</t>
  </si>
  <si>
    <t>Customer Accounting</t>
  </si>
  <si>
    <t>Meter/Regulator Maintenance</t>
  </si>
  <si>
    <t>Maintenance of Other</t>
  </si>
  <si>
    <t>Measuring and Regulating-General</t>
  </si>
  <si>
    <t>Measuring and Regulating-Industrial</t>
  </si>
  <si>
    <t>Routine Meter and House Regulator</t>
  </si>
  <si>
    <t>Customer Installation</t>
  </si>
  <si>
    <t>Service</t>
  </si>
  <si>
    <t>Misc. Customer Service &amp; Information</t>
  </si>
  <si>
    <t>Maintenance of Measuring &amp; Regulating</t>
  </si>
  <si>
    <t>Customer Assistance</t>
  </si>
  <si>
    <t>Employee Pensions and Benefits</t>
  </si>
  <si>
    <t>Compressor Station Maintenance</t>
  </si>
  <si>
    <t xml:space="preserve">Compressor Station Operating </t>
  </si>
  <si>
    <t>MCP WP-1.4</t>
  </si>
  <si>
    <t>2018</t>
  </si>
  <si>
    <t>FED CUSTOMER ADVANCES</t>
  </si>
  <si>
    <t>FED TAX REFORM-PLANT</t>
  </si>
  <si>
    <t>FED TAX REFORM-RATE BASE</t>
  </si>
  <si>
    <t>STATE CUSTOMER ADVANCES</t>
  </si>
  <si>
    <t>STATE TAX REFROM-RATE BASE</t>
  </si>
  <si>
    <t>96303</t>
  </si>
  <si>
    <t>96304</t>
  </si>
  <si>
    <t>96305</t>
  </si>
  <si>
    <t>86303</t>
  </si>
  <si>
    <t>86305</t>
  </si>
  <si>
    <t>MCP WP-1.3</t>
  </si>
  <si>
    <t>CNG-303-G-Intang-00038-40 YR-2016</t>
  </si>
  <si>
    <t>CNG-303-G-Intang-00038-40 YR-2017</t>
  </si>
  <si>
    <t>CNG-303-G-Intang-00048-20 YR-2017</t>
  </si>
  <si>
    <t>CNG-303-G-Intang-00048-40 YR-2017</t>
  </si>
  <si>
    <t>CNG-303-G-Intang-00048-40 YR-2018</t>
  </si>
  <si>
    <t>CNG-303-G-Intang-00100-10 YR-2016</t>
  </si>
  <si>
    <t>CNG-303-G-Intang-00100-10 YR-2017</t>
  </si>
  <si>
    <t>CNG-303-G-Intang-00100-15 YR-2017</t>
  </si>
  <si>
    <t>CNG-303-G-Intang-00100-15 YR-2018</t>
  </si>
  <si>
    <t>CNG-303-G-Intang-00100-3 YR-2017</t>
  </si>
  <si>
    <t>CNG-303-G-Intang-00100-5 YR-2016</t>
  </si>
  <si>
    <t>CNG-303-G-Intang-00100-5 YR-2017</t>
  </si>
  <si>
    <t>CNG-303-G-Intang-00100-5 YR-2018</t>
  </si>
  <si>
    <t>CNG-303-G-Intang-00100-7 YR-2016</t>
  </si>
  <si>
    <t>CNG-303-G-Intang-00100-7 YR-2017</t>
  </si>
  <si>
    <t>CNG-303-G-Intang-00100-7 YR-2018</t>
  </si>
  <si>
    <t>4760600 Human Resources</t>
  </si>
  <si>
    <t>4760800 Customer Service</t>
  </si>
  <si>
    <t>4763400 Enterprised GIS</t>
  </si>
  <si>
    <t>4766100 Fleet</t>
  </si>
  <si>
    <t>4767500 Compliance Systems &amp; Telecom</t>
  </si>
  <si>
    <t>4769400 Utility Group Controller</t>
  </si>
  <si>
    <t>Dec-2018 Plant</t>
  </si>
  <si>
    <t>Dec-2018 Reserve</t>
  </si>
  <si>
    <t>WA-Direct</t>
  </si>
  <si>
    <t>WA-Allocated</t>
  </si>
  <si>
    <t>IGC-WA</t>
  </si>
  <si>
    <t>MDU-WA</t>
  </si>
  <si>
    <t>MDUR- WA</t>
  </si>
  <si>
    <t>MDUR Exec Incentive Plan</t>
  </si>
  <si>
    <t>MDUR Employee Incentive Plan</t>
  </si>
  <si>
    <t>MDU Exec Incentive Plan</t>
  </si>
  <si>
    <t>MDU Employee Incentive Plan</t>
  </si>
  <si>
    <t>IGC Exec Incentive Plan</t>
  </si>
  <si>
    <t>CNG Direct Employee Incentive Plan</t>
  </si>
  <si>
    <t>CNG Allocated Employee Incentive Plan</t>
  </si>
  <si>
    <t>Total WA Executive Incentives</t>
  </si>
  <si>
    <t>Executive Incentives</t>
  </si>
  <si>
    <t>Remove Executive Incentives</t>
  </si>
  <si>
    <t>MCP WP-1.5</t>
  </si>
  <si>
    <t>MCP WP-1.6</t>
  </si>
  <si>
    <t>MCP WP-1.11</t>
  </si>
  <si>
    <t>MCP WP-1.16</t>
  </si>
  <si>
    <t>End of Year</t>
  </si>
  <si>
    <t>R-5</t>
  </si>
  <si>
    <t>R-6</t>
  </si>
  <si>
    <t xml:space="preserve">Restate </t>
  </si>
  <si>
    <t>State Grossup</t>
  </si>
  <si>
    <t>State FAS 109 adj</t>
  </si>
  <si>
    <t>State Non-current deferred Tax</t>
  </si>
  <si>
    <t>State Current Deferred Tax</t>
  </si>
  <si>
    <t>Federal Grossup</t>
  </si>
  <si>
    <t>Federal FAS 109 adj</t>
  </si>
  <si>
    <t>Federal Non-current deferred Tax</t>
  </si>
  <si>
    <t>Federal Current Deferred Tax</t>
  </si>
  <si>
    <t>864</t>
  </si>
  <si>
    <t>964</t>
  </si>
  <si>
    <t>T/B Total-1900</t>
  </si>
  <si>
    <t>December 2018</t>
  </si>
  <si>
    <t>2199</t>
  </si>
  <si>
    <t>Money Sweep (REPO) Account</t>
  </si>
  <si>
    <t>Accts Receivable - MDUR Resources</t>
  </si>
  <si>
    <t>Accts Receivable - Centenial Holdings</t>
  </si>
  <si>
    <t>47586001</t>
  </si>
  <si>
    <t>47968001</t>
  </si>
  <si>
    <t>15</t>
  </si>
  <si>
    <t>Prepayments - Other</t>
  </si>
  <si>
    <t>Prepayments - Software Maintenance Fee</t>
  </si>
  <si>
    <t>2047</t>
  </si>
  <si>
    <t>47020430</t>
  </si>
  <si>
    <t>47020431</t>
  </si>
  <si>
    <t>47020444</t>
  </si>
  <si>
    <t>47020449</t>
  </si>
  <si>
    <t>47020478</t>
  </si>
  <si>
    <t>1832</t>
  </si>
  <si>
    <t>20461</t>
  </si>
  <si>
    <t>20481</t>
  </si>
  <si>
    <t>20480</t>
  </si>
  <si>
    <t>Other Regulatory Asset - FAS 158 - MDUR Pension</t>
  </si>
  <si>
    <t>Preliminary Survey &amp; Investigations</t>
  </si>
  <si>
    <t>4262*</t>
  </si>
  <si>
    <t>4390</t>
  </si>
  <si>
    <t>Accts Pay - MDU</t>
  </si>
  <si>
    <t>004*</t>
  </si>
  <si>
    <t>TRA</t>
  </si>
  <si>
    <t>OR2</t>
  </si>
  <si>
    <t>WA1</t>
  </si>
  <si>
    <t>Interest Accrued - Line of Credit Loan Fee</t>
  </si>
  <si>
    <t>Interest Accrued - Line of Credit Accrued Interest</t>
  </si>
  <si>
    <t>2428</t>
  </si>
  <si>
    <t>336</t>
  </si>
  <si>
    <t>20482</t>
  </si>
  <si>
    <t>20483</t>
  </si>
  <si>
    <t>20484</t>
  </si>
  <si>
    <t>20485</t>
  </si>
  <si>
    <t>20486</t>
  </si>
  <si>
    <t>20487</t>
  </si>
  <si>
    <t>4800CV</t>
  </si>
  <si>
    <t>4809CV</t>
  </si>
  <si>
    <t>4810CV</t>
  </si>
  <si>
    <t>4811CV</t>
  </si>
  <si>
    <t>4813CV</t>
  </si>
  <si>
    <t>See tab "Plant in Serv &amp; Accum Depr", cell AF165, for WA amount in CNG Exh MCP 2-6 and WP-1 3-29-19</t>
  </si>
  <si>
    <t>See tab "Plant in Serv &amp; Accum Depr", cell AF159, for WA amount in CNG Exh MCP 2-6 and WP-1 3-29-19</t>
  </si>
  <si>
    <t>See tab "Adv for Const. &amp; Def Tax", line 10 , columns AV &amp; AW in CNG Exh MCP 2-6 and WP-1 3-29-19.xlsx</t>
  </si>
  <si>
    <t>See tab "Adv for Const. &amp; Def Tax", line 11, columns AV &amp; AW in CNG Exh MCP 2-6 and WP-1 3-29-19.xlsx</t>
  </si>
  <si>
    <t>See tab "Adv for Const. &amp; Def Tax", line 13, columns AV &amp; AW in CNG Exh MCP 2-6 and WP-1 3-29-19.xlsx</t>
  </si>
  <si>
    <t>See tab "Adv for Const. &amp; Def Tax", line 18, columns AV &amp; AW in CNG Exh MCP 2-6 and WP-1 3-29-19.xlsx</t>
  </si>
  <si>
    <t>See tab "Adv for Const. &amp; Def Tax", line 21, column AV in CNG Exh MCP 2-6 and WP-1 3-29-19.xlsx</t>
  </si>
  <si>
    <t>See tab "Adv for Const. &amp; Def Tax", line 25, column AW in CNG Exh MCP 2-6 and WP-1 3-29-19.xlsx</t>
  </si>
  <si>
    <t>See tab "Adv for Const. &amp; Def Tax", line 24, column AW in CNG Exh MCP 2-6 and WP-1 3-29-19.xlsx</t>
  </si>
  <si>
    <t>See tab "Adv for Const. &amp; Def Tax", line 19, columns AV &amp; AW in CNG Exh MCP 2-6 and WP-1 3-29-19.xlsx</t>
  </si>
  <si>
    <t>Estimated In-Service Date</t>
  </si>
  <si>
    <t>302-G-Franchises</t>
  </si>
  <si>
    <t>303-G-Misc. Intangible Plant</t>
  </si>
  <si>
    <t>365-G-Land and Land Rights</t>
  </si>
  <si>
    <t>365-G-Rights-of-Way</t>
  </si>
  <si>
    <t>367-G-Mains</t>
  </si>
  <si>
    <t>369-G-Measuring/Regulating Equipmen</t>
  </si>
  <si>
    <t>374-G-Land and Land Rights</t>
  </si>
  <si>
    <t>374-G-Land</t>
  </si>
  <si>
    <t>375-G-Structures &amp; Improvements</t>
  </si>
  <si>
    <t>376-G-Mains-High Pressure Steel</t>
  </si>
  <si>
    <t>376-G-Mains-Plastic</t>
  </si>
  <si>
    <t>376-G-Mains-Steel</t>
  </si>
  <si>
    <t>380-G-Services-Plastc</t>
  </si>
  <si>
    <t>380-G-Services-Steel</t>
  </si>
  <si>
    <t>381-G-ERT Units</t>
  </si>
  <si>
    <t>381-G-Meters</t>
  </si>
  <si>
    <t>382-G-Meter Set Installation</t>
  </si>
  <si>
    <t>383-G-Service Regulators</t>
  </si>
  <si>
    <t>385-G-Industrial Meas. &amp; Reg Stn Eq</t>
  </si>
  <si>
    <t>389-G-Land &amp; Land Rights</t>
  </si>
  <si>
    <t>390-G-Leasehold Improvement</t>
  </si>
  <si>
    <t>390-G-Structures &amp; Improvements</t>
  </si>
  <si>
    <t>391-G-Office Equipment</t>
  </si>
  <si>
    <t>391-G-Office Furniture &amp; Fixtures</t>
  </si>
  <si>
    <t>391-G-Comp Equip-Server &amp; Workstati</t>
  </si>
  <si>
    <t>393-G-Stores Equipment</t>
  </si>
  <si>
    <t>394-G-Tools,Shop,Garage Equip</t>
  </si>
  <si>
    <t>395-G-Laboratory Equipment</t>
  </si>
  <si>
    <t>397-G-Radio Comm Equip-Fixed</t>
  </si>
  <si>
    <t>397-G-Radio Comm Equip-Mobile</t>
  </si>
  <si>
    <t>397-G-Supervisory &amp; Telemeter Equip</t>
  </si>
  <si>
    <t>397-G-Telephone &amp; Telex Equip</t>
  </si>
  <si>
    <t>398-G-Miscellaneous Equipment</t>
  </si>
  <si>
    <t>From Exhibit No. MCP-6</t>
  </si>
  <si>
    <t>377-G-Compressor Station</t>
  </si>
  <si>
    <t>394-G-Vehicle CNG Equipment</t>
  </si>
  <si>
    <t>Other Investments - Funds held in trust</t>
  </si>
  <si>
    <t>Other Investments - Misc Insurance Assets</t>
  </si>
  <si>
    <t>Other Investments - SISP Defined Cont Plan</t>
  </si>
  <si>
    <t>Cash - Negative Cash Reclass</t>
  </si>
  <si>
    <t>Cash - General Account US Bank</t>
  </si>
  <si>
    <t>Cash - Acct Payable Disbursement</t>
  </si>
  <si>
    <t>Cash - Payroll Disbursement</t>
  </si>
  <si>
    <t>Cash - Concentration AP and Payroll</t>
  </si>
  <si>
    <t>Working Funds - Aberdeen</t>
  </si>
  <si>
    <t>Working Funds - Bellingham</t>
  </si>
  <si>
    <t>Working Funds - Bremerton</t>
  </si>
  <si>
    <t>Working Funds - Longview</t>
  </si>
  <si>
    <t>Customer Accounts Receivable - Suspense</t>
  </si>
  <si>
    <t>Other Accounts Receivable - Misc.</t>
  </si>
  <si>
    <t>Other Accounts Receivable - Billing Clearing Control</t>
  </si>
  <si>
    <t>Other Accounts Receivable - Empolyee Receivable</t>
  </si>
  <si>
    <t>Other Accounts Receivable - Old Cascade SISP Payments &amp; Unbilled Oregon PPF accrual</t>
  </si>
  <si>
    <t>Customer Accounts Receivable - Gas</t>
  </si>
  <si>
    <t>Customer Accounts Receivable - Large Volume</t>
  </si>
  <si>
    <t>Customer Accounts Receivable - BPP Reclass</t>
  </si>
  <si>
    <t>Other Receivables - Balance Forward</t>
  </si>
  <si>
    <t>Other Receivables - Current Year Write-Offs</t>
  </si>
  <si>
    <t>Other Receivables - Current Year Recoveries</t>
  </si>
  <si>
    <t>Other Receivables - Current Year Provision</t>
  </si>
  <si>
    <t>Accum Prov for Uncollect - Gas Balance Forward</t>
  </si>
  <si>
    <t>Accum Prov for Uncollect - Gas Current Year Write-Offs</t>
  </si>
  <si>
    <t>Accum Prov for Uncollect - Gas Current Year Recoveries</t>
  </si>
  <si>
    <t>Accum Prov for Uncollect - Gas Current Year Provision</t>
  </si>
  <si>
    <t>Accum Prov for Uncollect - Large Volume Balance Forward</t>
  </si>
  <si>
    <t>Accum Prov for Uncollect - Large Volume Current Year Provision</t>
  </si>
  <si>
    <t>Accum Prov for Uncollect - Large Volume Current Year Write-Offs</t>
  </si>
  <si>
    <t>Accum Prov for Uncollect - Large Volume Current Year Recoveries</t>
  </si>
  <si>
    <t>Plant Materials &amp; Op Supplies - Central Stores</t>
  </si>
  <si>
    <t>Plant Materials &amp; Op Supplies - Aberdeen</t>
  </si>
  <si>
    <t>Plant Materials &amp; Op Supplies - Bellingham</t>
  </si>
  <si>
    <t>Plant Materials &amp; Op Supplies - Bend</t>
  </si>
  <si>
    <t>Plant Materials &amp; Op Supplies - Bremerton</t>
  </si>
  <si>
    <t>Plant Materials &amp; Op Supplies - Hermiston</t>
  </si>
  <si>
    <t>Plant Materials &amp; Op Supplies - Kennewick</t>
  </si>
  <si>
    <t>Plant Materials &amp; Op Supplies - Longview</t>
  </si>
  <si>
    <t>Plant Materials &amp; Op Supplies - Moses Lake</t>
  </si>
  <si>
    <t>Plant Materials &amp; Op Supplies - Mount Vernon</t>
  </si>
  <si>
    <t>Plant Materials &amp; Op Supplies - Mount Vernon Fab Shop</t>
  </si>
  <si>
    <t>Plant Materials &amp; Op Supplies - Ontario</t>
  </si>
  <si>
    <t>Plant Materials &amp; Op Supplies - Pendleton</t>
  </si>
  <si>
    <t>Plant Materials &amp; Op Supplies - Walla Walla</t>
  </si>
  <si>
    <t>Plant Materials &amp; Op Supplies - Wenatchee</t>
  </si>
  <si>
    <t>Plant Materials &amp; Op Supplies - Yakima</t>
  </si>
  <si>
    <t>Plant Materials &amp; Op Supplies - Yakima Fab Shop</t>
  </si>
  <si>
    <t>Plant Materials &amp; Op Supplies - Odorant Inventory</t>
  </si>
  <si>
    <t>Undistributed Stores Exp - Inventory Freight Clearing</t>
  </si>
  <si>
    <t>Undistributed Stores Exp - Inventory Adjustment/Variance Clearing</t>
  </si>
  <si>
    <t xml:space="preserve"> Prepayments - Vehicle Licensing </t>
  </si>
  <si>
    <t>Prepayments - Gas Cost</t>
  </si>
  <si>
    <t>Prepayments - Federal Income Tax</t>
  </si>
  <si>
    <t>Prepayments - FIN48 Current</t>
  </si>
  <si>
    <t>Prepayments - Gross Revenue Fee</t>
  </si>
  <si>
    <t>Prepayments - Dept. of Energy Fee</t>
  </si>
  <si>
    <t>Prepayments - Property Tax</t>
  </si>
  <si>
    <t>Prepayments - State Income Tax</t>
  </si>
  <si>
    <t>Misc Def Dr - Regulatory assets current Core Gas Supply Hedging</t>
  </si>
  <si>
    <t>Accrued Gas Revenues - Unbilled Residential</t>
  </si>
  <si>
    <t>Accrued Gas Revenues - Unbilled Commercial</t>
  </si>
  <si>
    <t>Accrued Gas Revenues - Unbilled Industrial</t>
  </si>
  <si>
    <t>Accrued Transportation Revenues - Unbilled Transportation</t>
  </si>
  <si>
    <t>Accrued Transportation Revenues - Unbilled Transportation - Egen</t>
  </si>
  <si>
    <t>Accumulated Deferred Income Tax - Federal FAS109 Grossup</t>
  </si>
  <si>
    <t>Accumulated Deferred Income Tax - Federal FAS109 Adjustment</t>
  </si>
  <si>
    <t>Accumulated Deferred Income Tax - Federal Customer Advances</t>
  </si>
  <si>
    <t>Accumulated Deferred Income Tax - Federal NonReg</t>
  </si>
  <si>
    <t>Accumulated Deferred Income Tax - Federal noncurrent Reg</t>
  </si>
  <si>
    <t>Accumulated Deferred Income Tax - Federal current Reg</t>
  </si>
  <si>
    <t>Accumulated Deferred Income Tax - State FAS109 Grossup</t>
  </si>
  <si>
    <t>Accumulated Deferred Income Tax - State FAS109 Adjustment</t>
  </si>
  <si>
    <t>Accumulated Deferred Income Tax - State Customer Advances</t>
  </si>
  <si>
    <t>Accumulated Deferred Income Tax - State Tax Reform Plant RB</t>
  </si>
  <si>
    <t>Accumulated Deferred Income Tax - State NonReg</t>
  </si>
  <si>
    <t>Accumulated Deferred Income Tax - State noncurrent Reg</t>
  </si>
  <si>
    <t>Accumulated Deferred Income Tax - State current Reg</t>
  </si>
  <si>
    <t>Accumulated Deferred Income Tax - Federal Tax Reform Plant RB</t>
  </si>
  <si>
    <t>Other Regulatory Asset - SFAS 109</t>
  </si>
  <si>
    <t>Other Regulatory Asset - MAOP</t>
  </si>
  <si>
    <t>Other Regulatory Asset - Commercial Conservation Program</t>
  </si>
  <si>
    <t>Other Regulatory Asset - Low Income Weatherization</t>
  </si>
  <si>
    <t>Other Regulatory Asset - Conservation Administration &amp; Program Delivery Fees</t>
  </si>
  <si>
    <t>Other Regulatory Asset - Residential Conservation Program</t>
  </si>
  <si>
    <t>Other Regulatory Asset - Conservation Consolidated Adjustment</t>
  </si>
  <si>
    <t>Payroll clearing - Medical post tax</t>
  </si>
  <si>
    <t>Payroll clearing - Medical pre tax</t>
  </si>
  <si>
    <t>Payroll clearing - Medical Employer</t>
  </si>
  <si>
    <t>Payroll clearing - Dental post tax</t>
  </si>
  <si>
    <t>Payroll clearing - Dental pre tax</t>
  </si>
  <si>
    <t>Payroll clearing - Dental Employer</t>
  </si>
  <si>
    <t>Payroll clearing - Vision post tax</t>
  </si>
  <si>
    <t>Payroll clearing - Vision pre tax</t>
  </si>
  <si>
    <t>Payroll clearing - NCLI employer</t>
  </si>
  <si>
    <t>Payroll clearing - Voluntary Life</t>
  </si>
  <si>
    <t>Payroll clearing - AD&amp;D</t>
  </si>
  <si>
    <t>Payroll clearing - AD&amp;D Employer</t>
  </si>
  <si>
    <t>Payroll clearing - Spouse Life</t>
  </si>
  <si>
    <t>Payroll clearing - Dependent Life</t>
  </si>
  <si>
    <t>Payroll clearing - EAP Employer</t>
  </si>
  <si>
    <t>Payroll clearing - LTD</t>
  </si>
  <si>
    <t>Payroll clearing - LTD Employer</t>
  </si>
  <si>
    <t>Payroll clearing - STD Employer</t>
  </si>
  <si>
    <t>Payroll clearing - Oregon Workers Comp.</t>
  </si>
  <si>
    <t>Payroll clearing - Oregon Workers Comp. - Benefit Assess</t>
  </si>
  <si>
    <t>Payroll clearing - Washington Workers Comp.</t>
  </si>
  <si>
    <t>Misc Def Dr - Post Retirement FAS158</t>
  </si>
  <si>
    <t>Misc Def Dr - Intervener Funding Residual</t>
  </si>
  <si>
    <t>Misc Def Dr - Intervener Funding Deferral</t>
  </si>
  <si>
    <t>Misc Def Dr - Intervener Funding Preauth. Mat</t>
  </si>
  <si>
    <t>Misc Def Dr - Eugene MGP</t>
  </si>
  <si>
    <t>Misc Def Dr - Enviromental Remediation Cost Adjustment</t>
  </si>
  <si>
    <t>Misc Def Dr - Bremerton MGP</t>
  </si>
  <si>
    <t>Misc Def Dr - Bellingham MGP</t>
  </si>
  <si>
    <t>Misc Def Dr - MAOP Deferred Costs</t>
  </si>
  <si>
    <t>Misc Def Dr - Weather Variance Deferral</t>
  </si>
  <si>
    <t>Misc Def Dr - Conservation Variance Deferral</t>
  </si>
  <si>
    <t>Misc Def Dr - Adjustment Clearing</t>
  </si>
  <si>
    <t xml:space="preserve"> Misc Def Dr - Conservation Technical Adjustment </t>
  </si>
  <si>
    <t xml:space="preserve"> Other Regulatory Asset - Commercial Conservation Program </t>
  </si>
  <si>
    <t xml:space="preserve"> Other Regulatory Asset - Low Income Weatherization </t>
  </si>
  <si>
    <t xml:space="preserve"> Other Regulatory Asset - Conservation Administration &amp; Program Delivery Fees </t>
  </si>
  <si>
    <t xml:space="preserve"> Other Regulatory Asset - Residential Conservation Program </t>
  </si>
  <si>
    <t xml:space="preserve"> Other Regulatory Asset - Conservation Consolidated Adjustment </t>
  </si>
  <si>
    <t xml:space="preserve"> Misc Def Dr - Adjustment Clearing </t>
  </si>
  <si>
    <t xml:space="preserve"> Misc Def Dr - Decoupling Mechanism Adjustment </t>
  </si>
  <si>
    <t xml:space="preserve"> I/C Asset-Net Benefit Funding </t>
  </si>
  <si>
    <t xml:space="preserve"> Misc Def Dr - MAOP Pre-Code Costs </t>
  </si>
  <si>
    <t xml:space="preserve"> Taxes Other Than Income - Gross Revenue Regulatory Fee </t>
  </si>
  <si>
    <t>Taxes Other Than Income - Gross Revenue Regulatory Fee</t>
  </si>
  <si>
    <t xml:space="preserve"> Taxes Other Than Income - Property Tax </t>
  </si>
  <si>
    <t xml:space="preserve"> Taxes Other Than Income - Other Tax </t>
  </si>
  <si>
    <t xml:space="preserve"> Taxes Other Than Income - Department of Energy Fee </t>
  </si>
  <si>
    <t xml:space="preserve"> Taxes Other Than Income - Franchise Taxes </t>
  </si>
  <si>
    <t xml:space="preserve"> Taxes Other Than Income - Franchise Taxes Add on </t>
  </si>
  <si>
    <t xml:space="preserve"> Taxes Other Than Income - Business &amp; Occupation Tax </t>
  </si>
  <si>
    <t xml:space="preserve"> Taxes Other Than Income - Public Utility Tax </t>
  </si>
  <si>
    <t xml:space="preserve"> Taxes Other Than Income - Payroll Taxes </t>
  </si>
  <si>
    <t xml:space="preserve"> Depreciation Expense - Gas </t>
  </si>
  <si>
    <t xml:space="preserve"> Amortization Lim-Term Plant - Software </t>
  </si>
  <si>
    <t xml:space="preserve"> Amort Acquis Adj - Gas </t>
  </si>
  <si>
    <t xml:space="preserve"> Amort of Loss on Reacquired Debt </t>
  </si>
  <si>
    <t xml:space="preserve"> Other Interest Expense - Commitment Fee </t>
  </si>
  <si>
    <t xml:space="preserve"> Other Interest Expense - Customer Deposits </t>
  </si>
  <si>
    <t xml:space="preserve"> Other Interest Expense - Deferred Gas Costs </t>
  </si>
  <si>
    <t xml:space="preserve"> Other Interest Expense - Other Deferral Balances </t>
  </si>
  <si>
    <t xml:space="preserve"> Income Taxes, Other Inc &amp; Deductions - Federal </t>
  </si>
  <si>
    <t xml:space="preserve"> Prov for DIT- Other Inc &amp; Deductions - Federal Non-Utility </t>
  </si>
  <si>
    <t xml:space="preserve"> Income Taxes, Utility Operations - Federal </t>
  </si>
  <si>
    <t xml:space="preserve"> Income Taxes, Utility Operations - State </t>
  </si>
  <si>
    <t xml:space="preserve"> Income Taxes, Other Inc &amp; Deductions - State </t>
  </si>
  <si>
    <t xml:space="preserve"> Prov for DIT- Utility Operations - Federal </t>
  </si>
  <si>
    <t xml:space="preserve"> Prov for DIT- Utility Operations - State </t>
  </si>
  <si>
    <t xml:space="preserve"> Prov for DIT- Other Inc &amp; Deductions - State Non-Utility </t>
  </si>
  <si>
    <t xml:space="preserve"> Prov for DIT (CR) - Utility Op Income - Federal </t>
  </si>
  <si>
    <t xml:space="preserve"> Prov for DIT (CR) - Utility Op Income - State </t>
  </si>
  <si>
    <t xml:space="preserve"> Prov for DIT (CR) - Other Inc &amp; Deductions - Federal Non-Utility </t>
  </si>
  <si>
    <t xml:space="preserve"> Prov for DIT (CR) - Other Inc &amp; Deductions - State Non-Utility </t>
  </si>
  <si>
    <t xml:space="preserve"> Gain on Disposition of Property </t>
  </si>
  <si>
    <t xml:space="preserve"> Loss on Disposition of Property </t>
  </si>
  <si>
    <t xml:space="preserve"> Donations </t>
  </si>
  <si>
    <t xml:space="preserve"> SISP </t>
  </si>
  <si>
    <t xml:space="preserve"> Penalties </t>
  </si>
  <si>
    <t xml:space="preserve"> Lobbying </t>
  </si>
  <si>
    <t xml:space="preserve"> Other Deductions - Corporate Development </t>
  </si>
  <si>
    <t xml:space="preserve"> Expense of Nonutility </t>
  </si>
  <si>
    <t xml:space="preserve"> Purchased Gas Expense of Nonutility </t>
  </si>
  <si>
    <t xml:space="preserve"> Taxes Other Than Income - BTL Property Tax </t>
  </si>
  <si>
    <t>Other Comprehensive Income - CNG SERP</t>
  </si>
  <si>
    <t>Other Comprehensive Income - MDUR Resources SISP</t>
  </si>
  <si>
    <t>4.09% Snr Nt Due 11/24/2044</t>
  </si>
  <si>
    <t>4.24% Snr Nt Due 11/24/2054</t>
  </si>
  <si>
    <t>4.09% Snr Nt Due 01/15/2045</t>
  </si>
  <si>
    <t>4.24% Snr Nt Due 01/15/2055</t>
  </si>
  <si>
    <t xml:space="preserve">Trade Accounts Payable </t>
  </si>
  <si>
    <t>Accts Pay - VISA Credit Card - PNC Bank</t>
  </si>
  <si>
    <t>Accts Pay - Cap-Ex</t>
  </si>
  <si>
    <t>Accts Pay - Bank Charges</t>
  </si>
  <si>
    <t>Accts Pay - Misc. Payroll Deductions</t>
  </si>
  <si>
    <t>Accts Pay - 401K Employee Contribution</t>
  </si>
  <si>
    <t>Accts Pay - FSA - Medical</t>
  </si>
  <si>
    <t>Accts Pay - HSA Employee Contribution</t>
  </si>
  <si>
    <t>Accts Pay - 401K Loan Provision</t>
  </si>
  <si>
    <t>Accts Pay - CC&amp;B Customer Refund Requests</t>
  </si>
  <si>
    <t>Accts Pay - MDUR Resources</t>
  </si>
  <si>
    <t>Accts Pay - Centenial Holdings</t>
  </si>
  <si>
    <t>Accts Pay - IGC</t>
  </si>
  <si>
    <t>Tax Collection Pay - Employee Federeal Income Tax W/H</t>
  </si>
  <si>
    <t>Tax Collection Pay - Employee FICA W/H</t>
  </si>
  <si>
    <t>Tax Collection Pay - Employee State Income Tax W/H</t>
  </si>
  <si>
    <t>Tax Collection Pay - Employee State Transit W/H</t>
  </si>
  <si>
    <t>Income Taxes Accrued - Federal</t>
  </si>
  <si>
    <t>Other Taxes Accrued - FICA</t>
  </si>
  <si>
    <t>Other Taxes Accrued - FICA - Incentive Comp</t>
  </si>
  <si>
    <t>Other Taxes Accrued - Federal Unemployment</t>
  </si>
  <si>
    <t>Other Taxes Accrued - Oregon Unemployment</t>
  </si>
  <si>
    <t>Other Taxes Accrued - Oregon Workers Comp</t>
  </si>
  <si>
    <t>Other Taxes Accrued - Oregon Workers Comp Benefit Assist</t>
  </si>
  <si>
    <t>Other Taxes Accrued - Washington Unemployment</t>
  </si>
  <si>
    <t>Other Taxes Accrued - Washington Workers Comp</t>
  </si>
  <si>
    <t>Other Taxes Accrued - Washington Use Tax</t>
  </si>
  <si>
    <t>Interest Accrued - 7.48% MTN due 9/15/2027</t>
  </si>
  <si>
    <t>Interest Accrued - 7.10% MTN due 3/16/2029</t>
  </si>
  <si>
    <t>Interest Accrued - Insured Qtrly 5.25% Notes</t>
  </si>
  <si>
    <t>Interest Accrued - 5.21% MTN due 9/1/2020</t>
  </si>
  <si>
    <t>Interest Accrued - 5.79% MTN due 3/8/2037</t>
  </si>
  <si>
    <t>Interest Accrued - 4.11% Sr Nt due 8/23/2025</t>
  </si>
  <si>
    <t>Interest Accrued - 4.36% Sr Nt due 8/23/2028</t>
  </si>
  <si>
    <t>Interest Accrued - 4.09% Sr Nt due 11/24/2044</t>
  </si>
  <si>
    <t>Interest Accrued - 4.24% Sr Nt due 11/24/2054</t>
  </si>
  <si>
    <t>Interest Accrued - 4.09% Sr Nt due 1/15/2045</t>
  </si>
  <si>
    <t>Interest Accrued - 4.24% Sr Nt due 1/15/2055</t>
  </si>
  <si>
    <t>Other Current Liabilities - Misc. Accruals</t>
  </si>
  <si>
    <t>Other Current Liabilities - Accrued Accounting, Audit &amp; Tax</t>
  </si>
  <si>
    <t>Other Current Liabilities - SERP Current Liability</t>
  </si>
  <si>
    <t>Misc Current Liab - Wages Payable</t>
  </si>
  <si>
    <t>Misc Current Liab - Variable Pay Incentive Comp.</t>
  </si>
  <si>
    <t>Misc Current Liab - 401K - Employer Match</t>
  </si>
  <si>
    <t>Misc Current Liab - Accrued 401K Defined Con</t>
  </si>
  <si>
    <t>Misc Current Liab - Accrued 401K Profit Plan</t>
  </si>
  <si>
    <t>Misc Current Liab - Winter Help Program</t>
  </si>
  <si>
    <t>Accrued Provision - Tax Reform</t>
  </si>
  <si>
    <t>Other Taxes Accrued - City Franchise Tax</t>
  </si>
  <si>
    <t>Misc Current Liab - Energy Trust of Oregon</t>
  </si>
  <si>
    <t>Misc Current Liab - Weatherization</t>
  </si>
  <si>
    <t>Misc Current Liab - Low Income Bill Assist</t>
  </si>
  <si>
    <t>Misc Current Liab - Conservation Achievement Tariff</t>
  </si>
  <si>
    <t>Other Deferred Credits - Commodity Deferral</t>
  </si>
  <si>
    <t>Other Deferred Credits - Demand Deferral</t>
  </si>
  <si>
    <t>Other Deferred Credits - Consolidated Gas Cost Tech Adjustment</t>
  </si>
  <si>
    <t>Other Deferred Credits - Gas Cost Unbilled Ammortization</t>
  </si>
  <si>
    <t>Other Taxes Accrued - Washington Sales Tax</t>
  </si>
  <si>
    <t>Other Taxes Accrued - Property Tax</t>
  </si>
  <si>
    <t>Other Taxes Accrued - City Tax</t>
  </si>
  <si>
    <t>Other Taxes Accrued - Yakama Indian Nation Tax</t>
  </si>
  <si>
    <t>Other Taxes Accrued - Swinomish Tribal Tax</t>
  </si>
  <si>
    <t>Other Taxes Accrued - Gross Revenue Fee</t>
  </si>
  <si>
    <t>Other Taxes Accrued - Excise Tax</t>
  </si>
  <si>
    <t>Other Deferred Credits - Gas Costs</t>
  </si>
  <si>
    <t>Pension and Benefits - Deferred Compensation</t>
  </si>
  <si>
    <t>Pension and Benefits - SISP Defined Contribution Plan</t>
  </si>
  <si>
    <t>Pension and Benefits - MDUR SISP FAS158</t>
  </si>
  <si>
    <t>ARO Liability - Noncurrent</t>
  </si>
  <si>
    <t>Customer Advances for Construction - Balance</t>
  </si>
  <si>
    <t>Customer Advances for Construction - Addition</t>
  </si>
  <si>
    <t>Customer Advances for Construction - Refund</t>
  </si>
  <si>
    <t xml:space="preserve">Customer Advances for Construction - DCC/CCC Refundable </t>
  </si>
  <si>
    <t>Customer Advances for Construction - Forfeitures</t>
  </si>
  <si>
    <t>Other Deferred Credits - Customer Unclaimed Credit</t>
  </si>
  <si>
    <t>Pension Contribution</t>
  </si>
  <si>
    <t>Other Deferred Credits - SGL Automotive</t>
  </si>
  <si>
    <t>Other Regulatory Liabilities - Federal impOR rate change</t>
  </si>
  <si>
    <t>Accrued Provision - Injuries &amp; Damages NC (Eugene MGP)</t>
  </si>
  <si>
    <t>Other Regulatory Liabilities - Adjustment Clearing</t>
  </si>
  <si>
    <t>Accrued Provision - Injuries &amp; Damages NC (Bremerton MGP)</t>
  </si>
  <si>
    <t>Accrued Provision - Injuries &amp; Damages NC (Bellingham MGP)</t>
  </si>
  <si>
    <t>Other Regulatory Liabilities - Unbilled Ammortization</t>
  </si>
  <si>
    <t>Other Regulatory Liabilities - Protected-Plus EDIT</t>
  </si>
  <si>
    <t>Other Regulatory Liabilities - Protected-Plus EDIT grossup</t>
  </si>
  <si>
    <t>Other Regulatory Liabilities - Unprotected EDIT</t>
  </si>
  <si>
    <t>Other Regulatory Liabilities - Unprotected EDIT grossup</t>
  </si>
  <si>
    <t>Other Regulatory Liabilities - Temp Federal Income Tax Credit</t>
  </si>
  <si>
    <t>Other Regulatory Liabilities - Temp Federal Income Tax Credit grossup</t>
  </si>
  <si>
    <t>Other Regulatory Liabilities - Difference Temp Federal Income Tax Credit</t>
  </si>
  <si>
    <t>Accum DIT - Federal FAS109 grossup</t>
  </si>
  <si>
    <t>Accum DIT - Federal FAS109 adjustment</t>
  </si>
  <si>
    <t>Accum DIT - Federal Utility Plant Deferred, APB11. RB</t>
  </si>
  <si>
    <t>Accum DIT - Federal Oregon Rate Change Def</t>
  </si>
  <si>
    <t>Accum DIT - Federal Unamortized Loss on Reaquired Debt, RB</t>
  </si>
  <si>
    <t>Accum DIT - Federal Def Tax Liability, NonReg</t>
  </si>
  <si>
    <t>Accum DIT - Federal Def Tax Liability, NC, Reg</t>
  </si>
  <si>
    <t>Accum DIT - State FAS109 grossup</t>
  </si>
  <si>
    <t>Accum DIT - State FAS109 adjustment</t>
  </si>
  <si>
    <t>Accum DIT - State Utility Plant Deferred, APB11. RB</t>
  </si>
  <si>
    <t>Accum DIT - State Oregon Rate Change Def</t>
  </si>
  <si>
    <t>Accum DIT - Federal DIT-Tax Reform Plant</t>
  </si>
  <si>
    <t>Accum DIT - State Unamortized Loss on Reaquired Debt, RB</t>
  </si>
  <si>
    <t>Accum DIT - State Def Tax Liability, NonReg</t>
  </si>
  <si>
    <t>Accum DIT - State Def Tax Liability, NC, Reg</t>
  </si>
  <si>
    <t>Other Gas Revenues - Miscelllaneous</t>
  </si>
  <si>
    <t>Gas Billed Revenue - Residential</t>
  </si>
  <si>
    <t>Gas Billed Revenue - Residential CAP</t>
  </si>
  <si>
    <t>Gas Billed Revenue - Industrial</t>
  </si>
  <si>
    <t>Gas Billed Revenue - Industrial Deficiency Billing</t>
  </si>
  <si>
    <t>Gas Billed Revenue - Commercial</t>
  </si>
  <si>
    <t>Gas Billed Revenue - Commercial CAP</t>
  </si>
  <si>
    <t>Gas Billed Revenue - Commercial Deficiency Billing</t>
  </si>
  <si>
    <t>Gas Billed Revenue - Interruptible Industrial</t>
  </si>
  <si>
    <t>Unbilled Gas Revenue - Residential</t>
  </si>
  <si>
    <t>Unbilled Gas Revenue - Commercial</t>
  </si>
  <si>
    <t>Unbilled Gas Revenue - Interruptible Industrial</t>
  </si>
  <si>
    <t>Misc Gas Service Revenue - Miscellaneous</t>
  </si>
  <si>
    <t>Misc Gas Service Revenue - Service Line Modifications</t>
  </si>
  <si>
    <t>Gas Transportation Revenues - Large Volume Industrial</t>
  </si>
  <si>
    <t>Gas Transportation Revenues - Electric Generation Industrial</t>
  </si>
  <si>
    <t>Unbilled Gas Transport Revenues - Large Volume Industrial</t>
  </si>
  <si>
    <t>Unbilled Gas Transport Revenues - Electric Generation Industrial</t>
  </si>
  <si>
    <t>Other Gas Revenues - 3rd Party Damage</t>
  </si>
  <si>
    <t>Other Gas Revenues - Miscelllaneous Material Sales</t>
  </si>
  <si>
    <t>Other Gas Revenues - Service Line Modifications</t>
  </si>
  <si>
    <t>Tax Reform</t>
  </si>
  <si>
    <t>Gas Billed Revenue - Residential Decoupling</t>
  </si>
  <si>
    <t>Gas Billed Revenue - Residential Conservation</t>
  </si>
  <si>
    <t>Gas Billed Revenue - Industrial Decoupling</t>
  </si>
  <si>
    <t>Gas Billed Revenue - Industrial Conservation</t>
  </si>
  <si>
    <t>Gas Billed Revenue - Commercial Decoupling</t>
  </si>
  <si>
    <t>Gas Billed Revenue - Commercial Conservation</t>
  </si>
  <si>
    <t>Gas Billed Revenue - Interruptible Commercial</t>
  </si>
  <si>
    <t>Gas Billed Revenue - Interruptible Commercial Decoupling</t>
  </si>
  <si>
    <t>Gas Billed Revenue - Interruptible Commercial Conservation</t>
  </si>
  <si>
    <t>Gas Billed Revenue - Interruptible Commercial Deficiency Billing</t>
  </si>
  <si>
    <t>Gas Billed Revenue - Interruptible Industrial Decoupling</t>
  </si>
  <si>
    <t>Gas Billed Revenue - Interruptible Industrial Conservation</t>
  </si>
  <si>
    <t>Unbilled Gas Revenue - Interruptible Commercial</t>
  </si>
  <si>
    <t>Misc Gas Service Revenue - 3rd Party Damages</t>
  </si>
  <si>
    <t>Misc Gas Service Revenue - Miscellaneous Material Sales</t>
  </si>
  <si>
    <t>Misc Gas Service Revenue - Service Line Modification</t>
  </si>
  <si>
    <t>Tax Reform - Noncore</t>
  </si>
  <si>
    <t>Interest and Dividend Income - Short Term Investments</t>
  </si>
  <si>
    <t>Allow Other Funds Used During Construction</t>
  </si>
  <si>
    <t>Cash Discounts</t>
  </si>
  <si>
    <t>Interest and Dividend Income - CIAC Tax grossup</t>
  </si>
  <si>
    <t>Interest and Dividend Income - PGA related</t>
  </si>
  <si>
    <t>Funding Project #</t>
  </si>
  <si>
    <t>EOP</t>
  </si>
  <si>
    <t xml:space="preserve"> Proposed Plant Additions</t>
  </si>
  <si>
    <t xml:space="preserve">Function            </t>
  </si>
  <si>
    <t xml:space="preserve">Funding Project - Description      </t>
  </si>
  <si>
    <t xml:space="preserve">Account No. </t>
  </si>
  <si>
    <t xml:space="preserve">WA                     </t>
  </si>
  <si>
    <t>(A)</t>
  </si>
  <si>
    <t>(B)</t>
  </si>
  <si>
    <t>(C)</t>
  </si>
  <si>
    <t>(D)</t>
  </si>
  <si>
    <t>( E )</t>
  </si>
  <si>
    <t>(F)=(D)*( E )</t>
  </si>
  <si>
    <t>(G)</t>
  </si>
  <si>
    <t>(H)</t>
  </si>
  <si>
    <t>(I)</t>
  </si>
  <si>
    <t>Difference</t>
  </si>
  <si>
    <t>Annulize</t>
  </si>
  <si>
    <t>Total CRM Proposed Rev</t>
  </si>
  <si>
    <t>Less booked CRM</t>
  </si>
  <si>
    <t>Total CRM Adjustment</t>
  </si>
  <si>
    <t>Annualize CRM Adjustment</t>
  </si>
  <si>
    <t>End of Period Revenue Adjustment</t>
  </si>
  <si>
    <t xml:space="preserve">P </t>
  </si>
  <si>
    <t>End of Period</t>
  </si>
  <si>
    <t>Restate &amp; Pro Forma Wage Adjustment</t>
  </si>
  <si>
    <t>Working Capital (AMA)</t>
  </si>
  <si>
    <t>End of Period Depreciation Expense Adjustment</t>
  </si>
  <si>
    <t xml:space="preserve">Restate Revenues Adjustment </t>
  </si>
  <si>
    <t>Less Total Booked Margin</t>
  </si>
  <si>
    <t>Adjusted current margin revenues using weather normalized volumes at current margin rates</t>
  </si>
  <si>
    <t>Line #:</t>
  </si>
  <si>
    <t>Twelve Months Ended December 31, 2019</t>
  </si>
  <si>
    <t>UG 20_____</t>
  </si>
  <si>
    <t>12 Months Ended December 31, 2019</t>
  </si>
  <si>
    <t>Ended 12/31/2019</t>
  </si>
  <si>
    <t>2019</t>
  </si>
  <si>
    <t>For the Twelve Months Ended December 31, 2019</t>
  </si>
  <si>
    <t>Gas Plant In Service-Excluding ARO</t>
  </si>
  <si>
    <t>Gas Plant In Service-ARO Only</t>
  </si>
  <si>
    <t>@ACCTCatCode02:107</t>
  </si>
  <si>
    <t>Accum Prov Deprec - Gas Util Excluding ARO</t>
  </si>
  <si>
    <t>Accum Prov Deprec - Gas Util ARO Only</t>
  </si>
  <si>
    <t>1084</t>
  </si>
  <si>
    <t>2101</t>
  </si>
  <si>
    <t>2110</t>
  </si>
  <si>
    <t>Money Center Acctount - US Bank</t>
  </si>
  <si>
    <t>Temporary Cash Investments - Money Center Account - US Bank</t>
  </si>
  <si>
    <t>2103</t>
  </si>
  <si>
    <t>Temporary Cash Investments - Money Sweep (REPO) Account</t>
  </si>
  <si>
    <t>Other Accounts Receivable - Federal Income Tax</t>
  </si>
  <si>
    <t>Other Accounts Receivable - State Income Tax</t>
  </si>
  <si>
    <t>Other Accounts Receivable - Prepaid FIN48 - Current</t>
  </si>
  <si>
    <t>47G</t>
  </si>
  <si>
    <t>Receivable Federal Income Tax</t>
  </si>
  <si>
    <t>Accts Receivable - FutureSource</t>
  </si>
  <si>
    <t>Plant Materials &amp; Op Supplies - Truck Stock WA</t>
  </si>
  <si>
    <t>Undistributed Stores Exp - Non-Inventory Purchases Clearing</t>
  </si>
  <si>
    <t xml:space="preserve">Prepayments - Insurance  </t>
  </si>
  <si>
    <t>Prepaid Federal Income Tax</t>
  </si>
  <si>
    <t>100OR</t>
  </si>
  <si>
    <t>(Over) Under Recovery of Purchased Gas Costs</t>
  </si>
  <si>
    <t>100WA</t>
  </si>
  <si>
    <t>101WA</t>
  </si>
  <si>
    <t>Unamort Debt Exp - 4.09% - 2044</t>
  </si>
  <si>
    <t>Unamort Debt Exp - 4.24% - 2054</t>
  </si>
  <si>
    <t>Unamort Debt Exp - 4.09% - 2045</t>
  </si>
  <si>
    <t>Unamort Debt Exp - 4.24% - 2055</t>
  </si>
  <si>
    <t>27</t>
  </si>
  <si>
    <t>Unamort Debt Exp - 3.62% - 2029</t>
  </si>
  <si>
    <t>28</t>
  </si>
  <si>
    <t>Unamort Debt Exp - 3.82% - 2034</t>
  </si>
  <si>
    <t>29</t>
  </si>
  <si>
    <t>Unamort Debt Exp - 4.26% - 2049</t>
  </si>
  <si>
    <t>Other Regulatory Asset - Reclass</t>
  </si>
  <si>
    <t>2048</t>
  </si>
  <si>
    <t>Other Regulatory Asset - FAS 158 - MDUR Post-Retirement</t>
  </si>
  <si>
    <t>2049</t>
  </si>
  <si>
    <t>Other Regulatory Asset - FAS 158 Post-Retirment</t>
  </si>
  <si>
    <t>Misc Def Dr - Adjustment Clearing 1840</t>
  </si>
  <si>
    <t>Misc Def Dr - Over-Refunded Temp FIT</t>
  </si>
  <si>
    <t>[01999,20401999]</t>
  </si>
  <si>
    <t>Misc Def Dr - Unbilled Decoupling Amort</t>
  </si>
  <si>
    <t>Misc Def Dr - Decoupling Deferral</t>
  </si>
  <si>
    <t>1868</t>
  </si>
  <si>
    <t>Gas-Operating Right of Use Assets</t>
  </si>
  <si>
    <t>299</t>
  </si>
  <si>
    <t>Taxes Other Than Income - Delaware - MDUR</t>
  </si>
  <si>
    <t>LOC - Commitment Fee</t>
  </si>
  <si>
    <t>011</t>
  </si>
  <si>
    <t>Accrued Tax Interest</t>
  </si>
  <si>
    <t>1111</t>
  </si>
  <si>
    <t>Other Interest Expense - Short-term debt</t>
  </si>
  <si>
    <t>Other Interest Expense - Deferred Compensation</t>
  </si>
  <si>
    <t>3.62% Snr Nt Due 06/13/2029</t>
  </si>
  <si>
    <t>3.82% Snr Nt Due 06/13/2034</t>
  </si>
  <si>
    <t>4.26% Snr Nt Due 06/13/2049</t>
  </si>
  <si>
    <t>2241</t>
  </si>
  <si>
    <t>5.21% MTN Due 9/1/2020 - Due within 1 Year</t>
  </si>
  <si>
    <t>2270</t>
  </si>
  <si>
    <t>40</t>
  </si>
  <si>
    <t>Operating Lease Liability - Noncurrent</t>
  </si>
  <si>
    <t>41</t>
  </si>
  <si>
    <t>Financing Lease Liability - Noncurrent</t>
  </si>
  <si>
    <t>323</t>
  </si>
  <si>
    <t>Accts Pay - Child Support</t>
  </si>
  <si>
    <t>Accts Pay - WBI</t>
  </si>
  <si>
    <t>Accrued Provision - Injuries &amp; Damages Current</t>
  </si>
  <si>
    <t>WA2</t>
  </si>
  <si>
    <t>Interest Accrued - 3.62% Sr Nt due 6/13/2029</t>
  </si>
  <si>
    <t>Interest Accrued - 3.82% Sr Nt due 6/13/2034</t>
  </si>
  <si>
    <t>Interest Accrued - 4.26% Sr Nt due 6/13/2049</t>
  </si>
  <si>
    <t>2370</t>
  </si>
  <si>
    <t>Interest Accrued - Short-term debt</t>
  </si>
  <si>
    <t>Other Taxes Accrued - Dept. of Energy Fee</t>
  </si>
  <si>
    <t>01288</t>
  </si>
  <si>
    <t>Other Deferred Credits - Temporary Gas Cst 3-year Ammortization</t>
  </si>
  <si>
    <t>01289</t>
  </si>
  <si>
    <t>Adjustment Clearing</t>
  </si>
  <si>
    <t>2430</t>
  </si>
  <si>
    <t>Operating Lease Liability - Current</t>
  </si>
  <si>
    <t>Accrued Provision - Injuries &amp; Damages Non Current</t>
  </si>
  <si>
    <t>FAS 158 - MDUR Pension</t>
  </si>
  <si>
    <t>0109</t>
  </si>
  <si>
    <t>FAS 158 - MDUR Post-Retirement</t>
  </si>
  <si>
    <t>02011</t>
  </si>
  <si>
    <t>Core Gas Supply Hedging</t>
  </si>
  <si>
    <t>20488</t>
  </si>
  <si>
    <t>20489</t>
  </si>
  <si>
    <t>Other Regulatory Liabilities - OR Temp Federal Income Tax Credit</t>
  </si>
  <si>
    <t>02010</t>
  </si>
  <si>
    <t>001</t>
  </si>
  <si>
    <t>Interdepartmental Rents - MDU</t>
  </si>
  <si>
    <t>048</t>
  </si>
  <si>
    <t>Interdepartmental Rents - IGC</t>
  </si>
  <si>
    <t>Unbilled Gas Revenue - Residential Conservation</t>
  </si>
  <si>
    <t>Unbilled Gas Revenue - Commercial Conservation</t>
  </si>
  <si>
    <t>4962</t>
  </si>
  <si>
    <t>January 2019</t>
  </si>
  <si>
    <t>February 2019</t>
  </si>
  <si>
    <t>March 2019</t>
  </si>
  <si>
    <t>April 2019</t>
  </si>
  <si>
    <t>May 2019</t>
  </si>
  <si>
    <t>June 2019</t>
  </si>
  <si>
    <t>July 2019</t>
  </si>
  <si>
    <t>August 2019</t>
  </si>
  <si>
    <t>September 2019</t>
  </si>
  <si>
    <t>October 2019</t>
  </si>
  <si>
    <t>November 2019</t>
  </si>
  <si>
    <t>December 2019</t>
  </si>
  <si>
    <t>CY 2018 Allocation Factors to be used in CY 2019</t>
  </si>
  <si>
    <t>12 Months ended December 31, 2019</t>
  </si>
  <si>
    <t>UG 20 _____</t>
  </si>
  <si>
    <t>FP-101480 UG Implement Maximo Ph 1 CNG Direct</t>
  </si>
  <si>
    <t>FP-302596 WALLULA GATE; GTN</t>
  </si>
  <si>
    <t>FP-302621 LV CUSTOMER WEB SITE - DIRECT</t>
  </si>
  <si>
    <t>FP-306998 SOUTH WALLA GATE-WILLIAMS COSTS</t>
  </si>
  <si>
    <t>FP-316019 UG GIS ESRI UPGRADE - CNG DIRECT</t>
  </si>
  <si>
    <t>FP-316047 UG GIS LANDBASE - CNG DIRECT COST</t>
  </si>
  <si>
    <t>FP-316182 UG 2018 CC&amp;B UPGRADE - CNG DIRECT</t>
  </si>
  <si>
    <t>FP-316269 UG WEBLOGIC FOR JDE - CNG DIRE</t>
  </si>
  <si>
    <t>FP-316289 PowerPlan Lease CNG</t>
  </si>
  <si>
    <t>FP-316361 UG 2018 SCADA ENHANCE-CNG DIRECT</t>
  </si>
  <si>
    <t>FP-316451 UG Purch RabMQ Software CNG Direct</t>
  </si>
  <si>
    <t>FP-317322 ARLINGTON GATE UPGR; WILLIAMS COSTS</t>
  </si>
  <si>
    <t>FP-317617 UG-Migrate Aligne CNG Direct</t>
  </si>
  <si>
    <t>FP-318808 GR-OTHELLO-GT-OTHELLO GATE NWP</t>
  </si>
  <si>
    <t>FP-318822 Impl myWorld Leak Survey at CNGC</t>
  </si>
  <si>
    <t>FP-318987 GR-OTHELLO-NWP LAT FA COSTS</t>
  </si>
  <si>
    <t>FP-312009 - RP;R-130 (R-25) BURBANK</t>
  </si>
  <si>
    <t>FP-316034 - MAOP; 8" HP; OTHE; 11,500' W LEE RD</t>
  </si>
  <si>
    <t>FP-316046 - MAOP; 8" HP; YAKI; 4,500' YAKIMA RI</t>
  </si>
  <si>
    <t>FP-317060 - FRL; 10" HP; BELL; 2900' STATEBRIDG</t>
  </si>
  <si>
    <t>FP-316823 - RP; O-12(O-5) DEMI; DIRINJECT</t>
  </si>
  <si>
    <t>FP-316822 - RP; O-4(O-4) LAWR; DIRINJECT</t>
  </si>
  <si>
    <t>FP-316587 - RF; WALLULA GATE; R-127 &amp; O-14</t>
  </si>
  <si>
    <t>FP-316586 - RP; R-187 ARLINGTON GATE</t>
  </si>
  <si>
    <t>FP-101288 Purchase calibration field kit</t>
  </si>
  <si>
    <t>FP-101413 REPLACE WAREHOUSE FENCE WALLA WALLA</t>
  </si>
  <si>
    <t>FP-200043 RPL 8" TRANSMISSION BELFAIR</t>
  </si>
  <si>
    <t>FP-309960 Anacortes Upgrade</t>
  </si>
  <si>
    <t>FP-316146 RP; R-178 (R-137) FERNDALE</t>
  </si>
  <si>
    <t>FP-316589 RF; S WALLA GATE; R-4 &amp; O-2</t>
  </si>
  <si>
    <t>FP-317519 RP; 2" ST; SHELTON; 7,034' PH 3 SEC</t>
  </si>
  <si>
    <t>FP-317528 RP; 3/4" SL; SHELTON; PH 3 SEC 1 SE</t>
  </si>
  <si>
    <t>FP-317535 GR; R-128 BURB;TIE-IN TO ATTAL</t>
  </si>
  <si>
    <t>FP-317609 GR; R-80 ABER; BASICH BLV</t>
  </si>
  <si>
    <t>FP-318325 CRM, RP; 3/4" SL; ANACORT; PH 7 S 2</t>
  </si>
  <si>
    <t>FP-319086 GR; 4"; PE; WRIC; 2946; PARA</t>
  </si>
  <si>
    <t>FP-319193 MN,ILLAHEE PRESERVE,BREMERTON,WA</t>
  </si>
  <si>
    <t>FP-319209 GR; 4" HP; KALA; 2,500' SPENCER CRE</t>
  </si>
  <si>
    <t>FP-319238 MN,13559' SOUND VIEW,BREMERTON,WA</t>
  </si>
  <si>
    <t>FP-319247 RL;2"ST;YAKI;2,000'</t>
  </si>
  <si>
    <t>FP-319256 GR; 2" PE; PROS; 2,500'</t>
  </si>
  <si>
    <t>FP-319257 GR;4" SL; PROS; 1500 PATERSON RD</t>
  </si>
  <si>
    <t>Ties to account 2520 as shown in the tab titled "Working Capital Work Paper" cell S547-S551</t>
  </si>
  <si>
    <t>UG 20____</t>
  </si>
  <si>
    <t>2019 Property Tax Rate [1]</t>
  </si>
  <si>
    <t>2019 Assessment (Final)</t>
  </si>
  <si>
    <t>Actual taxes to be paid in 2019</t>
  </si>
  <si>
    <t xml:space="preserve">2ND HALF OF SPONSORSHIP       </t>
  </si>
  <si>
    <t xml:space="preserve">THUNDER MOUNTAIN PRO RODEO    </t>
  </si>
  <si>
    <t>RODEO BUCKING CHUTE SPONSORSHI</t>
  </si>
  <si>
    <t xml:space="preserve">SPONSORSHIP                   </t>
  </si>
  <si>
    <t xml:space="preserve">C CANNON 2-19                 </t>
  </si>
  <si>
    <t xml:space="preserve">Grandview Herald              </t>
  </si>
  <si>
    <t xml:space="preserve">Pendleton Babe Ruth           </t>
  </si>
  <si>
    <t xml:space="preserve">2019 8X8 SIGN SPONSOR         </t>
  </si>
  <si>
    <t xml:space="preserve">CAPECO                        </t>
  </si>
  <si>
    <t xml:space="preserve">BRONZE SPONSOR-DANCING STARS  </t>
  </si>
  <si>
    <t xml:space="preserve">Acct 300311214                </t>
  </si>
  <si>
    <t xml:space="preserve">FESTIVAL OF TREES             </t>
  </si>
  <si>
    <t xml:space="preserve">SPONSOR                       </t>
  </si>
  <si>
    <t xml:space="preserve">RCL 4768900 TO 4768700 CONSER </t>
  </si>
  <si>
    <t xml:space="preserve">PRODUCTION &amp; SPONSORSHIP      </t>
  </si>
  <si>
    <t>WA Direct</t>
  </si>
  <si>
    <t xml:space="preserve">UMATILLA CO FAIR PROMO 2019   </t>
  </si>
  <si>
    <t xml:space="preserve">'19 Pendleton Round Up Promo  </t>
  </si>
  <si>
    <t xml:space="preserve">EAST OREGONIAN                </t>
  </si>
  <si>
    <t xml:space="preserve">WELCOME TO PENDLETON 2019     </t>
  </si>
  <si>
    <t xml:space="preserve">NATL 4H WEEK ACCT 20856       </t>
  </si>
  <si>
    <t xml:space="preserve">ACCT 20856                    </t>
  </si>
  <si>
    <t xml:space="preserve">M ROGERS 6-19                 </t>
  </si>
  <si>
    <t xml:space="preserve">Welcome Baskets               </t>
  </si>
  <si>
    <t xml:space="preserve">July '19 Marketing            </t>
  </si>
  <si>
    <t xml:space="preserve">arena sign                    </t>
  </si>
  <si>
    <t xml:space="preserve">SHELTON MASON COUNTY          </t>
  </si>
  <si>
    <t xml:space="preserve">SPONSORED BASKET              </t>
  </si>
  <si>
    <t xml:space="preserve">2019 PROGRAM ADVERTISING      </t>
  </si>
  <si>
    <t xml:space="preserve">ALPHA MEDIA GRAYS HARBOR      </t>
  </si>
  <si>
    <t xml:space="preserve">SPONSOR HOLE                  </t>
  </si>
  <si>
    <t xml:space="preserve">Oysterfest 2019               </t>
  </si>
  <si>
    <t xml:space="preserve">program ad                    </t>
  </si>
  <si>
    <t xml:space="preserve">ARENA SIGN SPONSOR            </t>
  </si>
  <si>
    <t xml:space="preserve">AD DEPARTMENT, INC            </t>
  </si>
  <si>
    <t xml:space="preserve">Grandview Herald July 4 ad    </t>
  </si>
  <si>
    <t xml:space="preserve">CONFIRMATION NO 50225         </t>
  </si>
  <si>
    <t xml:space="preserve">FULL PAGE AD                  </t>
  </si>
  <si>
    <t xml:space="preserve">ACCT 29324 RENEWAL            </t>
  </si>
  <si>
    <t xml:space="preserve">ID: 29324                     </t>
  </si>
  <si>
    <t>gold sponsorship</t>
  </si>
  <si>
    <t>BISMARCK MANDAN TENNIS ASSOCIA</t>
  </si>
  <si>
    <t>SPONSORSHIP</t>
  </si>
  <si>
    <t>NORTH DAKOTA PROFESSIONAL COMM</t>
  </si>
  <si>
    <t>MISSOURI RIVER CLAY TARGET LEA</t>
  </si>
  <si>
    <t>C FONG 2-19</t>
  </si>
  <si>
    <t>RELENTLESS 5K</t>
  </si>
  <si>
    <t>MANDAN PROGRESS ORGANIZATION</t>
  </si>
  <si>
    <t>BISMARCK LARKS BASEBALL TEAM</t>
  </si>
  <si>
    <t>C FONG 6-19</t>
  </si>
  <si>
    <t>CHS FOOTBALL BOOSTER CLUB</t>
  </si>
  <si>
    <t>IOGCC-Interstate Oil &amp; Gas Com</t>
  </si>
  <si>
    <t>2019 RATE CARD &amp; CONTRACT</t>
  </si>
  <si>
    <t>BISMARCK-MANDAN CHAMBER OF COM</t>
  </si>
  <si>
    <t>Acct 1051-Babe Ruth sponsor</t>
  </si>
  <si>
    <t>BISMARCK PARKS &amp; RECREATION DI</t>
  </si>
  <si>
    <t>adv 145226</t>
  </si>
  <si>
    <t>PRAIRIE BUSINESS</t>
  </si>
  <si>
    <t>Bis-Man Chamber Campaign</t>
  </si>
  <si>
    <t>C FONG 1-19</t>
  </si>
  <si>
    <t>magnet clip</t>
  </si>
  <si>
    <t>Coaches Choice Inc</t>
  </si>
  <si>
    <t>patriot publications</t>
  </si>
  <si>
    <t>CENTURY HIGH SCHOOL</t>
  </si>
  <si>
    <t>acct 10460043089</t>
  </si>
  <si>
    <t>BISMARCK TRIBUNE - advertising</t>
  </si>
  <si>
    <t>backpacks</t>
  </si>
  <si>
    <t>convention welcome bags</t>
  </si>
  <si>
    <t>NORTH DAKOTA NEWSPAPER ASSOC</t>
  </si>
  <si>
    <t>Governor Cup Golf Birdie Level</t>
  </si>
  <si>
    <t>MONTANA CHAMBER FOUNDATION</t>
  </si>
  <si>
    <t>Issue 04 - 1/2 pg Ad</t>
  </si>
  <si>
    <t>Donation</t>
  </si>
  <si>
    <t>MANDAN GIRLS SOCCER BOOSTER CL</t>
  </si>
  <si>
    <t>Sponsor Eight Teams</t>
  </si>
  <si>
    <t>CITYSCAN AD 2019</t>
  </si>
  <si>
    <t>NORTH DAKOTA LEAGUE OF CITIES</t>
  </si>
  <si>
    <t>DEATH BY CHOC SPONSORHIP</t>
  </si>
  <si>
    <t>GIRL SCOUTS DAKOTA HORIZONS</t>
  </si>
  <si>
    <t>Acct 104-60043089</t>
  </si>
  <si>
    <t>DINNER SPONSOR</t>
  </si>
  <si>
    <t>BISMARCK STATE COLLEGE</t>
  </si>
  <si>
    <t>ACCT 00RXC9</t>
  </si>
  <si>
    <t>INK PUBLISHING CORPORATION</t>
  </si>
  <si>
    <t>C/N 599093</t>
  </si>
  <si>
    <t>VERNON COMPANY</t>
  </si>
  <si>
    <t>Larks STEM night event</t>
  </si>
  <si>
    <t>A BLESSUM 5-19</t>
  </si>
  <si>
    <t>MARCH PAT PUB</t>
  </si>
  <si>
    <t>silver sponsor PBR Bismarck</t>
  </si>
  <si>
    <t>Chad Berger Bucking Bulls</t>
  </si>
  <si>
    <t>silver sponsor-econ dev week</t>
  </si>
  <si>
    <t>WILLISTON ECONOMIC DEVELOPMENT</t>
  </si>
  <si>
    <t>2019 womens business summit</t>
  </si>
  <si>
    <t>CENTER FOR TECHNOLOGY &amp; BUSINE</t>
  </si>
  <si>
    <t>ads</t>
  </si>
  <si>
    <t>advertising</t>
  </si>
  <si>
    <t>IT'S HER BRAND MAGAZINE</t>
  </si>
  <si>
    <t>C FONG 9-19</t>
  </si>
  <si>
    <t>BIS MARATHON COR G/L</t>
  </si>
  <si>
    <t>DART ROCKET</t>
  </si>
  <si>
    <t>FLEXIBLE PENCILS</t>
  </si>
  <si>
    <t>GRAVITATE POLOS</t>
  </si>
  <si>
    <t>NITRO BASKETBALL DONATION</t>
  </si>
  <si>
    <t>RICK SCHOCK - BISMARCK NITRO</t>
  </si>
  <si>
    <t>104-60043089 due on acct</t>
  </si>
  <si>
    <t>Leadership Conf. Sponsorship</t>
  </si>
  <si>
    <t>SD BROADCASTERS ASSOCIATION</t>
  </si>
  <si>
    <t>MILITARY EMERGENCY RELIEF FUND</t>
  </si>
  <si>
    <t>KUPPER-CHEVROLET</t>
  </si>
  <si>
    <t>SILVER SPONSORSHIP</t>
  </si>
  <si>
    <t>DAKOTA WEST ARTS COUNCIL INVOI</t>
  </si>
  <si>
    <t>United Way Events</t>
  </si>
  <si>
    <t>N FERDERER 7-19</t>
  </si>
  <si>
    <t>V-102676</t>
  </si>
  <si>
    <t>WO V-102548</t>
  </si>
  <si>
    <t>WO V-102553</t>
  </si>
  <si>
    <t>20 FAST PASSES</t>
  </si>
  <si>
    <t>2019 DUCK RACE</t>
  </si>
  <si>
    <t>BISMARCK FIGURE SKATING CLUB</t>
  </si>
  <si>
    <t>2019-20 yr 1 of 3</t>
  </si>
  <si>
    <t>BOBCAT HOCKEY</t>
  </si>
  <si>
    <t>ad</t>
  </si>
  <si>
    <t>ALERT MAGAZINE</t>
  </si>
  <si>
    <t>Cybercon Sponsor</t>
  </si>
  <si>
    <t>Doc. 3107</t>
  </si>
  <si>
    <t>JULY 2019 ND SALES TAX REFUND</t>
  </si>
  <si>
    <t>Doc. 3108</t>
  </si>
  <si>
    <t>TWO ICE LOGOS</t>
  </si>
  <si>
    <t>Volleyball Team Sponsorship</t>
  </si>
  <si>
    <t>6 ads Star Newspaper</t>
  </si>
  <si>
    <t>Acct 5896-1111800</t>
  </si>
  <si>
    <t>US-YELLOW PAGES</t>
  </si>
  <si>
    <t>CITYSCAN ADVERTISING</t>
  </si>
  <si>
    <t>Cyber summit sponsor</t>
  </si>
  <si>
    <t>GREAT PLAINS INSTITUTE</t>
  </si>
  <si>
    <t>ENTERTAINMENT</t>
  </si>
  <si>
    <t>GEIGER, JIM</t>
  </si>
  <si>
    <t>program ad</t>
  </si>
  <si>
    <t>MANDAN BOYS HOCKEY</t>
  </si>
  <si>
    <t>Savor the Flavor</t>
  </si>
  <si>
    <t>R O''NEILL 9-19</t>
  </si>
  <si>
    <t>Sponsorship, EmPower ND</t>
  </si>
  <si>
    <t>J DEVER 9-19</t>
  </si>
  <si>
    <t>STUDENT COUNCIL DONATION</t>
  </si>
  <si>
    <t>MANDAN HIGH SCHOOL</t>
  </si>
  <si>
    <t>2019 Policy Summit</t>
  </si>
  <si>
    <t>GREATER NORTH DAKOTA CHAMBER O</t>
  </si>
  <si>
    <t>Bismarck Marathon sponsorship</t>
  </si>
  <si>
    <t>A BLESSUM 10-19</t>
  </si>
  <si>
    <t>Chamber Leadership event</t>
  </si>
  <si>
    <t>EDC-TRC Campaign</t>
  </si>
  <si>
    <t>Fall Art show ad</t>
  </si>
  <si>
    <t>BISMARCK ART &amp; GALLERIES ASSOC</t>
  </si>
  <si>
    <t>Mile marker supplies</t>
  </si>
  <si>
    <t>A BLESSUM 9-19</t>
  </si>
  <si>
    <t>MT Newspaper group meeting</t>
  </si>
  <si>
    <t>M HANSON 10-19</t>
  </si>
  <si>
    <t>newspaper ads</t>
  </si>
  <si>
    <t>THE MHS COURIER</t>
  </si>
  <si>
    <t>Runner shirts</t>
  </si>
  <si>
    <t>school paper ads</t>
  </si>
  <si>
    <t>BHS Hi-Herald</t>
  </si>
  <si>
    <t>Volunteer shirts</t>
  </si>
  <si>
    <t>WILLISTON PETROLEUM BANQUET</t>
  </si>
  <si>
    <t>WILLISTON API</t>
  </si>
  <si>
    <t>Workshop supporter</t>
  </si>
  <si>
    <t>WESTERN GOVERNORS ASSOCIATION</t>
  </si>
  <si>
    <t>ADVERTISING SPECIALS</t>
  </si>
  <si>
    <t>CAPITAL TROPHY, INC</t>
  </si>
  <si>
    <t>Community Bowl support</t>
  </si>
  <si>
    <t>BISMARCK MANDAN CHAMBER FOUNDA</t>
  </si>
  <si>
    <t>104-60043089</t>
  </si>
  <si>
    <t>Acct 1593</t>
  </si>
  <si>
    <t>CUST 1593</t>
  </si>
  <si>
    <t>Golf draw pak</t>
  </si>
  <si>
    <t>MEDIEVAL RUSH</t>
  </si>
  <si>
    <t>RAW RECREATION ATHLETIC WELLNE</t>
  </si>
  <si>
    <t>mini cutting board</t>
  </si>
  <si>
    <t>2019 [1]</t>
  </si>
  <si>
    <t xml:space="preserve">2020 Total </t>
  </si>
  <si>
    <t>2021 Wage</t>
  </si>
  <si>
    <t>Jan 1 2019</t>
  </si>
  <si>
    <t>Apr 1 2019</t>
  </si>
  <si>
    <t>28871</t>
  </si>
  <si>
    <t>5110: O&amp;M Straight time allocated to CNG by Business Unit for 2019</t>
  </si>
  <si>
    <t>2019 wage</t>
  </si>
  <si>
    <t>Office Suplies &amp; Expenses</t>
  </si>
  <si>
    <t>Demonstration</t>
  </si>
  <si>
    <t>Pipeline</t>
  </si>
  <si>
    <t>Operations</t>
  </si>
  <si>
    <t>Total Revenue Adjustment</t>
  </si>
  <si>
    <t>4760100 EVP Business Dev./Gas Supply</t>
  </si>
  <si>
    <t>4760300 Dir. Process Imprvmt &amp; Oper. Tech</t>
  </si>
  <si>
    <t>4761800 VP Safety, Proc. Improv. Tech.</t>
  </si>
  <si>
    <t>4762000 Technical Training</t>
  </si>
  <si>
    <t>4762300 Dir. Operations Policies &amp; Proc.</t>
  </si>
  <si>
    <t>4762500 VP Field Operations</t>
  </si>
  <si>
    <t>4763000 Dir. Quality Control</t>
  </si>
  <si>
    <t>4765800 Dir. Operations Services</t>
  </si>
  <si>
    <t>4766000 VP Operations &amp; Eng. Services</t>
  </si>
  <si>
    <t>4766300 Dir. of Construction Services</t>
  </si>
  <si>
    <t>4766400 Mgr. Operations Systems</t>
  </si>
  <si>
    <t>4766500 Dir. Systems Integrity</t>
  </si>
  <si>
    <t>47665WA Dir. Systems Integrity</t>
  </si>
  <si>
    <t>4766600 Safety Mgmt. &amp; Qlty. Assur.</t>
  </si>
  <si>
    <t>4766900 Dir. of Engineering Services</t>
  </si>
  <si>
    <t>4767100 Customer Service Director</t>
  </si>
  <si>
    <t>4767200 Meridian Customer Service</t>
  </si>
  <si>
    <t>4767300 Customer Development Service</t>
  </si>
  <si>
    <t>4767600 Information Tech, Director</t>
  </si>
  <si>
    <t>4767900 Field Automation</t>
  </si>
  <si>
    <t>4769000 Environmental</t>
  </si>
  <si>
    <t>4769200 EVP Reg Cust Srv</t>
  </si>
  <si>
    <t>4769300 Dir. Gas Supply &amp; Control</t>
  </si>
  <si>
    <t>4769600 President &amp; CEO</t>
  </si>
  <si>
    <t>4769800 Dir. Safety &amp; Technical Training</t>
  </si>
  <si>
    <t>Jan-2019 Plant</t>
  </si>
  <si>
    <t>Jan-2019 Reserve</t>
  </si>
  <si>
    <t>Feb-2019 Plant</t>
  </si>
  <si>
    <t>Feb-2019 Reserve</t>
  </si>
  <si>
    <t>Mar-2019 Plant</t>
  </si>
  <si>
    <t>Mar-2019 Reserve</t>
  </si>
  <si>
    <t>Apr-2019 Plant</t>
  </si>
  <si>
    <t>Apr-2019 Reserve</t>
  </si>
  <si>
    <t>May-2019 Plant</t>
  </si>
  <si>
    <t>May-2019 Reserve</t>
  </si>
  <si>
    <t>Jun-2019 Plant</t>
  </si>
  <si>
    <t>Jun-2019 Reserve</t>
  </si>
  <si>
    <t>Jul-2019 Plant</t>
  </si>
  <si>
    <t>Jul-2019 Reserve</t>
  </si>
  <si>
    <t>Aug-2019 Plant</t>
  </si>
  <si>
    <t>Aug-2019 Reserve</t>
  </si>
  <si>
    <t>Sept-2019 Plant</t>
  </si>
  <si>
    <t>Sept-2019 Reserve</t>
  </si>
  <si>
    <t>Oct-2019 Plant</t>
  </si>
  <si>
    <t>Oct-2019 Reserve</t>
  </si>
  <si>
    <t>Nov-2019 Plant</t>
  </si>
  <si>
    <t>Nov-2019 Reserve</t>
  </si>
  <si>
    <t>Dec-2019 Plant</t>
  </si>
  <si>
    <t>Dec-2019 Reserve</t>
  </si>
  <si>
    <t>CNG-303-G-Intang-00100-10 YR-2019</t>
  </si>
  <si>
    <t>CNG-303-G-Intang-00100-12 YR-2019</t>
  </si>
  <si>
    <t>CNG-303-G-Intang-00100-5 YR-2019</t>
  </si>
  <si>
    <t>CNG-303-G-Intang-00100-7 YR-2019</t>
  </si>
  <si>
    <t>CNG-303-G-Intang-00100-8 YR-2019</t>
  </si>
  <si>
    <t>CNG-303-G-Intang-00100-PowerPlan</t>
  </si>
  <si>
    <t>FP-317290 Building remodel for Bellingham Dis</t>
  </si>
  <si>
    <t>FP-317387 MGP site restoration</t>
  </si>
  <si>
    <t>FP-318352 Bremerton District Office Remodel</t>
  </si>
  <si>
    <t>FP-318797 Instl District Strge Fclty Kelso</t>
  </si>
  <si>
    <t>FP-318801 Instl Asphalt in Storage Area Kelso</t>
  </si>
  <si>
    <t>FP-319044 CONST SERV - NEW BLDG ADD - MT VERN</t>
  </si>
  <si>
    <t xml:space="preserve">FP-319052 BUILDING UPGARDES </t>
  </si>
  <si>
    <t>FP-319090 Replace Shop Roof Walla Walla</t>
  </si>
  <si>
    <t>FP-319091 Repl Asphalt Park Lot Walla Walla</t>
  </si>
  <si>
    <t>FP-319092 Replace Roof Old Barn Walla Walla</t>
  </si>
  <si>
    <t>FP-319093 Rplc Fence 324 Rose St Walla Walla</t>
  </si>
  <si>
    <t>FP-319094 Instl Electronic Gate Walla Walla</t>
  </si>
  <si>
    <t>FP-319098 Rplc Ovrhd Shop Door Walla Walla</t>
  </si>
  <si>
    <t>FP-319120 Instl Cement Floor Barn Walla Walla</t>
  </si>
  <si>
    <t>FP-319146  OFFICE REMODEL</t>
  </si>
  <si>
    <t>FP-319284  12" Mueller Shell Cutter and Stoppe</t>
  </si>
  <si>
    <t>FP-319289  PURCHASE FUME EXTRACTOR BREMERTON</t>
  </si>
  <si>
    <t>FP-200663 UG-GIS Enhancements CNGC</t>
  </si>
  <si>
    <t>FP-316284 GIS High Acc Trans Line Surv Enhanc</t>
  </si>
  <si>
    <t>FP-316102 UG-GIS Pipeline Inspection System</t>
  </si>
  <si>
    <t>FP-317101 UG-JDEdwards AS400 to Oracle DB</t>
  </si>
  <si>
    <t>FP-318846 UG-Impl 2Ring Dashboard for CSC-CNG</t>
  </si>
  <si>
    <t>FP-318893 UG-Impl GIS Offline Mobile Maps-CNG</t>
  </si>
  <si>
    <t>FP-306967 District Office Access Control Sys</t>
  </si>
  <si>
    <t>FP-316915 Pur replacement display devices</t>
  </si>
  <si>
    <t>FP-318317 Sensit PMD Trainer</t>
  </si>
  <si>
    <t>FP-318319 Sensit GLT Trainer</t>
  </si>
  <si>
    <t>FP-318706 Repl Cisco VoIP Telephone-CNG</t>
  </si>
  <si>
    <t>FP-318889 New Transfer Prover</t>
  </si>
  <si>
    <t>FP-318904 Transfer Prover Upgrade Bellingham</t>
  </si>
  <si>
    <t>FP-318914 Transfer Prover upgrade Longview</t>
  </si>
  <si>
    <t>FP-318918 Transfer Prover Upgrade Kennewick</t>
  </si>
  <si>
    <t>FP-318957 Two Meter Shop Table Lifts</t>
  </si>
  <si>
    <t>FP-318958 Meter Shop Leak Tester</t>
  </si>
  <si>
    <t>FP-318959 Clamp on Check Meter</t>
  </si>
  <si>
    <t>FP-319025 Auto Floor Scrubber</t>
  </si>
  <si>
    <t>FP-319043 Mueller Equipment</t>
  </si>
  <si>
    <t>FP-319045 TAP TRUCK HYDRAULIC SYSTEM</t>
  </si>
  <si>
    <t xml:space="preserve">FP-319048 Mueller Equipment </t>
  </si>
  <si>
    <t>FP-319053 NEW WELDER YAK FAB SHOP</t>
  </si>
  <si>
    <t>FP-319100 Purch Threading Machine Walla Walla</t>
  </si>
  <si>
    <t>FP-319101 Pur Xtndble Squze Tool Walla Walla</t>
  </si>
  <si>
    <t>FP-319102 Purch Storage Cabinet Walla Walla</t>
  </si>
  <si>
    <t>FP-319132 Purch Swamp Cooler Wld Shp Wla Wla</t>
  </si>
  <si>
    <t>FP-319143 Purch 2 Squeeze Tools Walla Walla</t>
  </si>
  <si>
    <t>FP-319147 Purchase Air Compressor Walla Walla</t>
  </si>
  <si>
    <t>FP-306980 ERT Replacement 2020</t>
  </si>
  <si>
    <t>FP-316027 C/M RPL; 2" HP; NOOKSACK; 732'</t>
  </si>
  <si>
    <t>FP-316033 C/M RPL; 3" HP; ZILLAH; 873'</t>
  </si>
  <si>
    <t>FP-316035 C/M RPL; 4" HP; ARLINGTON; 4,700'</t>
  </si>
  <si>
    <t xml:space="preserve">FP-316043 MAOP; 8" HP; BELLINGHAM; 1,800' </t>
  </si>
  <si>
    <t>FP-316044 C/M RPL; 8" HP; BREMERTON; 7,373'</t>
  </si>
  <si>
    <t>FP-316403 CRM; 6" ST; TOPPENISH, 800'</t>
  </si>
  <si>
    <t>FP-316570 C/M RPL; 12" STL HP, LONG/KELSO PH4</t>
  </si>
  <si>
    <t>FP-316580 C/M RPL; 2,6,8" HP; ANACORTES; PH3</t>
  </si>
  <si>
    <t>FP-318482 RF; 4"; PE; Moses Lake 1,800'</t>
  </si>
  <si>
    <t>FP-318566 RP-Brem-R-Werener&amp;Twin View R-21</t>
  </si>
  <si>
    <t>FP-318588 RP-GIBRALT-4"PE2125'</t>
  </si>
  <si>
    <t>FP-318690 RF-Walla-1800' 6"S/6"PE Larch Ave</t>
  </si>
  <si>
    <t>FP-318742 RP-MTVE-R-N TEXAS RD R-47</t>
  </si>
  <si>
    <t>FP-318746 RF-WALLA-R-OLD MILTON HWY-2" STD</t>
  </si>
  <si>
    <t>FP-318747 RF-WALLA-R-PLAZA WAY-2" STD</t>
  </si>
  <si>
    <t>FP-318829 GR-OTHELLO-GT-OTHELLO GATE RS</t>
  </si>
  <si>
    <t>FP-319029 RP-MTVE-MTR-N TEXAS RD</t>
  </si>
  <si>
    <t xml:space="preserve">FP-319056 RP; O-TBD (O-08); RICH </t>
  </si>
  <si>
    <t xml:space="preserve">FP-319063 RP; O-TBD (O-03); KENN </t>
  </si>
  <si>
    <t>FP-319072 GR; 6" HP&amp;PE;W.RICH; 1.7mi KEENE RD</t>
  </si>
  <si>
    <t>FP-319095 Odorizer site imprvmts Walla Walla</t>
  </si>
  <si>
    <t>FP-319099 Repl Fence R-1 Reg Stn Walla Walla</t>
  </si>
  <si>
    <t>FP-319106 C/M RPL; 8" HP; YAKIMA; PH2</t>
  </si>
  <si>
    <t>FP-319180 GR; 4" PE; LONG; 4,600' KELSO SCHOO</t>
  </si>
  <si>
    <t>FP-319168 Ext Main Noll Rd Poulsbo</t>
  </si>
  <si>
    <t>Depreciation Study Comparison (Includes Base, Salvage, COR)</t>
  </si>
  <si>
    <t>Based on January 2020</t>
  </si>
  <si>
    <t>January</t>
  </si>
  <si>
    <t>Using</t>
  </si>
  <si>
    <t>Proposed</t>
  </si>
  <si>
    <t>Day 1</t>
  </si>
  <si>
    <t>Depr</t>
  </si>
  <si>
    <t>Beginning</t>
  </si>
  <si>
    <t>Actual</t>
  </si>
  <si>
    <t>Monthly</t>
  </si>
  <si>
    <t>Annualized</t>
  </si>
  <si>
    <t>Auto-Retire</t>
  </si>
  <si>
    <t>Retirement</t>
  </si>
  <si>
    <t>Plant Balance</t>
  </si>
  <si>
    <t>Rates</t>
  </si>
  <si>
    <t>Life (Years)</t>
  </si>
  <si>
    <t>Life (Months)</t>
  </si>
  <si>
    <t>Annual</t>
  </si>
  <si>
    <t>301-G-Organization</t>
  </si>
  <si>
    <t>378-G-Measure/Regulation</t>
  </si>
  <si>
    <t>391-G-Software</t>
  </si>
  <si>
    <t>392-G-Trailers</t>
  </si>
  <si>
    <t>392-G-Transportation Equipment</t>
  </si>
  <si>
    <t>396-G-Power Operated Equipment</t>
  </si>
  <si>
    <t>396-G-Trailers-Work Equipment</t>
  </si>
  <si>
    <t>N/A</t>
  </si>
  <si>
    <t>Total CNG</t>
  </si>
  <si>
    <t>Depreciation Total</t>
  </si>
  <si>
    <t>Base Year</t>
  </si>
  <si>
    <t>Change</t>
  </si>
  <si>
    <t>FP-316923 -C/M RPL 8" MARCH POINT LINE PHASE 2</t>
  </si>
  <si>
    <t>FP-306988 - Walla Walla Mains High Press Steel</t>
  </si>
  <si>
    <t>Less Total Cap Adjustments</t>
  </si>
  <si>
    <t>Less Unbilled Margins Booked</t>
  </si>
  <si>
    <t>FP-101191 - MAIN-REINFORCE-WASHINGTON</t>
  </si>
  <si>
    <t>FP-101194-Reg Station Growth Washingotn</t>
  </si>
  <si>
    <t>FP-317628 MAIN-GROWTH-WALLA WALLA DISTRICT</t>
  </si>
  <si>
    <t>FP-317629 MAIN-REPLACE-WALLA WALLA DISTRICT</t>
  </si>
  <si>
    <t>FP-317630 SERV-GROWTH-WALLA WALLA DISTRICT</t>
  </si>
  <si>
    <t>FP-317631 SERV-REPLACE-WALLA WALLA DISTRICT</t>
  </si>
  <si>
    <t>FP-317632 MAIN-GROWTH-WENATCHEE DISTRICT</t>
  </si>
  <si>
    <t>FP-317633 MAIN-REPLACE-WENATCHEE DISTRICT</t>
  </si>
  <si>
    <t>FP-317634 SERV-GROWTH-WENATCHEE DISTRICT</t>
  </si>
  <si>
    <t>FP-317635 SERV-REPLACE-WENATCHEE DISTRICT</t>
  </si>
  <si>
    <t>FP-317636 MAIN-GROWTH-YAKIMA DISTRICT</t>
  </si>
  <si>
    <t>FP-317637 MAIN-REPLACE-YAKIMA DISTRICT</t>
  </si>
  <si>
    <t>FP-317638 SERV-GROWTH-YAKIMA DISTRICT</t>
  </si>
  <si>
    <t>FP-317639 SERV-REPLACE-YAKIMA DISTRICT</t>
  </si>
  <si>
    <t>FP-317640 MAIN-GROWTH-ABERDEEN DISTRICT</t>
  </si>
  <si>
    <t>FP-317641 MAIN-REPLACE-ABERDEEN DISTRICT</t>
  </si>
  <si>
    <t>FP-317642 SERV-GROWTH-ABERDEEN DISTRICT</t>
  </si>
  <si>
    <t>FP-317643 SERV-REPLACE-ABERDEEN DISTRICT</t>
  </si>
  <si>
    <t>FP-317645 MAIN-REPLACE-BELLINGHAM DISTRICT</t>
  </si>
  <si>
    <t>FP-317646 SERV-GROWTH-BELLINGHAM DISTRICT</t>
  </si>
  <si>
    <t>FP-317647 SERV-REPLACE-BELLINGHAM DISTRICT</t>
  </si>
  <si>
    <t>FP-319111 MAOP MAIN RPL CNG WA</t>
  </si>
  <si>
    <t>FP-319112 MAOP SERV RPL CNG WA</t>
  </si>
  <si>
    <t>FP-317649 MAIN-REPLACE-BREMERTON DISTRICT</t>
  </si>
  <si>
    <t>FP-317650 SERV-GROWTH-BREMERTON DISTRICT</t>
  </si>
  <si>
    <t>FP-317651 SERV-REPLACE-BREMERTON DISTRICT</t>
  </si>
  <si>
    <t>FP-317652 MAIN-GROWTH-LONGVIEW DISTRICT</t>
  </si>
  <si>
    <t>FP-317653 MAIN-REPLACE-LONGVIEW DISTRICT</t>
  </si>
  <si>
    <t>FP-317654 SERV-GROWTH-LONGVIEW DISTRICT</t>
  </si>
  <si>
    <t>FP-317655 SERV-REPLACE-LONGVIEW DISTRICT</t>
  </si>
  <si>
    <t>FP-317656 MAIN-GROWTH-MT VERNON DISTRICT</t>
  </si>
  <si>
    <t>FP-317657 MAIN-REPLACE-MT VERNON DISTRICT</t>
  </si>
  <si>
    <t>FP-317658 SERV-GROWTH-MT VERNON DISTRICT</t>
  </si>
  <si>
    <t>FP-317659 SERV-REPLACE-MT VERNON DISTRICT</t>
  </si>
  <si>
    <t>FP-317744 Tools &amp; Minor Work Equip CNG WA</t>
  </si>
  <si>
    <t>FP-317750 MAIN-GROWTH-KENNEWICK DISTRICT</t>
  </si>
  <si>
    <t>FP-317751 MAIN-REPLACE-KENNEWICK DISTRICT</t>
  </si>
  <si>
    <t>FP-317752 SERV-GROWTH-KENNEWICK DISTRICT</t>
  </si>
  <si>
    <t>FP-317753 SERV-REPLACE-KENNEWICK DISTRICT</t>
  </si>
  <si>
    <t>FP-318092 HPSS Replacements CNG WA</t>
  </si>
  <si>
    <t>FP-318186 Sys Safety &amp; Integ Main Repl CNG WA</t>
  </si>
  <si>
    <t>FP-318187 Sys Safety &amp; Integ Svcs Rpl CNG WA</t>
  </si>
  <si>
    <t>FP-101163 Gas Work Equipment-CNGC</t>
  </si>
  <si>
    <t>FP-101164 IT Network Equipment-CNG</t>
  </si>
  <si>
    <t>FP-101210 Gas Meters-Total Company CNGC</t>
  </si>
  <si>
    <t>FP-101215 Gas Vehicles-CNGC</t>
  </si>
  <si>
    <t>FP-101259 Gas Regulators-Total Company CNGC</t>
  </si>
  <si>
    <t>FP-200662 Personal Computers &amp; Peripherals</t>
  </si>
  <si>
    <t>FP-316445 Toughbook Replacements-CNG</t>
  </si>
  <si>
    <t>FP-316832 Office Structure &amp; Eq-Kennewick GO</t>
  </si>
  <si>
    <t>FP-318192 Fixed Network Equipment-CNG</t>
  </si>
  <si>
    <t>FP-318197 Gas SCADA Equipment-CNG</t>
  </si>
  <si>
    <t>Blanket-Growth</t>
  </si>
  <si>
    <t>Blanket-RF/REPL</t>
  </si>
  <si>
    <t>Blanket work orders.  These projects are routine in nature and typically have offsetting benefits.   Some Funding projects are for forced relocates.  A forced relocate is where the city or municipality requires Cascade to move facilities under the franchise agreement.</t>
  </si>
  <si>
    <t>Blanket growth work orders. These projects are know to improve system dependability (i.e. gas deliverability) in an area without the specific intent to add known new customers. Some projects are construction of new system assets (mains, services, etc.) to deliver gas to known/identified new customers</t>
  </si>
  <si>
    <t>2020 New Customer Revenue Adjustment</t>
  </si>
  <si>
    <t>FP-317644-MAIN-GROWTH-BELLINGHAM DISTRICT</t>
  </si>
  <si>
    <t>FP-317648-MAIN-GROWTH-BREMERTON DISTRICT</t>
  </si>
  <si>
    <t>Brief Summary</t>
  </si>
  <si>
    <t>The Richland Keene Rd Project includes installing approximately 1.7 miles of 6" PE and 6" HP steel along Keene Rd following a road expansion project. This project will include the Keene Rd pressure increase needed for the existing steel pipe from R-104 to the beginning of this Keene Rd install.  Design is complete, and construction is underway and a portion of the project is expected to be completed in early summer 2020.</t>
  </si>
  <si>
    <t xml:space="preserve">The Walla Walla Gate Station Project is a reinforcement project designed to eliminate the need for the district to bypass during cold weather events and to address the supply issues presented by the ongoing growth in the southern area of Walla Walla.  events.  This area is the outer edge of the Walla Walla distribution system, farthest from existing high-pressure pipelines and regulation.  </t>
  </si>
  <si>
    <t xml:space="preserve">The Walla Walla 6” Distribution Project is needed to reinforce the existing 4” gas main that has reached maximum capacity based on current models and historic gas usage.  The project includes installing approximately 1,800 feet of new 6” gas main to loop with the 4” main.  </t>
  </si>
  <si>
    <t>The Bremerton Office Project includes remodeling the existing district office located at 6313 Kitsap Way, Bremerton, Washington, 98312.  The office remodel is necessary to accommodate added district staff and to reconfigure the outdated space to better meet the current needs of the district operations.</t>
  </si>
  <si>
    <t xml:space="preserve">Bremerton Reg Station Project includes installing one new regulator station to eliminate five smaller regulator stations that are difficult to access and maintain and have a history of leaks. </t>
  </si>
  <si>
    <t>The Mount Vernon Reg Station Project includes replacement and relocation of two existing pressure regulation stations and metering equipment in Anacortes, Washington.  The replacement of these stations is necessary due to equipment maintenance issues, accessibility of the stations, and the existing facilities being undersized for the increased load in the area.</t>
  </si>
  <si>
    <t xml:space="preserve">The Moses Lake 4” PE project includes installing approximately 1,800 feet of new 4” PE pipe to loop the northwestern Moses Lake system and improving the pressures to above design criteria during peak usage.  This system reinforcement will also improve capacity to allow for ongoing growth in this area of Moses Lake.  </t>
  </si>
  <si>
    <t>The Bellingham 8” HP Project involved relocating the existing 10” HP main attached to the Bellingham State Street Bridge due to the City of Bellingham rebuilding the State Street Bridge.  The project was started in early 2019, and the project was completed in January 2020.</t>
  </si>
  <si>
    <t>See FP-306998.</t>
  </si>
  <si>
    <t xml:space="preserve">The Wallula Gate Project includes installing a new gate station at the southernmost point of the Company’s Attalia pipeline.  The current feed to the Attalia line is to the far north and is undersized to handle the largest load on the line at the southern end.  This new gate station and HP pipeline will bring a new feed and HP pipe closer to the large loads in the southern system.  </t>
  </si>
  <si>
    <t xml:space="preserve">See FP-302596. </t>
  </si>
  <si>
    <t xml:space="preserve">The Othello Gate Station Project includes upgrading the gate station equipment to accommodate the increase in the NWP Othello lateral pipe and pressure.  These upgrades are required due to insufficient capacity in the lateral and at the gate station to accommodate increased industrial load and overall historical flows. </t>
  </si>
  <si>
    <t>See FP-318987</t>
  </si>
  <si>
    <t xml:space="preserve">The Arlington Gate Project includes upgrading the existing Arlington Gate station, taking over regulation from NWP, and upgrading the outlet pipe from the station to meet current winter capacities and to accommodate increased gas load in the Arlington system.  </t>
  </si>
  <si>
    <t>See FP-300233</t>
  </si>
  <si>
    <t>The Aberdeen 6” HP Project includes installing two miles of 6” HP steel pipe that will provide a second feed to the City of Aberdeen. This project will increase capacity of the Aberdeen system to meet current winter capacity constraints and enable future expansion    near the Aberdeen Port.</t>
  </si>
  <si>
    <t>The Gibraltar 4” PE Project includes installing approximately 2,800 feet of 4” PE main.  The existing 2” steel main is undersized for the area and represents a bottleneck in the system that will be resolved by increasing the pipe size in this area.</t>
  </si>
  <si>
    <t>Replacing a vintage odorizer with obsolete parts with a new odorizer that performs correctly and can be safely maintained.  Kennewick</t>
  </si>
  <si>
    <t xml:space="preserve">Replacing a vintage odorizer with obsolete parts with a new odorizer that performs correctly and can be safely maintained.  Richland </t>
  </si>
  <si>
    <t>Add Customer Billing Correction</t>
  </si>
  <si>
    <t xml:space="preserve"> Exh. IDM-7, column (J), Line 584</t>
  </si>
  <si>
    <t xml:space="preserve"> Exh. IDM-7, column (J), Line 587</t>
  </si>
  <si>
    <t xml:space="preserve"> Exh. IDM-7, column (J), Line 588</t>
  </si>
  <si>
    <t xml:space="preserve"> Exh. IDM-7, column (M), Line 584</t>
  </si>
  <si>
    <t>Exh. IDM-7, column (D), Line 586</t>
  </si>
  <si>
    <t>Exhibit IDM-7, Column (S), Line 584</t>
  </si>
  <si>
    <t>Exhibit IDM-7, Column (P), Line 584</t>
  </si>
  <si>
    <t>Exhibit IDM-7, Column (Y), Line 584</t>
  </si>
  <si>
    <t>Revised Filing</t>
  </si>
  <si>
    <t>Filed</t>
  </si>
  <si>
    <t>Budgeted 2020</t>
  </si>
  <si>
    <t>UG-200278</t>
  </si>
  <si>
    <t>UG200278</t>
  </si>
  <si>
    <t>ck</t>
  </si>
  <si>
    <t>Costs</t>
  </si>
  <si>
    <t>Total Costs</t>
  </si>
  <si>
    <t>UnAmort Balance</t>
  </si>
  <si>
    <t>Amort Period</t>
  </si>
  <si>
    <t>Beg. Aug. 2018 (UG-170929)</t>
  </si>
  <si>
    <t>Beg. Mar 2020 (UG-190210)</t>
  </si>
  <si>
    <t>Beg. May 2021</t>
  </si>
  <si>
    <t>2017 Deferral</t>
  </si>
  <si>
    <t>2019 Deferral</t>
  </si>
  <si>
    <t>2018 Deferral</t>
  </si>
  <si>
    <t>Description</t>
  </si>
  <si>
    <t>New Annual Amortization</t>
  </si>
  <si>
    <t>2019 Test Year Amortization Expense</t>
  </si>
  <si>
    <t xml:space="preserve">Adjustment </t>
  </si>
  <si>
    <t>CNGC/505</t>
  </si>
  <si>
    <t>Washington Jurisdiction</t>
  </si>
  <si>
    <t>Archer/1</t>
  </si>
  <si>
    <t>Test Year Ended December 31, 2019</t>
  </si>
  <si>
    <t>Summary of Revenue by Rate Class</t>
  </si>
  <si>
    <t>Present and Proposed Rates</t>
  </si>
  <si>
    <t>Customer Class</t>
  </si>
  <si>
    <t>$ Difference</t>
  </si>
  <si>
    <t>% Difference</t>
  </si>
  <si>
    <t>Residential - 503</t>
  </si>
  <si>
    <t>Basic Service Charge</t>
  </si>
  <si>
    <t>Delivery Charge</t>
  </si>
  <si>
    <t>Commercial - 504</t>
  </si>
  <si>
    <t>Industrial - Firm 505</t>
  </si>
  <si>
    <t>Com-Ind Dual Service 511</t>
  </si>
  <si>
    <t>n/a</t>
  </si>
  <si>
    <t>Interruptible General 570</t>
  </si>
  <si>
    <t>Demand Charge</t>
  </si>
  <si>
    <t>General Distribution - 663</t>
  </si>
  <si>
    <t>CNGC/506</t>
  </si>
  <si>
    <t>Analysis of Revenue by Detailed Rate Schedule</t>
  </si>
  <si>
    <t>Current Adjusted Test Year Revenues</t>
  </si>
  <si>
    <t>Proposed Revenues</t>
  </si>
  <si>
    <t>Adjusted Billing Units*</t>
  </si>
  <si>
    <t>Adjusted Current Rate</t>
  </si>
  <si>
    <t>Proposed Rates</t>
  </si>
  <si>
    <t>$ Amount</t>
  </si>
  <si>
    <t>% Amount</t>
  </si>
  <si>
    <t>General Commercial - 504</t>
  </si>
  <si>
    <t>General Industrial - 505</t>
  </si>
  <si>
    <t>Delivery Charge First 500 Therms</t>
  </si>
  <si>
    <t>Delivery Charge Next 3,500 Therms</t>
  </si>
  <si>
    <t>Delivery Charge &gt; 4,000 Therms</t>
  </si>
  <si>
    <t>Large Volume General Service - 511</t>
  </si>
  <si>
    <t xml:space="preserve">  Margin First 20,000 Therms</t>
  </si>
  <si>
    <t xml:space="preserve">  Margin Next 80,000 Therms</t>
  </si>
  <si>
    <t xml:space="preserve">  Margin&gt; 100,000 Therms</t>
  </si>
  <si>
    <t>Non-Core Industrial 663</t>
  </si>
  <si>
    <t xml:space="preserve">  Basic Service Charge</t>
  </si>
  <si>
    <t xml:space="preserve">  Contract Demand Charge</t>
  </si>
  <si>
    <t xml:space="preserve">  System Balancing Charge</t>
  </si>
  <si>
    <t xml:space="preserve"> Delivery Charge First 100,000 Therms</t>
  </si>
  <si>
    <t>Delivery Charge Next 200,000 Therms</t>
  </si>
  <si>
    <t>Delivery Charge - over 500,000 therms</t>
  </si>
  <si>
    <t>Interruptible Service - 570</t>
  </si>
  <si>
    <t xml:space="preserve">  Margin First 30,000 Therms</t>
  </si>
  <si>
    <t xml:space="preserve">  Margin &gt; 30,000 Therms</t>
  </si>
  <si>
    <t>* Delivery Charge units are in therms</t>
  </si>
  <si>
    <t>CNGC/507</t>
  </si>
  <si>
    <t>Residential Impact by Month</t>
  </si>
  <si>
    <t>Line</t>
  </si>
  <si>
    <t>No.</t>
  </si>
  <si>
    <t>(c)</t>
  </si>
  <si>
    <t>(e)</t>
  </si>
  <si>
    <t>Present</t>
  </si>
  <si>
    <t>PGA Rate</t>
  </si>
  <si>
    <t>Revenue at</t>
  </si>
  <si>
    <t>Monthly Bill Change</t>
  </si>
  <si>
    <t>therms per</t>
  </si>
  <si>
    <t>Month</t>
  </si>
  <si>
    <t>Customer</t>
  </si>
  <si>
    <t>Percent</t>
  </si>
  <si>
    <t>Therms</t>
  </si>
  <si>
    <t>customers</t>
  </si>
  <si>
    <t xml:space="preserve">January </t>
  </si>
  <si>
    <t>February</t>
  </si>
  <si>
    <t>March</t>
  </si>
  <si>
    <t>April</t>
  </si>
  <si>
    <t>May</t>
  </si>
  <si>
    <t>June</t>
  </si>
  <si>
    <t>July</t>
  </si>
  <si>
    <t>August</t>
  </si>
  <si>
    <t>September</t>
  </si>
  <si>
    <t>October</t>
  </si>
  <si>
    <t>November</t>
  </si>
  <si>
    <t>December</t>
  </si>
  <si>
    <t>Monthly Average</t>
  </si>
  <si>
    <t>CNGC/508</t>
  </si>
  <si>
    <t>Impact of Recommended Rate Changes</t>
  </si>
  <si>
    <t>Monthly Consumption</t>
  </si>
  <si>
    <t>Revenue Change</t>
  </si>
  <si>
    <t>(therms)</t>
  </si>
  <si>
    <t>Present Rates</t>
  </si>
  <si>
    <t>Archer/2</t>
  </si>
  <si>
    <t>Archer/3</t>
  </si>
  <si>
    <t>First 500 therms</t>
  </si>
  <si>
    <t>Next 3,500 therms</t>
  </si>
  <si>
    <t>Over 4,000 therms</t>
  </si>
  <si>
    <t>Archer/4</t>
  </si>
  <si>
    <t>First 20,000 therms</t>
  </si>
  <si>
    <t>Next 80,000 therms</t>
  </si>
  <si>
    <t>Over 100,000 therms</t>
  </si>
  <si>
    <t>Archer/5</t>
  </si>
  <si>
    <t>First 30,000 therms</t>
  </si>
  <si>
    <t>Over 30,000 therms</t>
  </si>
  <si>
    <t>Contract Demand</t>
  </si>
  <si>
    <t>First 10,000 therms</t>
  </si>
  <si>
    <t>Next 10,000 therms</t>
  </si>
  <si>
    <t>Next 30,000 therms</t>
  </si>
  <si>
    <t>Next 50,000 therms</t>
  </si>
  <si>
    <t>Next 400,000 therms</t>
  </si>
  <si>
    <t>Next 500,000 therms</t>
  </si>
  <si>
    <t>Over 1,000,000 therms</t>
  </si>
  <si>
    <t>Table of Contents</t>
  </si>
  <si>
    <t>Line No</t>
  </si>
  <si>
    <t>Tab</t>
  </si>
  <si>
    <t>Key</t>
  </si>
  <si>
    <t>Input</t>
  </si>
  <si>
    <t>Link</t>
  </si>
  <si>
    <t>Model Titles</t>
  </si>
  <si>
    <t>Cascade Natural Gas Corp.</t>
  </si>
  <si>
    <t>Title1</t>
  </si>
  <si>
    <t>Title2</t>
  </si>
  <si>
    <t>General Rate Case Model</t>
  </si>
  <si>
    <t>Title3</t>
  </si>
  <si>
    <t>Proof of Revenue</t>
  </si>
  <si>
    <t>Title4</t>
  </si>
  <si>
    <t>Revenue Requirement</t>
  </si>
  <si>
    <t>Title5</t>
  </si>
  <si>
    <t>Title6</t>
  </si>
  <si>
    <t>Rate Design</t>
  </si>
  <si>
    <t>Title7</t>
  </si>
  <si>
    <t>Rate Classes</t>
  </si>
  <si>
    <t>104</t>
  </si>
  <si>
    <t>105</t>
  </si>
  <si>
    <t>111</t>
  </si>
  <si>
    <t>163</t>
  </si>
  <si>
    <t>902-2</t>
  </si>
  <si>
    <t>170</t>
  </si>
  <si>
    <t>9xx</t>
  </si>
  <si>
    <t>Residential Service</t>
  </si>
  <si>
    <t>Commercial Service</t>
  </si>
  <si>
    <t>Industrial Service</t>
  </si>
  <si>
    <t>Large Volume Service</t>
  </si>
  <si>
    <t>Transportation Service</t>
  </si>
  <si>
    <t>Special Contract</t>
  </si>
  <si>
    <t>Interruptible Service</t>
  </si>
  <si>
    <t>Special Contracts</t>
  </si>
  <si>
    <t>core</t>
  </si>
  <si>
    <t>non-core</t>
  </si>
  <si>
    <t>2" Main Average 2013 Cost</t>
  </si>
  <si>
    <t>Rate Schedule</t>
  </si>
  <si>
    <t>Proof of Revenue Section</t>
  </si>
  <si>
    <t>Proof of Revenue Workpapers Section</t>
  </si>
  <si>
    <t>Revenue Requirement Section</t>
  </si>
  <si>
    <t>Revenue Requirement Workpapers Section</t>
  </si>
  <si>
    <t>Rate Design Section</t>
  </si>
  <si>
    <t>Rate Design Workpapers Section</t>
  </si>
  <si>
    <t>SUMMARY OF REVENUES BY RATE SCHEDULE</t>
  </si>
  <si>
    <t>Schedule Merge</t>
  </si>
  <si>
    <t>Adjusted Current</t>
  </si>
  <si>
    <t>2019 Customer Billing Correction</t>
  </si>
  <si>
    <t>2019 EOP Determinants at Current Rates</t>
  </si>
  <si>
    <t>2019 Revenue Migration</t>
  </si>
  <si>
    <t>Cost Recovery Mechanism CRM</t>
  </si>
  <si>
    <t xml:space="preserve"> 2020 EOP Customer Adjustment</t>
  </si>
  <si>
    <t>Rate Description</t>
  </si>
  <si>
    <t>Billing Determinants
(Therms/Bills)</t>
  </si>
  <si>
    <t>Current Rate</t>
  </si>
  <si>
    <t>Per Books Revenue 2019</t>
  </si>
  <si>
    <t>Billing Determinants (Therms/Bills)</t>
  </si>
  <si>
    <t>Rate</t>
  </si>
  <si>
    <t>Remove/Add</t>
  </si>
  <si>
    <t>Adjusted Billing Determinants</t>
  </si>
  <si>
    <t>Adjusted Per Books Margin Revenue</t>
  </si>
  <si>
    <t>Adjusted EOP Margin Revenue</t>
  </si>
  <si>
    <t>EOP Revenue Adjustment</t>
  </si>
  <si>
    <t>Billing Determinants (Therms/Bill)</t>
  </si>
  <si>
    <t>CRM Revenue</t>
  </si>
  <si>
    <t>Adjusted 2020 Margin Revenue</t>
  </si>
  <si>
    <t>2020 EOP Adjustment</t>
  </si>
  <si>
    <t>Revenue At Proposed Rates</t>
  </si>
  <si>
    <t>2019 Revenue Adjustment</t>
  </si>
  <si>
    <t>(B) = (D)/(C)</t>
  </si>
  <si>
    <t>(F)</t>
  </si>
  <si>
    <t>(H) = (B)+( E)</t>
  </si>
  <si>
    <t>(J) = (H)*(I)</t>
  </si>
  <si>
    <t>(K)</t>
  </si>
  <si>
    <t>(L) = (I)</t>
  </si>
  <si>
    <t>(M) = (K)-(L)</t>
  </si>
  <si>
    <t>(N)</t>
  </si>
  <si>
    <t>(O) = (I)*(N)</t>
  </si>
  <si>
    <t>(P) = (J)-(O)</t>
  </si>
  <si>
    <t>(Q)</t>
  </si>
  <si>
    <t>(R) = (I)</t>
  </si>
  <si>
    <t>(S) = (Q)*(R)</t>
  </si>
  <si>
    <t>(T) = (W)</t>
  </si>
  <si>
    <t>(U)</t>
  </si>
  <si>
    <t>(V) = (T)*(U)</t>
  </si>
  <si>
    <t>(W)</t>
  </si>
  <si>
    <t>(X)=(I)*(W)</t>
  </si>
  <si>
    <t>(Y) = (X)-(O)-(S)</t>
  </si>
  <si>
    <t>(Z)</t>
  </si>
  <si>
    <t>(AA) = (W)*(Z)</t>
  </si>
  <si>
    <t>(AB) = (AA)-(X)</t>
  </si>
  <si>
    <t>Rate Schedule 503 - Residential Service Rate</t>
  </si>
  <si>
    <t>Total Margin</t>
  </si>
  <si>
    <t>Weather Normalized Volume Adjustment</t>
  </si>
  <si>
    <t>Average Cost of Gas</t>
  </si>
  <si>
    <t>Non-Gas Revenue</t>
  </si>
  <si>
    <t>Temporary Gas Cost Amortization</t>
  </si>
  <si>
    <t>WA Energy Assistance Fund Program</t>
  </si>
  <si>
    <t>WA Replacement Pipe Cost Recovery</t>
  </si>
  <si>
    <t>WA Decoupling Mechanism</t>
  </si>
  <si>
    <t>WA Deferred Gas Costs</t>
  </si>
  <si>
    <t>WA Conservation Cost Recovery</t>
  </si>
  <si>
    <t>WA Protected-Plus Excess Deferred Income Tax</t>
  </si>
  <si>
    <t>WA Unprotected Excess Deferred Income Tax</t>
  </si>
  <si>
    <t>WA Temporary Federal Income Tax Rate Credit</t>
  </si>
  <si>
    <t>City Tax Tier 1</t>
  </si>
  <si>
    <t>City Tax for Cities with Annual Maximum</t>
  </si>
  <si>
    <t>City Tax Applied (City Tax &lt; Maximum)</t>
  </si>
  <si>
    <t>State Utility Tax Credit</t>
  </si>
  <si>
    <t>Indian Nation Tribal Charge</t>
  </si>
  <si>
    <t>Current Month Unbilled +</t>
  </si>
  <si>
    <t>Previous Month Unbilled -</t>
  </si>
  <si>
    <t>CAP Adjustment</t>
  </si>
  <si>
    <t>Deferrals</t>
  </si>
  <si>
    <t>Deficiency</t>
  </si>
  <si>
    <t>Misc Revenue Adjustment</t>
  </si>
  <si>
    <t xml:space="preserve">Total Non-Gas Revenue </t>
  </si>
  <si>
    <t>check</t>
  </si>
  <si>
    <t>Rate Schedule 504 - General Commercial Service</t>
  </si>
  <si>
    <t>Migrated from  04LV</t>
  </si>
  <si>
    <t>City Tax Tier 2</t>
  </si>
  <si>
    <t>Adjustment Dollars</t>
  </si>
  <si>
    <t>Total Non-Gas Revenue</t>
  </si>
  <si>
    <t>Rate Schedule 505 - General Industrial Service</t>
  </si>
  <si>
    <t>Merge from 05LV</t>
  </si>
  <si>
    <t>Margin First 500 Therms</t>
  </si>
  <si>
    <t>Margin Next 3,500 Therms</t>
  </si>
  <si>
    <t>Margin &gt; 4,000 Therms</t>
  </si>
  <si>
    <t>City Tax Applicable to Identified Bus for Tax. Rev Limits</t>
  </si>
  <si>
    <t>Rate Schedule 511 - Large Volume General Service Rate - Commercial</t>
  </si>
  <si>
    <t>Merge from WA011LV &amp; 511 Industrial</t>
  </si>
  <si>
    <t>Move to 663</t>
  </si>
  <si>
    <t>Margin First 20,000 Therms</t>
  </si>
  <si>
    <t>Margin Next 80,000 Therms</t>
  </si>
  <si>
    <t>Margin&gt; 100,000 Therms</t>
  </si>
  <si>
    <t>Total Rate Schedule 511 Revenue</t>
  </si>
  <si>
    <t>Rate Schedule 511 - Large Volume General Service Rate - Industrial</t>
  </si>
  <si>
    <t>Merge w/ 511 Comm</t>
  </si>
  <si>
    <t>Rate Schedule: CNGW04LV</t>
  </si>
  <si>
    <t>Merge w/ 504</t>
  </si>
  <si>
    <t>Margin</t>
  </si>
  <si>
    <t xml:space="preserve"> -PM CA1501A</t>
  </si>
  <si>
    <t xml:space="preserve"> +CM CA1501A</t>
  </si>
  <si>
    <t>Total Rate Schedule: CNGW04LV</t>
  </si>
  <si>
    <t>Rate Schedule: CNGW05LV</t>
  </si>
  <si>
    <t>Merge w/ 505</t>
  </si>
  <si>
    <t>Margin First 500</t>
  </si>
  <si>
    <t>Margin Next 3500</t>
  </si>
  <si>
    <t>Total Rate Schedule: CNGW05LV</t>
  </si>
  <si>
    <t>Rate Schedule: CNGWA011LV</t>
  </si>
  <si>
    <t>Merge w/ 511 Commercial</t>
  </si>
  <si>
    <t>Total Rate Schedule: CNGW11LV</t>
  </si>
  <si>
    <t>Rate Schedule 570 - Interruptible Service Schedule</t>
  </si>
  <si>
    <t>Margin First 30,000 Therms</t>
  </si>
  <si>
    <t>Margin &gt; 30,000 Therms</t>
  </si>
  <si>
    <t>Rate Schedule 6631 - Non-Core Industrial</t>
  </si>
  <si>
    <t>From other 663 &amp; 906</t>
  </si>
  <si>
    <t>Contract Demand Charge</t>
  </si>
  <si>
    <t>System Balancing Charge</t>
  </si>
  <si>
    <t>From 511/011LV</t>
  </si>
  <si>
    <t>Delivery Charge First 100,000 Therms</t>
  </si>
  <si>
    <t>Delivery Charge &gt; 500,000 Therms</t>
  </si>
  <si>
    <t>Contract Charge (applicable only if identified in contract)</t>
  </si>
  <si>
    <t>Gross Revenue Fee</t>
  </si>
  <si>
    <t>City Tax Applicable to Identified Bus. for Tax Rev Limits</t>
  </si>
  <si>
    <t>Total Rate Schedule 6631 Revenue</t>
  </si>
  <si>
    <t>Rate Schedule 906 - Interruptible Transportation</t>
  </si>
  <si>
    <t>Merge w 6631</t>
  </si>
  <si>
    <t>Dispatch Service Charge</t>
  </si>
  <si>
    <t>Contract Demand Charge (Jan-Jul)</t>
  </si>
  <si>
    <t>Contract Demand Charge (Aug-Dec)</t>
  </si>
  <si>
    <t>DSC Commodity (Jan-Sept)</t>
  </si>
  <si>
    <t>DSC Commodity (Oct-Dec)</t>
  </si>
  <si>
    <t>System Balancing Rate (Jan-Sept)</t>
  </si>
  <si>
    <t>System Balancing Rate (Oct-Dec)</t>
  </si>
  <si>
    <t>Commodity Charge First 100,000 Therms per day (Jan-Jun)</t>
  </si>
  <si>
    <t>Commodity Charge First 100,000 Therms per day (Jul-Dec)</t>
  </si>
  <si>
    <t>Commodity Charge Over 100,000 Therms per day (Jan-Jun)</t>
  </si>
  <si>
    <t>Commodity Charge Over 100,000 Therms per day  (Jul-Dec)</t>
  </si>
  <si>
    <t>Rate Schedule 909 - Interruptible Transportation</t>
  </si>
  <si>
    <t>Monthly Facilities Charge</t>
  </si>
  <si>
    <t>System Balancing Rate</t>
  </si>
  <si>
    <t>DSC Commodity</t>
  </si>
  <si>
    <t>Commodity Charge (Jan-Sept)</t>
  </si>
  <si>
    <t>Commodity Charge (Oct-Dec)</t>
  </si>
  <si>
    <t>Rate Schedule 910 - Interruptible Transportation</t>
  </si>
  <si>
    <t>Contract Demand Charge (Jan-Sept)</t>
  </si>
  <si>
    <t>Contract Demand Charge (Sept-Dec)</t>
  </si>
  <si>
    <t>Total Rate Schedule 910 Revenue</t>
  </si>
  <si>
    <t>Rate Schedule 911 - Interruptible Transportation</t>
  </si>
  <si>
    <t>Total Rate Schedule 911 Revenue</t>
  </si>
  <si>
    <t>Rate Schedule 914 - Interruptible Transportation</t>
  </si>
  <si>
    <t>Total Rate Schedule 914 Revenue</t>
  </si>
  <si>
    <t>Rate Schedule 6631</t>
  </si>
  <si>
    <t>DEFWA revenues</t>
  </si>
  <si>
    <t>Deficiency Billings</t>
  </si>
  <si>
    <t>Total Rate Schedule 6631</t>
  </si>
  <si>
    <t>Rate Schedule 6633</t>
  </si>
  <si>
    <t>Total Rate Schedule 6633</t>
  </si>
  <si>
    <t>Rate Schedule 6635</t>
  </si>
  <si>
    <t>Delivery Charge Over 500,000 Therms</t>
  </si>
  <si>
    <t>Utilization Discount First 100,000 Therms</t>
  </si>
  <si>
    <t>Utilization Discount Next 200,000 Therms</t>
  </si>
  <si>
    <t>Utilization Discount Next 100,000 Therms</t>
  </si>
  <si>
    <t>Utilization Discount Next 300,000 Therms</t>
  </si>
  <si>
    <t>Utilization Discount Next 400,000 Therms</t>
  </si>
  <si>
    <t>Utilization Discount &gt; 1,300,000 but &lt; 18,700,000 Therms</t>
  </si>
  <si>
    <t>Facilities Charge</t>
  </si>
  <si>
    <t>Compressor Operation</t>
  </si>
  <si>
    <t>Total Rate Schedule 6635</t>
  </si>
  <si>
    <t>Rate Schedule 901 - Interruptible Transportation</t>
  </si>
  <si>
    <t>Monthly Charge</t>
  </si>
  <si>
    <t>Commodity Charge (Jan-Jul)</t>
  </si>
  <si>
    <t>Commodity Charge (Aug-Dec)</t>
  </si>
  <si>
    <t>Total Rate Schedule 901 Revenue</t>
  </si>
  <si>
    <t>Rate Schedule 903 - Interruptible Transportation</t>
  </si>
  <si>
    <t>Commodity Charge (Jan-Jun)</t>
  </si>
  <si>
    <t>Commodity Charge (Jul-Dec)</t>
  </si>
  <si>
    <t>Minimum Charge per Month</t>
  </si>
  <si>
    <t>Total Rate Schedule 903 Revenue</t>
  </si>
  <si>
    <t>Rate Schedule 908- Interruptible Transportation</t>
  </si>
  <si>
    <t>Commodity Charge First 22 Million/Year</t>
  </si>
  <si>
    <t>Total Rate Schedule 908 Revenue</t>
  </si>
  <si>
    <t>Total Cascade Margin</t>
  </si>
  <si>
    <t>Total 2019 Billing Correction</t>
  </si>
  <si>
    <t>Total 2019 EOP Adj.</t>
  </si>
  <si>
    <t>Total 2019 Revenue Migration</t>
  </si>
  <si>
    <t>2020 EOP Customer Adjustment</t>
  </si>
  <si>
    <t>Total Cascade Revenue</t>
  </si>
  <si>
    <t>Total Cap Adjustments</t>
  </si>
  <si>
    <t>Net Unbilled Margins Booked</t>
  </si>
  <si>
    <t>TOTAL OPERATING REVENUE</t>
  </si>
  <si>
    <t>Check</t>
  </si>
  <si>
    <t>Revenue Adjustments</t>
  </si>
  <si>
    <t>(Per Myhrum Exh. IDM-7, column “J”, row “584”)</t>
  </si>
  <si>
    <t>(Per Exh. IDM-7, column “D”, row “584”)</t>
  </si>
  <si>
    <t>(Per Exh. IDM-7, column “J”, row “587”)</t>
  </si>
  <si>
    <t>Plus Unbilled Margins Booked</t>
  </si>
  <si>
    <t>(Per Exh. IDM-7, column “J”, row “588”)</t>
  </si>
  <si>
    <t>2019 EOP Adjustment</t>
  </si>
  <si>
    <t>(Per Exh. IDM-7, column “J”, row “590”)</t>
  </si>
  <si>
    <t>(Per Exh. IDM-7, column “M”, row “584”)</t>
  </si>
  <si>
    <t>Total Restate Revenue Adjustment</t>
  </si>
  <si>
    <t>(Per Exh. MCP-10, R-3 Adjustment)</t>
  </si>
  <si>
    <t>(Per Exh. IDM-7, column “S”, row “584”)</t>
  </si>
  <si>
    <t>Total 2019 EOP Adjustment</t>
  </si>
  <si>
    <t>(Per Exh. IDM-7, column “P”, row “584”)</t>
  </si>
  <si>
    <t>Total Restate 2019 End of Period (EOP) Adjustment</t>
  </si>
  <si>
    <t>(Per Exh. MCP-10, R-4 Adjustment)</t>
  </si>
  <si>
    <t xml:space="preserve">Total CRM Proposed Revenue </t>
  </si>
  <si>
    <t>(Per Exh. IDM-7, column “V”, row “582”)</t>
  </si>
  <si>
    <t>Less Booked CRM Revenue</t>
  </si>
  <si>
    <t>(Per Exh. IDM-7, column “V”, row “583”)</t>
  </si>
  <si>
    <t>Total Annual CRM Adjustment</t>
  </si>
  <si>
    <t>(Per Exh. IDM-7, column “V”, row “584”)</t>
  </si>
  <si>
    <t>(Per Exh. MCP-10, R-1 Adjustment)</t>
  </si>
  <si>
    <t>Total Restate 2020 End of Period (EOP) Adjustment</t>
  </si>
  <si>
    <t>(Per Exh. IDM-7, column “Y”, row “584”)</t>
  </si>
  <si>
    <r>
      <t>(Per Exh. MCP-10, P-3</t>
    </r>
    <r>
      <rPr>
        <sz val="10"/>
        <rFont val="Calibri"/>
        <family val="2"/>
      </rPr>
      <t xml:space="preserve"> Adjustment)</t>
    </r>
  </si>
  <si>
    <t>Revenue Distribution</t>
  </si>
  <si>
    <t>Block Descriptions</t>
  </si>
  <si>
    <t>Proposed Rate</t>
  </si>
  <si>
    <t>Test Year Adjusted Sales @ 12/31/2019</t>
  </si>
  <si>
    <t>Test Year  Revenue @ Current Rates</t>
  </si>
  <si>
    <t>Margin Revenue @ Proposed Rates</t>
  </si>
  <si>
    <t>Revenue Percentage by class @ 12/31/2019</t>
  </si>
  <si>
    <t>Proposed Revenue Increase</t>
  </si>
  <si>
    <t>Total Revenue % Increase</t>
  </si>
  <si>
    <t>(i)</t>
  </si>
  <si>
    <t>(j)</t>
  </si>
  <si>
    <t>(k)</t>
  </si>
  <si>
    <t>Residential</t>
  </si>
  <si>
    <t xml:space="preserve">  Optional Service</t>
  </si>
  <si>
    <t xml:space="preserve">     Total</t>
  </si>
  <si>
    <t>Commercial</t>
  </si>
  <si>
    <t xml:space="preserve">  General Service</t>
  </si>
  <si>
    <t>Industrial Firm</t>
  </si>
  <si>
    <t>First 500 therms/month</t>
  </si>
  <si>
    <t>Next 3,500 therms/month</t>
  </si>
  <si>
    <t>All over 4,000 therms/month</t>
  </si>
  <si>
    <t>Com-Ind Dual Service</t>
  </si>
  <si>
    <t xml:space="preserve">  Large Volume</t>
  </si>
  <si>
    <t>First 20,000 therms/month</t>
  </si>
  <si>
    <t>Next 80,000 therms/month</t>
  </si>
  <si>
    <t>All over 100,000 therms/month</t>
  </si>
  <si>
    <t xml:space="preserve">     Total </t>
  </si>
  <si>
    <t>Interruptible</t>
  </si>
  <si>
    <t xml:space="preserve">  General </t>
  </si>
  <si>
    <t>First 30,000 therms/month</t>
  </si>
  <si>
    <t>All over 30,000 therms/month</t>
  </si>
  <si>
    <t>Total Core</t>
  </si>
  <si>
    <t>Non-Core</t>
  </si>
  <si>
    <t xml:space="preserve">  Distribution Trans.</t>
  </si>
  <si>
    <t>First 100,000 therms/month</t>
  </si>
  <si>
    <t>Next 200,000 therms/month</t>
  </si>
  <si>
    <t>Over 500,000 therms/month</t>
  </si>
  <si>
    <t>Total Non-Core</t>
  </si>
  <si>
    <t>Rev. Increase</t>
  </si>
  <si>
    <t>Exh MCP-9</t>
  </si>
  <si>
    <t>Margin Revenue is from Exh. IDM-7, column (AA). (Margin revenue in proposed column.)</t>
  </si>
  <si>
    <t>Table 1</t>
  </si>
  <si>
    <t>Rate Schedules</t>
  </si>
  <si>
    <t>Margin Revenue (1)</t>
  </si>
  <si>
    <t>EOP Weather Normalized Or Actual Annual Therms (2)</t>
  </si>
  <si>
    <t>Rate (3)</t>
  </si>
  <si>
    <t>Customer Count (4)</t>
  </si>
  <si>
    <t>Data Sources</t>
  </si>
  <si>
    <t>Rate is Column C divided by Column E</t>
  </si>
  <si>
    <t>Table 2</t>
  </si>
  <si>
    <t xml:space="preserve">April </t>
  </si>
  <si>
    <t xml:space="preserve">May </t>
  </si>
  <si>
    <t xml:space="preserve">June </t>
  </si>
  <si>
    <t xml:space="preserve">July </t>
  </si>
  <si>
    <t xml:space="preserve">August </t>
  </si>
  <si>
    <t xml:space="preserve">September </t>
  </si>
  <si>
    <t xml:space="preserve">November </t>
  </si>
  <si>
    <t xml:space="preserve">Data Source </t>
  </si>
  <si>
    <t>Table 3</t>
  </si>
  <si>
    <t>New Authorized Revenue Per Customer (6)</t>
  </si>
  <si>
    <t xml:space="preserve">March </t>
  </si>
  <si>
    <t>Data Source</t>
  </si>
  <si>
    <t>Cascade Natural Gas Coporation</t>
  </si>
  <si>
    <t>Test Year Summary of 1501 Reports</t>
  </si>
  <si>
    <t>Source: Monthly CA1501 Reports</t>
  </si>
  <si>
    <t>BSC1</t>
  </si>
  <si>
    <t>Monthly Bill determinants</t>
  </si>
  <si>
    <t>Total Revenue</t>
  </si>
  <si>
    <t>Rate Schedule: CNGWA503</t>
  </si>
  <si>
    <t>Total Dollars</t>
  </si>
  <si>
    <t>Adjustment Therms</t>
  </si>
  <si>
    <t>Total Therms</t>
  </si>
  <si>
    <t>Rate Schedule: CNGWA504</t>
  </si>
  <si>
    <t>Rate: CNGWA011LV</t>
  </si>
  <si>
    <t>Margin &gt; 100,000 Therms</t>
  </si>
  <si>
    <t>Rate Schedule: CNGWA505</t>
  </si>
  <si>
    <t>Rate: CNGWA511 - COMMERCIAL</t>
  </si>
  <si>
    <t>Rate: CNGWA511 - INDUSTRIAL</t>
  </si>
  <si>
    <t>Rate Schedule: CNGWA570</t>
  </si>
  <si>
    <t>Contract Charge</t>
  </si>
  <si>
    <t>Commodity Charge First 100,000 Therms per day</t>
  </si>
  <si>
    <t>Commodity Charge Over 100,000 Therms per day</t>
  </si>
  <si>
    <t>Commodity Charge</t>
  </si>
  <si>
    <t>Rate Schedule 6631 - Non-Core Generating</t>
  </si>
  <si>
    <t>Check - MONTHLY CA1501 REPORT TOTAL</t>
  </si>
  <si>
    <t>Test Year Revenue Recon Report</t>
  </si>
  <si>
    <t>Jan19</t>
  </si>
  <si>
    <t>Feb19</t>
  </si>
  <si>
    <t>Mar19</t>
  </si>
  <si>
    <t>Apr19</t>
  </si>
  <si>
    <t>May19</t>
  </si>
  <si>
    <t>Jun19</t>
  </si>
  <si>
    <t>Jul19</t>
  </si>
  <si>
    <t>Aug19</t>
  </si>
  <si>
    <t>Sep19</t>
  </si>
  <si>
    <t>Oct19</t>
  </si>
  <si>
    <t>Nov19</t>
  </si>
  <si>
    <t>Dec19</t>
  </si>
  <si>
    <t>RESIDENTIAL</t>
  </si>
  <si>
    <t>CNGWA503</t>
  </si>
  <si>
    <t>CM Unbilled therms</t>
  </si>
  <si>
    <t>PM Unbilled therms</t>
  </si>
  <si>
    <t xml:space="preserve"> -PM CA1501A therms</t>
  </si>
  <si>
    <t xml:space="preserve"> +CM CA1501A therms</t>
  </si>
  <si>
    <t>Revenue (CA1501)</t>
  </si>
  <si>
    <t>CM Unbilled revenues</t>
  </si>
  <si>
    <t>PM Unbilled revenues</t>
  </si>
  <si>
    <t>CAP revenues</t>
  </si>
  <si>
    <t>COMMERCIAL</t>
  </si>
  <si>
    <t>CNGWA504</t>
  </si>
  <si>
    <t>CNGWA011LV</t>
  </si>
  <si>
    <t>INDUSTRIAL</t>
  </si>
  <si>
    <t>CNGWA505</t>
  </si>
  <si>
    <t>CNGWA511</t>
  </si>
  <si>
    <t>Industrial</t>
  </si>
  <si>
    <t>CNGW04LV</t>
  </si>
  <si>
    <t>CNGW05LV</t>
  </si>
  <si>
    <t>CNGWA570</t>
  </si>
  <si>
    <t>CNGWA6631</t>
  </si>
  <si>
    <t>Industrials</t>
  </si>
  <si>
    <t>CNGWA906</t>
  </si>
  <si>
    <t>CNGWA909</t>
  </si>
  <si>
    <t>CNGWA910</t>
  </si>
  <si>
    <t>CNGWA911</t>
  </si>
  <si>
    <t>CNGWA914</t>
  </si>
  <si>
    <t>Generating</t>
  </si>
  <si>
    <t>CNGWA6633</t>
  </si>
  <si>
    <t>CNGWA6635</t>
  </si>
  <si>
    <t>CNGWA901</t>
  </si>
  <si>
    <t>CNGWA903</t>
  </si>
  <si>
    <t>CNGWA908</t>
  </si>
  <si>
    <t>Alloc Select</t>
  </si>
  <si>
    <t>End of Period Useage Calculations</t>
  </si>
  <si>
    <t>2019 Monthly Therms - Actual(Normalized) Therms / Ave Use Per Month</t>
  </si>
  <si>
    <t>ALTERNATIVE CALCULATIONS</t>
  </si>
  <si>
    <t>Jan</t>
  </si>
  <si>
    <t>Feb</t>
  </si>
  <si>
    <t>Mar</t>
  </si>
  <si>
    <t>Apr</t>
  </si>
  <si>
    <t>Jun</t>
  </si>
  <si>
    <t>Jul</t>
  </si>
  <si>
    <t>Aug</t>
  </si>
  <si>
    <t>Sep</t>
  </si>
  <si>
    <t>Oct</t>
  </si>
  <si>
    <t>Nov</t>
  </si>
  <si>
    <t>Dec</t>
  </si>
  <si>
    <t>503 (data from Weather Norm. wksheet)</t>
  </si>
  <si>
    <t>For company use</t>
  </si>
  <si>
    <t>503 Combined Ave Useage</t>
  </si>
  <si>
    <t>504 (data from Weather Norm. wksheet)</t>
  </si>
  <si>
    <t>011LV 511 to 663 Conversion</t>
  </si>
  <si>
    <t>504 Combined Ave Useage</t>
  </si>
  <si>
    <t>505 merge</t>
  </si>
  <si>
    <t>05LV total</t>
  </si>
  <si>
    <r>
      <t xml:space="preserve">505 Combined </t>
    </r>
    <r>
      <rPr>
        <i/>
        <sz val="11"/>
        <rFont val="Calibri"/>
        <family val="2"/>
        <scheme val="minor"/>
      </rPr>
      <t>(05LV + 505)</t>
    </r>
  </si>
  <si>
    <t>505 First 500 Ave Useage</t>
  </si>
  <si>
    <t>505 Next 3500 Ave Useage</t>
  </si>
  <si>
    <t>505 &gt;4000 Ave Useage</t>
  </si>
  <si>
    <t>505 Combined Ave Useage</t>
  </si>
  <si>
    <t>511 merge</t>
  </si>
  <si>
    <t>011LV</t>
  </si>
  <si>
    <t>2019 511 ALT - W/O 011LV CUSTOMERS</t>
  </si>
  <si>
    <t>511 Margin First 20,000 Ave</t>
  </si>
  <si>
    <t>511 Margin Next 80,000 Ave</t>
  </si>
  <si>
    <t>511 Margin &gt; 100,000 Ave</t>
  </si>
  <si>
    <t>511 Combined Ave Useage</t>
  </si>
  <si>
    <t>570 Margin First 30,000 Ave</t>
  </si>
  <si>
    <t>570 Margin &gt; 30,000 Ave</t>
  </si>
  <si>
    <t>570 Combined Ave Useage</t>
  </si>
  <si>
    <t>6631 - Non Core Industrials</t>
  </si>
  <si>
    <t>2019 663 ALT - W 011LV CUSTOMERS</t>
  </si>
  <si>
    <t>Delivery Charge First 100,000 Therms Ave</t>
  </si>
  <si>
    <t>Delivery Charge Next 200,000 Therms Ave</t>
  </si>
  <si>
    <t>Delivery Charge &gt; 500,000 Therms Ave</t>
  </si>
  <si>
    <t>6631 NC Combined Average Useage</t>
  </si>
  <si>
    <t>6631 - Non Core Generating</t>
  </si>
  <si>
    <t>6631 Gen Combined Average Useage</t>
  </si>
  <si>
    <t>6633 Gen Combined Average Useage</t>
  </si>
  <si>
    <t>Combined 6631 Billing Corrections 500k therms</t>
  </si>
  <si>
    <t>6635 Combined Average Useage</t>
  </si>
  <si>
    <t>Delivery Charge Over 100,000 Therms</t>
  </si>
  <si>
    <t>Delivery Charge Over 100,000 Therms Ave</t>
  </si>
  <si>
    <t>906 Combined Average Useage</t>
  </si>
  <si>
    <t>All 663 Ave DC First 100,000 Therms</t>
  </si>
  <si>
    <t>All 663 Ave DC Next 200,000 Therms</t>
  </si>
  <si>
    <t>All 663 Ave DC&gt; 500,000 Therms</t>
  </si>
  <si>
    <t>2019 Annualized Usage Using End of Period Customer Counts</t>
  </si>
  <si>
    <t>End of Period Annualized Customer Counts</t>
  </si>
  <si>
    <t>Monthly Actual Average customer counts</t>
  </si>
  <si>
    <t>2020 End of Period Annualized Customers with Growth Projections</t>
  </si>
  <si>
    <t>503 Normalized</t>
  </si>
  <si>
    <r>
      <t xml:space="preserve">504 Combined </t>
    </r>
    <r>
      <rPr>
        <i/>
        <sz val="11"/>
        <color theme="1"/>
        <rFont val="Calibri"/>
        <family val="2"/>
        <scheme val="minor"/>
      </rPr>
      <t>(04LV+504)</t>
    </r>
  </si>
  <si>
    <t>add</t>
  </si>
  <si>
    <r>
      <t xml:space="preserve">505 Combined </t>
    </r>
    <r>
      <rPr>
        <i/>
        <sz val="11"/>
        <color theme="1"/>
        <rFont val="Calibri"/>
        <family val="2"/>
        <scheme val="minor"/>
      </rPr>
      <t>(05LV + 505)</t>
    </r>
  </si>
  <si>
    <t>wa011LV</t>
  </si>
  <si>
    <t>511 Combined</t>
  </si>
  <si>
    <t>570 Combined</t>
  </si>
  <si>
    <t>663 Combined</t>
  </si>
  <si>
    <t>Added from 011LV</t>
  </si>
  <si>
    <t>All 663 Combined</t>
  </si>
  <si>
    <t>2020 Annualized Usage Using Projected Customer Counts</t>
  </si>
  <si>
    <t>2019 Alternative Billing Determinants for RS 6631</t>
  </si>
  <si>
    <t>BILLING CORRECTION &amp; 011LV CUSTOMERS COMBINED</t>
  </si>
  <si>
    <t>Test Year State Allocation Report</t>
  </si>
  <si>
    <t>TOTAL GAS SALES</t>
  </si>
  <si>
    <t>TOTAL OTHER OPERATING REVENUE</t>
  </si>
  <si>
    <t>503 - Residential Actuals</t>
  </si>
  <si>
    <t>504 - Commercial Actuals</t>
  </si>
  <si>
    <t>Actuals</t>
  </si>
  <si>
    <t>CASCADE NAUTURAL GAS CORPORATION</t>
  </si>
  <si>
    <t>RULE 21 DECOUPLING MECHANISM</t>
  </si>
  <si>
    <t>DEFERRED ACCOUNTING DETAILS - TWELVE MONTHS ENDED DECEMBER 31, 2019</t>
  </si>
  <si>
    <t>Ammortize JE</t>
  </si>
  <si>
    <t>Interest Rate</t>
  </si>
  <si>
    <t>https://www.ferc.gov/enforcement/acct-matts/interest-rates.asp</t>
  </si>
  <si>
    <t>Days</t>
  </si>
  <si>
    <t>4800 Residential</t>
  </si>
  <si>
    <t>NO LONGER</t>
  </si>
  <si>
    <t>CC&amp;B Report: CA1499 Services Summary</t>
  </si>
  <si>
    <t>Actual Margin Revenues</t>
  </si>
  <si>
    <t>CC&amp;B Report: CA1501 Revenue by District</t>
  </si>
  <si>
    <t>Total Actual Margin Revenues</t>
  </si>
  <si>
    <t>Unbilled Margins Booked</t>
  </si>
  <si>
    <t>Authorized Revenue</t>
  </si>
  <si>
    <t>DEFERRAL AMOUNT</t>
  </si>
  <si>
    <t>Interest</t>
  </si>
  <si>
    <t>Monthly Deferral Total</t>
  </si>
  <si>
    <t>Cumulative Deferral Total</t>
  </si>
  <si>
    <t>Customer Count by Rate Class</t>
  </si>
  <si>
    <t>Unbilled Margin Revenues</t>
  </si>
  <si>
    <t>Current Month - UNBILLED THERMS &amp; REVENUE XXXX.xlsx</t>
  </si>
  <si>
    <t>Prior Month - UNBILLED THERMS &amp; REVENUE XXXX.xlsx</t>
  </si>
  <si>
    <t>4809 Industrial</t>
  </si>
  <si>
    <t>CC&amp;B Report: CA1501 &amp; CI1564 CRM Adjustment for old rates</t>
  </si>
  <si>
    <t>CC&amp;B Report: CA1501 Revenue by District - First 500</t>
  </si>
  <si>
    <t>CC&amp;B Report: CA1501 Revenue by District - Next 3,500</t>
  </si>
  <si>
    <t>CC&amp;B Report: CA1501 Revenue by District - Over 4,000</t>
  </si>
  <si>
    <t>CC&amp;B Report: CA1501 Revenue by District - First 20,000</t>
  </si>
  <si>
    <t>CC&amp;B Report: CA1501 Revenue by District - Next 80,000</t>
  </si>
  <si>
    <t>CC&amp;B Report: CA1501 Revenue by District - Over 100,000</t>
  </si>
  <si>
    <t>4810 Commercial</t>
  </si>
  <si>
    <t>04LV</t>
  </si>
  <si>
    <t>CC&amp;B Report: Current Month CA1501A Revenue by District</t>
  </si>
  <si>
    <t>CC&amp;B Report: Prior Month CA1501A Revenue by District</t>
  </si>
  <si>
    <t>11LV</t>
  </si>
  <si>
    <t>CC&amp;B Report: CA1501A Revenue by District - First 20,000</t>
  </si>
  <si>
    <t>CC&amp;B Report: CA1501A Revenue by District - Next 80,000</t>
  </si>
  <si>
    <t>CC&amp;B Report: CA1501A Revenue by District - Over 100,000</t>
  </si>
  <si>
    <t>4811 Commercial</t>
  </si>
  <si>
    <t>05LV</t>
  </si>
  <si>
    <t>CC&amp;B Report: Current Month CA1501A Revenue by District - First 500</t>
  </si>
  <si>
    <t>CC&amp;B Report: Current Month CA1501A Revenue by District - Next 3,500</t>
  </si>
  <si>
    <t>CC&amp;B Report: Prior Month CA1501A Revenue by District - First 500</t>
  </si>
  <si>
    <t>CC&amp;B Report: Prior Month CA1501A Revenue by District - Next 3,500</t>
  </si>
  <si>
    <t>4813 Industrial</t>
  </si>
  <si>
    <t>CC&amp;B Report: CA1501 Revenue by District - First 30,000</t>
  </si>
  <si>
    <t>CC&amp;B Report: CA1501 Revenue by District - Over 30,000</t>
  </si>
  <si>
    <t>CC&amp;B Report: Current Month CA1501A Revenue by District - First 30,000</t>
  </si>
  <si>
    <t>CC&amp;B Report: Current Month CA1501A Revenue by District - Over 30,000</t>
  </si>
  <si>
    <t>CC&amp;B Report: Prior Month CA1501A Revenue by District - First 30,000</t>
  </si>
  <si>
    <t>CC&amp;B Report: Prior Month CA1501A Revenue by District - Over 30,000</t>
  </si>
  <si>
    <t>CC&amp;B Report: CA1501 Revenue by District - First 4,000</t>
  </si>
  <si>
    <t>CC&amp;B Report: Current Month CA1501A Revenue by District - First 4,000</t>
  </si>
  <si>
    <t>CC&amp;B Report: Current Month CA1501A Revenue by District - Over 4,000</t>
  </si>
  <si>
    <t>CC&amp;B Report: Prior Month CA1501A Revenue by District - First 4,000</t>
  </si>
  <si>
    <t>CC&amp;B Report: Prior Month CA1501A Revenue by District - Over 4,000</t>
  </si>
  <si>
    <t>TOTAL DEFERRAL AMOUNT</t>
  </si>
  <si>
    <t>Total Unbilled Margins Booked</t>
  </si>
  <si>
    <t>Interest (rounding)</t>
  </si>
  <si>
    <t>Journal Entry</t>
  </si>
  <si>
    <t xml:space="preserve">Aug </t>
  </si>
  <si>
    <t>47WA.1862.20477</t>
  </si>
  <si>
    <t>WA Decoupling Mechanism variance deferral</t>
  </si>
  <si>
    <t>47WA.4002.4800CP</t>
  </si>
  <si>
    <t>Residential CAP</t>
  </si>
  <si>
    <t>47WA.4002.4809CP</t>
  </si>
  <si>
    <t>Industrial CAP</t>
  </si>
  <si>
    <t>47WA.4002.4810CP</t>
  </si>
  <si>
    <t>Commerical CAP</t>
  </si>
  <si>
    <t>47WA.4002.4811CP</t>
  </si>
  <si>
    <t>Small Commerical CAP</t>
  </si>
  <si>
    <t>47WA.4002.4813CP</t>
  </si>
  <si>
    <t>Small Industrial CAP</t>
  </si>
  <si>
    <t>Original Entry</t>
  </si>
  <si>
    <t>2nd Entry</t>
  </si>
  <si>
    <t>2020 New Customer Forecast</t>
  </si>
  <si>
    <t>Table A</t>
  </si>
  <si>
    <t>Table B</t>
  </si>
  <si>
    <t>2020 Projected Customer Counts. Starting point: Dec 2019 EOP Customer Counts</t>
  </si>
  <si>
    <t>Customer Forecast from 2018 WA IRP - UG-171186</t>
  </si>
  <si>
    <t>511-Com</t>
  </si>
  <si>
    <t>511-LV-COM</t>
  </si>
  <si>
    <t>511-Ind</t>
  </si>
  <si>
    <t xml:space="preserve">WA503 </t>
  </si>
  <si>
    <t xml:space="preserve">WA504 </t>
  </si>
  <si>
    <t xml:space="preserve">WA505 </t>
  </si>
  <si>
    <t xml:space="preserve">WA511 </t>
  </si>
  <si>
    <t xml:space="preserve">WA570 </t>
  </si>
  <si>
    <t>Customer Schedule</t>
  </si>
  <si>
    <t>RS 663</t>
  </si>
  <si>
    <t>Overbilled Therms</t>
  </si>
  <si>
    <t>&gt; 500k Rate</t>
  </si>
  <si>
    <t>Therm Diff</t>
  </si>
  <si>
    <t>Total 2020</t>
  </si>
  <si>
    <t>Total 2019</t>
  </si>
  <si>
    <t>Meters</t>
  </si>
  <si>
    <t>Exh 301, Proof of Revenue</t>
  </si>
  <si>
    <t>Calculation of Baseline Monthly Commodity Margin Per Customer</t>
  </si>
  <si>
    <t>Exh 302, Margin Baseline</t>
  </si>
  <si>
    <t>Revenue Recon</t>
  </si>
  <si>
    <t>Allocation Summary</t>
  </si>
  <si>
    <t>Therm Forecast</t>
  </si>
  <si>
    <t>Forecast</t>
  </si>
  <si>
    <t>Sch. 163 Therm Forecast</t>
  </si>
  <si>
    <t xml:space="preserve">Special Contract Number </t>
  </si>
  <si>
    <t>902-905</t>
  </si>
  <si>
    <t>Peak Days for Sch. 163</t>
  </si>
  <si>
    <t>163 3 Day Peak</t>
  </si>
  <si>
    <t>Exh 401, RR Summary</t>
  </si>
  <si>
    <t>Exh 402, RR Calc</t>
  </si>
  <si>
    <t>Twelve-Months ended December 31, 2019</t>
  </si>
  <si>
    <t>Embedded Cost of Service (ECOS) Study</t>
  </si>
  <si>
    <t>List</t>
  </si>
  <si>
    <t>2020 Total Company's Plant</t>
  </si>
  <si>
    <t>FP-101194</t>
  </si>
  <si>
    <t>FP-101210</t>
  </si>
  <si>
    <t>FP-317630</t>
  </si>
  <si>
    <t>FP-317632</t>
  </si>
  <si>
    <t>FP-317634</t>
  </si>
  <si>
    <t>FP-317636</t>
  </si>
  <si>
    <t>FP-317638</t>
  </si>
  <si>
    <t>FP-317640</t>
  </si>
  <si>
    <t>FP-317642</t>
  </si>
  <si>
    <t>FP-317644</t>
  </si>
  <si>
    <t>FP-317646</t>
  </si>
  <si>
    <t>FP-317648</t>
  </si>
  <si>
    <t>FP-317650</t>
  </si>
  <si>
    <t>FP-317652</t>
  </si>
  <si>
    <t>FP-317654</t>
  </si>
  <si>
    <t>FP-317656</t>
  </si>
  <si>
    <t>FP-317750</t>
  </si>
  <si>
    <t>FP-317752</t>
  </si>
  <si>
    <t>Updated</t>
  </si>
  <si>
    <t>Exh 301, Proof of Revenue - AC587</t>
  </si>
  <si>
    <t>Exh 301, Proof of Revenue - AC588</t>
  </si>
  <si>
    <t>Exh 301, Proof of Revenue - AC589</t>
  </si>
  <si>
    <t>FP-101413GP BUILDINGS - WALLAWALLA</t>
  </si>
  <si>
    <t>FP-101416GP TOOLS - WALLAWALLA</t>
  </si>
  <si>
    <t>FP-317628</t>
  </si>
  <si>
    <t>FP-317658</t>
  </si>
  <si>
    <t>FP-300233</t>
  </si>
  <si>
    <t>FP-316586</t>
  </si>
  <si>
    <t>FP-317322</t>
  </si>
  <si>
    <t>FP-316429</t>
  </si>
  <si>
    <t>FP-318987</t>
  </si>
  <si>
    <t>FP-318808</t>
  </si>
  <si>
    <t>FP-318829</t>
  </si>
  <si>
    <t>FP-318352</t>
  </si>
  <si>
    <t>FP-318690</t>
  </si>
  <si>
    <t>FP-306998</t>
  </si>
  <si>
    <t>FP-306988</t>
  </si>
  <si>
    <t>FP-316589</t>
  </si>
  <si>
    <t>FP-318746</t>
  </si>
  <si>
    <t>FP-318747</t>
  </si>
  <si>
    <t>FP-318566</t>
  </si>
  <si>
    <t>FP-318482</t>
  </si>
  <si>
    <t>FP-317060</t>
  </si>
  <si>
    <t>FP-318742</t>
  </si>
  <si>
    <t>FP-318588</t>
  </si>
  <si>
    <t>FP-302596</t>
  </si>
  <si>
    <t>FP-316587</t>
  </si>
  <si>
    <t>FP-317535</t>
  </si>
  <si>
    <t>FP-316670</t>
  </si>
  <si>
    <t>FP-319072</t>
  </si>
  <si>
    <t>FP-319063</t>
  </si>
  <si>
    <t>FP-319056</t>
  </si>
  <si>
    <t>Scott</t>
  </si>
  <si>
    <t>Project Name</t>
  </si>
  <si>
    <t>Actual Cost</t>
  </si>
  <si>
    <t>Actual In Service Date</t>
  </si>
  <si>
    <t>Arlington Gate Project</t>
  </si>
  <si>
    <t>FP-317322 ARLINGTON GATE UPGR; NWP</t>
  </si>
  <si>
    <t>Aberdeen 6" HP Project</t>
  </si>
  <si>
    <t>Othello Gate Project</t>
  </si>
  <si>
    <t>Bremerton Office Project</t>
  </si>
  <si>
    <t>Walla Walla 6" Distribution Project</t>
  </si>
  <si>
    <t>Walla Walla Gate Project</t>
  </si>
  <si>
    <t>FP-306998 SOUTH WALLA GATE-NWP</t>
  </si>
  <si>
    <t>Bremerton Reg Station Project</t>
  </si>
  <si>
    <t>Moses Lake 4" PE Project</t>
  </si>
  <si>
    <t>Bellingham 8" HP Project</t>
  </si>
  <si>
    <t>Mount Vernon Reg Station Project</t>
  </si>
  <si>
    <t xml:space="preserve">FP-317535 - GR; R-128 BURB; TIE-IN TO ATTALIA </t>
  </si>
  <si>
    <t>Richland Keene Rd Project</t>
  </si>
  <si>
    <t>Kennewick Odorizer Project</t>
  </si>
  <si>
    <t>Richland Odorizer Project</t>
  </si>
  <si>
    <t>Projects</t>
  </si>
  <si>
    <t>Blanket</t>
  </si>
  <si>
    <t>Depn</t>
  </si>
  <si>
    <t>AWEC</t>
  </si>
  <si>
    <r>
      <t xml:space="preserve">Coupon Rate
</t>
    </r>
    <r>
      <rPr>
        <b/>
        <sz val="5"/>
        <rFont val="Arial"/>
        <family val="2"/>
      </rPr>
      <t xml:space="preserve">
</t>
    </r>
    <r>
      <rPr>
        <b/>
        <sz val="12"/>
        <rFont val="Arial"/>
        <family val="2"/>
      </rPr>
      <t>(%)</t>
    </r>
  </si>
  <si>
    <t>Maturity Date</t>
  </si>
  <si>
    <t>Settlement Date</t>
  </si>
  <si>
    <r>
      <t xml:space="preserve">Original Term
</t>
    </r>
    <r>
      <rPr>
        <b/>
        <sz val="5"/>
        <rFont val="Arial"/>
        <family val="2"/>
      </rPr>
      <t xml:space="preserve">
</t>
    </r>
    <r>
      <rPr>
        <b/>
        <sz val="12"/>
        <rFont val="Arial"/>
        <family val="2"/>
      </rPr>
      <t>(years)</t>
    </r>
  </si>
  <si>
    <r>
      <t xml:space="preserve">Principal Amount
</t>
    </r>
    <r>
      <rPr>
        <b/>
        <sz val="5"/>
        <rFont val="Arial"/>
        <family val="2"/>
      </rPr>
      <t xml:space="preserve">
</t>
    </r>
    <r>
      <rPr>
        <b/>
        <sz val="12"/>
        <rFont val="Arial"/>
        <family val="2"/>
      </rPr>
      <t>($1,000)</t>
    </r>
  </si>
  <si>
    <r>
      <t xml:space="preserve">Issuance Costs
</t>
    </r>
    <r>
      <rPr>
        <b/>
        <sz val="5"/>
        <rFont val="Arial"/>
        <family val="2"/>
      </rPr>
      <t xml:space="preserve">
</t>
    </r>
    <r>
      <rPr>
        <b/>
        <sz val="12"/>
        <rFont val="Arial"/>
        <family val="2"/>
      </rPr>
      <t>($1,000)</t>
    </r>
  </si>
  <si>
    <r>
      <t xml:space="preserve">Settled Hedge
Loss / (Gain)
</t>
    </r>
    <r>
      <rPr>
        <b/>
        <sz val="5"/>
        <rFont val="Arial"/>
        <family val="2"/>
      </rPr>
      <t xml:space="preserve">
</t>
    </r>
    <r>
      <rPr>
        <b/>
        <sz val="12"/>
        <rFont val="Arial"/>
        <family val="2"/>
      </rPr>
      <t>($1,000)</t>
    </r>
  </si>
  <si>
    <r>
      <t xml:space="preserve">Discount /
(Premium)
</t>
    </r>
    <r>
      <rPr>
        <b/>
        <sz val="5"/>
        <rFont val="Arial"/>
        <family val="2"/>
      </rPr>
      <t xml:space="preserve">
</t>
    </r>
    <r>
      <rPr>
        <b/>
        <sz val="12"/>
        <rFont val="Arial"/>
        <family val="2"/>
      </rPr>
      <t>($1,000)</t>
    </r>
  </si>
  <si>
    <r>
      <t xml:space="preserve">Redemption Expenses
</t>
    </r>
    <r>
      <rPr>
        <b/>
        <sz val="5"/>
        <rFont val="Arial"/>
        <family val="2"/>
      </rPr>
      <t xml:space="preserve">
</t>
    </r>
    <r>
      <rPr>
        <b/>
        <sz val="12"/>
        <rFont val="Arial"/>
        <family val="2"/>
      </rPr>
      <t>($1,000)</t>
    </r>
  </si>
  <si>
    <r>
      <t xml:space="preserve">Net Proceeds 
</t>
    </r>
    <r>
      <rPr>
        <b/>
        <sz val="5"/>
        <rFont val="Arial"/>
        <family val="2"/>
      </rPr>
      <t xml:space="preserve">
</t>
    </r>
    <r>
      <rPr>
        <b/>
        <sz val="12"/>
        <rFont val="Arial"/>
        <family val="2"/>
      </rPr>
      <t>($1,000)</t>
    </r>
  </si>
  <si>
    <t>Per $100 Principal</t>
  </si>
  <si>
    <r>
      <t xml:space="preserve">Yield to Maturity
</t>
    </r>
    <r>
      <rPr>
        <b/>
        <sz val="5"/>
        <rFont val="Arial"/>
        <family val="2"/>
      </rPr>
      <t xml:space="preserve">
</t>
    </r>
    <r>
      <rPr>
        <b/>
        <sz val="12"/>
        <rFont val="Arial"/>
        <family val="2"/>
      </rPr>
      <t>(%)</t>
    </r>
  </si>
  <si>
    <r>
      <t xml:space="preserve">Outstanding Amount on 12/31/2020
</t>
    </r>
    <r>
      <rPr>
        <b/>
        <sz val="5"/>
        <rFont val="Arial"/>
        <family val="2"/>
      </rPr>
      <t xml:space="preserve">
</t>
    </r>
    <r>
      <rPr>
        <b/>
        <sz val="12"/>
        <rFont val="Arial"/>
        <family val="2"/>
      </rPr>
      <t>($1,000)</t>
    </r>
  </si>
  <si>
    <r>
      <t xml:space="preserve">Effective Cost
</t>
    </r>
    <r>
      <rPr>
        <b/>
        <sz val="5"/>
        <rFont val="Arial"/>
        <family val="2"/>
      </rPr>
      <t xml:space="preserve">
</t>
    </r>
    <r>
      <rPr>
        <b/>
        <sz val="12"/>
        <rFont val="Arial"/>
        <family val="2"/>
      </rPr>
      <t>($1,000)</t>
    </r>
  </si>
  <si>
    <r>
      <t>Remaining Term</t>
    </r>
    <r>
      <rPr>
        <b/>
        <sz val="5"/>
        <rFont val="Arial"/>
        <family val="2"/>
      </rPr>
      <t xml:space="preserve">
</t>
    </r>
    <r>
      <rPr>
        <b/>
        <sz val="12"/>
        <rFont val="Arial"/>
        <family val="2"/>
      </rPr>
      <t>(years)</t>
    </r>
  </si>
  <si>
    <t>(E)</t>
  </si>
  <si>
    <t>(J)</t>
  </si>
  <si>
    <r>
      <t xml:space="preserve">(K)
</t>
    </r>
    <r>
      <rPr>
        <sz val="11"/>
        <rFont val="Arial"/>
        <family val="2"/>
      </rPr>
      <t>[F - G - H - I - J]</t>
    </r>
  </si>
  <si>
    <r>
      <t xml:space="preserve">(L)
</t>
    </r>
    <r>
      <rPr>
        <sz val="11"/>
        <rFont val="Arial"/>
        <family val="2"/>
      </rPr>
      <t>[K / F] * 100</t>
    </r>
  </si>
  <si>
    <t>(M)</t>
  </si>
  <si>
    <t>(O)
[M * N]</t>
  </si>
  <si>
    <t>(P)</t>
  </si>
  <si>
    <t>LT Debt in Test Year</t>
  </si>
  <si>
    <t>Test year 01/01/2020 - 12/31/2020</t>
  </si>
  <si>
    <t>Includes LT Debt issuances on May 20, 2020</t>
  </si>
  <si>
    <t>No proforma debt issuances are forecasted by the Company</t>
  </si>
  <si>
    <t>Oregon Jurisdiction</t>
  </si>
  <si>
    <t>ROO PGA</t>
  </si>
  <si>
    <t>Total PGA</t>
  </si>
  <si>
    <t>Total Decoupling</t>
  </si>
  <si>
    <t>Rev Sen.</t>
  </si>
  <si>
    <t>Total PGA Revenues</t>
  </si>
  <si>
    <t>Natural Gas/Production Costs</t>
  </si>
  <si>
    <t>Exh. IDM-7</t>
  </si>
  <si>
    <t>Exh. MCP-8</t>
  </si>
  <si>
    <t>Remaining Balance (revenue sensitive)</t>
  </si>
  <si>
    <t>Debt Amortized</t>
  </si>
  <si>
    <t>Director Fees</t>
  </si>
  <si>
    <t>UTC</t>
  </si>
  <si>
    <t>5-YR Avg</t>
  </si>
  <si>
    <t>No</t>
  </si>
  <si>
    <t>Norm Incentive</t>
  </si>
  <si>
    <t>Removal and Retirement Adjustment</t>
  </si>
  <si>
    <t>Removal</t>
  </si>
  <si>
    <t>Retirements</t>
  </si>
  <si>
    <t>R-7</t>
  </si>
  <si>
    <t>Remove</t>
  </si>
  <si>
    <t>Tracker</t>
  </si>
  <si>
    <t>Schedules</t>
  </si>
  <si>
    <t>Main</t>
  </si>
  <si>
    <t>Serv</t>
  </si>
  <si>
    <t>Reg</t>
  </si>
  <si>
    <t>Rebuttal</t>
  </si>
  <si>
    <t>2020 Actual Customer Counts. Starting point: Dec 2019 EOP Customer Counts</t>
  </si>
  <si>
    <t>Plant Additions</t>
  </si>
  <si>
    <t>Provision for Rate Refund (Out of Period - EDIT revenue)</t>
  </si>
  <si>
    <t>AWEC-50</t>
  </si>
  <si>
    <t>D&amp;O Total</t>
  </si>
  <si>
    <t>Plant Additions Summary</t>
  </si>
  <si>
    <t>Description / Project Name</t>
  </si>
  <si>
    <t>Total Blanket Projects</t>
  </si>
  <si>
    <t>Total Plant Additions</t>
  </si>
  <si>
    <t xml:space="preserve">	Mains for Growth </t>
  </si>
  <si>
    <t xml:space="preserve">	Regulator Station Growth and Gas Meters </t>
  </si>
  <si>
    <t xml:space="preserve">	Services for Growth </t>
  </si>
  <si>
    <t>Total Discrete Projects</t>
  </si>
  <si>
    <t>Discrete Projects</t>
  </si>
  <si>
    <t>Total Delayed Discrete Projects</t>
  </si>
  <si>
    <t>Blankets Projects</t>
  </si>
  <si>
    <t>Forecasted</t>
  </si>
  <si>
    <t>Total Increase</t>
  </si>
  <si>
    <t>R-8</t>
  </si>
  <si>
    <t>Interim Period</t>
  </si>
  <si>
    <t>EDIT Benefits</t>
  </si>
  <si>
    <t>R-9</t>
  </si>
  <si>
    <t>Settlement</t>
  </si>
  <si>
    <t>Audit</t>
  </si>
  <si>
    <t>R-10</t>
  </si>
  <si>
    <t>R-11</t>
  </si>
  <si>
    <t>Removal &amp;</t>
  </si>
  <si>
    <t>Impact of Removal on Expense</t>
  </si>
  <si>
    <t>$</t>
  </si>
  <si>
    <t>Impact of Retirement on Expense</t>
  </si>
  <si>
    <t>Average Depreciation Rate (UG-200278)</t>
  </si>
  <si>
    <t>2018 - ERTs Replacement Program</t>
  </si>
  <si>
    <t>Delayed or Removed Discrete Projects</t>
  </si>
  <si>
    <t>Adj</t>
  </si>
  <si>
    <t>Disallowed</t>
  </si>
  <si>
    <t>Actual In-Service Date</t>
  </si>
  <si>
    <t>Exhibit PCD-4</t>
  </si>
  <si>
    <t>Funding Project Number / Name</t>
  </si>
  <si>
    <t>Estimated Project Cost</t>
  </si>
  <si>
    <t>2020 Amount</t>
  </si>
  <si>
    <t>Exhibit MPP-5</t>
  </si>
  <si>
    <t>Actual Project Cost</t>
  </si>
  <si>
    <t>Estimated Funding Project Cost</t>
  </si>
  <si>
    <t>Actual Funding Project Cost</t>
  </si>
  <si>
    <t>2020 Total Plant Additions</t>
  </si>
  <si>
    <t>2020 Plant Additions Seeking Recovery</t>
  </si>
  <si>
    <t>Recovery Percentage of 2020 Total Plant Additions</t>
  </si>
  <si>
    <t>2020 Plant Figures</t>
  </si>
  <si>
    <t>Total Impact of 2020 Removal &amp; Retirements on Expenses</t>
  </si>
  <si>
    <t>Removal &amp; Retirements Expense Adjustment</t>
  </si>
  <si>
    <t>Gibraltar 4" PE Project**</t>
  </si>
  <si>
    <t xml:space="preserve">  Revenue Requirement Effect</t>
  </si>
  <si>
    <r>
      <t>(Per Exh. MCG-14, R-7</t>
    </r>
    <r>
      <rPr>
        <sz val="10"/>
        <rFont val="Calibri"/>
        <family val="2"/>
      </rPr>
      <t xml:space="preserve"> Adjustment)</t>
    </r>
  </si>
  <si>
    <t>** - This project has been removed because a change in scope caused the actual cost to fall below Cascade's proposed major resource threshold.  The actual cost was approximately $35,000.</t>
  </si>
  <si>
    <t>Wallula Gate Project*</t>
  </si>
  <si>
    <t>* - Funding Project 317535 has been removed because it was not placed in-service before the end of 2020; however, the regulator station  has been installed and currently has natural gas inside the pipe.</t>
  </si>
  <si>
    <t>Updated 1-8</t>
  </si>
  <si>
    <t>Last provided by Scott 1-8</t>
  </si>
  <si>
    <t>2019 - ERTs Replacement Program / AWEC Used</t>
  </si>
  <si>
    <t>Wallula Gate Project</t>
  </si>
  <si>
    <t>Gibraltar 4" PE Project</t>
  </si>
  <si>
    <t>Blankets</t>
  </si>
  <si>
    <t>Discrete</t>
  </si>
  <si>
    <t>Total at 10/31</t>
  </si>
  <si>
    <t>Restating</t>
  </si>
  <si>
    <t>Proforma</t>
  </si>
  <si>
    <t>ACTUAL</t>
  </si>
  <si>
    <t>RESTATED</t>
  </si>
  <si>
    <t>ADJUSTED</t>
  </si>
  <si>
    <t>RESULTS OF</t>
  </si>
  <si>
    <t xml:space="preserve">RESTATING </t>
  </si>
  <si>
    <t>PROFORMA</t>
  </si>
  <si>
    <t xml:space="preserve">OPERATIONS </t>
  </si>
  <si>
    <t>ADJUSTMENTS</t>
  </si>
  <si>
    <t>OPERATIONS</t>
  </si>
  <si>
    <t>NET REVENUE</t>
  </si>
  <si>
    <t>CHANGE TO</t>
  </si>
  <si>
    <t>BASE RATES</t>
  </si>
  <si>
    <t>AFTER</t>
  </si>
  <si>
    <t>RATE</t>
  </si>
  <si>
    <t>INCREASE</t>
  </si>
  <si>
    <t>a</t>
  </si>
  <si>
    <t>b</t>
  </si>
  <si>
    <t>c = a + b</t>
  </si>
  <si>
    <t>e = c + d</t>
  </si>
  <si>
    <t>d</t>
  </si>
  <si>
    <t>f</t>
  </si>
  <si>
    <t>g = e + f</t>
  </si>
  <si>
    <t>R-3 / P-5</t>
  </si>
  <si>
    <t>Commission Order - RB</t>
  </si>
  <si>
    <t>Total RB</t>
  </si>
  <si>
    <t>Order</t>
  </si>
  <si>
    <t>`</t>
  </si>
  <si>
    <t>Explanation as to why they don't tie</t>
  </si>
  <si>
    <t>EI Amount</t>
  </si>
  <si>
    <t>DR-43</t>
  </si>
  <si>
    <t>To Do List</t>
  </si>
  <si>
    <t>Disconnect Plan - May 18, 2022</t>
  </si>
  <si>
    <t>WEAF Status Report - April 1, 2022</t>
  </si>
  <si>
    <t>Load Study Progress Report - Aug 21, 2021</t>
  </si>
  <si>
    <t>Load Study Written Plan - Aug 21, 2021</t>
  </si>
  <si>
    <t xml:space="preserve">Load Study Status - Summer 2021 </t>
  </si>
  <si>
    <t>Load Study Completed - Sept 21, 2022</t>
  </si>
  <si>
    <t>Commission Order - Attachment</t>
  </si>
  <si>
    <t>Total Incentives</t>
  </si>
  <si>
    <t>Employee Incentives</t>
  </si>
  <si>
    <t>Total incentive adjustment</t>
  </si>
  <si>
    <t>PC-46</t>
  </si>
  <si>
    <t>MEG-7</t>
  </si>
  <si>
    <t>2019 Monthly EOP &amp; Normalized/Actual Therms</t>
  </si>
  <si>
    <t>From Myhrum Workpaper - "End of Period Calculations". Using 2019 EOP annualized usage.</t>
  </si>
  <si>
    <t>2019 EOP annualized test year customer counts are from Myhrum Workpaper "End of Period Calculations" column "O".</t>
  </si>
  <si>
    <t>2019 EOP Customer Billing Determinants</t>
  </si>
  <si>
    <t>New Authorized Revenue Per Customer is (2019) Monthly EOP &amp; Normalized/Actual Therms * Rate) divided by customer count.</t>
  </si>
  <si>
    <t>Matching Principle</t>
  </si>
  <si>
    <t>5-YR Avg of Incentives Adj.</t>
  </si>
  <si>
    <t>Incentive Baseline, Not  5-YR AVG</t>
  </si>
  <si>
    <t>RS 570 Double Counted (?)</t>
  </si>
  <si>
    <t>Order 05 Direction / Method</t>
  </si>
  <si>
    <t>Order 05 Attachment Result - Incorrect Direction / Method</t>
  </si>
  <si>
    <t>Difference in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</si>
</sst>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dd\-mmm\-yy"/>
    <numFmt numFmtId="165" formatCode="hh:mm\ AM/PM"/>
    <numFmt numFmtId="166" formatCode="_(* #,##0_);_(* \(#,##0\);_(* &quot;-&quot;??_);_(@_)"/>
    <numFmt numFmtId="167" formatCode="0.000%"/>
    <numFmt numFmtId="168" formatCode="0.0000%"/>
    <numFmt numFmtId="169" formatCode="_-* #,##0\ &quot;F&quot;_-;\-* #,##0\ &quot;F&quot;_-;_-* &quot;-&quot;\ &quot;F&quot;_-;_-@_-"/>
    <numFmt numFmtId="170" formatCode="&quot;$&quot;###0;[Red]\(&quot;$&quot;###0\)"/>
    <numFmt numFmtId="171" formatCode="&quot;$&quot;#,##0\ ;\(&quot;$&quot;#,##0\)"/>
    <numFmt numFmtId="172" formatCode="########\-###\-###"/>
    <numFmt numFmtId="173" formatCode="0.0"/>
    <numFmt numFmtId="174" formatCode="#,##0.000;[Red]\-#,##0.000"/>
    <numFmt numFmtId="175" formatCode="#,##0.0_);\(#,##0.0\);\-\ ;"/>
    <numFmt numFmtId="176" formatCode="#,##0.0000"/>
    <numFmt numFmtId="177" formatCode="mmm\ dd\,\ yyyy"/>
    <numFmt numFmtId="178" formatCode="General_)"/>
    <numFmt numFmtId="179" formatCode="mmmm\ d\,\ yyyy"/>
    <numFmt numFmtId="180" formatCode="_-* #,##0.000000_-;\-* #,##0.000000_-;_-* &quot;-&quot;??????_-;_-@_-"/>
    <numFmt numFmtId="181" formatCode="#,##0.0_);\(#,##0.0\)"/>
    <numFmt numFmtId="182" formatCode="&quot;$&quot;#,##0.000_);\(&quot;$&quot;#,##0.000\)"/>
    <numFmt numFmtId="183" formatCode="&quot;$&quot;#,##0.00000000_);\(&quot;$&quot;#,##0.00000000\)"/>
    <numFmt numFmtId="184" formatCode="0.00000"/>
    <numFmt numFmtId="185" formatCode="0.0000000%"/>
    <numFmt numFmtId="186" formatCode="_(* #,##0.0000_);_(* \(#,##0.0000\);_(* &quot;-&quot;??_);_(@_)"/>
    <numFmt numFmtId="187" formatCode="#,##0.00000_);\(#,##0.00000\)"/>
    <numFmt numFmtId="188" formatCode="&quot;$&quot;#,##0"/>
    <numFmt numFmtId="189" formatCode="dd\-mmm\-yy_)"/>
    <numFmt numFmtId="190" formatCode="&quot;$&quot;#,##0.00"/>
    <numFmt numFmtId="191" formatCode="#,##0.0000000000_);[Red]\(#,##0.0000000000\)"/>
    <numFmt numFmtId="192" formatCode="0.00000%"/>
    <numFmt numFmtId="193" formatCode="#,##0.0000_);\(#,##0.0000\)"/>
    <numFmt numFmtId="194" formatCode="mmm\-yy_)"/>
    <numFmt numFmtId="195" formatCode="0_)"/>
    <numFmt numFmtId="196" formatCode="#,##0.000000_);\(#,##0.000000\)"/>
    <numFmt numFmtId="197" formatCode="#,##0.0000000"/>
    <numFmt numFmtId="198" formatCode="[$-409]m/d/yy\ h:mm\ AM/PM;@"/>
    <numFmt numFmtId="199" formatCode="0_);\(0\)"/>
    <numFmt numFmtId="200" formatCode="#,##0.0"/>
    <numFmt numFmtId="201" formatCode="#,##0.000"/>
    <numFmt numFmtId="202" formatCode="_(&quot;$&quot;* #,##0_);_(&quot;$&quot;* \(#,##0\);_(&quot;$&quot;* &quot;-&quot;??_);_(@_)"/>
    <numFmt numFmtId="203" formatCode="0.0%"/>
    <numFmt numFmtId="204" formatCode="&quot;$&quot;#,##0.00000"/>
    <numFmt numFmtId="205" formatCode="_(&quot;$&quot;* #,##0.00000_);_(&quot;$&quot;* \(#,##0.00000\);_(&quot;$&quot;* &quot;-&quot;??_);_(@_)"/>
    <numFmt numFmtId="206" formatCode="ddd\,\ m/d/yyyy"/>
    <numFmt numFmtId="207" formatCode="m/d/yy;@"/>
    <numFmt numFmtId="208" formatCode="&quot;$&quot;#,##0.0000"/>
    <numFmt numFmtId="209" formatCode="&quot;$&quot;#,##0.0000000"/>
    <numFmt numFmtId="210" formatCode="_(&quot;$&quot;* #,##0.0000_);_(&quot;$&quot;* \(#,##0.0000\);_(&quot;$&quot;* &quot;-&quot;??_);_(@_)"/>
    <numFmt numFmtId="211" formatCode="_(&quot;$&quot;* #,##0.0000000_);_(&quot;$&quot;* \(#,##0.0000000\);_(&quot;$&quot;* &quot;-&quot;??_);_(@_)"/>
    <numFmt numFmtId="212" formatCode="_(* #,##0.0000000_);_(* \(#,##0.0000000\);_(* &quot;-&quot;??_);_(@_)"/>
    <numFmt numFmtId="213" formatCode="#,##0.000000"/>
    <numFmt numFmtId="214" formatCode="#,##0.00000000"/>
    <numFmt numFmtId="215" formatCode="#,##0.00000"/>
    <numFmt numFmtId="216" formatCode="0.000000"/>
    <numFmt numFmtId="217" formatCode="0.0000"/>
    <numFmt numFmtId="218" formatCode="0.00_);\(0.00\)"/>
    <numFmt numFmtId="219" formatCode="[$-409]mmm\-yy;@"/>
    <numFmt numFmtId="220" formatCode="_(* #,##0.00000_);_(* \(#,##0.00000\);_(* &quot;-&quot;??_);_(@_)"/>
    <numFmt numFmtId="221" formatCode="_(&quot;$&quot;* #,##0.0000_);_(&quot;$&quot;* \(#,##0.0000\);_(&quot;$&quot;* &quot;-&quot;????_);_(@_)"/>
    <numFmt numFmtId="222" formatCode="0.000"/>
    <numFmt numFmtId="223" formatCode="mm/dd/yyyy"/>
    <numFmt numFmtId="224" formatCode="mmm\,\ yyyy"/>
  </numFmts>
  <fonts count="19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b/>
      <sz val="10"/>
      <name val="Arial"/>
      <family val="2"/>
    </font>
    <font>
      <sz val="8"/>
      <name val="Arial"/>
      <family val="2"/>
    </font>
    <font>
      <b/>
      <sz val="9"/>
      <name val="Arial"/>
      <family val="2"/>
    </font>
    <font>
      <sz val="10"/>
      <color indexed="12"/>
      <name val="Arial"/>
      <family val="2"/>
    </font>
    <font>
      <b/>
      <sz val="8"/>
      <name val="Arial"/>
      <family val="2"/>
    </font>
    <font>
      <sz val="10"/>
      <color indexed="10"/>
      <name val="Arial"/>
      <family val="2"/>
    </font>
    <font>
      <b/>
      <sz val="12"/>
      <name val="Arial"/>
      <family val="2"/>
    </font>
    <font>
      <b/>
      <sz val="10"/>
      <color indexed="8"/>
      <name val="Arial"/>
      <family val="2"/>
    </font>
    <font>
      <b/>
      <sz val="18"/>
      <name val="Arial"/>
      <family val="2"/>
    </font>
    <font>
      <b/>
      <sz val="14"/>
      <name val="Arial"/>
      <family val="2"/>
    </font>
    <font>
      <sz val="10"/>
      <name val="Courier"/>
      <family val="3"/>
    </font>
    <font>
      <sz val="10"/>
      <color indexed="8"/>
      <name val="Helv"/>
    </font>
    <font>
      <sz val="12"/>
      <name val="Times New Roman"/>
      <family val="1"/>
    </font>
    <font>
      <sz val="12"/>
      <name val="Arial"/>
      <family val="2"/>
    </font>
    <font>
      <sz val="10"/>
      <color indexed="24"/>
      <name val="Courier New"/>
      <family val="3"/>
    </font>
    <font>
      <sz val="10"/>
      <name val="Helv"/>
    </font>
    <font>
      <sz val="8"/>
      <name val="Helv"/>
    </font>
    <font>
      <sz val="7"/>
      <name val="Arial"/>
      <family val="2"/>
    </font>
    <font>
      <b/>
      <sz val="16"/>
      <name val="Times New Roman"/>
      <family val="1"/>
    </font>
    <font>
      <b/>
      <sz val="12"/>
      <color indexed="24"/>
      <name val="Times New Roman"/>
      <family val="1"/>
    </font>
    <font>
      <sz val="10"/>
      <color indexed="24"/>
      <name val="Times New Roman"/>
      <family val="1"/>
    </font>
    <font>
      <b/>
      <i/>
      <sz val="8"/>
      <color indexed="18"/>
      <name val="Helv"/>
    </font>
    <font>
      <sz val="12"/>
      <color indexed="12"/>
      <name val="Times New Roman"/>
      <family val="1"/>
    </font>
    <font>
      <sz val="11"/>
      <name val="Times New Roman"/>
      <family val="1"/>
    </font>
    <font>
      <sz val="10"/>
      <name val="MS Sans Serif"/>
      <family val="2"/>
    </font>
    <font>
      <sz val="10"/>
      <color indexed="11"/>
      <name val="Geneva"/>
    </font>
    <font>
      <b/>
      <sz val="10"/>
      <color indexed="39"/>
      <name val="Arial"/>
      <family val="2"/>
    </font>
    <font>
      <sz val="10"/>
      <color indexed="8"/>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sz val="12"/>
      <name val="Arial MT"/>
    </font>
    <font>
      <sz val="10"/>
      <name val="LinePrinter"/>
    </font>
    <font>
      <sz val="8"/>
      <color indexed="12"/>
      <name val="Arial"/>
      <family val="2"/>
    </font>
    <font>
      <sz val="11"/>
      <color theme="1"/>
      <name val="Times New Roman"/>
      <family val="2"/>
    </font>
    <font>
      <sz val="10"/>
      <name val="Arial MT"/>
    </font>
    <font>
      <sz val="10"/>
      <color theme="1"/>
      <name val="Arial"/>
      <family val="2"/>
    </font>
    <font>
      <sz val="11"/>
      <color indexed="8"/>
      <name val="TimesNewRomanPS"/>
    </font>
    <font>
      <sz val="8"/>
      <color indexed="62"/>
      <name val="Arial"/>
      <family val="2"/>
    </font>
    <font>
      <sz val="11"/>
      <name val="Arial"/>
      <family val="2"/>
    </font>
    <font>
      <sz val="11"/>
      <color theme="1"/>
      <name val="Arial"/>
      <family val="2"/>
    </font>
    <font>
      <strike/>
      <sz val="8"/>
      <name val="Arial"/>
      <family val="2"/>
    </font>
    <font>
      <sz val="8"/>
      <color indexed="8"/>
      <name val="Arial"/>
      <family val="2"/>
    </font>
    <font>
      <sz val="8"/>
      <color indexed="12"/>
      <name val="Tms Rmn"/>
    </font>
    <font>
      <sz val="8"/>
      <name val="Times New Roman"/>
      <family val="1"/>
    </font>
    <font>
      <b/>
      <sz val="8"/>
      <name val="Times New Roman"/>
      <family val="1"/>
    </font>
    <font>
      <sz val="10"/>
      <name val="Times New Roman"/>
      <family val="1"/>
    </font>
    <font>
      <sz val="8"/>
      <color indexed="18"/>
      <name val="Times New Roman"/>
      <family val="1"/>
    </font>
    <font>
      <sz val="18"/>
      <name val="Times New Roman"/>
      <family val="1"/>
    </font>
    <font>
      <i/>
      <sz val="12"/>
      <name val="Times New Roman"/>
      <family val="1"/>
    </font>
    <font>
      <sz val="18"/>
      <name val="Arial"/>
      <family val="2"/>
    </font>
    <font>
      <i/>
      <sz val="12"/>
      <name val="Arial"/>
      <family val="2"/>
    </font>
    <font>
      <sz val="8"/>
      <name val="Helvetica"/>
      <family val="2"/>
    </font>
    <font>
      <b/>
      <sz val="26"/>
      <name val="Times New Roman"/>
      <family val="1"/>
    </font>
    <font>
      <b/>
      <sz val="18"/>
      <name val="Times New Roman"/>
      <family val="1"/>
    </font>
    <font>
      <i/>
      <sz val="8"/>
      <name val="Times New Roman"/>
      <family val="1"/>
    </font>
    <font>
      <sz val="10"/>
      <name val="Book Antiqua"/>
      <family val="1"/>
    </font>
    <font>
      <sz val="8"/>
      <color indexed="14"/>
      <name val="Helvetica"/>
    </font>
    <font>
      <b/>
      <sz val="10"/>
      <name val="Helv"/>
    </font>
    <font>
      <sz val="7"/>
      <name val="Times New Roman"/>
      <family val="1"/>
    </font>
    <font>
      <b/>
      <u/>
      <sz val="9"/>
      <name val="Arial"/>
      <family val="2"/>
    </font>
    <font>
      <sz val="8"/>
      <color indexed="9"/>
      <name val="Arial"/>
      <family val="2"/>
    </font>
    <font>
      <u/>
      <sz val="11"/>
      <color theme="10"/>
      <name val="Calibri"/>
      <family val="2"/>
    </font>
    <font>
      <sz val="10"/>
      <name val="Geneva"/>
    </font>
    <font>
      <sz val="10"/>
      <name val="Tms Rmn"/>
    </font>
    <font>
      <sz val="12"/>
      <color indexed="10"/>
      <name val="Times New Roman"/>
      <family val="1"/>
    </font>
    <font>
      <b/>
      <sz val="8"/>
      <color indexed="8"/>
      <name val="Courier New"/>
      <family val="3"/>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8"/>
      <name val="Wingdings"/>
      <charset val="2"/>
    </font>
    <font>
      <u/>
      <sz val="7.5"/>
      <color theme="0"/>
      <name val="Arial"/>
      <family val="2"/>
    </font>
    <font>
      <u/>
      <sz val="10"/>
      <color theme="0"/>
      <name val="Arial"/>
      <family val="2"/>
    </font>
    <font>
      <sz val="10"/>
      <name val="Geneva"/>
      <family val="2"/>
    </font>
    <font>
      <sz val="10"/>
      <name val="Tahoma"/>
      <family val="2"/>
    </font>
    <font>
      <u/>
      <sz val="10"/>
      <color theme="10"/>
      <name val="Arial"/>
      <family val="2"/>
    </font>
    <font>
      <sz val="6"/>
      <name val="Times New Roman"/>
      <family val="1"/>
    </font>
    <font>
      <sz val="11"/>
      <color indexed="8"/>
      <name val="Calibri"/>
      <family val="2"/>
    </font>
    <font>
      <sz val="11"/>
      <color indexed="9"/>
      <name val="Calibri"/>
      <family val="2"/>
    </font>
    <font>
      <sz val="11"/>
      <color indexed="16"/>
      <name val="Calibri"/>
      <family val="2"/>
    </font>
    <font>
      <b/>
      <sz val="11"/>
      <color indexed="53"/>
      <name val="Calibri"/>
      <family val="2"/>
    </font>
    <font>
      <b/>
      <sz val="11"/>
      <color indexed="9"/>
      <name val="Calibri"/>
      <family val="2"/>
    </font>
    <font>
      <u/>
      <sz val="9.9499999999999993"/>
      <color indexed="8"/>
      <name val="Times New Roman"/>
      <family val="1"/>
    </font>
    <font>
      <b/>
      <sz val="11"/>
      <color indexed="8"/>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sz val="10"/>
      <color indexed="8"/>
      <name val="MS Sans Serif"/>
      <family val="2"/>
    </font>
    <font>
      <b/>
      <sz val="11"/>
      <color indexed="63"/>
      <name val="Calibri"/>
      <family val="2"/>
    </font>
    <font>
      <sz val="8"/>
      <color indexed="14"/>
      <name val="Helvetica"/>
      <family val="2"/>
    </font>
    <font>
      <b/>
      <sz val="18"/>
      <color indexed="62"/>
      <name val="Cambria"/>
      <family val="2"/>
    </font>
    <font>
      <sz val="11"/>
      <color indexed="10"/>
      <name val="Calibri"/>
      <family val="2"/>
    </font>
    <font>
      <sz val="10"/>
      <name val="Arial"/>
      <family val="2"/>
    </font>
    <font>
      <sz val="9"/>
      <color indexed="81"/>
      <name val="Tahoma"/>
      <family val="2"/>
    </font>
    <font>
      <b/>
      <sz val="9"/>
      <color indexed="81"/>
      <name val="Tahoma"/>
      <family val="2"/>
    </font>
    <font>
      <b/>
      <sz val="12"/>
      <name val="Times New Roman"/>
      <family val="1"/>
    </font>
    <font>
      <sz val="12"/>
      <color theme="1"/>
      <name val="Times New Roman"/>
      <family val="1"/>
    </font>
    <font>
      <u/>
      <sz val="12"/>
      <color theme="1"/>
      <name val="Times New Roman"/>
      <family val="1"/>
    </font>
    <font>
      <b/>
      <sz val="12"/>
      <color theme="1"/>
      <name val="Times New Roman"/>
      <family val="1"/>
    </font>
    <font>
      <b/>
      <u/>
      <sz val="12"/>
      <color theme="1"/>
      <name val="Times New Roman"/>
      <family val="1"/>
    </font>
    <font>
      <sz val="12"/>
      <color rgb="FFFF0000"/>
      <name val="Times New Roman"/>
      <family val="1"/>
    </font>
    <font>
      <sz val="12"/>
      <color theme="1"/>
      <name val="Calibri"/>
      <family val="2"/>
      <scheme val="minor"/>
    </font>
    <font>
      <b/>
      <i/>
      <sz val="12"/>
      <name val="Times New Roman"/>
      <family val="1"/>
    </font>
    <font>
      <b/>
      <i/>
      <u/>
      <sz val="12"/>
      <color theme="1"/>
      <name val="Times New Roman"/>
      <family val="1"/>
    </font>
    <font>
      <u/>
      <sz val="12"/>
      <color theme="1"/>
      <name val="Calibri"/>
      <family val="2"/>
      <scheme val="minor"/>
    </font>
    <font>
      <vertAlign val="superscript"/>
      <sz val="12"/>
      <color theme="1"/>
      <name val="Calibri"/>
      <family val="2"/>
      <scheme val="minor"/>
    </font>
    <font>
      <sz val="10"/>
      <name val="Courier"/>
    </font>
    <font>
      <vertAlign val="superscript"/>
      <sz val="10"/>
      <name val="Arial"/>
      <family val="2"/>
    </font>
    <font>
      <b/>
      <sz val="11"/>
      <name val="Arial"/>
      <family val="2"/>
    </font>
    <font>
      <b/>
      <i/>
      <u/>
      <sz val="20"/>
      <color theme="1"/>
      <name val="Times New Roman"/>
      <family val="1"/>
    </font>
    <font>
      <b/>
      <i/>
      <u/>
      <sz val="24"/>
      <color theme="1"/>
      <name val="Times New Roman"/>
      <family val="1"/>
    </font>
    <font>
      <b/>
      <sz val="10"/>
      <color indexed="12"/>
      <name val="Arial"/>
      <family val="2"/>
    </font>
    <font>
      <b/>
      <sz val="10"/>
      <color theme="1"/>
      <name val="Arial"/>
      <family val="2"/>
    </font>
    <font>
      <sz val="11"/>
      <name val="Calibri"/>
      <family val="2"/>
      <scheme val="minor"/>
    </font>
    <font>
      <sz val="10"/>
      <color theme="1"/>
      <name val="Arial Narrow"/>
      <family val="2"/>
    </font>
    <font>
      <sz val="8"/>
      <name val="Calibri"/>
      <family val="2"/>
      <scheme val="minor"/>
    </font>
    <font>
      <sz val="11"/>
      <name val="Calibri"/>
      <family val="2"/>
    </font>
    <font>
      <sz val="11"/>
      <color rgb="FFC00000"/>
      <name val="Calibri"/>
      <family val="2"/>
      <scheme val="minor"/>
    </font>
    <font>
      <b/>
      <sz val="11"/>
      <name val="Calibri"/>
      <family val="2"/>
      <scheme val="minor"/>
    </font>
    <font>
      <sz val="12"/>
      <color rgb="FFC00000"/>
      <name val="Times New Roman"/>
      <family val="1"/>
    </font>
    <font>
      <sz val="10"/>
      <color theme="1"/>
      <name val="Calibri"/>
      <family val="2"/>
      <scheme val="minor"/>
    </font>
    <font>
      <b/>
      <u val="singleAccounting"/>
      <sz val="11"/>
      <name val="Calibri"/>
      <family val="2"/>
      <scheme val="minor"/>
    </font>
    <font>
      <b/>
      <sz val="11"/>
      <color rgb="FFFF0000"/>
      <name val="Calibri"/>
      <family val="2"/>
      <scheme val="minor"/>
    </font>
    <font>
      <sz val="11"/>
      <color theme="0" tint="-0.499984740745262"/>
      <name val="Calibri"/>
      <family val="2"/>
      <scheme val="minor"/>
    </font>
    <font>
      <u val="doubleAccounting"/>
      <sz val="11"/>
      <name val="Calibri"/>
      <family val="2"/>
      <scheme val="minor"/>
    </font>
    <font>
      <sz val="12"/>
      <name val="Helv"/>
    </font>
    <font>
      <b/>
      <u/>
      <sz val="11"/>
      <color theme="1"/>
      <name val="Calibri"/>
      <family val="2"/>
      <scheme val="minor"/>
    </font>
    <font>
      <b/>
      <u/>
      <sz val="11"/>
      <name val="Calibri"/>
      <family val="2"/>
      <scheme val="minor"/>
    </font>
    <font>
      <u val="singleAccounting"/>
      <sz val="11"/>
      <name val="Calibri"/>
      <family val="2"/>
      <scheme val="minor"/>
    </font>
    <font>
      <sz val="11"/>
      <color rgb="FF0066FF"/>
      <name val="Calibri"/>
      <family val="2"/>
      <scheme val="minor"/>
    </font>
    <font>
      <sz val="11"/>
      <color rgb="FF00B050"/>
      <name val="Calibri"/>
      <family val="2"/>
      <scheme val="minor"/>
    </font>
    <font>
      <u/>
      <sz val="11"/>
      <color theme="1"/>
      <name val="Calibri"/>
      <family val="2"/>
      <scheme val="minor"/>
    </font>
    <font>
      <u/>
      <sz val="11"/>
      <name val="Calibri"/>
      <family val="2"/>
      <scheme val="minor"/>
    </font>
    <font>
      <b/>
      <sz val="22"/>
      <color theme="1" tint="0.34998626667073579"/>
      <name val="Cambria"/>
      <family val="2"/>
      <scheme val="major"/>
    </font>
    <font>
      <sz val="10"/>
      <name val="Calibri"/>
      <family val="2"/>
      <scheme val="minor"/>
    </font>
    <font>
      <sz val="14"/>
      <color theme="1"/>
      <name val="Calibri"/>
      <family val="2"/>
      <scheme val="minor"/>
    </font>
    <font>
      <u/>
      <sz val="11"/>
      <color indexed="12"/>
      <name val="Arial"/>
      <family val="2"/>
    </font>
    <font>
      <i/>
      <sz val="11"/>
      <color theme="1"/>
      <name val="Calibri"/>
      <family val="2"/>
      <scheme val="minor"/>
    </font>
    <font>
      <sz val="9"/>
      <name val="Calibri"/>
      <family val="2"/>
      <scheme val="minor"/>
    </font>
    <font>
      <sz val="48"/>
      <color theme="1"/>
      <name val="Calibri"/>
      <family val="2"/>
      <scheme val="minor"/>
    </font>
    <font>
      <sz val="11"/>
      <color indexed="8"/>
      <name val="Calibri"/>
      <family val="2"/>
      <scheme val="minor"/>
    </font>
    <font>
      <i/>
      <sz val="11"/>
      <name val="Calibri"/>
      <family val="2"/>
      <scheme val="minor"/>
    </font>
    <font>
      <b/>
      <sz val="14"/>
      <color theme="1"/>
      <name val="Calibri"/>
      <family val="2"/>
      <scheme val="minor"/>
    </font>
    <font>
      <sz val="10"/>
      <name val="Calibri"/>
      <family val="2"/>
    </font>
    <font>
      <u/>
      <sz val="10"/>
      <name val="Arial"/>
      <family val="2"/>
    </font>
    <font>
      <i/>
      <sz val="11"/>
      <color rgb="FFFF0000"/>
      <name val="Calibri"/>
      <family val="2"/>
      <scheme val="minor"/>
    </font>
    <font>
      <sz val="10"/>
      <name val="Arial Narrow"/>
      <family val="2"/>
    </font>
    <font>
      <b/>
      <sz val="14"/>
      <name val="Calibri"/>
      <family val="2"/>
      <scheme val="minor"/>
    </font>
    <font>
      <b/>
      <sz val="16"/>
      <name val="Calibri"/>
      <family val="2"/>
      <scheme val="minor"/>
    </font>
    <font>
      <b/>
      <sz val="13"/>
      <name val="Calibri"/>
      <family val="2"/>
      <scheme val="minor"/>
    </font>
    <font>
      <b/>
      <sz val="12"/>
      <name val="Calibri"/>
      <family val="2"/>
      <scheme val="minor"/>
    </font>
    <font>
      <u/>
      <sz val="11"/>
      <color theme="10"/>
      <name val="Calibri"/>
      <family val="2"/>
      <scheme val="minor"/>
    </font>
    <font>
      <sz val="11.5"/>
      <name val="Calibri"/>
      <family val="2"/>
      <scheme val="minor"/>
    </font>
    <font>
      <u/>
      <sz val="11"/>
      <name val="Arial"/>
      <family val="2"/>
    </font>
    <font>
      <sz val="12"/>
      <name val="Calibri"/>
      <family val="2"/>
      <scheme val="minor"/>
    </font>
    <font>
      <sz val="12"/>
      <name val="SWISS"/>
    </font>
    <font>
      <b/>
      <sz val="12"/>
      <color indexed="56"/>
      <name val="Arial"/>
      <family val="2"/>
    </font>
    <font>
      <b/>
      <sz val="14"/>
      <color indexed="56"/>
      <name val="Arial"/>
      <family val="2"/>
    </font>
    <font>
      <b/>
      <u val="doubleAccounting"/>
      <sz val="11"/>
      <name val="Calibri"/>
      <family val="2"/>
      <scheme val="minor"/>
    </font>
    <font>
      <b/>
      <sz val="10"/>
      <name val="Calibri"/>
      <family val="2"/>
      <scheme val="minor"/>
    </font>
    <font>
      <b/>
      <sz val="13"/>
      <name val="Arial"/>
      <family val="2"/>
    </font>
    <font>
      <b/>
      <sz val="5"/>
      <name val="Arial"/>
      <family val="2"/>
    </font>
    <font>
      <b/>
      <i/>
      <sz val="13"/>
      <name val="Arial"/>
      <family val="2"/>
    </font>
    <font>
      <sz val="12"/>
      <color rgb="FFFF0000"/>
      <name val="Arial"/>
      <family val="2"/>
    </font>
    <font>
      <b/>
      <sz val="12"/>
      <color theme="0"/>
      <name val="Arial"/>
      <family val="2"/>
    </font>
    <font>
      <b/>
      <sz val="20"/>
      <color theme="0"/>
      <name val="Arial"/>
      <family val="2"/>
    </font>
    <font>
      <sz val="12"/>
      <color theme="1"/>
      <name val="Times New Roman"/>
      <family val="2"/>
    </font>
    <font>
      <i/>
      <u/>
      <sz val="11"/>
      <color theme="1"/>
      <name val="Calibri"/>
      <family val="2"/>
      <scheme val="minor"/>
    </font>
    <font>
      <sz val="12"/>
      <color theme="0"/>
      <name val="Times New Roman"/>
      <family val="1"/>
    </font>
  </fonts>
  <fills count="11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0"/>
        <bgColor indexed="64"/>
      </patternFill>
    </fill>
    <fill>
      <patternFill patternType="solid">
        <fgColor indexed="26"/>
        <bgColor indexed="64"/>
      </patternFill>
    </fill>
    <fill>
      <patternFill patternType="solid">
        <fgColor indexed="55"/>
        <bgColor indexed="64"/>
      </patternFill>
    </fill>
    <fill>
      <patternFill patternType="solid">
        <fgColor indexed="43"/>
      </patternFill>
    </fill>
    <fill>
      <patternFill patternType="solid">
        <fgColor indexed="43"/>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lightGray"/>
    </fill>
    <fill>
      <patternFill patternType="solid">
        <fgColor indexed="14"/>
        <bgColor indexed="64"/>
      </patternFill>
    </fill>
    <fill>
      <patternFill patternType="solid">
        <fgColor indexed="9"/>
        <bgColor indexed="64"/>
      </patternFill>
    </fill>
    <fill>
      <patternFill patternType="solid">
        <fgColor indexed="63"/>
        <bgColor indexed="64"/>
      </patternFill>
    </fill>
    <fill>
      <patternFill patternType="solid">
        <fgColor indexed="9"/>
      </patternFill>
    </fill>
    <fill>
      <patternFill patternType="solid">
        <fgColor indexed="23"/>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4"/>
      </patternFill>
    </fill>
    <fill>
      <patternFill patternType="solid">
        <fgColor indexed="44"/>
      </patternFill>
    </fill>
    <fill>
      <patternFill patternType="solid">
        <fgColor indexed="4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1"/>
        <bgColor indexed="64"/>
      </patternFill>
    </fill>
    <fill>
      <patternFill patternType="solid">
        <fgColor rgb="FF92D05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9"/>
        <bgColor indexed="64"/>
      </patternFill>
    </fill>
    <fill>
      <patternFill patternType="solid">
        <fgColor theme="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00B0F0"/>
        <bgColor indexed="64"/>
      </patternFill>
    </fill>
  </fills>
  <borders count="2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right/>
      <top/>
      <bottom style="medium">
        <color indexed="64"/>
      </bottom>
      <diagonal/>
    </border>
    <border>
      <left/>
      <right style="thin">
        <color indexed="64"/>
      </right>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bottom style="double">
        <color indexed="8"/>
      </bottom>
      <diagonal/>
    </border>
    <border>
      <left/>
      <right/>
      <top/>
      <bottom style="thin">
        <color indexed="8"/>
      </bottom>
      <diagonal/>
    </border>
    <border>
      <left style="double">
        <color indexed="64"/>
      </left>
      <right style="double">
        <color indexed="64"/>
      </right>
      <top style="double">
        <color indexed="64"/>
      </top>
      <bottom style="double">
        <color indexed="64"/>
      </bottom>
      <diagonal/>
    </border>
    <border>
      <left style="thin">
        <color indexed="48"/>
      </left>
      <right style="thin">
        <color indexed="48"/>
      </right>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indexed="64"/>
      </left>
      <right/>
      <top style="thin">
        <color indexed="64"/>
      </top>
      <bottom/>
      <diagonal/>
    </border>
    <border>
      <left/>
      <right/>
      <top/>
      <bottom style="thin">
        <color indexed="22"/>
      </bottom>
      <diagonal/>
    </border>
    <border>
      <left/>
      <right/>
      <top style="thick">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bottom style="medium">
        <color auto="1"/>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medium">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double">
        <color indexed="48"/>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indexed="64"/>
      </top>
      <bottom/>
      <diagonal/>
    </border>
    <border>
      <left/>
      <right style="thin">
        <color indexed="64"/>
      </right>
      <top style="thin">
        <color indexed="64"/>
      </top>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bottom style="thin">
        <color auto="1"/>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right/>
      <top style="medium">
        <color auto="1"/>
      </top>
      <bottom style="double">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auto="1"/>
      </left>
      <right style="thick">
        <color auto="1"/>
      </right>
      <top/>
      <bottom/>
      <diagonal/>
    </border>
    <border>
      <left style="thick">
        <color auto="1"/>
      </left>
      <right style="thick">
        <color auto="1"/>
      </right>
      <top style="thin">
        <color indexed="64"/>
      </top>
      <bottom/>
      <diagonal/>
    </border>
    <border>
      <left style="thick">
        <color auto="1"/>
      </left>
      <right style="thick">
        <color auto="1"/>
      </right>
      <top style="thin">
        <color indexed="64"/>
      </top>
      <bottom style="double">
        <color auto="1"/>
      </bottom>
      <diagonal/>
    </border>
    <border>
      <left style="thin">
        <color auto="1"/>
      </left>
      <right style="thin">
        <color auto="1"/>
      </right>
      <top/>
      <bottom style="thin">
        <color auto="1"/>
      </bottom>
      <diagonal/>
    </border>
    <border>
      <left/>
      <right style="medium">
        <color indexed="64"/>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double">
        <color indexed="64"/>
      </bottom>
      <diagonal/>
    </border>
    <border>
      <left style="medium">
        <color indexed="64"/>
      </left>
      <right/>
      <top/>
      <bottom style="thin">
        <color indexed="64"/>
      </bottom>
      <diagonal/>
    </border>
    <border>
      <left/>
      <right/>
      <top style="medium">
        <color indexed="64"/>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thin">
        <color indexed="64"/>
      </top>
      <bottom/>
      <diagonal/>
    </border>
    <border>
      <left style="medium">
        <color indexed="64"/>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medium">
        <color indexed="64"/>
      </right>
      <top/>
      <bottom style="thin">
        <color auto="1"/>
      </bottom>
      <diagonal/>
    </border>
    <border>
      <left/>
      <right/>
      <top/>
      <bottom style="thin">
        <color indexed="22"/>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style="thin">
        <color indexed="48"/>
      </left>
      <right style="thin">
        <color indexed="48"/>
      </right>
      <top/>
      <bottom/>
      <diagonal/>
    </border>
    <border>
      <left style="thin">
        <color indexed="64"/>
      </left>
      <right style="thin">
        <color indexed="64"/>
      </right>
      <top/>
      <bottom style="thin">
        <color indexed="64"/>
      </bottom>
      <diagonal/>
    </border>
    <border>
      <left/>
      <right/>
      <top style="thin">
        <color indexed="48"/>
      </top>
      <bottom style="double">
        <color indexed="48"/>
      </bottom>
      <diagonal/>
    </border>
    <border>
      <left/>
      <right/>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style="thin">
        <color indexed="64"/>
      </right>
      <top/>
      <bottom style="thin">
        <color indexed="64"/>
      </bottom>
      <diagonal/>
    </border>
    <border>
      <left style="thin">
        <color auto="1"/>
      </left>
      <right/>
      <top/>
      <bottom style="thin">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medium">
        <color indexed="64"/>
      </right>
      <top/>
      <bottom style="thin">
        <color auto="1"/>
      </bottom>
      <diagonal/>
    </border>
    <border>
      <left/>
      <right style="medium">
        <color indexed="64"/>
      </right>
      <top style="thin">
        <color indexed="64"/>
      </top>
      <bottom style="medium">
        <color auto="1"/>
      </bottom>
      <diagonal/>
    </border>
    <border>
      <left style="medium">
        <color indexed="64"/>
      </left>
      <right/>
      <top style="thin">
        <color indexed="64"/>
      </top>
      <bottom style="medium">
        <color auto="1"/>
      </bottom>
      <diagonal/>
    </border>
    <border>
      <left/>
      <right style="thick">
        <color indexed="64"/>
      </right>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41"/>
      </left>
      <right style="thin">
        <color indexed="48"/>
      </right>
      <top style="medium">
        <color indexed="41"/>
      </top>
      <bottom style="thin">
        <color indexed="48"/>
      </bottom>
      <diagonal/>
    </border>
    <border>
      <left/>
      <right/>
      <top/>
      <bottom style="thin">
        <color indexed="22"/>
      </bottom>
      <diagonal/>
    </border>
    <border>
      <left/>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style="thin">
        <color auto="1"/>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medium">
        <color theme="0" tint="-0.14996795556505021"/>
      </top>
      <bottom style="medium">
        <color theme="0" tint="-0.14996795556505021"/>
      </bottom>
      <diagonal/>
    </border>
    <border>
      <left style="thin">
        <color theme="0" tint="-0.249977111117893"/>
      </left>
      <right style="thin">
        <color theme="0" tint="-0.249977111117893"/>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auto="1"/>
      </left>
      <right/>
      <top/>
      <bottom style="thin">
        <color indexed="64"/>
      </bottom>
      <diagonal/>
    </border>
    <border>
      <left style="thin">
        <color auto="1"/>
      </left>
      <right style="medium">
        <color auto="1"/>
      </right>
      <top style="thin">
        <color auto="1"/>
      </top>
      <bottom/>
      <diagonal/>
    </border>
    <border>
      <left style="thin">
        <color auto="1"/>
      </left>
      <right/>
      <top style="thin">
        <color auto="1"/>
      </top>
      <bottom style="medium">
        <color auto="1"/>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style="medium">
        <color indexed="64"/>
      </bottom>
      <diagonal/>
    </border>
    <border>
      <left/>
      <right/>
      <top style="medium">
        <color auto="1"/>
      </top>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top/>
      <bottom/>
      <diagonal/>
    </border>
  </borders>
  <cellStyleXfs count="33385">
    <xf numFmtId="0" fontId="0" fillId="0" borderId="0"/>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4" fontId="27" fillId="34" borderId="0" applyNumberFormat="0" applyProtection="0">
      <alignment horizontal="left" vertical="center" indent="1"/>
    </xf>
    <xf numFmtId="4" fontId="28" fillId="0" borderId="0" applyNumberFormat="0" applyProtection="0">
      <alignment horizontal="left" vertical="center"/>
    </xf>
    <xf numFmtId="43" fontId="19" fillId="0" borderId="0" applyFont="0" applyFill="0" applyBorder="0" applyAlignment="0" applyProtection="0"/>
    <xf numFmtId="0" fontId="19" fillId="0" borderId="0"/>
    <xf numFmtId="43" fontId="19" fillId="0" borderId="0" applyFont="0" applyFill="0" applyBorder="0" applyAlignment="0" applyProtection="0"/>
    <xf numFmtId="0" fontId="30"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 fontId="31" fillId="0" borderId="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3" fontId="34"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4" fontId="33" fillId="0" borderId="0" applyFont="0" applyFill="0" applyBorder="0" applyAlignment="0" applyProtection="0"/>
    <xf numFmtId="170" fontId="36" fillId="0" borderId="0" applyFont="0" applyFill="0" applyBorder="0" applyProtection="0">
      <alignment horizontal="right"/>
    </xf>
    <xf numFmtId="5" fontId="35" fillId="0" borderId="0"/>
    <xf numFmtId="171" fontId="34" fillId="0" borderId="0" applyFont="0" applyFill="0" applyBorder="0" applyAlignment="0" applyProtection="0"/>
    <xf numFmtId="0" fontId="34" fillId="0" borderId="0" applyFont="0" applyFill="0" applyBorder="0" applyAlignment="0" applyProtection="0"/>
    <xf numFmtId="0" fontId="35" fillId="0" borderId="0"/>
    <xf numFmtId="2" fontId="34" fillId="0" borderId="0" applyFont="0" applyFill="0" applyBorder="0" applyAlignment="0" applyProtection="0"/>
    <xf numFmtId="0" fontId="37" fillId="0" borderId="0" applyFont="0" applyFill="0" applyBorder="0" applyAlignment="0" applyProtection="0">
      <alignment horizontal="left"/>
    </xf>
    <xf numFmtId="38" fontId="21" fillId="33" borderId="0" applyNumberFormat="0" applyBorder="0" applyAlignment="0" applyProtection="0"/>
    <xf numFmtId="0" fontId="38" fillId="0" borderId="0"/>
    <xf numFmtId="0" fontId="26" fillId="0" borderId="23" applyNumberFormat="0" applyAlignment="0" applyProtection="0">
      <alignment horizontal="left" vertical="center"/>
    </xf>
    <xf numFmtId="0" fontId="26" fillId="0" borderId="22">
      <alignment horizontal="left" vertical="center"/>
    </xf>
    <xf numFmtId="0" fontId="39" fillId="0" borderId="0" applyNumberFormat="0" applyFill="0" applyBorder="0" applyAlignment="0" applyProtection="0"/>
    <xf numFmtId="0" fontId="40" fillId="0" borderId="0" applyNumberFormat="0" applyFill="0" applyBorder="0" applyAlignment="0" applyProtection="0"/>
    <xf numFmtId="10" fontId="21" fillId="35" borderId="14" applyNumberFormat="0" applyBorder="0" applyAlignment="0" applyProtection="0"/>
    <xf numFmtId="0" fontId="41" fillId="0" borderId="0" applyNumberFormat="0" applyFill="0" applyBorder="0" applyAlignment="0">
      <protection locked="0"/>
    </xf>
    <xf numFmtId="172" fontId="19" fillId="0" borderId="0"/>
    <xf numFmtId="173" fontId="24" fillId="0" borderId="0" applyNumberFormat="0" applyFill="0" applyBorder="0" applyAlignment="0" applyProtection="0"/>
    <xf numFmtId="166" fontId="42" fillId="0" borderId="0" applyFont="0" applyAlignment="0" applyProtection="0"/>
    <xf numFmtId="0" fontId="21" fillId="0" borderId="24" applyNumberFormat="0" applyBorder="0" applyAlignment="0"/>
    <xf numFmtId="174" fontId="19" fillId="0" borderId="0"/>
    <xf numFmtId="0" fontId="43" fillId="0" borderId="0"/>
    <xf numFmtId="0" fontId="32" fillId="0" borderId="0"/>
    <xf numFmtId="0" fontId="1" fillId="0" borderId="0"/>
    <xf numFmtId="0" fontId="19" fillId="0" borderId="0"/>
    <xf numFmtId="0" fontId="1" fillId="0" borderId="0"/>
    <xf numFmtId="0" fontId="1" fillId="0" borderId="0"/>
    <xf numFmtId="0" fontId="44" fillId="0" borderId="0"/>
    <xf numFmtId="0" fontId="32" fillId="0" borderId="0"/>
    <xf numFmtId="0" fontId="19" fillId="0" borderId="0"/>
    <xf numFmtId="0" fontId="19" fillId="0" borderId="0"/>
    <xf numFmtId="37" fontId="35" fillId="0" borderId="0"/>
    <xf numFmtId="175" fontId="32" fillId="0" borderId="0" applyFont="0" applyFill="0" applyBorder="0" applyProtection="0"/>
    <xf numFmtId="12" fontId="26" fillId="36" borderId="20">
      <alignment horizontal="left"/>
    </xf>
    <xf numFmtId="0" fontId="35" fillId="0" borderId="0"/>
    <xf numFmtId="0" fontId="35" fillId="0" borderId="0"/>
    <xf numFmtId="10"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5" fillId="0" borderId="0"/>
    <xf numFmtId="4" fontId="27" fillId="37" borderId="25" applyNumberFormat="0" applyProtection="0">
      <alignment vertical="center"/>
    </xf>
    <xf numFmtId="4" fontId="46" fillId="38" borderId="25" applyNumberFormat="0" applyProtection="0">
      <alignment vertical="center"/>
    </xf>
    <xf numFmtId="4" fontId="27" fillId="38" borderId="25" applyNumberFormat="0" applyProtection="0">
      <alignment horizontal="left" vertical="center" indent="1"/>
    </xf>
    <xf numFmtId="4" fontId="27" fillId="38" borderId="25" applyNumberFormat="0" applyProtection="0">
      <alignment horizontal="left" vertical="center" indent="1"/>
    </xf>
    <xf numFmtId="0" fontId="27" fillId="38" borderId="25" applyNumberFormat="0" applyProtection="0">
      <alignment horizontal="left" vertical="top" indent="1"/>
    </xf>
    <xf numFmtId="4" fontId="27" fillId="34" borderId="25" applyNumberFormat="0" applyProtection="0"/>
    <xf numFmtId="4" fontId="27" fillId="34" borderId="0" applyNumberFormat="0" applyProtection="0">
      <alignment horizontal="left" vertical="center" indent="1"/>
    </xf>
    <xf numFmtId="4" fontId="47" fillId="39" borderId="25" applyNumberFormat="0" applyProtection="0">
      <alignment horizontal="right" vertical="center"/>
    </xf>
    <xf numFmtId="4" fontId="47" fillId="40" borderId="25" applyNumberFormat="0" applyProtection="0">
      <alignment horizontal="right" vertical="center"/>
    </xf>
    <xf numFmtId="4" fontId="47" fillId="41" borderId="25" applyNumberFormat="0" applyProtection="0">
      <alignment horizontal="right" vertical="center"/>
    </xf>
    <xf numFmtId="4" fontId="47" fillId="42" borderId="25" applyNumberFormat="0" applyProtection="0">
      <alignment horizontal="right" vertical="center"/>
    </xf>
    <xf numFmtId="4" fontId="47" fillId="43" borderId="25" applyNumberFormat="0" applyProtection="0">
      <alignment horizontal="right" vertical="center"/>
    </xf>
    <xf numFmtId="4" fontId="47" fillId="44" borderId="25" applyNumberFormat="0" applyProtection="0">
      <alignment horizontal="right" vertical="center"/>
    </xf>
    <xf numFmtId="4" fontId="47" fillId="45" borderId="25" applyNumberFormat="0" applyProtection="0">
      <alignment horizontal="right" vertical="center"/>
    </xf>
    <xf numFmtId="4" fontId="47" fillId="46" borderId="25" applyNumberFormat="0" applyProtection="0">
      <alignment horizontal="right" vertical="center"/>
    </xf>
    <xf numFmtId="4" fontId="47" fillId="47" borderId="25" applyNumberFormat="0" applyProtection="0">
      <alignment horizontal="right" vertical="center"/>
    </xf>
    <xf numFmtId="4" fontId="27" fillId="48" borderId="26" applyNumberFormat="0" applyProtection="0">
      <alignment horizontal="left" vertical="center" indent="1"/>
    </xf>
    <xf numFmtId="4" fontId="47" fillId="49" borderId="0" applyNumberFormat="0" applyProtection="0">
      <alignment horizontal="left" indent="1"/>
    </xf>
    <xf numFmtId="4" fontId="47" fillId="49" borderId="0" applyNumberFormat="0" applyProtection="0">
      <alignment horizontal="left"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7" fillId="51" borderId="25" applyNumberFormat="0" applyProtection="0">
      <alignment horizontal="right" vertical="center"/>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50" fillId="53" borderId="0" applyNumberFormat="0" applyProtection="0"/>
    <xf numFmtId="4" fontId="50" fillId="53" borderId="0" applyNumberFormat="0" applyProtection="0"/>
    <xf numFmtId="4" fontId="50" fillId="53" borderId="0" applyNumberFormat="0" applyProtection="0"/>
    <xf numFmtId="4" fontId="50" fillId="53" borderId="0" applyNumberFormat="0" applyProtection="0"/>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4" fontId="47" fillId="35" borderId="25" applyNumberFormat="0" applyProtection="0">
      <alignment vertical="center"/>
    </xf>
    <xf numFmtId="4" fontId="51" fillId="35" borderId="25" applyNumberFormat="0" applyProtection="0">
      <alignment vertical="center"/>
    </xf>
    <xf numFmtId="4" fontId="47" fillId="35" borderId="25" applyNumberFormat="0" applyProtection="0">
      <alignment horizontal="left" vertical="center" indent="1"/>
    </xf>
    <xf numFmtId="0" fontId="47" fillId="3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51" fillId="49"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4" fontId="29" fillId="56" borderId="0" applyNumberFormat="0" applyProtection="0">
      <alignment horizontal="left"/>
    </xf>
    <xf numFmtId="4" fontId="29" fillId="56" borderId="0" applyNumberFormat="0" applyProtection="0">
      <alignment horizontal="left"/>
    </xf>
    <xf numFmtId="4" fontId="29" fillId="56" borderId="0" applyNumberFormat="0" applyProtection="0">
      <alignment horizontal="left"/>
    </xf>
    <xf numFmtId="4" fontId="25" fillId="49" borderId="25" applyNumberFormat="0" applyProtection="0">
      <alignment horizontal="right" vertical="center"/>
    </xf>
    <xf numFmtId="37" fontId="52" fillId="57" borderId="0" applyNumberFormat="0" applyFont="0" applyBorder="0" applyAlignment="0" applyProtection="0"/>
    <xf numFmtId="176" fontId="19" fillId="0" borderId="16">
      <alignment horizontal="justify" vertical="top" wrapText="1"/>
    </xf>
    <xf numFmtId="0" fontId="19" fillId="0" borderId="0">
      <alignment horizontal="left" wrapText="1"/>
    </xf>
    <xf numFmtId="177" fontId="19" fillId="0" borderId="0" applyFill="0" applyBorder="0" applyAlignment="0" applyProtection="0">
      <alignment wrapText="1"/>
    </xf>
    <xf numFmtId="0" fontId="20" fillId="0" borderId="0" applyNumberFormat="0" applyFill="0" applyBorder="0">
      <alignment horizontal="center" wrapText="1"/>
    </xf>
    <xf numFmtId="0" fontId="20" fillId="0" borderId="0" applyNumberFormat="0" applyFill="0" applyBorder="0">
      <alignment horizontal="center" wrapText="1"/>
    </xf>
    <xf numFmtId="0" fontId="20" fillId="0" borderId="14">
      <alignment horizontal="center" vertical="center" wrapText="1"/>
    </xf>
    <xf numFmtId="0" fontId="34" fillId="0" borderId="27" applyNumberFormat="0" applyFont="0" applyFill="0" applyAlignment="0" applyProtection="0"/>
    <xf numFmtId="0" fontId="35" fillId="0" borderId="28"/>
    <xf numFmtId="178" fontId="53" fillId="0" borderId="0">
      <alignment horizontal="left"/>
    </xf>
    <xf numFmtId="0" fontId="35" fillId="0" borderId="29"/>
    <xf numFmtId="37" fontId="21" fillId="38" borderId="0" applyNumberFormat="0" applyBorder="0" applyAlignment="0" applyProtection="0"/>
    <xf numFmtId="37" fontId="21" fillId="0" borderId="0"/>
    <xf numFmtId="3" fontId="54" fillId="58" borderId="30" applyProtection="0"/>
    <xf numFmtId="0" fontId="19" fillId="0" borderId="0"/>
    <xf numFmtId="0" fontId="55" fillId="0" borderId="0"/>
    <xf numFmtId="0" fontId="56" fillId="0" borderId="0"/>
    <xf numFmtId="0" fontId="19" fillId="0" borderId="0"/>
    <xf numFmtId="44" fontId="19"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41"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37" fontId="58" fillId="0" borderId="0" applyNumberFormat="0" applyFill="0" applyBorder="0"/>
    <xf numFmtId="0" fontId="1" fillId="0" borderId="0"/>
    <xf numFmtId="0" fontId="57" fillId="0" borderId="0"/>
    <xf numFmtId="0" fontId="1"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vertical="center"/>
    </xf>
    <xf numFmtId="4" fontId="27" fillId="38" borderId="25" applyNumberFormat="0" applyProtection="0">
      <alignment horizontal="left" vertical="center" indent="1"/>
    </xf>
    <xf numFmtId="4" fontId="27" fillId="34" borderId="25" applyNumberFormat="0" applyProtection="0"/>
    <xf numFmtId="4" fontId="27" fillId="34" borderId="25" applyNumberFormat="0" applyProtection="0"/>
    <xf numFmtId="4" fontId="27" fillId="34" borderId="25" applyNumberFormat="0" applyProtection="0"/>
    <xf numFmtId="4" fontId="27" fillId="34" borderId="25" applyNumberFormat="0" applyProtection="0"/>
    <xf numFmtId="4" fontId="27" fillId="34" borderId="10" applyNumberFormat="0" applyProtection="0">
      <alignment vertical="center"/>
    </xf>
    <xf numFmtId="4" fontId="27" fillId="34" borderId="25" applyNumberFormat="0" applyProtection="0"/>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vertical="center" indent="1"/>
    </xf>
    <xf numFmtId="4" fontId="47" fillId="49" borderId="0" applyNumberFormat="0" applyProtection="0">
      <alignment horizontal="left"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59" fillId="0" borderId="0" applyNumberFormat="0" applyProtection="0">
      <alignment horizontal="left" vertical="center" indent="1"/>
    </xf>
    <xf numFmtId="4" fontId="49" fillId="52" borderId="0" applyNumberFormat="0" applyProtection="0">
      <alignment horizontal="left" indent="1"/>
    </xf>
    <xf numFmtId="4" fontId="50" fillId="53" borderId="0" applyNumberFormat="0" applyProtection="0"/>
    <xf numFmtId="4" fontId="50" fillId="53" borderId="0" applyNumberFormat="0" applyProtection="0"/>
    <xf numFmtId="4" fontId="50" fillId="53" borderId="0" applyNumberFormat="0" applyProtection="0"/>
    <xf numFmtId="4" fontId="50" fillId="0" borderId="0" applyNumberFormat="0" applyProtection="0">
      <alignment horizontal="left" vertical="center" indent="1"/>
    </xf>
    <xf numFmtId="4" fontId="50" fillId="53" borderId="0" applyNumberFormat="0" applyProtection="0"/>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59" borderId="31"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59" borderId="25" applyNumberFormat="0" applyProtection="0">
      <alignment horizontal="left" vertical="center" indent="1"/>
    </xf>
    <xf numFmtId="4" fontId="47" fillId="0"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center" vertical="top"/>
    </xf>
    <xf numFmtId="0" fontId="47" fillId="34" borderId="25" applyNumberFormat="0" applyProtection="0">
      <alignment horizontal="left" vertical="top"/>
    </xf>
    <xf numFmtId="4" fontId="29" fillId="56" borderId="0" applyNumberFormat="0" applyProtection="0">
      <alignment horizontal="left"/>
    </xf>
    <xf numFmtId="4" fontId="29" fillId="56" borderId="0" applyNumberFormat="0" applyProtection="0">
      <alignment horizontal="left"/>
    </xf>
    <xf numFmtId="4" fontId="29" fillId="56" borderId="0" applyNumberFormat="0" applyProtection="0">
      <alignment horizontal="left"/>
    </xf>
    <xf numFmtId="4" fontId="28" fillId="0" borderId="0" applyNumberFormat="0" applyProtection="0">
      <alignment horizontal="left" vertical="center"/>
    </xf>
    <xf numFmtId="4" fontId="29" fillId="56" borderId="0" applyNumberFormat="0" applyProtection="0">
      <alignment horizontal="left"/>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3" fontId="34"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9"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37" fontId="19" fillId="0" borderId="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5" fontId="19" fillId="0" borderId="0" applyFill="0" applyBorder="0" applyAlignment="0" applyProtection="0"/>
    <xf numFmtId="179" fontId="19" fillId="0" borderId="0" applyFill="0" applyBorder="0" applyAlignment="0" applyProtection="0"/>
    <xf numFmtId="2" fontId="19" fillId="0" borderId="0" applyFill="0" applyBorder="0" applyAlignment="0" applyProtection="0"/>
    <xf numFmtId="0" fontId="26" fillId="0" borderId="32">
      <alignment horizontal="left" vertical="center"/>
    </xf>
    <xf numFmtId="0" fontId="44" fillId="0" borderId="0"/>
    <xf numFmtId="0" fontId="19" fillId="0" borderId="0"/>
    <xf numFmtId="0" fontId="44" fillId="0" borderId="0"/>
    <xf numFmtId="0" fontId="1" fillId="0" borderId="0"/>
    <xf numFmtId="43" fontId="1" fillId="0" borderId="0" applyFont="0" applyFill="0" applyBorder="0" applyAlignment="0" applyProtection="0"/>
    <xf numFmtId="179" fontId="19" fillId="0" borderId="0" applyFill="0" applyBorder="0" applyAlignment="0" applyProtection="0"/>
    <xf numFmtId="4" fontId="47" fillId="51" borderId="25" applyNumberFormat="0" applyProtection="0">
      <alignment horizontal="left" vertical="center" indent="1"/>
    </xf>
    <xf numFmtId="43" fontId="1"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3" fontId="34"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171" fontId="34" fillId="0" borderId="0" applyFont="0" applyFill="0" applyBorder="0" applyAlignment="0" applyProtection="0"/>
    <xf numFmtId="0" fontId="34" fillId="0" borderId="0" applyFont="0" applyFill="0" applyBorder="0" applyAlignment="0" applyProtection="0"/>
    <xf numFmtId="2" fontId="34" fillId="0" borderId="0" applyFont="0" applyFill="0" applyBorder="0" applyAlignment="0" applyProtection="0"/>
    <xf numFmtId="0" fontId="43" fillId="0" borderId="0"/>
    <xf numFmtId="0" fontId="1" fillId="0" borderId="0"/>
    <xf numFmtId="0" fontId="1" fillId="0" borderId="0"/>
    <xf numFmtId="0" fontId="1" fillId="0" borderId="0"/>
    <xf numFmtId="9" fontId="1" fillId="0" borderId="0" applyFont="0" applyFill="0" applyBorder="0" applyAlignment="0" applyProtection="0"/>
    <xf numFmtId="4" fontId="27" fillId="38" borderId="25" applyNumberFormat="0" applyProtection="0">
      <alignment horizontal="left" vertical="center" indent="1"/>
    </xf>
    <xf numFmtId="4" fontId="47" fillId="49" borderId="0" applyNumberFormat="0" applyProtection="0">
      <alignment horizontal="left" indent="1"/>
    </xf>
    <xf numFmtId="4" fontId="49" fillId="52" borderId="0" applyNumberFormat="0" applyProtection="0">
      <alignment horizontal="left" indent="1"/>
    </xf>
    <xf numFmtId="4" fontId="50" fillId="53" borderId="0" applyNumberFormat="0" applyProtection="0"/>
    <xf numFmtId="4" fontId="47" fillId="0" borderId="25" applyNumberFormat="0" applyProtection="0">
      <alignment horizontal="right" vertical="center"/>
    </xf>
    <xf numFmtId="4" fontId="47" fillId="0" borderId="25" applyNumberFormat="0" applyProtection="0">
      <alignment horizontal="left" vertical="center" indent="1"/>
    </xf>
    <xf numFmtId="0" fontId="47" fillId="34" borderId="25" applyNumberFormat="0" applyProtection="0">
      <alignment horizontal="left" vertical="top"/>
    </xf>
    <xf numFmtId="9" fontId="1" fillId="0" borderId="0" applyFont="0" applyFill="0" applyBorder="0" applyAlignment="0" applyProtection="0"/>
    <xf numFmtId="0" fontId="1" fillId="0" borderId="0"/>
    <xf numFmtId="0" fontId="19" fillId="0" borderId="0"/>
    <xf numFmtId="0" fontId="55"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37" fontId="19"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7" fontId="19" fillId="0" borderId="0" applyFill="0" applyBorder="0" applyAlignment="0" applyProtection="0"/>
    <xf numFmtId="179"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9" fillId="0" borderId="0"/>
    <xf numFmtId="37"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179" fontId="19" fillId="0" borderId="0" applyFill="0" applyBorder="0" applyAlignment="0" applyProtection="0"/>
    <xf numFmtId="4" fontId="27" fillId="34" borderId="10" applyNumberFormat="0" applyProtection="0">
      <alignment vertical="center"/>
    </xf>
    <xf numFmtId="179"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37" fontId="19" fillId="0" borderId="0" applyFill="0" applyBorder="0" applyAlignment="0" applyProtection="0"/>
    <xf numFmtId="0" fontId="19" fillId="0" borderId="0"/>
    <xf numFmtId="0" fontId="19" fillId="0" borderId="0"/>
    <xf numFmtId="9" fontId="1" fillId="0" borderId="0" applyFont="0" applyFill="0" applyBorder="0" applyAlignment="0" applyProtection="0"/>
    <xf numFmtId="9" fontId="1"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 fontId="27" fillId="34" borderId="36" applyNumberFormat="0" applyProtection="0">
      <alignment vertical="center"/>
    </xf>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xf numFmtId="0" fontId="63" fillId="59" borderId="0" applyNumberFormat="0" applyFill="0" applyBorder="0" applyAlignment="0" applyProtection="0">
      <protection locked="0"/>
    </xf>
    <xf numFmtId="0" fontId="64" fillId="0" borderId="0" applyNumberFormat="0" applyFill="0" applyBorder="0" applyAlignment="0" applyProtection="0"/>
    <xf numFmtId="0" fontId="50" fillId="59" borderId="11" applyNumberFormat="0" applyFill="0" applyBorder="0" applyAlignment="0" applyProtection="0">
      <protection locked="0"/>
    </xf>
    <xf numFmtId="0" fontId="65" fillId="0" borderId="20" applyNumberFormat="0" applyFont="0" applyFill="0" applyAlignment="0" applyProtection="0"/>
    <xf numFmtId="0" fontId="19" fillId="0" borderId="37" applyNumberFormat="0" applyFill="0" applyAlignment="0" applyProtection="0"/>
    <xf numFmtId="0" fontId="21" fillId="0" borderId="0" applyNumberFormat="0" applyFill="0" applyBorder="0" applyAlignment="0" applyProtection="0"/>
    <xf numFmtId="0" fontId="65" fillId="0" borderId="0" applyFont="0" applyFill="0" applyBorder="0" applyAlignment="0" applyProtection="0"/>
    <xf numFmtId="40" fontId="66" fillId="0" borderId="0" applyFont="0" applyFill="0" applyBorder="0" applyAlignment="0" applyProtection="0">
      <alignment horizontal="center"/>
    </xf>
    <xf numFmtId="0" fontId="66" fillId="0" borderId="0" applyFont="0" applyFill="0" applyBorder="0" applyAlignment="0" applyProtection="0">
      <alignment horizontal="center"/>
    </xf>
    <xf numFmtId="0" fontId="67" fillId="0" borderId="0" applyFont="0" applyFill="0" applyBorder="0" applyAlignment="0" applyProtection="0"/>
    <xf numFmtId="8" fontId="65" fillId="0" borderId="0" applyFont="0" applyFill="0" applyBorder="0" applyAlignment="0" applyProtection="0"/>
    <xf numFmtId="0" fontId="65" fillId="0" borderId="0" applyFont="0" applyFill="0" applyBorder="0" applyAlignment="0" applyProtection="0"/>
    <xf numFmtId="7" fontId="36" fillId="0" borderId="0" applyFill="0" applyBorder="0">
      <alignment horizontal="right"/>
    </xf>
    <xf numFmtId="8" fontId="68" fillId="0" borderId="0" applyNumberFormat="0" applyFill="0" applyBorder="0" applyAlignment="0"/>
    <xf numFmtId="0" fontId="19" fillId="0" borderId="0" applyFont="0" applyFill="0" applyBorder="0" applyAlignment="0" applyProtection="0"/>
    <xf numFmtId="0" fontId="19" fillId="0" borderId="0" applyFont="0" applyFill="0" applyBorder="0" applyAlignment="0" applyProtection="0"/>
    <xf numFmtId="17" fontId="19" fillId="0" borderId="0" applyFont="0" applyFill="0" applyBorder="0" applyAlignment="0" applyProtection="0"/>
    <xf numFmtId="0" fontId="19" fillId="0" borderId="0"/>
    <xf numFmtId="0" fontId="19" fillId="0" borderId="0"/>
    <xf numFmtId="0" fontId="33" fillId="0" borderId="0" applyFill="0" applyBorder="0" applyAlignment="0" applyProtection="0"/>
    <xf numFmtId="3" fontId="69" fillId="0" borderId="0" applyFill="0" applyBorder="0" applyAlignment="0" applyProtection="0"/>
    <xf numFmtId="3" fontId="65" fillId="0" borderId="0" applyFill="0" applyBorder="0" applyAlignment="0" applyProtection="0"/>
    <xf numFmtId="3" fontId="70" fillId="0" borderId="0" applyFill="0" applyBorder="0" applyAlignment="0" applyProtection="0"/>
    <xf numFmtId="3" fontId="33" fillId="0" borderId="0" applyFill="0" applyBorder="0" applyAlignment="0" applyProtection="0"/>
    <xf numFmtId="3" fontId="71" fillId="0" borderId="0" applyFill="0" applyBorder="0" applyAlignment="0" applyProtection="0"/>
    <xf numFmtId="3" fontId="21" fillId="0" borderId="0" applyFill="0" applyBorder="0" applyAlignment="0" applyProtection="0"/>
    <xf numFmtId="3" fontId="72" fillId="0" borderId="0" applyFill="0" applyBorder="0" applyAlignment="0" applyProtection="0"/>
    <xf numFmtId="0" fontId="36" fillId="0" borderId="0" applyFill="0" applyBorder="0">
      <alignment horizontal="right"/>
    </xf>
    <xf numFmtId="0" fontId="21" fillId="59" borderId="14" applyFont="0" applyBorder="0" applyAlignment="0" applyProtection="0">
      <alignment vertical="top"/>
    </xf>
    <xf numFmtId="0" fontId="28" fillId="0" borderId="0" applyNumberFormat="0" applyFill="0" applyBorder="0" applyAlignment="0" applyProtection="0"/>
    <xf numFmtId="0" fontId="26" fillId="0" borderId="0" applyNumberFormat="0" applyFill="0" applyBorder="0" applyAlignment="0" applyProtection="0"/>
    <xf numFmtId="0" fontId="21" fillId="35" borderId="0" applyNumberFormat="0" applyFont="0" applyBorder="0" applyAlignment="0" applyProtection="0">
      <alignment horizontal="center"/>
      <protection locked="0"/>
    </xf>
    <xf numFmtId="0" fontId="21" fillId="35" borderId="12" applyNumberFormat="0" applyFont="0" applyAlignment="0" applyProtection="0">
      <alignment horizontal="center"/>
      <protection locked="0"/>
    </xf>
    <xf numFmtId="0" fontId="19" fillId="0" borderId="0" applyFill="0" applyBorder="0" applyProtection="0">
      <alignment horizontal="right"/>
    </xf>
    <xf numFmtId="0" fontId="19" fillId="0" borderId="0" applyFill="0" applyBorder="0" applyProtection="0">
      <alignment horizontal="right"/>
    </xf>
    <xf numFmtId="180" fontId="19" fillId="0" borderId="0" applyFill="0" applyBorder="0" applyProtection="0">
      <alignment horizontal="right"/>
    </xf>
    <xf numFmtId="0" fontId="73" fillId="0" borderId="0" applyFill="0" applyBorder="0" applyAlignment="0" applyProtection="0"/>
    <xf numFmtId="0" fontId="21" fillId="0" borderId="0" applyNumberFormat="0" applyFill="0" applyBorder="0" applyAlignment="0" applyProtection="0"/>
    <xf numFmtId="0" fontId="24" fillId="0" borderId="0" applyNumberFormat="0" applyFill="0" applyBorder="0" applyAlignment="0" applyProtection="0"/>
    <xf numFmtId="40" fontId="47" fillId="59" borderId="0">
      <alignment horizontal="right"/>
    </xf>
    <xf numFmtId="0" fontId="27" fillId="59" borderId="0">
      <alignment horizontal="left"/>
    </xf>
    <xf numFmtId="0" fontId="74" fillId="0" borderId="0" applyFill="0" applyBorder="0" applyProtection="0">
      <alignment horizontal="left"/>
    </xf>
    <xf numFmtId="0" fontId="75" fillId="0" borderId="0" applyFill="0" applyBorder="0" applyProtection="0">
      <alignment horizontal="left"/>
    </xf>
    <xf numFmtId="0" fontId="19" fillId="0" borderId="0" applyFont="0" applyFill="0" applyBorder="0" applyAlignment="0" applyProtection="0"/>
    <xf numFmtId="0" fontId="19" fillId="0" borderId="0" applyFont="0" applyFill="0" applyBorder="0" applyAlignment="0" applyProtection="0"/>
    <xf numFmtId="0" fontId="76" fillId="0" borderId="0" applyFont="0" applyFill="0" applyBorder="0" applyAlignment="0" applyProtection="0"/>
    <xf numFmtId="0" fontId="65" fillId="0" borderId="0" applyFont="0" applyFill="0" applyBorder="0" applyProtection="0">
      <alignment horizontal="right"/>
    </xf>
    <xf numFmtId="0" fontId="77" fillId="0" borderId="0"/>
    <xf numFmtId="0" fontId="36" fillId="0" borderId="0" applyFill="0" applyBorder="0">
      <alignment horizontal="right"/>
    </xf>
    <xf numFmtId="0" fontId="24" fillId="33" borderId="14" applyNumberFormat="0" applyFont="0" applyAlignment="0" applyProtection="0"/>
    <xf numFmtId="0" fontId="21" fillId="33" borderId="0" applyNumberFormat="0" applyFont="0" applyBorder="0" applyAlignment="0" applyProtection="0">
      <alignment horizontal="center"/>
      <protection locked="0"/>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37" fontId="78" fillId="0" borderId="0" applyNumberFormat="0" applyFill="0" applyBorder="0" applyAlignment="0" applyProtection="0"/>
    <xf numFmtId="0" fontId="67" fillId="60" borderId="0" applyNumberFormat="0" applyFont="0" applyBorder="0" applyAlignment="0" applyProtection="0"/>
    <xf numFmtId="0" fontId="24" fillId="33" borderId="0" applyNumberFormat="0" applyFont="0" applyBorder="0" applyAlignment="0" applyProtection="0"/>
    <xf numFmtId="178" fontId="79" fillId="0" borderId="0" applyNumberFormat="0" applyFill="0" applyBorder="0" applyAlignment="0">
      <alignment horizontal="left"/>
    </xf>
    <xf numFmtId="0" fontId="22" fillId="0" borderId="0" applyFill="0" applyBorder="0" applyProtection="0">
      <alignment horizontal="center" vertical="center"/>
    </xf>
    <xf numFmtId="0" fontId="22" fillId="0" borderId="0" applyFill="0" applyBorder="0" applyProtection="0"/>
    <xf numFmtId="0" fontId="20" fillId="0" borderId="0" applyFill="0" applyBorder="0" applyProtection="0">
      <alignment horizontal="left"/>
    </xf>
    <xf numFmtId="0" fontId="80" fillId="0" borderId="0" applyFill="0" applyBorder="0" applyProtection="0">
      <alignment horizontal="left" vertical="top"/>
    </xf>
    <xf numFmtId="0" fontId="63" fillId="59" borderId="33" applyNumberFormat="0" applyFont="0" applyFill="0" applyAlignment="0" applyProtection="0">
      <protection locked="0"/>
    </xf>
    <xf numFmtId="0" fontId="63" fillId="59" borderId="38" applyNumberFormat="0" applyFont="0" applyFill="0" applyAlignment="0" applyProtection="0">
      <protection locked="0"/>
    </xf>
    <xf numFmtId="0" fontId="24" fillId="0" borderId="0" applyNumberFormat="0" applyFill="0" applyBorder="0" applyAlignment="0" applyProtection="0"/>
    <xf numFmtId="18" fontId="63" fillId="59" borderId="0" applyFont="0" applyFill="0" applyBorder="0" applyAlignment="0" applyProtection="0">
      <protection locked="0"/>
    </xf>
    <xf numFmtId="0" fontId="81" fillId="0" borderId="0" applyNumberFormat="0" applyFill="0" applyBorder="0" applyAlignment="0" applyProtection="0"/>
    <xf numFmtId="0" fontId="22" fillId="0" borderId="0" applyNumberFormat="0" applyFill="0" applyBorder="0" applyAlignment="0" applyProtection="0"/>
    <xf numFmtId="38" fontId="47" fillId="0" borderId="15" applyFill="0" applyBorder="0" applyAlignment="0" applyProtection="0">
      <protection locked="0"/>
    </xf>
    <xf numFmtId="0" fontId="24" fillId="59" borderId="0" applyNumberFormat="0" applyFont="0" applyAlignment="0" applyProtection="0"/>
    <xf numFmtId="0" fontId="24" fillId="59" borderId="33" applyNumberFormat="0" applyFont="0" applyAlignment="0" applyProtection="0">
      <protection locked="0"/>
    </xf>
    <xf numFmtId="0" fontId="82" fillId="0" borderId="0" applyNumberFormat="0" applyFill="0" applyBorder="0" applyAlignment="0" applyProtection="0"/>
    <xf numFmtId="0" fontId="65" fillId="0" borderId="0" applyFont="0" applyFill="0" applyBorder="0" applyProtection="0">
      <alignment horizontal="right"/>
    </xf>
    <xf numFmtId="43" fontId="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60"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3" fillId="0" borderId="0" applyNumberFormat="0" applyFill="0" applyBorder="0" applyAlignment="0" applyProtection="0">
      <alignment vertical="top"/>
      <protection locked="0"/>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 fillId="0" borderId="0"/>
    <xf numFmtId="0" fontId="19" fillId="0" borderId="0"/>
    <xf numFmtId="0" fontId="44" fillId="0" borderId="0"/>
    <xf numFmtId="0" fontId="1" fillId="0" borderId="0"/>
    <xf numFmtId="0" fontId="1" fillId="0" borderId="0"/>
    <xf numFmtId="0" fontId="1" fillId="0" borderId="0"/>
    <xf numFmtId="0" fontId="61" fillId="0" borderId="0"/>
    <xf numFmtId="9" fontId="1" fillId="0" borderId="0" applyFont="0" applyFill="0" applyBorder="0" applyAlignment="0" applyProtection="0"/>
    <xf numFmtId="9" fontId="32" fillId="0" borderId="0" applyFont="0" applyFill="0" applyBorder="0" applyAlignment="0" applyProtection="0"/>
    <xf numFmtId="9" fontId="61" fillId="0" borderId="0" applyFont="0" applyFill="0" applyBorder="0" applyAlignment="0" applyProtection="0"/>
    <xf numFmtId="0" fontId="1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27" fillId="61" borderId="0">
      <alignment horizontal="left"/>
    </xf>
    <xf numFmtId="0" fontId="50" fillId="61" borderId="0">
      <alignment horizontal="right"/>
    </xf>
    <xf numFmtId="0" fontId="50" fillId="61" borderId="0">
      <alignment horizontal="center"/>
    </xf>
    <xf numFmtId="0" fontId="50" fillId="61" borderId="0">
      <alignment horizontal="right"/>
    </xf>
    <xf numFmtId="0" fontId="87" fillId="61" borderId="0">
      <alignment horizontal="left"/>
    </xf>
    <xf numFmtId="40" fontId="84" fillId="0" borderId="0" applyFont="0" applyFill="0" applyBorder="0" applyAlignment="0" applyProtection="0"/>
    <xf numFmtId="43" fontId="85" fillId="0" borderId="0" applyFont="0" applyFill="0" applyBorder="0" applyAlignment="0" applyProtection="0"/>
    <xf numFmtId="44" fontId="19"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27" fillId="61" borderId="0">
      <alignment horizontal="left"/>
    </xf>
    <xf numFmtId="0" fontId="27" fillId="61" borderId="0">
      <alignment horizontal="left"/>
    </xf>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6" fillId="55"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40" fontId="88" fillId="59" borderId="0">
      <alignment horizontal="right"/>
    </xf>
    <xf numFmtId="0" fontId="89" fillId="59" borderId="0">
      <alignment horizontal="right"/>
    </xf>
    <xf numFmtId="0" fontId="90" fillId="59" borderId="11"/>
    <xf numFmtId="0" fontId="90" fillId="0" borderId="0" applyBorder="0">
      <alignment horizontal="centerContinuous"/>
    </xf>
    <xf numFmtId="0" fontId="91" fillId="0" borderId="0" applyBorder="0">
      <alignment horizontal="centerContinuous"/>
    </xf>
    <xf numFmtId="9" fontId="84" fillId="0" borderId="0" applyFont="0" applyFill="0" applyBorder="0" applyAlignment="0" applyProtection="0"/>
    <xf numFmtId="0" fontId="27" fillId="61" borderId="0">
      <alignment horizontal="center"/>
    </xf>
    <xf numFmtId="49" fontId="48" fillId="61" borderId="0">
      <alignment horizontal="center"/>
    </xf>
    <xf numFmtId="0" fontId="50" fillId="61" borderId="0">
      <alignment horizontal="center"/>
    </xf>
    <xf numFmtId="0" fontId="50" fillId="61" borderId="0">
      <alignment horizontal="centerContinuous"/>
    </xf>
    <xf numFmtId="0" fontId="63" fillId="61" borderId="0">
      <alignment horizontal="left"/>
    </xf>
    <xf numFmtId="49" fontId="63" fillId="61" borderId="0">
      <alignment horizontal="center"/>
    </xf>
    <xf numFmtId="0" fontId="27" fillId="61" borderId="0">
      <alignment horizontal="left"/>
    </xf>
    <xf numFmtId="49" fontId="63" fillId="61" borderId="0">
      <alignment horizontal="left"/>
    </xf>
    <xf numFmtId="0" fontId="27" fillId="61" borderId="0">
      <alignment horizontal="centerContinuous"/>
    </xf>
    <xf numFmtId="0" fontId="27" fillId="61" borderId="0">
      <alignment horizontal="right"/>
    </xf>
    <xf numFmtId="49" fontId="27" fillId="61" borderId="0">
      <alignment horizontal="left"/>
    </xf>
    <xf numFmtId="0" fontId="50" fillId="61" borderId="0">
      <alignment horizontal="right"/>
    </xf>
    <xf numFmtId="0" fontId="63" fillId="62" borderId="0">
      <alignment horizontal="center"/>
    </xf>
    <xf numFmtId="0" fontId="54" fillId="62" borderId="0">
      <alignment horizontal="center"/>
    </xf>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92" fillId="61" borderId="0">
      <alignment horizontal="center"/>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 fontId="95" fillId="0" borderId="0" applyFont="0" applyFill="0" applyBorder="0" applyAlignment="0" applyProtection="0"/>
    <xf numFmtId="8" fontId="95" fillId="0" borderId="0" applyFont="0" applyFill="0" applyBorder="0" applyAlignment="0" applyProtection="0"/>
    <xf numFmtId="9" fontId="95"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2" fillId="0" borderId="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39" fontId="35" fillId="0" borderId="0"/>
    <xf numFmtId="9" fontId="35" fillId="0" borderId="0" applyFont="0" applyFill="0" applyBorder="0" applyAlignment="0" applyProtection="0"/>
    <xf numFmtId="43" fontId="35" fillId="0" borderId="0" applyFont="0" applyFill="0" applyBorder="0" applyAlignment="0" applyProtection="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4" fontId="1" fillId="0" borderId="0" applyFont="0" applyFill="0" applyBorder="0" applyAlignment="0" applyProtection="0"/>
    <xf numFmtId="0" fontId="26" fillId="0" borderId="22">
      <alignment horizontal="left" vertical="center"/>
    </xf>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protection locked="0"/>
    </xf>
    <xf numFmtId="0" fontId="32" fillId="0" borderId="0"/>
    <xf numFmtId="0" fontId="1" fillId="0" borderId="0"/>
    <xf numFmtId="0" fontId="1" fillId="0" borderId="0"/>
    <xf numFmtId="0" fontId="1" fillId="0" borderId="0"/>
    <xf numFmtId="0" fontId="44" fillId="0" borderId="0"/>
    <xf numFmtId="0" fontId="32" fillId="0" borderId="0"/>
    <xf numFmtId="0" fontId="19" fillId="0" borderId="0"/>
    <xf numFmtId="0" fontId="19" fillId="0" borderId="0"/>
    <xf numFmtId="9" fontId="1" fillId="0" borderId="0" applyFont="0" applyFill="0" applyBorder="0" applyAlignment="0" applyProtection="0"/>
    <xf numFmtId="9" fontId="19" fillId="0" borderId="0" applyFont="0" applyFill="0" applyBorder="0" applyAlignment="0" applyProtection="0"/>
    <xf numFmtId="4" fontId="27" fillId="37" borderId="39" applyNumberFormat="0" applyProtection="0">
      <alignment vertical="center"/>
    </xf>
    <xf numFmtId="4" fontId="46" fillId="38" borderId="39" applyNumberFormat="0" applyProtection="0">
      <alignment vertical="center"/>
    </xf>
    <xf numFmtId="4" fontId="27" fillId="38" borderId="39" applyNumberFormat="0" applyProtection="0">
      <alignment horizontal="left" vertical="center" indent="1"/>
    </xf>
    <xf numFmtId="4" fontId="27" fillId="38" borderId="39" applyNumberFormat="0" applyProtection="0">
      <alignment horizontal="left" vertical="center" indent="1"/>
    </xf>
    <xf numFmtId="0" fontId="27" fillId="38" borderId="39" applyNumberFormat="0" applyProtection="0">
      <alignment horizontal="left" vertical="top" indent="1"/>
    </xf>
    <xf numFmtId="4" fontId="27" fillId="34" borderId="39" applyNumberFormat="0" applyProtection="0"/>
    <xf numFmtId="4" fontId="47" fillId="39" borderId="39" applyNumberFormat="0" applyProtection="0">
      <alignment horizontal="right" vertical="center"/>
    </xf>
    <xf numFmtId="4" fontId="47" fillId="40" borderId="39" applyNumberFormat="0" applyProtection="0">
      <alignment horizontal="right" vertical="center"/>
    </xf>
    <xf numFmtId="4" fontId="47" fillId="41" borderId="39" applyNumberFormat="0" applyProtection="0">
      <alignment horizontal="right" vertical="center"/>
    </xf>
    <xf numFmtId="4" fontId="47" fillId="42" borderId="39" applyNumberFormat="0" applyProtection="0">
      <alignment horizontal="right" vertical="center"/>
    </xf>
    <xf numFmtId="4" fontId="47" fillId="43" borderId="39" applyNumberFormat="0" applyProtection="0">
      <alignment horizontal="right" vertical="center"/>
    </xf>
    <xf numFmtId="4" fontId="47" fillId="44" borderId="39" applyNumberFormat="0" applyProtection="0">
      <alignment horizontal="right" vertical="center"/>
    </xf>
    <xf numFmtId="4" fontId="47" fillId="45" borderId="39" applyNumberFormat="0" applyProtection="0">
      <alignment horizontal="right" vertical="center"/>
    </xf>
    <xf numFmtId="4" fontId="47" fillId="46" borderId="39" applyNumberFormat="0" applyProtection="0">
      <alignment horizontal="right" vertical="center"/>
    </xf>
    <xf numFmtId="4" fontId="47" fillId="47" borderId="39" applyNumberFormat="0" applyProtection="0">
      <alignment horizontal="right" vertical="center"/>
    </xf>
    <xf numFmtId="4" fontId="47" fillId="51" borderId="39" applyNumberFormat="0" applyProtection="0">
      <alignment horizontal="right" vertical="center"/>
    </xf>
    <xf numFmtId="0" fontId="19" fillId="50" borderId="39" applyNumberFormat="0" applyProtection="0">
      <alignment horizontal="left" vertical="center" indent="1"/>
    </xf>
    <xf numFmtId="0" fontId="19" fillId="50" borderId="39" applyNumberFormat="0" applyProtection="0">
      <alignment horizontal="left" vertical="center" indent="1"/>
    </xf>
    <xf numFmtId="0" fontId="19" fillId="50" borderId="39" applyNumberFormat="0" applyProtection="0">
      <alignment horizontal="left" vertical="center" indent="1"/>
    </xf>
    <xf numFmtId="0" fontId="19" fillId="50" borderId="39" applyNumberFormat="0" applyProtection="0">
      <alignment horizontal="left" vertical="center" indent="1"/>
    </xf>
    <xf numFmtId="0" fontId="19" fillId="50" borderId="39" applyNumberFormat="0" applyProtection="0">
      <alignment horizontal="left" vertical="top" indent="1"/>
    </xf>
    <xf numFmtId="0" fontId="19" fillId="50" borderId="39" applyNumberFormat="0" applyProtection="0">
      <alignment horizontal="left" vertical="top" indent="1"/>
    </xf>
    <xf numFmtId="0" fontId="19" fillId="50" borderId="39" applyNumberFormat="0" applyProtection="0">
      <alignment horizontal="left" vertical="top" indent="1"/>
    </xf>
    <xf numFmtId="0" fontId="19" fillId="50" borderId="39" applyNumberFormat="0" applyProtection="0">
      <alignment horizontal="left" vertical="top" indent="1"/>
    </xf>
    <xf numFmtId="0" fontId="19" fillId="34" borderId="39" applyNumberFormat="0" applyProtection="0">
      <alignment horizontal="left" vertical="center" indent="1"/>
    </xf>
    <xf numFmtId="0" fontId="19" fillId="34" borderId="39" applyNumberFormat="0" applyProtection="0">
      <alignment horizontal="left" vertical="center" indent="1"/>
    </xf>
    <xf numFmtId="0" fontId="19" fillId="34" borderId="39" applyNumberFormat="0" applyProtection="0">
      <alignment horizontal="left" vertical="center" indent="1"/>
    </xf>
    <xf numFmtId="0" fontId="19" fillId="34" borderId="39" applyNumberFormat="0" applyProtection="0">
      <alignment horizontal="left" vertical="center" indent="1"/>
    </xf>
    <xf numFmtId="0" fontId="19" fillId="34" borderId="39" applyNumberFormat="0" applyProtection="0">
      <alignment horizontal="left" vertical="top" indent="1"/>
    </xf>
    <xf numFmtId="0" fontId="19" fillId="34" borderId="39" applyNumberFormat="0" applyProtection="0">
      <alignment horizontal="left" vertical="top" indent="1"/>
    </xf>
    <xf numFmtId="0" fontId="19" fillId="34" borderId="39" applyNumberFormat="0" applyProtection="0">
      <alignment horizontal="left" vertical="top" indent="1"/>
    </xf>
    <xf numFmtId="0" fontId="19" fillId="34" borderId="39" applyNumberFormat="0" applyProtection="0">
      <alignment horizontal="left" vertical="top" indent="1"/>
    </xf>
    <xf numFmtId="0" fontId="19" fillId="54" borderId="39" applyNumberFormat="0" applyProtection="0">
      <alignment horizontal="left" vertical="center" indent="1"/>
    </xf>
    <xf numFmtId="0" fontId="19" fillId="54" borderId="39" applyNumberFormat="0" applyProtection="0">
      <alignment horizontal="left" vertical="center" indent="1"/>
    </xf>
    <xf numFmtId="0" fontId="19" fillId="54" borderId="39" applyNumberFormat="0" applyProtection="0">
      <alignment horizontal="left" vertical="center" indent="1"/>
    </xf>
    <xf numFmtId="0" fontId="19" fillId="54" borderId="39" applyNumberFormat="0" applyProtection="0">
      <alignment horizontal="left" vertical="center" indent="1"/>
    </xf>
    <xf numFmtId="0" fontId="19" fillId="54" borderId="39" applyNumberFormat="0" applyProtection="0">
      <alignment horizontal="left" vertical="top" indent="1"/>
    </xf>
    <xf numFmtId="0" fontId="19" fillId="54" borderId="39" applyNumberFormat="0" applyProtection="0">
      <alignment horizontal="left" vertical="top" indent="1"/>
    </xf>
    <xf numFmtId="0" fontId="19" fillId="54" borderId="39" applyNumberFormat="0" applyProtection="0">
      <alignment horizontal="left" vertical="top" indent="1"/>
    </xf>
    <xf numFmtId="0" fontId="19" fillId="54" borderId="39" applyNumberFormat="0" applyProtection="0">
      <alignment horizontal="left" vertical="top" indent="1"/>
    </xf>
    <xf numFmtId="0" fontId="19" fillId="55" borderId="39" applyNumberFormat="0" applyProtection="0">
      <alignment horizontal="left" vertical="center" indent="1"/>
    </xf>
    <xf numFmtId="0" fontId="19" fillId="55" borderId="39" applyNumberFormat="0" applyProtection="0">
      <alignment horizontal="left" vertical="center" indent="1"/>
    </xf>
    <xf numFmtId="0" fontId="19" fillId="55" borderId="39" applyNumberFormat="0" applyProtection="0">
      <alignment horizontal="left" vertical="center" indent="1"/>
    </xf>
    <xf numFmtId="0" fontId="19" fillId="55" borderId="39" applyNumberFormat="0" applyProtection="0">
      <alignment horizontal="left" vertical="center" indent="1"/>
    </xf>
    <xf numFmtId="0" fontId="19" fillId="55" borderId="39" applyNumberFormat="0" applyProtection="0">
      <alignment horizontal="left" vertical="top" indent="1"/>
    </xf>
    <xf numFmtId="0" fontId="19" fillId="55" borderId="39" applyNumberFormat="0" applyProtection="0">
      <alignment horizontal="left" vertical="top" indent="1"/>
    </xf>
    <xf numFmtId="0" fontId="19" fillId="55" borderId="39" applyNumberFormat="0" applyProtection="0">
      <alignment horizontal="left" vertical="top" indent="1"/>
    </xf>
    <xf numFmtId="0" fontId="19" fillId="55" borderId="39" applyNumberFormat="0" applyProtection="0">
      <alignment horizontal="left" vertical="top" indent="1"/>
    </xf>
    <xf numFmtId="4" fontId="47" fillId="35" borderId="39" applyNumberFormat="0" applyProtection="0">
      <alignment vertical="center"/>
    </xf>
    <xf numFmtId="4" fontId="51" fillId="35" borderId="39" applyNumberFormat="0" applyProtection="0">
      <alignment vertical="center"/>
    </xf>
    <xf numFmtId="4" fontId="47" fillId="35" borderId="39" applyNumberFormat="0" applyProtection="0">
      <alignment horizontal="left" vertical="center" indent="1"/>
    </xf>
    <xf numFmtId="0" fontId="47" fillId="35" borderId="39" applyNumberFormat="0" applyProtection="0">
      <alignment horizontal="left" vertical="top" indent="1"/>
    </xf>
    <xf numFmtId="4" fontId="47" fillId="0" borderId="39" applyNumberFormat="0" applyProtection="0">
      <alignment horizontal="right" vertical="center"/>
    </xf>
    <xf numFmtId="4" fontId="47" fillId="0" borderId="39" applyNumberFormat="0" applyProtection="0">
      <alignment horizontal="right" vertical="center"/>
    </xf>
    <xf numFmtId="4" fontId="51" fillId="49" borderId="39" applyNumberFormat="0" applyProtection="0">
      <alignment horizontal="right" vertical="center"/>
    </xf>
    <xf numFmtId="4" fontId="47" fillId="0" borderId="39" applyNumberFormat="0" applyProtection="0">
      <alignment horizontal="left" vertical="center" indent="1"/>
    </xf>
    <xf numFmtId="4" fontId="47" fillId="0" borderId="39" applyNumberFormat="0" applyProtection="0">
      <alignment horizontal="left" vertical="center" indent="1"/>
    </xf>
    <xf numFmtId="0" fontId="47" fillId="34" borderId="39" applyNumberFormat="0" applyProtection="0">
      <alignment horizontal="left" vertical="top"/>
    </xf>
    <xf numFmtId="0" fontId="47" fillId="34" borderId="39" applyNumberFormat="0" applyProtection="0">
      <alignment horizontal="left" vertical="top"/>
    </xf>
    <xf numFmtId="4" fontId="25" fillId="49" borderId="39" applyNumberFormat="0" applyProtection="0">
      <alignment horizontal="right" vertical="center"/>
    </xf>
    <xf numFmtId="0" fontId="34" fillId="0" borderId="27" applyNumberFormat="0" applyFont="0" applyFill="0" applyAlignment="0" applyProtection="0"/>
    <xf numFmtId="0" fontId="56" fillId="0" borderId="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 fillId="0" borderId="0"/>
    <xf numFmtId="0" fontId="1" fillId="0" borderId="0"/>
    <xf numFmtId="9" fontId="1" fillId="0" borderId="0" applyFont="0" applyFill="0" applyBorder="0" applyAlignment="0" applyProtection="0"/>
    <xf numFmtId="4" fontId="27" fillId="38" borderId="39" applyNumberFormat="0" applyProtection="0">
      <alignment horizontal="left" vertical="center" indent="1"/>
    </xf>
    <xf numFmtId="4" fontId="27" fillId="38" borderId="39" applyNumberFormat="0" applyProtection="0">
      <alignment horizontal="left" vertical="center" indent="1"/>
    </xf>
    <xf numFmtId="4" fontId="27" fillId="38" borderId="39" applyNumberFormat="0" applyProtection="0">
      <alignment horizontal="left" vertical="center" indent="1"/>
    </xf>
    <xf numFmtId="4" fontId="27" fillId="38" borderId="39" applyNumberFormat="0" applyProtection="0">
      <alignment horizontal="left" vertical="center" indent="1"/>
    </xf>
    <xf numFmtId="4" fontId="27" fillId="38" borderId="39" applyNumberFormat="0" applyProtection="0">
      <alignment vertical="center"/>
    </xf>
    <xf numFmtId="4" fontId="27" fillId="34" borderId="39" applyNumberFormat="0" applyProtection="0"/>
    <xf numFmtId="4" fontId="27" fillId="34" borderId="39" applyNumberFormat="0" applyProtection="0"/>
    <xf numFmtId="4" fontId="27" fillId="34" borderId="39" applyNumberFormat="0" applyProtection="0"/>
    <xf numFmtId="4" fontId="27" fillId="34" borderId="39" applyNumberFormat="0" applyProtection="0"/>
    <xf numFmtId="4" fontId="27" fillId="34" borderId="36" applyNumberFormat="0" applyProtection="0">
      <alignment vertical="center"/>
    </xf>
    <xf numFmtId="0" fontId="19" fillId="50" borderId="39" applyNumberFormat="0" applyProtection="0">
      <alignment horizontal="left" vertical="center" indent="1"/>
    </xf>
    <xf numFmtId="0" fontId="19" fillId="50" borderId="39" applyNumberFormat="0" applyProtection="0">
      <alignment horizontal="left" vertical="top" indent="1"/>
    </xf>
    <xf numFmtId="0" fontId="19" fillId="34" borderId="39" applyNumberFormat="0" applyProtection="0">
      <alignment horizontal="left" vertical="center" indent="1"/>
    </xf>
    <xf numFmtId="0" fontId="19" fillId="34" borderId="39" applyNumberFormat="0" applyProtection="0">
      <alignment horizontal="left" vertical="top" indent="1"/>
    </xf>
    <xf numFmtId="0" fontId="19" fillId="54" borderId="39" applyNumberFormat="0" applyProtection="0">
      <alignment horizontal="left" vertical="center" indent="1"/>
    </xf>
    <xf numFmtId="0" fontId="19" fillId="54" borderId="39" applyNumberFormat="0" applyProtection="0">
      <alignment horizontal="left" vertical="top" indent="1"/>
    </xf>
    <xf numFmtId="0" fontId="19" fillId="55" borderId="39" applyNumberFormat="0" applyProtection="0">
      <alignment horizontal="left" vertical="center" indent="1"/>
    </xf>
    <xf numFmtId="0" fontId="19" fillId="55" borderId="39" applyNumberFormat="0" applyProtection="0">
      <alignment horizontal="left" vertical="top" indent="1"/>
    </xf>
    <xf numFmtId="4" fontId="47" fillId="0" borderId="39" applyNumberFormat="0" applyProtection="0">
      <alignment horizontal="right" vertical="center"/>
    </xf>
    <xf numFmtId="4" fontId="47" fillId="0" borderId="39" applyNumberFormat="0" applyProtection="0">
      <alignment horizontal="right" vertical="center"/>
    </xf>
    <xf numFmtId="4" fontId="47" fillId="0" borderId="39" applyNumberFormat="0" applyProtection="0">
      <alignment horizontal="right" vertical="center"/>
    </xf>
    <xf numFmtId="4" fontId="47" fillId="0" borderId="39" applyNumberFormat="0" applyProtection="0">
      <alignment horizontal="right" vertical="center"/>
    </xf>
    <xf numFmtId="4" fontId="47" fillId="0" borderId="39" applyNumberFormat="0" applyProtection="0">
      <alignment horizontal="left" vertical="center" indent="1"/>
    </xf>
    <xf numFmtId="4" fontId="47" fillId="0" borderId="39" applyNumberFormat="0" applyProtection="0">
      <alignment horizontal="left" vertical="center" indent="1"/>
    </xf>
    <xf numFmtId="4" fontId="47" fillId="0" borderId="39" applyNumberFormat="0" applyProtection="0">
      <alignment horizontal="left" vertical="center" indent="1"/>
    </xf>
    <xf numFmtId="4" fontId="47" fillId="0" borderId="39" applyNumberFormat="0" applyProtection="0">
      <alignment horizontal="left" vertical="center" indent="1"/>
    </xf>
    <xf numFmtId="4" fontId="47" fillId="59" borderId="39" applyNumberFormat="0" applyProtection="0">
      <alignment horizontal="left" vertical="center" indent="1"/>
    </xf>
    <xf numFmtId="0" fontId="47" fillId="34" borderId="39" applyNumberFormat="0" applyProtection="0">
      <alignment horizontal="left" vertical="top"/>
    </xf>
    <xf numFmtId="0" fontId="47" fillId="34" borderId="39" applyNumberFormat="0" applyProtection="0">
      <alignment horizontal="left" vertical="top"/>
    </xf>
    <xf numFmtId="0" fontId="47" fillId="34" borderId="39" applyNumberFormat="0" applyProtection="0">
      <alignment horizontal="left" vertical="top"/>
    </xf>
    <xf numFmtId="0" fontId="47" fillId="34" borderId="39" applyNumberFormat="0" applyProtection="0">
      <alignment horizontal="left" vertical="top"/>
    </xf>
    <xf numFmtId="0" fontId="47" fillId="34" borderId="39" applyNumberFormat="0" applyProtection="0">
      <alignment horizontal="center" vertical="top"/>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0" fontId="19" fillId="0" borderId="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6" fillId="0" borderId="22">
      <alignment horizontal="left" vertical="center"/>
    </xf>
    <xf numFmtId="0" fontId="1" fillId="0" borderId="0"/>
    <xf numFmtId="43" fontId="1" fillId="0" borderId="0" applyFont="0" applyFill="0" applyBorder="0" applyAlignment="0" applyProtection="0"/>
    <xf numFmtId="4" fontId="47" fillId="51" borderId="39" applyNumberFormat="0" applyProtection="0">
      <alignment horizontal="left" vertical="center" indent="1"/>
    </xf>
    <xf numFmtId="43"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 fontId="27" fillId="38" borderId="39" applyNumberFormat="0" applyProtection="0">
      <alignment horizontal="left" vertical="center" indent="1"/>
    </xf>
    <xf numFmtId="4" fontId="47" fillId="0" borderId="39" applyNumberFormat="0" applyProtection="0">
      <alignment horizontal="right" vertical="center"/>
    </xf>
    <xf numFmtId="4" fontId="47" fillId="0" borderId="39" applyNumberFormat="0" applyProtection="0">
      <alignment horizontal="left" vertical="center" indent="1"/>
    </xf>
    <xf numFmtId="0" fontId="47" fillId="34" borderId="39" applyNumberFormat="0" applyProtection="0">
      <alignment horizontal="left" vertical="top"/>
    </xf>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9" fillId="0" borderId="0"/>
    <xf numFmtId="4" fontId="27" fillId="34" borderId="36" applyNumberFormat="0" applyProtection="0">
      <alignment vertical="center"/>
    </xf>
    <xf numFmtId="0" fontId="19" fillId="0" borderId="0"/>
    <xf numFmtId="0" fontId="19" fillId="0" borderId="0"/>
    <xf numFmtId="9" fontId="1" fillId="0" borderId="0" applyFont="0" applyFill="0" applyBorder="0" applyAlignment="0" applyProtection="0"/>
    <xf numFmtId="9" fontId="1" fillId="0" borderId="0" applyFont="0" applyFill="0" applyBorder="0" applyAlignment="0" applyProtection="0"/>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 fontId="27" fillId="34" borderId="36" applyNumberFormat="0" applyProtection="0">
      <alignment vertical="center"/>
    </xf>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0" fontId="47" fillId="59" borderId="0">
      <alignment horizontal="right"/>
    </xf>
    <xf numFmtId="0" fontId="27" fillId="59" borderId="0">
      <alignment horizontal="lef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3" fontId="96" fillId="0" borderId="0" applyFont="0" applyFill="0" applyBorder="0" applyAlignment="0" applyProtection="0"/>
    <xf numFmtId="9" fontId="96"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97" fillId="0" borderId="0" applyNumberFormat="0" applyFill="0" applyBorder="0" applyAlignment="0" applyProtection="0">
      <alignment vertical="top"/>
      <protection locked="0"/>
    </xf>
    <xf numFmtId="0" fontId="67" fillId="0" borderId="0"/>
    <xf numFmtId="9" fontId="67" fillId="0" borderId="0" applyFont="0" applyFill="0" applyBorder="0" applyAlignment="0" applyProtection="0"/>
    <xf numFmtId="43" fontId="67" fillId="0" borderId="0" applyFont="0" applyFill="0" applyBorder="0" applyAlignment="0" applyProtection="0"/>
    <xf numFmtId="44" fontId="96" fillId="0" borderId="0" applyFont="0" applyFill="0" applyBorder="0" applyAlignment="0" applyProtection="0"/>
    <xf numFmtId="9" fontId="96"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0" fontId="19" fillId="0" borderId="0"/>
    <xf numFmtId="0" fontId="19" fillId="0" borderId="0"/>
    <xf numFmtId="0" fontId="19" fillId="0" borderId="0"/>
    <xf numFmtId="44" fontId="19" fillId="0" borderId="0" applyFont="0" applyFill="0" applyBorder="0" applyAlignment="0" applyProtection="0"/>
    <xf numFmtId="44" fontId="19" fillId="0" borderId="0" applyFont="0" applyFill="0" applyBorder="0" applyAlignment="0" applyProtection="0"/>
    <xf numFmtId="43" fontId="96" fillId="0" borderId="0" applyFont="0" applyFill="0" applyBorder="0" applyAlignment="0" applyProtection="0"/>
    <xf numFmtId="0" fontId="1" fillId="0" borderId="0"/>
    <xf numFmtId="9" fontId="96" fillId="0" borderId="0" applyFont="0" applyFill="0" applyBorder="0" applyAlignment="0" applyProtection="0"/>
    <xf numFmtId="0" fontId="47" fillId="0" borderId="0">
      <alignment vertical="top"/>
    </xf>
    <xf numFmtId="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3" fontId="69" fillId="0" borderId="0" applyProtection="0"/>
    <xf numFmtId="3" fontId="65" fillId="0" borderId="0" applyProtection="0"/>
    <xf numFmtId="3" fontId="98" fillId="0" borderId="0" applyProtection="0"/>
    <xf numFmtId="3" fontId="67" fillId="0" borderId="0" applyProtection="0"/>
    <xf numFmtId="3" fontId="71" fillId="0" borderId="0" applyProtection="0"/>
    <xf numFmtId="3" fontId="21" fillId="0" borderId="0" applyProtection="0"/>
    <xf numFmtId="3" fontId="72" fillId="0" borderId="0" applyProtection="0"/>
    <xf numFmtId="2" fontId="19" fillId="0" borderId="0" applyFont="0" applyFill="0" applyBorder="0" applyAlignment="0" applyProtection="0"/>
    <xf numFmtId="0" fontId="28" fillId="0" borderId="0" applyNumberFormat="0" applyFill="0" applyBorder="0" applyAlignment="0" applyProtection="0"/>
    <xf numFmtId="0" fontId="26" fillId="0" borderId="0" applyNumberForma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19" fillId="0" borderId="27" applyNumberFormat="0" applyFont="0" applyFill="0" applyAlignment="0" applyProtection="0"/>
    <xf numFmtId="0" fontId="1" fillId="0" borderId="0"/>
    <xf numFmtId="43" fontId="32"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100" fillId="65" borderId="0" applyNumberFormat="0" applyBorder="0" applyAlignment="0" applyProtection="0"/>
    <xf numFmtId="0" fontId="19" fillId="0" borderId="0" applyFont="0" applyFill="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3" fontId="19" fillId="0" borderId="0" applyFont="0" applyFill="0" applyBorder="0" applyAlignment="0" applyProtection="0"/>
    <xf numFmtId="0" fontId="99" fillId="67" borderId="0" applyNumberFormat="0" applyBorder="0" applyAlignment="0" applyProtection="0"/>
    <xf numFmtId="0" fontId="99" fillId="68" borderId="0" applyNumberFormat="0" applyBorder="0" applyAlignment="0" applyProtection="0"/>
    <xf numFmtId="0" fontId="100" fillId="69"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23" fillId="0" borderId="0" applyNumberFormat="0" applyFill="0" applyBorder="0" applyAlignment="0" applyProtection="0"/>
    <xf numFmtId="0" fontId="99" fillId="71" borderId="0" applyNumberFormat="0" applyBorder="0" applyAlignment="0" applyProtection="0"/>
    <xf numFmtId="0" fontId="99" fillId="72" borderId="0" applyNumberFormat="0" applyBorder="0" applyAlignment="0" applyProtection="0"/>
    <xf numFmtId="0" fontId="100" fillId="73"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99" fillId="72" borderId="0" applyNumberFormat="0" applyBorder="0" applyAlignment="0" applyProtection="0"/>
    <xf numFmtId="0" fontId="99" fillId="73" borderId="0" applyNumberFormat="0" applyBorder="0" applyAlignment="0" applyProtection="0"/>
    <xf numFmtId="0" fontId="100" fillId="73" borderId="0" applyNumberFormat="0" applyBorder="0" applyAlignment="0" applyProtection="0"/>
    <xf numFmtId="0" fontId="23" fillId="0" borderId="0" applyNumberFormat="0" applyFill="0" applyBorder="0" applyAlignment="0" applyProtection="0"/>
    <xf numFmtId="3" fontId="19" fillId="0" borderId="0" applyFont="0" applyFill="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100" fillId="64"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99" fillId="76" borderId="0" applyNumberFormat="0" applyBorder="0" applyAlignment="0" applyProtection="0"/>
    <xf numFmtId="0" fontId="99" fillId="68" borderId="0" applyNumberFormat="0" applyBorder="0" applyAlignment="0" applyProtection="0"/>
    <xf numFmtId="0" fontId="100" fillId="77"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9" fillId="0" borderId="37" applyNumberFormat="0" applyFill="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3" fillId="69" borderId="41" applyNumberFormat="0" applyAlignment="0" applyProtection="0"/>
    <xf numFmtId="0" fontId="103" fillId="69" borderId="41" applyNumberFormat="0" applyAlignment="0" applyProtection="0"/>
    <xf numFmtId="0" fontId="103" fillId="69" borderId="41" applyNumberFormat="0" applyAlignment="0" applyProtection="0"/>
    <xf numFmtId="0" fontId="103" fillId="69" borderId="41" applyNumberFormat="0" applyAlignment="0" applyProtection="0"/>
    <xf numFmtId="0" fontId="21" fillId="0" borderId="0" applyNumberFormat="0" applyFill="0" applyBorder="0" applyAlignment="0" applyProtection="0"/>
    <xf numFmtId="1" fontId="24" fillId="0" borderId="0" applyFont="0" applyFill="0" applyBorder="0" applyAlignment="0" applyProtection="0">
      <protection locked="0"/>
    </xf>
    <xf numFmtId="0" fontId="65" fillId="0" borderId="0" applyFont="0" applyFill="0" applyBorder="0" applyAlignment="0" applyProtection="0"/>
    <xf numFmtId="43" fontId="96"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3" fontId="19" fillId="0" borderId="0" applyFont="0" applyFill="0" applyBorder="0" applyAlignment="0" applyProtection="0"/>
    <xf numFmtId="3" fontId="19" fillId="0" borderId="0" applyFill="0" applyBorder="0" applyAlignment="0" applyProtection="0"/>
    <xf numFmtId="3" fontId="19" fillId="0" borderId="0" applyFill="0" applyBorder="0" applyAlignment="0" applyProtection="0"/>
    <xf numFmtId="0" fontId="67" fillId="0" borderId="0" applyFont="0" applyFill="0" applyBorder="0" applyAlignment="0" applyProtection="0"/>
    <xf numFmtId="8" fontId="65" fillId="0" borderId="0" applyFont="0" applyFill="0" applyBorder="0" applyAlignment="0" applyProtection="0"/>
    <xf numFmtId="0" fontId="65" fillId="0" borderId="0" applyFont="0" applyFill="0" applyBorder="0" applyAlignment="0" applyProtection="0"/>
    <xf numFmtId="44" fontId="10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7" fillId="0" borderId="0" applyFont="0" applyFill="0" applyBorder="0" applyAlignment="0" applyProtection="0"/>
    <xf numFmtId="44" fontId="1" fillId="0" borderId="0" applyFont="0" applyFill="0" applyBorder="0" applyAlignment="0" applyProtection="0"/>
    <xf numFmtId="5" fontId="19" fillId="0" borderId="0" applyFill="0" applyBorder="0" applyAlignment="0" applyProtection="0"/>
    <xf numFmtId="179" fontId="19" fillId="0" borderId="0" applyFill="0" applyBorder="0" applyAlignment="0" applyProtection="0"/>
    <xf numFmtId="0" fontId="19" fillId="0" borderId="0" applyFont="0" applyFill="0" applyBorder="0" applyAlignment="0" applyProtection="0"/>
    <xf numFmtId="0" fontId="105" fillId="80" borderId="0" applyNumberFormat="0" applyBorder="0" applyAlignment="0" applyProtection="0"/>
    <xf numFmtId="0" fontId="105" fillId="81" borderId="0" applyNumberFormat="0" applyBorder="0" applyAlignment="0" applyProtection="0"/>
    <xf numFmtId="0" fontId="105" fillId="82" borderId="0" applyNumberFormat="0" applyBorder="0" applyAlignment="0" applyProtection="0"/>
    <xf numFmtId="3" fontId="69" fillId="0" borderId="0" applyFill="0" applyBorder="0" applyAlignment="0" applyProtection="0"/>
    <xf numFmtId="3" fontId="65" fillId="0" borderId="0" applyFill="0" applyBorder="0" applyAlignment="0" applyProtection="0"/>
    <xf numFmtId="3" fontId="70" fillId="0" borderId="0" applyFill="0" applyBorder="0" applyAlignment="0" applyProtection="0"/>
    <xf numFmtId="3" fontId="33" fillId="0" borderId="0" applyFill="0" applyBorder="0" applyAlignment="0" applyProtection="0"/>
    <xf numFmtId="3" fontId="71" fillId="0" borderId="0" applyFill="0" applyBorder="0" applyAlignment="0" applyProtection="0"/>
    <xf numFmtId="3" fontId="21" fillId="0" borderId="0" applyFill="0" applyBorder="0" applyAlignment="0" applyProtection="0"/>
    <xf numFmtId="3" fontId="72" fillId="0" borderId="0" applyFill="0" applyBorder="0" applyAlignment="0" applyProtection="0"/>
    <xf numFmtId="2" fontId="19" fillId="0" borderId="0" applyFill="0" applyBorder="0" applyAlignment="0" applyProtection="0"/>
    <xf numFmtId="0" fontId="21" fillId="59" borderId="14" applyFont="0" applyBorder="0" applyAlignment="0" applyProtection="0">
      <alignment vertical="top"/>
    </xf>
    <xf numFmtId="0" fontId="19" fillId="0" borderId="0" applyFont="0" applyFill="0" applyBorder="0" applyAlignment="0" applyProtection="0"/>
    <xf numFmtId="0" fontId="106" fillId="83" borderId="0" applyNumberFormat="0" applyBorder="0" applyAlignment="0" applyProtection="0"/>
    <xf numFmtId="0" fontId="106" fillId="83" borderId="0" applyNumberFormat="0" applyBorder="0" applyAlignment="0" applyProtection="0"/>
    <xf numFmtId="0" fontId="106" fillId="83" borderId="0" applyNumberFormat="0" applyBorder="0" applyAlignment="0" applyProtection="0"/>
    <xf numFmtId="0" fontId="106" fillId="83" borderId="0" applyNumberFormat="0" applyBorder="0" applyAlignment="0" applyProtection="0"/>
    <xf numFmtId="3" fontId="19" fillId="0" borderId="0" applyFont="0" applyFill="0" applyBorder="0" applyAlignment="0" applyProtection="0"/>
    <xf numFmtId="0" fontId="107" fillId="0" borderId="42" applyNumberFormat="0" applyFill="0" applyAlignment="0" applyProtection="0"/>
    <xf numFmtId="0" fontId="107" fillId="0" borderId="42" applyNumberFormat="0" applyFill="0" applyAlignment="0" applyProtection="0"/>
    <xf numFmtId="0" fontId="107" fillId="0" borderId="42" applyNumberFormat="0" applyFill="0" applyAlignment="0" applyProtection="0"/>
    <xf numFmtId="0" fontId="107" fillId="0" borderId="42" applyNumberFormat="0" applyFill="0" applyAlignment="0" applyProtection="0"/>
    <xf numFmtId="0" fontId="108" fillId="0" borderId="43" applyNumberFormat="0" applyFill="0" applyAlignment="0" applyProtection="0"/>
    <xf numFmtId="0" fontId="108" fillId="0" borderId="43" applyNumberFormat="0" applyFill="0" applyAlignment="0" applyProtection="0"/>
    <xf numFmtId="0" fontId="108" fillId="0" borderId="43" applyNumberFormat="0" applyFill="0" applyAlignment="0" applyProtection="0"/>
    <xf numFmtId="0" fontId="108" fillId="0" borderId="43"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26" fillId="0" borderId="0" applyNumberFormat="0" applyFill="0" applyBorder="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21" fillId="35" borderId="0" applyNumberFormat="0" applyFont="0" applyBorder="0" applyAlignment="0" applyProtection="0">
      <alignment horizontal="center"/>
      <protection locked="0"/>
    </xf>
    <xf numFmtId="0" fontId="21" fillId="35" borderId="12" applyNumberFormat="0" applyFont="0" applyAlignment="0" applyProtection="0">
      <alignment horizontal="center"/>
      <protection locked="0"/>
    </xf>
    <xf numFmtId="0" fontId="111" fillId="0" borderId="45" applyNumberFormat="0" applyFill="0" applyAlignment="0" applyProtection="0"/>
    <xf numFmtId="0" fontId="111" fillId="0" borderId="45" applyNumberFormat="0" applyFill="0" applyAlignment="0" applyProtection="0"/>
    <xf numFmtId="0" fontId="111" fillId="0" borderId="45" applyNumberFormat="0" applyFill="0" applyAlignment="0" applyProtection="0"/>
    <xf numFmtId="0" fontId="111" fillId="0" borderId="45" applyNumberFormat="0" applyFill="0" applyAlignment="0" applyProtection="0"/>
    <xf numFmtId="0" fontId="19" fillId="0" borderId="0"/>
    <xf numFmtId="0" fontId="112" fillId="7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0" fontId="19" fillId="0" borderId="0"/>
    <xf numFmtId="0" fontId="67" fillId="0" borderId="0"/>
    <xf numFmtId="0" fontId="67" fillId="0" borderId="0"/>
    <xf numFmtId="0" fontId="1" fillId="0" borderId="0"/>
    <xf numFmtId="0" fontId="113" fillId="0" borderId="0"/>
    <xf numFmtId="0" fontId="19" fillId="0" borderId="0"/>
    <xf numFmtId="0" fontId="19" fillId="0" borderId="0"/>
    <xf numFmtId="0" fontId="19" fillId="0" borderId="0"/>
    <xf numFmtId="0" fontId="55"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24" fillId="0" borderId="0" applyFont="0" applyFill="0" applyBorder="0" applyAlignment="0" applyProtection="0">
      <protection locked="0"/>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5" fontId="32" fillId="0" borderId="0" applyFont="0" applyFill="0" applyBorder="0" applyProtection="0"/>
    <xf numFmtId="1" fontId="24" fillId="0" borderId="0" applyFont="0" applyFill="0" applyBorder="0" applyAlignment="0" applyProtection="0">
      <protection locked="0"/>
    </xf>
    <xf numFmtId="1" fontId="24" fillId="0" borderId="0" applyFont="0" applyFill="0" applyBorder="0" applyAlignment="0" applyProtection="0">
      <protection locked="0"/>
    </xf>
    <xf numFmtId="0" fontId="24" fillId="0" borderId="0" applyNumberFormat="0" applyFill="0" applyBorder="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40" fontId="47" fillId="59" borderId="0">
      <alignment horizontal="right"/>
    </xf>
    <xf numFmtId="0" fontId="23" fillId="0" borderId="0" applyNumberFormat="0" applyFill="0" applyBorder="0" applyAlignment="0" applyProtection="0"/>
    <xf numFmtId="9" fontId="10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0" fontId="65" fillId="0" borderId="0" applyFont="0" applyFill="0" applyBorder="0" applyProtection="0">
      <alignment horizontal="right"/>
    </xf>
    <xf numFmtId="0" fontId="21" fillId="33" borderId="0" applyNumberFormat="0" applyFont="0" applyBorder="0" applyAlignment="0" applyProtection="0">
      <alignment horizontal="center"/>
      <protection locked="0"/>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37" fontId="115" fillId="0" borderId="0" applyNumberFormat="0" applyFill="0" applyBorder="0" applyAlignment="0" applyProtection="0"/>
    <xf numFmtId="0" fontId="23" fillId="0" borderId="0" applyNumberFormat="0" applyFill="0" applyBorder="0" applyAlignment="0" applyProtection="0"/>
    <xf numFmtId="4" fontId="48" fillId="84" borderId="0" applyNumberFormat="0" applyProtection="0">
      <alignment horizontal="left" vertical="center" indent="1"/>
    </xf>
    <xf numFmtId="4" fontId="48" fillId="84" borderId="0" applyNumberFormat="0" applyProtection="0">
      <alignment horizontal="left" vertical="center" indent="1"/>
    </xf>
    <xf numFmtId="1" fontId="24" fillId="0" borderId="0" applyFont="0" applyFill="0" applyBorder="0" applyAlignment="0" applyProtection="0">
      <protection locked="0"/>
    </xf>
    <xf numFmtId="4" fontId="47" fillId="49" borderId="0" applyNumberFormat="0" applyProtection="0">
      <alignment horizontal="left" vertical="center" indent="1"/>
    </xf>
    <xf numFmtId="4" fontId="47" fillId="49" borderId="0" applyNumberFormat="0" applyProtection="0">
      <alignment horizontal="left" vertical="center" indent="1"/>
    </xf>
    <xf numFmtId="4" fontId="47" fillId="51" borderId="0" applyNumberFormat="0" applyProtection="0">
      <alignment horizontal="left" vertical="center" indent="1"/>
    </xf>
    <xf numFmtId="4" fontId="47" fillId="51" borderId="0" applyNumberFormat="0" applyProtection="0">
      <alignment horizontal="left" vertical="center" indent="1"/>
    </xf>
    <xf numFmtId="0" fontId="19" fillId="84" borderId="39" applyNumberFormat="0" applyProtection="0">
      <alignment horizontal="left" vertical="center" indent="1"/>
    </xf>
    <xf numFmtId="0" fontId="19" fillId="84" borderId="39" applyNumberFormat="0" applyProtection="0">
      <alignment horizontal="left" vertical="center" indent="1"/>
    </xf>
    <xf numFmtId="0" fontId="19" fillId="84" borderId="39" applyNumberFormat="0" applyProtection="0">
      <alignment horizontal="left" vertical="top" indent="1"/>
    </xf>
    <xf numFmtId="0" fontId="19" fillId="84" borderId="39" applyNumberFormat="0" applyProtection="0">
      <alignment horizontal="left" vertical="top" indent="1"/>
    </xf>
    <xf numFmtId="0" fontId="19" fillId="51" borderId="39" applyNumberFormat="0" applyProtection="0">
      <alignment horizontal="left" vertical="center" indent="1"/>
    </xf>
    <xf numFmtId="0" fontId="19" fillId="51" borderId="39" applyNumberFormat="0" applyProtection="0">
      <alignment horizontal="left" vertical="center" indent="1"/>
    </xf>
    <xf numFmtId="0" fontId="19" fillId="51" borderId="39" applyNumberFormat="0" applyProtection="0">
      <alignment horizontal="left" vertical="top" indent="1"/>
    </xf>
    <xf numFmtId="0" fontId="19" fillId="51" borderId="39" applyNumberFormat="0" applyProtection="0">
      <alignment horizontal="left" vertical="top" indent="1"/>
    </xf>
    <xf numFmtId="0" fontId="23" fillId="0" borderId="0" applyNumberFormat="0" applyFill="0" applyBorder="0" applyAlignment="0" applyProtection="0"/>
    <xf numFmtId="0" fontId="19" fillId="85" borderId="39" applyNumberFormat="0" applyProtection="0">
      <alignment horizontal="left" vertical="center" indent="1"/>
    </xf>
    <xf numFmtId="0" fontId="19" fillId="85" borderId="39" applyNumberFormat="0" applyProtection="0">
      <alignment horizontal="left" vertical="center" indent="1"/>
    </xf>
    <xf numFmtId="0" fontId="19" fillId="85" borderId="39" applyNumberFormat="0" applyProtection="0">
      <alignment horizontal="left" vertical="top" indent="1"/>
    </xf>
    <xf numFmtId="0" fontId="19" fillId="85" borderId="39" applyNumberFormat="0" applyProtection="0">
      <alignment horizontal="left" vertical="top" indent="1"/>
    </xf>
    <xf numFmtId="0" fontId="19" fillId="49" borderId="39" applyNumberFormat="0" applyProtection="0">
      <alignment horizontal="left" vertical="center" indent="1"/>
    </xf>
    <xf numFmtId="0" fontId="19" fillId="49" borderId="39" applyNumberFormat="0" applyProtection="0">
      <alignment horizontal="left" vertical="center" indent="1"/>
    </xf>
    <xf numFmtId="0" fontId="19" fillId="49" borderId="39" applyNumberFormat="0" applyProtection="0">
      <alignment horizontal="left" vertical="top" indent="1"/>
    </xf>
    <xf numFmtId="0" fontId="19" fillId="49" borderId="39" applyNumberFormat="0" applyProtection="0">
      <alignment horizontal="left" vertical="top" indent="1"/>
    </xf>
    <xf numFmtId="0" fontId="19" fillId="61" borderId="14" applyNumberFormat="0">
      <protection locked="0"/>
    </xf>
    <xf numFmtId="0" fontId="19" fillId="61" borderId="14" applyNumberFormat="0">
      <protection locked="0"/>
    </xf>
    <xf numFmtId="0" fontId="19" fillId="61" borderId="14" applyNumberFormat="0">
      <protection locked="0"/>
    </xf>
    <xf numFmtId="0" fontId="116" fillId="0" borderId="0" applyNumberFormat="0" applyFill="0" applyBorder="0" applyAlignment="0" applyProtection="0"/>
    <xf numFmtId="0" fontId="19" fillId="0" borderId="0">
      <alignment horizontal="left" wrapText="1"/>
    </xf>
    <xf numFmtId="18" fontId="63" fillId="59" borderId="0" applyFont="0" applyFill="0" applyBorder="0" applyAlignment="0" applyProtection="0">
      <protection locked="0"/>
    </xf>
    <xf numFmtId="0" fontId="2" fillId="0" borderId="0" applyNumberFormat="0" applyFill="0" applyBorder="0" applyAlignment="0" applyProtection="0"/>
    <xf numFmtId="0" fontId="22" fillId="0" borderId="0" applyNumberFormat="0" applyFill="0" applyBorder="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38" fontId="47" fillId="0" borderId="15" applyFill="0" applyBorder="0" applyAlignment="0" applyProtection="0">
      <protection locked="0"/>
    </xf>
    <xf numFmtId="0" fontId="65" fillId="0" borderId="49" applyNumberFormat="0" applyFon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9" fontId="32" fillId="0" borderId="0" applyFont="0" applyFill="0" applyBorder="0" applyAlignment="0" applyProtection="0"/>
    <xf numFmtId="44" fontId="3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6" fillId="0" borderId="0"/>
    <xf numFmtId="44" fontId="19" fillId="0" borderId="0" applyFont="0" applyFill="0" applyBorder="0" applyAlignment="0" applyProtection="0"/>
    <xf numFmtId="44" fontId="19" fillId="0" borderId="0" applyFont="0" applyFill="0" applyBorder="0" applyAlignment="0" applyProtection="0"/>
    <xf numFmtId="0" fontId="19" fillId="0" borderId="0"/>
    <xf numFmtId="44"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67" fillId="0" borderId="0">
      <alignment vertical="top"/>
    </xf>
    <xf numFmtId="175" fontId="32" fillId="0" borderId="0" applyFont="0" applyFill="0" applyBorder="0" applyProtection="0"/>
    <xf numFmtId="175" fontId="32" fillId="0" borderId="0" applyFont="0" applyFill="0" applyBorder="0" applyProtection="0"/>
    <xf numFmtId="175" fontId="32" fillId="0" borderId="0" applyFont="0" applyFill="0" applyBorder="0" applyProtection="0"/>
    <xf numFmtId="0" fontId="67" fillId="0" borderId="0">
      <alignment vertical="top"/>
    </xf>
    <xf numFmtId="0" fontId="67" fillId="0" borderId="0">
      <alignment vertical="top"/>
    </xf>
    <xf numFmtId="0" fontId="19" fillId="0" borderId="0"/>
    <xf numFmtId="179" fontId="19" fillId="0" borderId="0" applyFill="0" applyBorder="0" applyAlignment="0" applyProtection="0"/>
    <xf numFmtId="0" fontId="1" fillId="0" borderId="0"/>
    <xf numFmtId="179" fontId="19" fillId="0" borderId="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0" borderId="0"/>
    <xf numFmtId="0" fontId="67" fillId="0" borderId="0">
      <alignment vertical="top"/>
    </xf>
    <xf numFmtId="175" fontId="32" fillId="0" borderId="0" applyFont="0" applyFill="0" applyBorder="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37"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179" fontId="19" fillId="0" borderId="0" applyFill="0" applyBorder="0" applyAlignment="0" applyProtection="0"/>
    <xf numFmtId="179" fontId="19" fillId="0" borderId="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9" fontId="19" fillId="0" borderId="0" applyFill="0" applyBorder="0" applyAlignment="0" applyProtection="0"/>
    <xf numFmtId="179" fontId="19" fillId="0" borderId="0" applyFill="0" applyBorder="0" applyAlignment="0" applyProtection="0"/>
    <xf numFmtId="0" fontId="67" fillId="0" borderId="0">
      <alignment vertical="top"/>
    </xf>
    <xf numFmtId="37" fontId="19" fillId="0" borderId="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175" fontId="32" fillId="0" borderId="0" applyFont="0" applyFill="0" applyBorder="0" applyProtection="0"/>
    <xf numFmtId="0" fontId="1" fillId="0" borderId="0"/>
    <xf numFmtId="0" fontId="6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5" fontId="32" fillId="0" borderId="0" applyFont="0" applyFill="0" applyBorder="0" applyProtection="0"/>
    <xf numFmtId="0" fontId="67" fillId="0" borderId="0">
      <alignment vertical="top"/>
    </xf>
    <xf numFmtId="44"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7" fillId="0" borderId="0">
      <alignment vertical="top"/>
    </xf>
    <xf numFmtId="0" fontId="19" fillId="0" borderId="0"/>
    <xf numFmtId="0" fontId="19" fillId="0" borderId="0"/>
    <xf numFmtId="0" fontId="67" fillId="0" borderId="0">
      <alignment vertical="top"/>
    </xf>
    <xf numFmtId="0" fontId="67" fillId="0" borderId="0">
      <alignment vertical="top"/>
    </xf>
    <xf numFmtId="37" fontId="19" fillId="0" borderId="0" applyFill="0" applyBorder="0" applyAlignment="0" applyProtection="0"/>
    <xf numFmtId="0" fontId="67" fillId="0" borderId="0">
      <alignment vertical="top"/>
    </xf>
    <xf numFmtId="0" fontId="19" fillId="0" borderId="0"/>
    <xf numFmtId="37" fontId="19" fillId="0" borderId="0" applyFill="0" applyBorder="0" applyAlignment="0" applyProtection="0"/>
    <xf numFmtId="0" fontId="19" fillId="0" borderId="0"/>
    <xf numFmtId="0" fontId="19"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9" fillId="0" borderId="0" applyFill="0" applyBorder="0" applyAlignment="0" applyProtection="0"/>
    <xf numFmtId="44" fontId="1" fillId="0" borderId="0" applyFont="0" applyFill="0" applyBorder="0" applyAlignment="0" applyProtection="0"/>
    <xf numFmtId="0" fontId="19" fillId="0" borderId="0"/>
    <xf numFmtId="0" fontId="67" fillId="0" borderId="0">
      <alignment vertical="top"/>
    </xf>
    <xf numFmtId="0" fontId="19" fillId="0" borderId="0"/>
    <xf numFmtId="179" fontId="19" fillId="0" borderId="0" applyFill="0" applyBorder="0" applyAlignment="0" applyProtection="0"/>
    <xf numFmtId="179" fontId="19" fillId="0" borderId="0" applyFill="0" applyBorder="0" applyAlignment="0" applyProtection="0"/>
    <xf numFmtId="0" fontId="19" fillId="0" borderId="0"/>
    <xf numFmtId="179" fontId="19" fillId="0" borderId="0" applyFill="0" applyBorder="0" applyAlignment="0" applyProtection="0"/>
    <xf numFmtId="0" fontId="67" fillId="0" borderId="0">
      <alignment vertical="top"/>
    </xf>
    <xf numFmtId="179" fontId="19" fillId="0" borderId="0" applyFill="0" applyBorder="0" applyAlignment="0" applyProtection="0"/>
    <xf numFmtId="0" fontId="19" fillId="0" borderId="0"/>
    <xf numFmtId="179"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0" fontId="19" fillId="0" borderId="0"/>
    <xf numFmtId="0" fontId="67" fillId="0" borderId="0">
      <alignment vertical="top"/>
    </xf>
    <xf numFmtId="0" fontId="19" fillId="0" borderId="0"/>
    <xf numFmtId="0" fontId="19" fillId="0" borderId="0"/>
    <xf numFmtId="179" fontId="19" fillId="0" borderId="0" applyFill="0" applyBorder="0" applyAlignment="0" applyProtection="0"/>
    <xf numFmtId="37" fontId="19" fillId="0" borderId="0" applyFill="0" applyBorder="0" applyAlignment="0" applyProtection="0"/>
    <xf numFmtId="0" fontId="67" fillId="0" borderId="0">
      <alignment vertical="top"/>
    </xf>
    <xf numFmtId="0" fontId="67" fillId="0" borderId="0">
      <alignment vertical="top"/>
    </xf>
    <xf numFmtId="0" fontId="19" fillId="0" borderId="0"/>
    <xf numFmtId="179"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0" fontId="19" fillId="0" borderId="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1" fontId="24" fillId="0" borderId="0" applyFont="0" applyFill="0" applyBorder="0" applyAlignment="0" applyProtection="0">
      <protection locked="0"/>
    </xf>
    <xf numFmtId="1" fontId="24" fillId="0" borderId="0" applyFont="0" applyFill="0" applyBorder="0" applyAlignment="0" applyProtection="0">
      <protection locked="0"/>
    </xf>
    <xf numFmtId="3" fontId="19" fillId="0" borderId="0" applyFont="0" applyFill="0" applyBorder="0" applyAlignment="0" applyProtection="0"/>
    <xf numFmtId="12" fontId="26" fillId="36" borderId="49">
      <alignment horizontal="left"/>
    </xf>
    <xf numFmtId="0" fontId="24" fillId="59" borderId="50" applyNumberFormat="0" applyFont="0" applyAlignment="0" applyProtection="0">
      <protection locked="0"/>
    </xf>
    <xf numFmtId="0" fontId="19" fillId="0" borderId="0" applyFont="0" applyFill="0" applyBorder="0" applyAlignment="0" applyProtection="0"/>
    <xf numFmtId="0" fontId="63" fillId="59" borderId="50" applyNumberFormat="0" applyFont="0" applyFill="0" applyAlignment="0" applyProtection="0">
      <protection locked="0"/>
    </xf>
    <xf numFmtId="1" fontId="24" fillId="0" borderId="0" applyFont="0" applyFill="0" applyBorder="0" applyAlignment="0" applyProtection="0">
      <protection locked="0"/>
    </xf>
    <xf numFmtId="0" fontId="19" fillId="0" borderId="0" applyFont="0" applyFill="0" applyBorder="0" applyAlignment="0" applyProtection="0"/>
    <xf numFmtId="3" fontId="19" fillId="0" borderId="0" applyFont="0" applyFill="0" applyBorder="0" applyAlignment="0" applyProtection="0"/>
    <xf numFmtId="1" fontId="24" fillId="0" borderId="0" applyFont="0" applyFill="0" applyBorder="0" applyAlignment="0" applyProtection="0">
      <protection locked="0"/>
    </xf>
    <xf numFmtId="3" fontId="19" fillId="0" borderId="0" applyFon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19" fillId="0" borderId="0"/>
    <xf numFmtId="0" fontId="23" fillId="0" borderId="0" applyNumberFormat="0" applyFill="0" applyBorder="0" applyAlignment="0" applyProtection="0"/>
    <xf numFmtId="0" fontId="19" fillId="0" borderId="0"/>
    <xf numFmtId="3" fontId="19" fillId="0" borderId="0" applyFont="0" applyFill="0" applyBorder="0" applyAlignment="0" applyProtection="0"/>
    <xf numFmtId="3" fontId="19" fillId="0" borderId="0" applyFont="0" applyFill="0" applyBorder="0" applyAlignment="0" applyProtection="0"/>
    <xf numFmtId="0" fontId="1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10" fontId="21" fillId="35" borderId="14" applyNumberFormat="0" applyBorder="0" applyAlignment="0" applyProtection="0"/>
    <xf numFmtId="0" fontId="19" fillId="0" borderId="0"/>
    <xf numFmtId="1" fontId="24" fillId="0" borderId="0" applyFont="0" applyFill="0" applyBorder="0" applyAlignment="0" applyProtection="0">
      <protection locked="0"/>
    </xf>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9" fillId="0" borderId="0" applyFont="0" applyFill="0" applyBorder="0" applyAlignment="0" applyProtection="0"/>
    <xf numFmtId="0" fontId="23" fillId="0" borderId="0" applyNumberFormat="0" applyFill="0" applyBorder="0" applyAlignment="0" applyProtection="0"/>
    <xf numFmtId="4" fontId="25" fillId="49" borderId="39" applyNumberFormat="0" applyProtection="0">
      <alignment horizontal="right" vertical="center"/>
    </xf>
    <xf numFmtId="0" fontId="47" fillId="34" borderId="39" applyNumberFormat="0" applyProtection="0">
      <alignment horizontal="left" vertical="top"/>
    </xf>
    <xf numFmtId="4" fontId="47" fillId="0" borderId="39" applyNumberFormat="0" applyProtection="0">
      <alignment horizontal="left" vertical="center" indent="1"/>
    </xf>
    <xf numFmtId="4" fontId="51" fillId="49" borderId="39" applyNumberFormat="0" applyProtection="0">
      <alignment horizontal="right" vertical="center"/>
    </xf>
    <xf numFmtId="4" fontId="47" fillId="0" borderId="39" applyNumberFormat="0" applyProtection="0">
      <alignment horizontal="right" vertical="center"/>
    </xf>
    <xf numFmtId="0" fontId="47" fillId="35" borderId="39" applyNumberFormat="0" applyProtection="0">
      <alignment horizontal="left" vertical="top" indent="1"/>
    </xf>
    <xf numFmtId="4" fontId="47" fillId="35" borderId="39" applyNumberFormat="0" applyProtection="0">
      <alignment horizontal="left" vertical="center" indent="1"/>
    </xf>
    <xf numFmtId="4" fontId="51" fillId="35" borderId="39" applyNumberFormat="0" applyProtection="0">
      <alignment vertical="center"/>
    </xf>
    <xf numFmtId="4" fontId="47" fillId="35" borderId="39" applyNumberFormat="0" applyProtection="0">
      <alignment vertical="center"/>
    </xf>
    <xf numFmtId="0" fontId="19" fillId="49" borderId="39" applyNumberFormat="0" applyProtection="0">
      <alignment horizontal="left" vertical="top" indent="1"/>
    </xf>
    <xf numFmtId="0" fontId="19" fillId="49" borderId="39" applyNumberFormat="0" applyProtection="0">
      <alignment horizontal="left" vertical="top" indent="1"/>
    </xf>
    <xf numFmtId="0" fontId="19" fillId="55" borderId="39" applyNumberFormat="0" applyProtection="0">
      <alignment horizontal="left" vertical="top" indent="1"/>
    </xf>
    <xf numFmtId="0" fontId="19" fillId="49" borderId="39" applyNumberFormat="0" applyProtection="0">
      <alignment horizontal="left" vertical="center" indent="1"/>
    </xf>
    <xf numFmtId="0" fontId="19" fillId="49" borderId="39" applyNumberFormat="0" applyProtection="0">
      <alignment horizontal="left" vertical="center" indent="1"/>
    </xf>
    <xf numFmtId="0" fontId="19" fillId="55" borderId="39" applyNumberFormat="0" applyProtection="0">
      <alignment horizontal="left" vertical="center" indent="1"/>
    </xf>
    <xf numFmtId="0" fontId="19" fillId="85" borderId="39" applyNumberFormat="0" applyProtection="0">
      <alignment horizontal="left" vertical="top" indent="1"/>
    </xf>
    <xf numFmtId="0" fontId="19" fillId="85" borderId="39" applyNumberFormat="0" applyProtection="0">
      <alignment horizontal="left" vertical="top" indent="1"/>
    </xf>
    <xf numFmtId="0" fontId="19" fillId="54" borderId="39" applyNumberFormat="0" applyProtection="0">
      <alignment horizontal="left" vertical="top" indent="1"/>
    </xf>
    <xf numFmtId="0" fontId="19" fillId="85" borderId="39" applyNumberFormat="0" applyProtection="0">
      <alignment horizontal="left" vertical="center" indent="1"/>
    </xf>
    <xf numFmtId="0" fontId="19" fillId="85" borderId="39" applyNumberFormat="0" applyProtection="0">
      <alignment horizontal="left" vertical="center" indent="1"/>
    </xf>
    <xf numFmtId="0" fontId="19" fillId="54" borderId="39" applyNumberFormat="0" applyProtection="0">
      <alignment horizontal="left" vertical="center" indent="1"/>
    </xf>
    <xf numFmtId="0" fontId="19" fillId="51" borderId="39" applyNumberFormat="0" applyProtection="0">
      <alignment horizontal="left" vertical="top" indent="1"/>
    </xf>
    <xf numFmtId="0" fontId="19" fillId="51" borderId="39" applyNumberFormat="0" applyProtection="0">
      <alignment horizontal="left" vertical="top" indent="1"/>
    </xf>
    <xf numFmtId="0" fontId="19" fillId="34" borderId="39" applyNumberFormat="0" applyProtection="0">
      <alignment horizontal="left" vertical="top" indent="1"/>
    </xf>
    <xf numFmtId="0" fontId="19" fillId="51" borderId="39" applyNumberFormat="0" applyProtection="0">
      <alignment horizontal="left" vertical="center" indent="1"/>
    </xf>
    <xf numFmtId="0" fontId="19" fillId="51" borderId="39" applyNumberFormat="0" applyProtection="0">
      <alignment horizontal="left" vertical="center" indent="1"/>
    </xf>
    <xf numFmtId="0" fontId="19" fillId="34" borderId="39" applyNumberFormat="0" applyProtection="0">
      <alignment horizontal="left" vertical="center" indent="1"/>
    </xf>
    <xf numFmtId="0" fontId="19" fillId="84" borderId="39" applyNumberFormat="0" applyProtection="0">
      <alignment horizontal="left" vertical="top" indent="1"/>
    </xf>
    <xf numFmtId="0" fontId="19" fillId="84" borderId="39" applyNumberFormat="0" applyProtection="0">
      <alignment horizontal="left" vertical="top" indent="1"/>
    </xf>
    <xf numFmtId="0" fontId="19" fillId="50" borderId="39" applyNumberFormat="0" applyProtection="0">
      <alignment horizontal="left" vertical="top" indent="1"/>
    </xf>
    <xf numFmtId="0" fontId="19" fillId="84" borderId="39" applyNumberFormat="0" applyProtection="0">
      <alignment horizontal="left" vertical="center" indent="1"/>
    </xf>
    <xf numFmtId="0" fontId="19" fillId="84" borderId="39" applyNumberFormat="0" applyProtection="0">
      <alignment horizontal="left" vertical="center" indent="1"/>
    </xf>
    <xf numFmtId="0" fontId="19" fillId="50" borderId="39" applyNumberFormat="0" applyProtection="0">
      <alignment horizontal="left" vertical="center" indent="1"/>
    </xf>
    <xf numFmtId="1" fontId="24" fillId="0" borderId="0" applyFont="0" applyFill="0" applyBorder="0" applyAlignment="0" applyProtection="0">
      <protection locked="0"/>
    </xf>
    <xf numFmtId="1" fontId="24" fillId="0" borderId="0" applyFont="0" applyFill="0" applyBorder="0" applyAlignment="0" applyProtection="0">
      <protection locked="0"/>
    </xf>
    <xf numFmtId="0" fontId="23" fillId="0" borderId="0" applyNumberFormat="0" applyFill="0" applyBorder="0" applyAlignment="0" applyProtection="0"/>
    <xf numFmtId="4" fontId="47" fillId="51" borderId="39" applyNumberFormat="0" applyProtection="0">
      <alignment horizontal="right" vertical="center"/>
    </xf>
    <xf numFmtId="4" fontId="47" fillId="47" borderId="39" applyNumberFormat="0" applyProtection="0">
      <alignment horizontal="right" vertical="center"/>
    </xf>
    <xf numFmtId="4" fontId="47" fillId="46" borderId="39" applyNumberFormat="0" applyProtection="0">
      <alignment horizontal="right" vertical="center"/>
    </xf>
    <xf numFmtId="4" fontId="47" fillId="45" borderId="39" applyNumberFormat="0" applyProtection="0">
      <alignment horizontal="right" vertical="center"/>
    </xf>
    <xf numFmtId="4" fontId="47" fillId="44" borderId="39" applyNumberFormat="0" applyProtection="0">
      <alignment horizontal="right" vertical="center"/>
    </xf>
    <xf numFmtId="4" fontId="47" fillId="43" borderId="39" applyNumberFormat="0" applyProtection="0">
      <alignment horizontal="right" vertical="center"/>
    </xf>
    <xf numFmtId="4" fontId="47" fillId="42" borderId="39" applyNumberFormat="0" applyProtection="0">
      <alignment horizontal="right" vertical="center"/>
    </xf>
    <xf numFmtId="4" fontId="47" fillId="41" borderId="39" applyNumberFormat="0" applyProtection="0">
      <alignment horizontal="right" vertical="center"/>
    </xf>
    <xf numFmtId="4" fontId="47" fillId="40" borderId="39" applyNumberFormat="0" applyProtection="0">
      <alignment horizontal="right" vertical="center"/>
    </xf>
    <xf numFmtId="4" fontId="47" fillId="39" borderId="39" applyNumberFormat="0" applyProtection="0">
      <alignment horizontal="right" vertical="center"/>
    </xf>
    <xf numFmtId="0" fontId="27" fillId="38" borderId="39" applyNumberFormat="0" applyProtection="0">
      <alignment horizontal="left" vertical="top" indent="1"/>
    </xf>
    <xf numFmtId="4" fontId="27" fillId="38" borderId="39" applyNumberFormat="0" applyProtection="0">
      <alignment horizontal="left" vertical="center" indent="1"/>
    </xf>
    <xf numFmtId="4" fontId="46" fillId="38" borderId="39" applyNumberFormat="0" applyProtection="0">
      <alignment vertical="center"/>
    </xf>
    <xf numFmtId="4" fontId="27" fillId="37" borderId="39" applyNumberFormat="0" applyProtection="0">
      <alignment vertical="center"/>
    </xf>
    <xf numFmtId="3" fontId="19" fillId="0" borderId="0" applyFont="0" applyFill="0" applyBorder="0" applyAlignment="0" applyProtection="0"/>
    <xf numFmtId="0" fontId="63" fillId="59" borderId="50" applyNumberFormat="0" applyFont="0" applyFill="0" applyAlignment="0" applyProtection="0">
      <protection locked="0"/>
    </xf>
    <xf numFmtId="0" fontId="19" fillId="0" borderId="0"/>
    <xf numFmtId="0" fontId="19" fillId="0" borderId="0"/>
    <xf numFmtId="0" fontId="23" fillId="0" borderId="0" applyNumberFormat="0" applyFill="0" applyBorder="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3" fontId="19" fillId="0" borderId="0" applyFont="0" applyFill="0" applyBorder="0" applyAlignment="0" applyProtection="0"/>
    <xf numFmtId="43" fontId="1" fillId="0" borderId="0" applyFont="0" applyFill="0" applyBorder="0" applyAlignment="0" applyProtection="0"/>
    <xf numFmtId="1" fontId="24" fillId="0" borderId="0" applyFont="0" applyFill="0" applyBorder="0" applyAlignment="0" applyProtection="0">
      <protection locked="0"/>
    </xf>
    <xf numFmtId="0" fontId="19" fillId="0" borderId="0"/>
    <xf numFmtId="3" fontId="19" fillId="0" borderId="0" applyFont="0" applyFill="0" applyBorder="0" applyAlignment="0" applyProtection="0"/>
    <xf numFmtId="44" fontId="1" fillId="0" borderId="0" applyFont="0" applyFill="0" applyBorder="0" applyAlignment="0" applyProtection="0"/>
    <xf numFmtId="0" fontId="23" fillId="0" borderId="0" applyNumberFormat="0" applyFill="0" applyBorder="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23" fillId="0" borderId="0" applyNumberFormat="0" applyFill="0" applyBorder="0" applyAlignment="0" applyProtection="0"/>
    <xf numFmtId="0" fontId="1" fillId="0" borderId="0"/>
    <xf numFmtId="0" fontId="2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applyFont="0" applyFill="0" applyBorder="0" applyAlignment="0" applyProtection="0"/>
    <xf numFmtId="3"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 fontId="24" fillId="0" borderId="0" applyFont="0" applyFill="0" applyBorder="0" applyAlignment="0" applyProtection="0">
      <protection locked="0"/>
    </xf>
    <xf numFmtId="3" fontId="19" fillId="0" borderId="0" applyFont="0" applyFill="0" applyBorder="0" applyAlignment="0" applyProtection="0"/>
    <xf numFmtId="3" fontId="19" fillId="0" borderId="0" applyFont="0" applyFill="0" applyBorder="0" applyAlignment="0" applyProtection="0"/>
    <xf numFmtId="0" fontId="19" fillId="0" borderId="0"/>
    <xf numFmtId="0" fontId="19" fillId="0" borderId="0"/>
    <xf numFmtId="0" fontId="24" fillId="59" borderId="50" applyNumberFormat="0" applyFont="0" applyAlignment="0" applyProtection="0">
      <protection locked="0"/>
    </xf>
    <xf numFmtId="1" fontId="24" fillId="0" borderId="0" applyFont="0" applyFill="0" applyBorder="0" applyAlignment="0" applyProtection="0">
      <protection locked="0"/>
    </xf>
    <xf numFmtId="0" fontId="19" fillId="61" borderId="14" applyNumberFormat="0">
      <protection locked="0"/>
    </xf>
    <xf numFmtId="0" fontId="19" fillId="0" borderId="0" applyFont="0" applyFill="0" applyBorder="0" applyAlignment="0" applyProtection="0"/>
    <xf numFmtId="3" fontId="19" fillId="0" borderId="0" applyFont="0" applyFill="0" applyBorder="0" applyAlignment="0" applyProtection="0"/>
    <xf numFmtId="0" fontId="21" fillId="59" borderId="14" applyFont="0" applyBorder="0" applyAlignment="0" applyProtection="0">
      <alignment vertical="top"/>
    </xf>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 fontId="24" fillId="0" borderId="0" applyFont="0" applyFill="0" applyBorder="0" applyAlignment="0" applyProtection="0">
      <protection locked="0"/>
    </xf>
    <xf numFmtId="0" fontId="24" fillId="33" borderId="14" applyNumberFormat="0" applyFont="0" applyAlignment="0" applyProtection="0"/>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0" borderId="0" applyFont="0" applyFill="0" applyBorder="0" applyAlignment="0" applyProtection="0"/>
    <xf numFmtId="0" fontId="26" fillId="0" borderId="22">
      <alignment horizontal="left" vertical="center"/>
    </xf>
    <xf numFmtId="43" fontId="1" fillId="0" borderId="0" applyFont="0" applyFill="0" applyBorder="0" applyAlignment="0" applyProtection="0"/>
    <xf numFmtId="44" fontId="1" fillId="0" borderId="0" applyFont="0" applyFill="0" applyBorder="0" applyAlignment="0" applyProtection="0"/>
    <xf numFmtId="1" fontId="24" fillId="0" borderId="0" applyFont="0" applyFill="0" applyBorder="0" applyAlignment="0" applyProtection="0">
      <protection locked="0"/>
    </xf>
    <xf numFmtId="0" fontId="21" fillId="59" borderId="14" applyFont="0" applyBorder="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05" fillId="0" borderId="48" applyNumberFormat="0" applyFill="0" applyAlignment="0" applyProtection="0"/>
    <xf numFmtId="0" fontId="105" fillId="0" borderId="48" applyNumberFormat="0" applyFill="0" applyAlignment="0" applyProtection="0"/>
    <xf numFmtId="0"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0" fontId="19" fillId="61" borderId="14" applyNumberFormat="0">
      <protection locked="0"/>
    </xf>
    <xf numFmtId="0" fontId="19" fillId="0" borderId="0" applyFont="0" applyFill="0" applyBorder="0" applyAlignment="0" applyProtection="0"/>
    <xf numFmtId="0" fontId="19" fillId="0" borderId="0"/>
    <xf numFmtId="0" fontId="19" fillId="61" borderId="14" applyNumberFormat="0">
      <protection locked="0"/>
    </xf>
    <xf numFmtId="0" fontId="19" fillId="0" borderId="0" applyFont="0" applyFill="0" applyBorder="0" applyAlignment="0" applyProtection="0"/>
    <xf numFmtId="0" fontId="20" fillId="0" borderId="14">
      <alignment horizontal="center" vertical="center" wrapText="1"/>
    </xf>
    <xf numFmtId="0" fontId="19" fillId="0" borderId="0" applyFont="0" applyFill="0" applyBorder="0" applyAlignment="0" applyProtection="0"/>
    <xf numFmtId="1" fontId="24" fillId="0" borderId="0" applyFont="0" applyFill="0" applyBorder="0" applyAlignment="0" applyProtection="0">
      <protection locked="0"/>
    </xf>
    <xf numFmtId="0" fontId="19" fillId="0" borderId="0" applyFont="0" applyFill="0" applyBorder="0" applyAlignment="0" applyProtection="0"/>
    <xf numFmtId="0" fontId="19" fillId="0" borderId="0"/>
    <xf numFmtId="3" fontId="19" fillId="0" borderId="0" applyFont="0" applyFill="0" applyBorder="0" applyAlignment="0" applyProtection="0"/>
    <xf numFmtId="0" fontId="19" fillId="0" borderId="0"/>
    <xf numFmtId="1" fontId="24" fillId="0" borderId="0" applyFont="0" applyFill="0" applyBorder="0" applyAlignment="0" applyProtection="0">
      <protection locked="0"/>
    </xf>
    <xf numFmtId="0" fontId="23" fillId="0" borderId="0" applyNumberFormat="0" applyFill="0" applyBorder="0" applyAlignment="0" applyProtection="0"/>
    <xf numFmtId="3" fontId="19" fillId="0" borderId="0" applyFon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0" fontId="19" fillId="0" borderId="0"/>
    <xf numFmtId="3" fontId="19" fillId="0" borderId="0" applyFont="0" applyFill="0" applyBorder="0" applyAlignment="0" applyProtection="0"/>
    <xf numFmtId="0" fontId="19" fillId="0" borderId="0" applyFon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9" fontId="1" fillId="0" borderId="0" applyFont="0" applyFill="0" applyBorder="0" applyAlignment="0" applyProtection="0"/>
    <xf numFmtId="9" fontId="1" fillId="0" borderId="0" applyFont="0" applyFill="0" applyBorder="0" applyAlignment="0" applyProtection="0"/>
    <xf numFmtId="4" fontId="27" fillId="37" borderId="39" applyNumberFormat="0" applyProtection="0">
      <alignment vertical="center"/>
    </xf>
    <xf numFmtId="4" fontId="46" fillId="38" borderId="39" applyNumberFormat="0" applyProtection="0">
      <alignment vertical="center"/>
    </xf>
    <xf numFmtId="4" fontId="27" fillId="38" borderId="39" applyNumberFormat="0" applyProtection="0">
      <alignment horizontal="left" vertical="center" indent="1"/>
    </xf>
    <xf numFmtId="0" fontId="27" fillId="38" borderId="39" applyNumberFormat="0" applyProtection="0">
      <alignment horizontal="left" vertical="top" indent="1"/>
    </xf>
    <xf numFmtId="4" fontId="47" fillId="39" borderId="39" applyNumberFormat="0" applyProtection="0">
      <alignment horizontal="right" vertical="center"/>
    </xf>
    <xf numFmtId="4" fontId="47" fillId="40" borderId="39" applyNumberFormat="0" applyProtection="0">
      <alignment horizontal="right" vertical="center"/>
    </xf>
    <xf numFmtId="4" fontId="47" fillId="41" borderId="39" applyNumberFormat="0" applyProtection="0">
      <alignment horizontal="right" vertical="center"/>
    </xf>
    <xf numFmtId="4" fontId="47" fillId="42" borderId="39" applyNumberFormat="0" applyProtection="0">
      <alignment horizontal="right" vertical="center"/>
    </xf>
    <xf numFmtId="4" fontId="47" fillId="43" borderId="39" applyNumberFormat="0" applyProtection="0">
      <alignment horizontal="right" vertical="center"/>
    </xf>
    <xf numFmtId="4" fontId="47" fillId="44" borderId="39" applyNumberFormat="0" applyProtection="0">
      <alignment horizontal="right" vertical="center"/>
    </xf>
    <xf numFmtId="4" fontId="47" fillId="45" borderId="39" applyNumberFormat="0" applyProtection="0">
      <alignment horizontal="right" vertical="center"/>
    </xf>
    <xf numFmtId="4" fontId="47" fillId="46" borderId="39" applyNumberFormat="0" applyProtection="0">
      <alignment horizontal="right" vertical="center"/>
    </xf>
    <xf numFmtId="4" fontId="47" fillId="47" borderId="39" applyNumberFormat="0" applyProtection="0">
      <alignment horizontal="right" vertical="center"/>
    </xf>
    <xf numFmtId="4" fontId="47" fillId="51" borderId="39" applyNumberFormat="0" applyProtection="0">
      <alignment horizontal="right" vertical="center"/>
    </xf>
    <xf numFmtId="0" fontId="19" fillId="50" borderId="39" applyNumberFormat="0" applyProtection="0">
      <alignment horizontal="left" vertical="center" indent="1"/>
    </xf>
    <xf numFmtId="0" fontId="19" fillId="84" borderId="39" applyNumberFormat="0" applyProtection="0">
      <alignment horizontal="left" vertical="center" indent="1"/>
    </xf>
    <xf numFmtId="0" fontId="19" fillId="84" borderId="39" applyNumberFormat="0" applyProtection="0">
      <alignment horizontal="left" vertical="center" indent="1"/>
    </xf>
    <xf numFmtId="0" fontId="19" fillId="50" borderId="39" applyNumberFormat="0" applyProtection="0">
      <alignment horizontal="left" vertical="top" indent="1"/>
    </xf>
    <xf numFmtId="0" fontId="19" fillId="84" borderId="39" applyNumberFormat="0" applyProtection="0">
      <alignment horizontal="left" vertical="top" indent="1"/>
    </xf>
    <xf numFmtId="0" fontId="19" fillId="84" borderId="39" applyNumberFormat="0" applyProtection="0">
      <alignment horizontal="left" vertical="top" indent="1"/>
    </xf>
    <xf numFmtId="0" fontId="19" fillId="34" borderId="39" applyNumberFormat="0" applyProtection="0">
      <alignment horizontal="left" vertical="center" indent="1"/>
    </xf>
    <xf numFmtId="0" fontId="19" fillId="51" borderId="39" applyNumberFormat="0" applyProtection="0">
      <alignment horizontal="left" vertical="center" indent="1"/>
    </xf>
    <xf numFmtId="0" fontId="19" fillId="51" borderId="39" applyNumberFormat="0" applyProtection="0">
      <alignment horizontal="left" vertical="center" indent="1"/>
    </xf>
    <xf numFmtId="0" fontId="19" fillId="34" borderId="39" applyNumberFormat="0" applyProtection="0">
      <alignment horizontal="left" vertical="top" indent="1"/>
    </xf>
    <xf numFmtId="0" fontId="19" fillId="51" borderId="39" applyNumberFormat="0" applyProtection="0">
      <alignment horizontal="left" vertical="top" indent="1"/>
    </xf>
    <xf numFmtId="0" fontId="19" fillId="51" borderId="39" applyNumberFormat="0" applyProtection="0">
      <alignment horizontal="left" vertical="top" indent="1"/>
    </xf>
    <xf numFmtId="0" fontId="19" fillId="54" borderId="39" applyNumberFormat="0" applyProtection="0">
      <alignment horizontal="left" vertical="center" indent="1"/>
    </xf>
    <xf numFmtId="0" fontId="19" fillId="85" borderId="39" applyNumberFormat="0" applyProtection="0">
      <alignment horizontal="left" vertical="center" indent="1"/>
    </xf>
    <xf numFmtId="0" fontId="19" fillId="85" borderId="39" applyNumberFormat="0" applyProtection="0">
      <alignment horizontal="left" vertical="center" indent="1"/>
    </xf>
    <xf numFmtId="0" fontId="19" fillId="54" borderId="39" applyNumberFormat="0" applyProtection="0">
      <alignment horizontal="left" vertical="top" indent="1"/>
    </xf>
    <xf numFmtId="0" fontId="19" fillId="85" borderId="39" applyNumberFormat="0" applyProtection="0">
      <alignment horizontal="left" vertical="top" indent="1"/>
    </xf>
    <xf numFmtId="0" fontId="19" fillId="85" borderId="39" applyNumberFormat="0" applyProtection="0">
      <alignment horizontal="left" vertical="top" indent="1"/>
    </xf>
    <xf numFmtId="0" fontId="19" fillId="55" borderId="39" applyNumberFormat="0" applyProtection="0">
      <alignment horizontal="left" vertical="center" indent="1"/>
    </xf>
    <xf numFmtId="0" fontId="19" fillId="49" borderId="39" applyNumberFormat="0" applyProtection="0">
      <alignment horizontal="left" vertical="center" indent="1"/>
    </xf>
    <xf numFmtId="0" fontId="19" fillId="49" borderId="39" applyNumberFormat="0" applyProtection="0">
      <alignment horizontal="left" vertical="center" indent="1"/>
    </xf>
    <xf numFmtId="0" fontId="19" fillId="55" borderId="39" applyNumberFormat="0" applyProtection="0">
      <alignment horizontal="left" vertical="top" indent="1"/>
    </xf>
    <xf numFmtId="0" fontId="19" fillId="49" borderId="39" applyNumberFormat="0" applyProtection="0">
      <alignment horizontal="left" vertical="top" indent="1"/>
    </xf>
    <xf numFmtId="0" fontId="19" fillId="49" borderId="39" applyNumberFormat="0" applyProtection="0">
      <alignment horizontal="left" vertical="top" indent="1"/>
    </xf>
    <xf numFmtId="4" fontId="47" fillId="35" borderId="39" applyNumberFormat="0" applyProtection="0">
      <alignment vertical="center"/>
    </xf>
    <xf numFmtId="4" fontId="51" fillId="35" borderId="39" applyNumberFormat="0" applyProtection="0">
      <alignment vertical="center"/>
    </xf>
    <xf numFmtId="4" fontId="47" fillId="35" borderId="39" applyNumberFormat="0" applyProtection="0">
      <alignment horizontal="left" vertical="center" indent="1"/>
    </xf>
    <xf numFmtId="0" fontId="47" fillId="35" borderId="39" applyNumberFormat="0" applyProtection="0">
      <alignment horizontal="left" vertical="top" indent="1"/>
    </xf>
    <xf numFmtId="4" fontId="47" fillId="0" borderId="39" applyNumberFormat="0" applyProtection="0">
      <alignment horizontal="right" vertical="center"/>
    </xf>
    <xf numFmtId="4" fontId="51" fillId="49" borderId="39" applyNumberFormat="0" applyProtection="0">
      <alignment horizontal="right" vertical="center"/>
    </xf>
    <xf numFmtId="4" fontId="47" fillId="0" borderId="39" applyNumberFormat="0" applyProtection="0">
      <alignment horizontal="left" vertical="center" indent="1"/>
    </xf>
    <xf numFmtId="0" fontId="47" fillId="34" borderId="39" applyNumberFormat="0" applyProtection="0">
      <alignment horizontal="left" vertical="top"/>
    </xf>
    <xf numFmtId="4" fontId="25" fillId="49" borderId="39" applyNumberFormat="0" applyProtection="0">
      <alignment horizontal="right" vertical="center"/>
    </xf>
    <xf numFmtId="0" fontId="20" fillId="0" borderId="14">
      <alignment horizontal="center" vertical="center" wrapText="1"/>
    </xf>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0" fontId="26" fillId="0" borderId="53">
      <alignment horizontal="left" vertical="center"/>
    </xf>
    <xf numFmtId="4" fontId="27" fillId="34" borderId="57" applyNumberFormat="0" applyProtection="0">
      <alignment vertical="center"/>
    </xf>
    <xf numFmtId="4" fontId="47" fillId="0" borderId="63" applyNumberFormat="0" applyProtection="0">
      <alignment horizontal="right" vertical="center"/>
    </xf>
    <xf numFmtId="0" fontId="19" fillId="51" borderId="63" applyNumberFormat="0" applyProtection="0">
      <alignment horizontal="left" vertical="center" indent="1"/>
    </xf>
    <xf numFmtId="4" fontId="27" fillId="37" borderId="63" applyNumberFormat="0" applyProtection="0">
      <alignment vertical="center"/>
    </xf>
    <xf numFmtId="0" fontId="110" fillId="77" borderId="62" applyNumberFormat="0" applyAlignment="0" applyProtection="0"/>
    <xf numFmtId="0" fontId="24" fillId="59" borderId="61" applyNumberFormat="0" applyFont="0" applyAlignment="0" applyProtection="0">
      <protection locked="0"/>
    </xf>
    <xf numFmtId="0" fontId="102" fillId="79" borderId="62" applyNumberFormat="0" applyAlignment="0" applyProtection="0"/>
    <xf numFmtId="4" fontId="47" fillId="42" borderId="63" applyNumberFormat="0" applyProtection="0">
      <alignment horizontal="right" vertical="center"/>
    </xf>
    <xf numFmtId="0" fontId="19" fillId="51" borderId="63" applyNumberFormat="0" applyProtection="0">
      <alignment horizontal="left" vertical="top" indent="1"/>
    </xf>
    <xf numFmtId="4" fontId="25" fillId="49" borderId="63" applyNumberFormat="0" applyProtection="0">
      <alignment horizontal="right" vertical="center"/>
    </xf>
    <xf numFmtId="0" fontId="114" fillId="79" borderId="59" applyNumberFormat="0" applyAlignment="0" applyProtection="0"/>
    <xf numFmtId="9" fontId="19" fillId="0" borderId="0" applyFont="0" applyFill="0" applyBorder="0" applyAlignment="0" applyProtection="0"/>
    <xf numFmtId="44" fontId="19" fillId="0" borderId="0" applyFont="0" applyFill="0" applyBorder="0" applyProtection="0">
      <alignment horizontal="right"/>
    </xf>
    <xf numFmtId="43" fontId="19" fillId="0" borderId="0" applyFont="0" applyFill="0" applyBorder="0" applyAlignment="0" applyProtection="0"/>
    <xf numFmtId="0" fontId="18" fillId="0" borderId="0"/>
    <xf numFmtId="0" fontId="47" fillId="35" borderId="63" applyNumberFormat="0" applyProtection="0">
      <alignment horizontal="left" vertical="top" indent="1"/>
    </xf>
    <xf numFmtId="0" fontId="19" fillId="34" borderId="63" applyNumberFormat="0" applyProtection="0">
      <alignment horizontal="left" vertical="center" indent="1"/>
    </xf>
    <xf numFmtId="0" fontId="102" fillId="79" borderId="62" applyNumberFormat="0" applyAlignment="0" applyProtection="0"/>
    <xf numFmtId="4" fontId="47" fillId="43" borderId="63" applyNumberFormat="0" applyProtection="0">
      <alignment horizontal="right" vertical="center"/>
    </xf>
    <xf numFmtId="0" fontId="19" fillId="54" borderId="63" applyNumberFormat="0" applyProtection="0">
      <alignment horizontal="left" vertical="center" indent="1"/>
    </xf>
    <xf numFmtId="0" fontId="114" fillId="79" borderId="59" applyNumberFormat="0" applyAlignment="0" applyProtection="0"/>
    <xf numFmtId="4" fontId="25" fillId="49" borderId="63" applyNumberFormat="0" applyProtection="0">
      <alignment horizontal="right" vertical="center"/>
    </xf>
    <xf numFmtId="0" fontId="19" fillId="51" borderId="63" applyNumberFormat="0" applyProtection="0">
      <alignment horizontal="left" vertical="top" indent="1"/>
    </xf>
    <xf numFmtId="4" fontId="47" fillId="39" borderId="63" applyNumberFormat="0" applyProtection="0">
      <alignment horizontal="right" vertical="center"/>
    </xf>
    <xf numFmtId="0" fontId="19" fillId="76" borderId="58" applyNumberFormat="0" applyFont="0" applyAlignment="0" applyProtection="0"/>
    <xf numFmtId="0" fontId="105" fillId="0" borderId="60" applyNumberFormat="0" applyFill="0" applyAlignment="0" applyProtection="0"/>
    <xf numFmtId="0" fontId="27" fillId="38" borderId="63" applyNumberFormat="0" applyProtection="0">
      <alignment horizontal="left" vertical="top" indent="1"/>
    </xf>
    <xf numFmtId="0" fontId="19" fillId="51" borderId="63" applyNumberFormat="0" applyProtection="0">
      <alignment horizontal="left" vertical="center" indent="1"/>
    </xf>
    <xf numFmtId="4" fontId="47" fillId="0" borderId="63" applyNumberFormat="0" applyProtection="0">
      <alignment horizontal="right" vertical="center"/>
    </xf>
    <xf numFmtId="0" fontId="105" fillId="0" borderId="60" applyNumberFormat="0" applyFill="0" applyAlignment="0" applyProtection="0"/>
    <xf numFmtId="0" fontId="19" fillId="76" borderId="58" applyNumberFormat="0" applyFont="0" applyAlignment="0" applyProtection="0"/>
    <xf numFmtId="0" fontId="21" fillId="35" borderId="55" applyNumberFormat="0" applyFont="0" applyAlignment="0" applyProtection="0">
      <alignment horizontal="center"/>
      <protection locked="0"/>
    </xf>
    <xf numFmtId="0" fontId="19" fillId="49" borderId="63" applyNumberFormat="0" applyProtection="0">
      <alignment horizontal="left" vertical="center" indent="1"/>
    </xf>
    <xf numFmtId="4" fontId="47" fillId="51" borderId="63" applyNumberFormat="0" applyProtection="0">
      <alignment horizontal="right" vertical="center"/>
    </xf>
    <xf numFmtId="0" fontId="114" fillId="79" borderId="59" applyNumberFormat="0" applyAlignment="0" applyProtection="0"/>
    <xf numFmtId="0" fontId="114" fillId="79" borderId="59" applyNumberFormat="0" applyAlignment="0" applyProtection="0"/>
    <xf numFmtId="0" fontId="19" fillId="49" borderId="63" applyNumberFormat="0" applyProtection="0">
      <alignment horizontal="left" vertical="center" indent="1"/>
    </xf>
    <xf numFmtId="0" fontId="105" fillId="0" borderId="60" applyNumberFormat="0" applyFill="0" applyAlignment="0" applyProtection="0"/>
    <xf numFmtId="0" fontId="19" fillId="85" borderId="63" applyNumberFormat="0" applyProtection="0">
      <alignment horizontal="left" vertical="center" indent="1"/>
    </xf>
    <xf numFmtId="4" fontId="47" fillId="41" borderId="63" applyNumberFormat="0" applyProtection="0">
      <alignment horizontal="right" vertical="center"/>
    </xf>
    <xf numFmtId="0" fontId="19" fillId="76" borderId="58" applyNumberFormat="0" applyFont="0" applyAlignment="0" applyProtection="0"/>
    <xf numFmtId="4" fontId="46" fillId="38" borderId="63" applyNumberFormat="0" applyProtection="0">
      <alignment vertical="center"/>
    </xf>
    <xf numFmtId="0" fontId="19" fillId="84" borderId="63" applyNumberFormat="0" applyProtection="0">
      <alignment horizontal="left" vertical="top" indent="1"/>
    </xf>
    <xf numFmtId="4" fontId="47" fillId="35" borderId="63" applyNumberFormat="0" applyProtection="0">
      <alignment horizontal="left" vertical="center" indent="1"/>
    </xf>
    <xf numFmtId="0" fontId="105" fillId="0" borderId="60" applyNumberFormat="0" applyFill="0" applyAlignment="0" applyProtection="0"/>
    <xf numFmtId="0" fontId="19" fillId="76" borderId="58" applyNumberFormat="0" applyFont="0" applyAlignment="0" applyProtection="0"/>
    <xf numFmtId="0" fontId="19" fillId="49" borderId="63" applyNumberFormat="0" applyProtection="0">
      <alignment horizontal="left" vertical="top" indent="1"/>
    </xf>
    <xf numFmtId="0" fontId="19" fillId="84" borderId="63" applyNumberFormat="0" applyProtection="0">
      <alignment horizontal="left" vertical="center"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51" borderId="63" applyNumberFormat="0" applyProtection="0">
      <alignment horizontal="right" vertical="center"/>
    </xf>
    <xf numFmtId="0" fontId="19" fillId="85" borderId="63" applyNumberFormat="0" applyProtection="0">
      <alignment horizontal="left" vertical="top" indent="1"/>
    </xf>
    <xf numFmtId="0" fontId="105" fillId="0" borderId="60" applyNumberFormat="0" applyFill="0" applyAlignment="0" applyProtection="0"/>
    <xf numFmtId="0" fontId="24" fillId="59" borderId="61" applyNumberFormat="0" applyFont="0" applyAlignment="0" applyProtection="0">
      <protection locked="0"/>
    </xf>
    <xf numFmtId="4" fontId="47" fillId="43" borderId="63" applyNumberFormat="0" applyProtection="0">
      <alignment horizontal="right" vertical="center"/>
    </xf>
    <xf numFmtId="0" fontId="19" fillId="54" borderId="63" applyNumberFormat="0" applyProtection="0">
      <alignment horizontal="left" vertical="top" indent="1"/>
    </xf>
    <xf numFmtId="0" fontId="19" fillId="76" borderId="58" applyNumberFormat="0" applyFont="0" applyAlignment="0" applyProtection="0"/>
    <xf numFmtId="0" fontId="105" fillId="0" borderId="60" applyNumberFormat="0" applyFill="0" applyAlignment="0" applyProtection="0"/>
    <xf numFmtId="0" fontId="19" fillId="50" borderId="63" applyNumberFormat="0" applyProtection="0">
      <alignment horizontal="left" vertical="top" indent="1"/>
    </xf>
    <xf numFmtId="4" fontId="47" fillId="35" borderId="63" applyNumberFormat="0" applyProtection="0">
      <alignment vertical="center"/>
    </xf>
    <xf numFmtId="0" fontId="105" fillId="0" borderId="60" applyNumberFormat="0" applyFill="0" applyAlignment="0" applyProtection="0"/>
    <xf numFmtId="0" fontId="19" fillId="76" borderId="58" applyNumberFormat="0" applyFont="0" applyAlignment="0" applyProtection="0"/>
    <xf numFmtId="4" fontId="47" fillId="35" borderId="63" applyNumberFormat="0" applyProtection="0">
      <alignment vertical="center"/>
    </xf>
    <xf numFmtId="0" fontId="19" fillId="50" borderId="63" applyNumberFormat="0" applyProtection="0">
      <alignment horizontal="left" vertical="top"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46" borderId="63" applyNumberFormat="0" applyProtection="0">
      <alignment horizontal="right" vertical="center"/>
    </xf>
    <xf numFmtId="0" fontId="19" fillId="54" borderId="63" applyNumberFormat="0" applyProtection="0">
      <alignment horizontal="left" vertical="top" indent="1"/>
    </xf>
    <xf numFmtId="0" fontId="105" fillId="0" borderId="60" applyNumberFormat="0" applyFill="0" applyAlignment="0" applyProtection="0"/>
    <xf numFmtId="0" fontId="63" fillId="59" borderId="61" applyNumberFormat="0" applyFont="0" applyFill="0" applyAlignment="0" applyProtection="0">
      <protection locked="0"/>
    </xf>
    <xf numFmtId="0" fontId="105" fillId="0" borderId="60" applyNumberFormat="0" applyFill="0" applyAlignment="0" applyProtection="0"/>
    <xf numFmtId="0" fontId="19" fillId="85" borderId="63" applyNumberFormat="0" applyProtection="0">
      <alignment horizontal="left" vertical="top" indent="1"/>
    </xf>
    <xf numFmtId="4" fontId="47" fillId="45" borderId="63" applyNumberFormat="0" applyProtection="0">
      <alignment horizontal="right" vertical="center"/>
    </xf>
    <xf numFmtId="0" fontId="110" fillId="77" borderId="62" applyNumberFormat="0" applyAlignment="0" applyProtection="0"/>
    <xf numFmtId="0" fontId="19" fillId="84" borderId="63" applyNumberFormat="0" applyProtection="0">
      <alignment horizontal="left" vertical="center" indent="1"/>
    </xf>
    <xf numFmtId="0" fontId="19" fillId="49" borderId="63" applyNumberFormat="0" applyProtection="0">
      <alignment horizontal="left" vertical="top" indent="1"/>
    </xf>
    <xf numFmtId="4" fontId="47" fillId="35" borderId="63" applyNumberFormat="0" applyProtection="0">
      <alignment horizontal="left" vertical="center" indent="1"/>
    </xf>
    <xf numFmtId="0" fontId="19" fillId="84" borderId="63" applyNumberFormat="0" applyProtection="0">
      <alignment horizontal="left" vertical="top" indent="1"/>
    </xf>
    <xf numFmtId="0" fontId="102" fillId="79" borderId="62" applyNumberFormat="0" applyAlignment="0" applyProtection="0"/>
    <xf numFmtId="4" fontId="47" fillId="44" borderId="63" applyNumberFormat="0" applyProtection="0">
      <alignment horizontal="right" vertical="center"/>
    </xf>
    <xf numFmtId="0" fontId="19" fillId="85" borderId="63" applyNumberFormat="0" applyProtection="0">
      <alignment horizontal="left" vertical="center" indent="1"/>
    </xf>
    <xf numFmtId="0" fontId="114" fillId="79" borderId="59" applyNumberFormat="0" applyAlignment="0" applyProtection="0"/>
    <xf numFmtId="4" fontId="51" fillId="49" borderId="63" applyNumberFormat="0" applyProtection="0">
      <alignment horizontal="right" vertical="center"/>
    </xf>
    <xf numFmtId="0" fontId="19" fillId="51" borderId="63" applyNumberFormat="0" applyProtection="0">
      <alignment horizontal="left" vertical="center" indent="1"/>
    </xf>
    <xf numFmtId="4" fontId="46" fillId="38" borderId="63" applyNumberFormat="0" applyProtection="0">
      <alignment vertical="center"/>
    </xf>
    <xf numFmtId="0" fontId="110" fillId="77" borderId="62" applyNumberFormat="0" applyAlignment="0" applyProtection="0"/>
    <xf numFmtId="0" fontId="102" fillId="79" borderId="62" applyNumberFormat="0" applyAlignment="0" applyProtection="0"/>
    <xf numFmtId="4" fontId="47" fillId="41" borderId="63" applyNumberFormat="0" applyProtection="0">
      <alignment horizontal="right" vertical="center"/>
    </xf>
    <xf numFmtId="0" fontId="19" fillId="51" borderId="63" applyNumberFormat="0" applyProtection="0">
      <alignment horizontal="left" vertical="top" indent="1"/>
    </xf>
    <xf numFmtId="0" fontId="47" fillId="34" borderId="63" applyNumberFormat="0" applyProtection="0">
      <alignment horizontal="left" vertical="top"/>
    </xf>
    <xf numFmtId="0" fontId="114" fillId="79" borderId="59" applyNumberFormat="0" applyAlignment="0" applyProtection="0"/>
    <xf numFmtId="0" fontId="26" fillId="0" borderId="53">
      <alignment horizontal="left" vertical="center"/>
    </xf>
    <xf numFmtId="4" fontId="27" fillId="34" borderId="57" applyNumberFormat="0" applyProtection="0">
      <alignment vertical="center"/>
    </xf>
    <xf numFmtId="0" fontId="26" fillId="0" borderId="53">
      <alignment horizontal="left" vertical="center"/>
    </xf>
    <xf numFmtId="4" fontId="27" fillId="34" borderId="57" applyNumberFormat="0" applyProtection="0">
      <alignment vertical="center"/>
    </xf>
    <xf numFmtId="4" fontId="27" fillId="34" borderId="57" applyNumberFormat="0" applyProtection="0">
      <alignment vertical="center"/>
    </xf>
    <xf numFmtId="4" fontId="47" fillId="0" borderId="63" applyNumberFormat="0" applyProtection="0">
      <alignment horizontal="left" vertical="center" indent="1"/>
    </xf>
    <xf numFmtId="0" fontId="19" fillId="34" borderId="63" applyNumberFormat="0" applyProtection="0">
      <alignment horizontal="left" vertical="top" indent="1"/>
    </xf>
    <xf numFmtId="4" fontId="27" fillId="38" borderId="63" applyNumberFormat="0" applyProtection="0">
      <alignment horizontal="left" vertical="center" indent="1"/>
    </xf>
    <xf numFmtId="0" fontId="110" fillId="77" borderId="62" applyNumberFormat="0" applyAlignment="0" applyProtection="0"/>
    <xf numFmtId="4" fontId="47" fillId="40" borderId="63" applyNumberFormat="0" applyProtection="0">
      <alignment horizontal="right" vertical="center"/>
    </xf>
    <xf numFmtId="0" fontId="19" fillId="34" borderId="63" applyNumberFormat="0" applyProtection="0">
      <alignment horizontal="left" vertical="top" indent="1"/>
    </xf>
    <xf numFmtId="4" fontId="47" fillId="0" borderId="63" applyNumberFormat="0" applyProtection="0">
      <alignment horizontal="left" vertical="center" indent="1"/>
    </xf>
    <xf numFmtId="0" fontId="114" fillId="79" borderId="59" applyNumberFormat="0" applyAlignment="0" applyProtection="0"/>
    <xf numFmtId="0" fontId="105" fillId="0" borderId="60" applyNumberFormat="0" applyFill="0" applyAlignment="0" applyProtection="0"/>
    <xf numFmtId="0" fontId="19" fillId="55" borderId="63" applyNumberFormat="0" applyProtection="0">
      <alignment horizontal="left" vertical="center" indent="1"/>
    </xf>
    <xf numFmtId="4" fontId="47" fillId="46" borderId="63" applyNumberFormat="0" applyProtection="0">
      <alignment horizontal="right" vertical="center"/>
    </xf>
    <xf numFmtId="0" fontId="110" fillId="77" borderId="62" applyNumberFormat="0" applyAlignment="0" applyProtection="0"/>
    <xf numFmtId="0" fontId="19" fillId="50" borderId="63" applyNumberFormat="0" applyProtection="0">
      <alignment horizontal="left" vertical="center" indent="1"/>
    </xf>
    <xf numFmtId="0" fontId="19" fillId="55" borderId="63" applyNumberFormat="0" applyProtection="0">
      <alignment horizontal="left" vertical="top" indent="1"/>
    </xf>
    <xf numFmtId="0" fontId="47" fillId="34" borderId="63" applyNumberFormat="0" applyProtection="0">
      <alignment horizontal="left" vertical="top"/>
    </xf>
    <xf numFmtId="0" fontId="19" fillId="51" borderId="63" applyNumberFormat="0" applyProtection="0">
      <alignment horizontal="left" vertical="top" indent="1"/>
    </xf>
    <xf numFmtId="0" fontId="27" fillId="38" borderId="63" applyNumberFormat="0" applyProtection="0">
      <alignment horizontal="left" vertical="top" indent="1"/>
    </xf>
    <xf numFmtId="0" fontId="19" fillId="76" borderId="58" applyNumberFormat="0" applyFont="0" applyAlignment="0" applyProtection="0"/>
    <xf numFmtId="0" fontId="110" fillId="77" borderId="62" applyNumberFormat="0" applyAlignment="0" applyProtection="0"/>
    <xf numFmtId="0" fontId="105" fillId="0" borderId="60" applyNumberFormat="0" applyFill="0" applyAlignment="0" applyProtection="0"/>
    <xf numFmtId="4" fontId="47" fillId="39" borderId="63" applyNumberFormat="0" applyProtection="0">
      <alignment horizontal="right" vertical="center"/>
    </xf>
    <xf numFmtId="0" fontId="19" fillId="51" borderId="63" applyNumberFormat="0" applyProtection="0">
      <alignment horizontal="left" vertical="center" indent="1"/>
    </xf>
    <xf numFmtId="4" fontId="51" fillId="49" borderId="63" applyNumberFormat="0" applyProtection="0">
      <alignment horizontal="right" vertical="center"/>
    </xf>
    <xf numFmtId="0" fontId="19" fillId="49" borderId="63" applyNumberFormat="0" applyProtection="0">
      <alignment horizontal="left" vertical="center" indent="1"/>
    </xf>
    <xf numFmtId="4" fontId="47" fillId="47" borderId="63" applyNumberFormat="0" applyProtection="0">
      <alignment horizontal="right" vertical="center"/>
    </xf>
    <xf numFmtId="0" fontId="110" fillId="77" borderId="62" applyNumberFormat="0" applyAlignment="0" applyProtection="0"/>
    <xf numFmtId="0" fontId="19" fillId="49" borderId="63" applyNumberFormat="0" applyProtection="0">
      <alignment horizontal="left" vertical="center" indent="1"/>
    </xf>
    <xf numFmtId="0" fontId="19" fillId="54" borderId="63" applyNumberFormat="0" applyProtection="0">
      <alignment horizontal="left" vertical="center" indent="1"/>
    </xf>
    <xf numFmtId="4" fontId="47" fillId="40" borderId="63" applyNumberFormat="0" applyProtection="0">
      <alignment horizontal="right" vertical="center"/>
    </xf>
    <xf numFmtId="0" fontId="19" fillId="76" borderId="58" applyNumberFormat="0" applyFont="0" applyAlignment="0" applyProtection="0"/>
    <xf numFmtId="4" fontId="27" fillId="38" borderId="63" applyNumberFormat="0" applyProtection="0">
      <alignment horizontal="left" vertical="center" indent="1"/>
    </xf>
    <xf numFmtId="0" fontId="19" fillId="34" borderId="63" applyNumberFormat="0" applyProtection="0">
      <alignment horizontal="left" vertical="center" indent="1"/>
    </xf>
    <xf numFmtId="0" fontId="47" fillId="35" borderId="63" applyNumberFormat="0" applyProtection="0">
      <alignment horizontal="left" vertical="top" indent="1"/>
    </xf>
    <xf numFmtId="0" fontId="105" fillId="0" borderId="60" applyNumberFormat="0" applyFill="0" applyAlignment="0" applyProtection="0"/>
    <xf numFmtId="0" fontId="19" fillId="76" borderId="58" applyNumberFormat="0" applyFont="0" applyAlignment="0" applyProtection="0"/>
    <xf numFmtId="0" fontId="19" fillId="55" borderId="63" applyNumberFormat="0" applyProtection="0">
      <alignment horizontal="left" vertical="top" indent="1"/>
    </xf>
    <xf numFmtId="0" fontId="19" fillId="50" borderId="63" applyNumberFormat="0" applyProtection="0">
      <alignment horizontal="left" vertical="center" indent="1"/>
    </xf>
    <xf numFmtId="0" fontId="114" fillId="79" borderId="59" applyNumberFormat="0" applyAlignment="0" applyProtection="0"/>
    <xf numFmtId="0" fontId="114" fillId="79" borderId="59" applyNumberFormat="0" applyAlignment="0" applyProtection="0"/>
    <xf numFmtId="0" fontId="19" fillId="55" borderId="63" applyNumberFormat="0" applyProtection="0">
      <alignment horizontal="left" vertical="center" indent="1"/>
    </xf>
    <xf numFmtId="4" fontId="47" fillId="42" borderId="63" applyNumberFormat="0" applyProtection="0">
      <alignment horizontal="right" vertical="center"/>
    </xf>
    <xf numFmtId="0" fontId="19" fillId="85" borderId="63" applyNumberFormat="0" applyProtection="0">
      <alignment horizontal="left" vertical="center" indent="1"/>
    </xf>
    <xf numFmtId="0" fontId="19" fillId="76" borderId="58" applyNumberFormat="0" applyFont="0" applyAlignment="0" applyProtection="0"/>
    <xf numFmtId="0" fontId="105" fillId="0" borderId="60" applyNumberFormat="0" applyFill="0" applyAlignment="0" applyProtection="0"/>
    <xf numFmtId="4" fontId="27" fillId="37" borderId="63" applyNumberFormat="0" applyProtection="0">
      <alignment vertical="center"/>
    </xf>
    <xf numFmtId="0" fontId="19" fillId="84" borderId="63" applyNumberFormat="0" applyProtection="0">
      <alignment horizontal="left" vertical="top" indent="1"/>
    </xf>
    <xf numFmtId="4" fontId="51" fillId="35" borderId="63" applyNumberFormat="0" applyProtection="0">
      <alignment vertical="center"/>
    </xf>
    <xf numFmtId="0" fontId="105" fillId="0" borderId="60" applyNumberFormat="0" applyFill="0" applyAlignment="0" applyProtection="0"/>
    <xf numFmtId="0" fontId="19" fillId="76" borderId="58" applyNumberFormat="0" applyFont="0" applyAlignment="0" applyProtection="0"/>
    <xf numFmtId="0" fontId="19" fillId="49" borderId="63" applyNumberFormat="0" applyProtection="0">
      <alignment horizontal="left" vertical="top" indent="1"/>
    </xf>
    <xf numFmtId="0" fontId="19" fillId="84" borderId="63" applyNumberFormat="0" applyProtection="0">
      <alignment horizontal="left" vertical="center"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47" borderId="63" applyNumberFormat="0" applyProtection="0">
      <alignment horizontal="right" vertical="center"/>
    </xf>
    <xf numFmtId="0" fontId="19" fillId="85" borderId="63" applyNumberFormat="0" applyProtection="0">
      <alignment horizontal="left" vertical="top" indent="1"/>
    </xf>
    <xf numFmtId="0" fontId="105" fillId="0" borderId="60" applyNumberFormat="0" applyFill="0" applyAlignment="0" applyProtection="0"/>
    <xf numFmtId="0" fontId="105" fillId="0" borderId="60" applyNumberFormat="0" applyFill="0" applyAlignment="0" applyProtection="0"/>
    <xf numFmtId="0" fontId="19" fillId="85" borderId="63" applyNumberFormat="0" applyProtection="0">
      <alignment horizontal="left" vertical="top" indent="1"/>
    </xf>
    <xf numFmtId="4" fontId="47" fillId="44" borderId="63" applyNumberFormat="0" applyProtection="0">
      <alignment horizontal="right" vertical="center"/>
    </xf>
    <xf numFmtId="0" fontId="110" fillId="77" borderId="62" applyNumberFormat="0" applyAlignment="0" applyProtection="0"/>
    <xf numFmtId="0" fontId="63" fillId="59" borderId="61" applyNumberFormat="0" applyFont="0" applyFill="0" applyAlignment="0" applyProtection="0">
      <protection locked="0"/>
    </xf>
    <xf numFmtId="0" fontId="19" fillId="84" borderId="63" applyNumberFormat="0" applyProtection="0">
      <alignment horizontal="left" vertical="center" indent="1"/>
    </xf>
    <xf numFmtId="0" fontId="19" fillId="49" borderId="63" applyNumberFormat="0" applyProtection="0">
      <alignment horizontal="left" vertical="top" indent="1"/>
    </xf>
    <xf numFmtId="0" fontId="105" fillId="0" borderId="60" applyNumberFormat="0" applyFill="0" applyAlignment="0" applyProtection="0"/>
    <xf numFmtId="0" fontId="19" fillId="76" borderId="58" applyNumberFormat="0" applyFont="0" applyAlignment="0" applyProtection="0"/>
    <xf numFmtId="4" fontId="51" fillId="35" borderId="63" applyNumberFormat="0" applyProtection="0">
      <alignment vertical="center"/>
    </xf>
    <xf numFmtId="0" fontId="19" fillId="84" borderId="63" applyNumberFormat="0" applyProtection="0">
      <alignment horizontal="left" vertical="top"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45" borderId="63" applyNumberFormat="0" applyProtection="0">
      <alignment horizontal="right" vertical="center"/>
    </xf>
    <xf numFmtId="0" fontId="19" fillId="85" borderId="63" applyNumberFormat="0" applyProtection="0">
      <alignment horizontal="left" vertical="center" indent="1"/>
    </xf>
    <xf numFmtId="0" fontId="105" fillId="0" borderId="60" applyNumberFormat="0" applyFill="0" applyAlignment="0" applyProtection="0"/>
    <xf numFmtId="0" fontId="114" fillId="79" borderId="59" applyNumberFormat="0" applyAlignment="0" applyProtection="0"/>
    <xf numFmtId="0" fontId="21" fillId="35" borderId="55" applyNumberFormat="0" applyFont="0" applyAlignment="0" applyProtection="0">
      <alignment horizontal="center"/>
      <protection locked="0"/>
    </xf>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 fontId="27" fillId="37" borderId="25" applyNumberFormat="0" applyProtection="0">
      <alignment vertical="center"/>
    </xf>
    <xf numFmtId="4" fontId="46" fillId="38" borderId="25" applyNumberFormat="0" applyProtection="0">
      <alignment vertical="center"/>
    </xf>
    <xf numFmtId="4" fontId="27" fillId="38" borderId="25" applyNumberFormat="0" applyProtection="0">
      <alignment horizontal="left" vertical="center" indent="1"/>
    </xf>
    <xf numFmtId="4" fontId="27" fillId="38" borderId="25" applyNumberFormat="0" applyProtection="0">
      <alignment horizontal="left" vertical="center" indent="1"/>
    </xf>
    <xf numFmtId="0" fontId="27" fillId="38" borderId="25" applyNumberFormat="0" applyProtection="0">
      <alignment horizontal="left" vertical="top" indent="1"/>
    </xf>
    <xf numFmtId="4" fontId="27" fillId="34" borderId="25" applyNumberFormat="0" applyProtection="0"/>
    <xf numFmtId="4" fontId="47" fillId="39" borderId="25" applyNumberFormat="0" applyProtection="0">
      <alignment horizontal="right" vertical="center"/>
    </xf>
    <xf numFmtId="4" fontId="47" fillId="40" borderId="25" applyNumberFormat="0" applyProtection="0">
      <alignment horizontal="right" vertical="center"/>
    </xf>
    <xf numFmtId="4" fontId="47" fillId="41" borderId="25" applyNumberFormat="0" applyProtection="0">
      <alignment horizontal="right" vertical="center"/>
    </xf>
    <xf numFmtId="4" fontId="47" fillId="42" borderId="25" applyNumberFormat="0" applyProtection="0">
      <alignment horizontal="right" vertical="center"/>
    </xf>
    <xf numFmtId="4" fontId="47" fillId="43" borderId="25" applyNumberFormat="0" applyProtection="0">
      <alignment horizontal="right" vertical="center"/>
    </xf>
    <xf numFmtId="4" fontId="47" fillId="44" borderId="25" applyNumberFormat="0" applyProtection="0">
      <alignment horizontal="right" vertical="center"/>
    </xf>
    <xf numFmtId="4" fontId="47" fillId="45" borderId="25" applyNumberFormat="0" applyProtection="0">
      <alignment horizontal="right" vertical="center"/>
    </xf>
    <xf numFmtId="4" fontId="47" fillId="46" borderId="25" applyNumberFormat="0" applyProtection="0">
      <alignment horizontal="right" vertical="center"/>
    </xf>
    <xf numFmtId="4" fontId="47" fillId="47" borderId="25" applyNumberFormat="0" applyProtection="0">
      <alignment horizontal="right" vertical="center"/>
    </xf>
    <xf numFmtId="4" fontId="47" fillId="51" borderId="25" applyNumberFormat="0" applyProtection="0">
      <alignment horizontal="right" vertical="center"/>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4" fontId="47" fillId="35" borderId="25" applyNumberFormat="0" applyProtection="0">
      <alignment vertical="center"/>
    </xf>
    <xf numFmtId="4" fontId="51" fillId="35" borderId="25" applyNumberFormat="0" applyProtection="0">
      <alignment vertical="center"/>
    </xf>
    <xf numFmtId="4" fontId="47" fillId="35" borderId="25" applyNumberFormat="0" applyProtection="0">
      <alignment horizontal="left" vertical="center" indent="1"/>
    </xf>
    <xf numFmtId="0" fontId="47" fillId="3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51" fillId="49"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4" fontId="25" fillId="49" borderId="25" applyNumberFormat="0" applyProtection="0">
      <alignment horizontal="right" vertical="center"/>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vertical="center"/>
    </xf>
    <xf numFmtId="4" fontId="27" fillId="34" borderId="25" applyNumberFormat="0" applyProtection="0"/>
    <xf numFmtId="4" fontId="27" fillId="34" borderId="25" applyNumberFormat="0" applyProtection="0"/>
    <xf numFmtId="4" fontId="27" fillId="34" borderId="25" applyNumberFormat="0" applyProtection="0"/>
    <xf numFmtId="4" fontId="27" fillId="34" borderId="25" applyNumberFormat="0" applyProtection="0"/>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59"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center" vertical="top"/>
    </xf>
    <xf numFmtId="4" fontId="47" fillId="51" borderId="25" applyNumberFormat="0" applyProtection="0">
      <alignment horizontal="left" vertical="center" indent="1"/>
    </xf>
    <xf numFmtId="4" fontId="27" fillId="38" borderId="25" applyNumberFormat="0" applyProtection="0">
      <alignment horizontal="left" vertical="center" indent="1"/>
    </xf>
    <xf numFmtId="4" fontId="47" fillId="0" borderId="25" applyNumberFormat="0" applyProtection="0">
      <alignment horizontal="right" vertical="center"/>
    </xf>
    <xf numFmtId="4" fontId="47" fillId="0" borderId="25" applyNumberFormat="0" applyProtection="0">
      <alignment horizontal="left" vertical="center" indent="1"/>
    </xf>
    <xf numFmtId="0" fontId="47" fillId="34" borderId="25" applyNumberFormat="0" applyProtection="0">
      <alignment horizontal="left" vertical="top"/>
    </xf>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9" fillId="84" borderId="25" applyNumberFormat="0" applyProtection="0">
      <alignment horizontal="left" vertical="center" indent="1"/>
    </xf>
    <xf numFmtId="0" fontId="19" fillId="84" borderId="25" applyNumberFormat="0" applyProtection="0">
      <alignment horizontal="left" vertical="center" indent="1"/>
    </xf>
    <xf numFmtId="0" fontId="19" fillId="84" borderId="25" applyNumberFormat="0" applyProtection="0">
      <alignment horizontal="left" vertical="top" indent="1"/>
    </xf>
    <xf numFmtId="0" fontId="19" fillId="84" borderId="25" applyNumberFormat="0" applyProtection="0">
      <alignment horizontal="left" vertical="top" indent="1"/>
    </xf>
    <xf numFmtId="0" fontId="19" fillId="51" borderId="25" applyNumberFormat="0" applyProtection="0">
      <alignment horizontal="left" vertical="center" indent="1"/>
    </xf>
    <xf numFmtId="0" fontId="19" fillId="51" borderId="25" applyNumberFormat="0" applyProtection="0">
      <alignment horizontal="left" vertical="center" indent="1"/>
    </xf>
    <xf numFmtId="0" fontId="19" fillId="51" borderId="25" applyNumberFormat="0" applyProtection="0">
      <alignment horizontal="left" vertical="top" indent="1"/>
    </xf>
    <xf numFmtId="0" fontId="19" fillId="51" borderId="25" applyNumberFormat="0" applyProtection="0">
      <alignment horizontal="left" vertical="top" indent="1"/>
    </xf>
    <xf numFmtId="0" fontId="19" fillId="85" borderId="25" applyNumberFormat="0" applyProtection="0">
      <alignment horizontal="left" vertical="center" indent="1"/>
    </xf>
    <xf numFmtId="0" fontId="19" fillId="85" borderId="25" applyNumberFormat="0" applyProtection="0">
      <alignment horizontal="left" vertical="center" indent="1"/>
    </xf>
    <xf numFmtId="0" fontId="19" fillId="85" borderId="25" applyNumberFormat="0" applyProtection="0">
      <alignment horizontal="left" vertical="top" indent="1"/>
    </xf>
    <xf numFmtId="0" fontId="19" fillId="85" borderId="25" applyNumberFormat="0" applyProtection="0">
      <alignment horizontal="left" vertical="top" indent="1"/>
    </xf>
    <xf numFmtId="0" fontId="19" fillId="49" borderId="25" applyNumberFormat="0" applyProtection="0">
      <alignment horizontal="left" vertical="center" indent="1"/>
    </xf>
    <xf numFmtId="0" fontId="19" fillId="49" borderId="25" applyNumberFormat="0" applyProtection="0">
      <alignment horizontal="left" vertical="center" indent="1"/>
    </xf>
    <xf numFmtId="0" fontId="19" fillId="49" borderId="25" applyNumberFormat="0" applyProtection="0">
      <alignment horizontal="left" vertical="top" indent="1"/>
    </xf>
    <xf numFmtId="0" fontId="19" fillId="49" borderId="25" applyNumberFormat="0" applyProtection="0">
      <alignment horizontal="left" vertical="top" indent="1"/>
    </xf>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24" fillId="59" borderId="69" applyNumberFormat="0" applyFont="0" applyAlignment="0" applyProtection="0">
      <protection locked="0"/>
    </xf>
    <xf numFmtId="0" fontId="63" fillId="59" borderId="69" applyNumberFormat="0" applyFont="0" applyFill="0" applyAlignment="0" applyProtection="0">
      <protection locked="0"/>
    </xf>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4" fontId="25" fillId="49" borderId="25" applyNumberFormat="0" applyProtection="0">
      <alignment horizontal="right" vertical="center"/>
    </xf>
    <xf numFmtId="0" fontId="47" fillId="34" borderId="25" applyNumberFormat="0" applyProtection="0">
      <alignment horizontal="left" vertical="top"/>
    </xf>
    <xf numFmtId="4" fontId="47" fillId="0" borderId="25" applyNumberFormat="0" applyProtection="0">
      <alignment horizontal="left" vertical="center" indent="1"/>
    </xf>
    <xf numFmtId="4" fontId="51" fillId="49" borderId="25" applyNumberFormat="0" applyProtection="0">
      <alignment horizontal="right" vertical="center"/>
    </xf>
    <xf numFmtId="4" fontId="47" fillId="0" borderId="25" applyNumberFormat="0" applyProtection="0">
      <alignment horizontal="right" vertical="center"/>
    </xf>
    <xf numFmtId="0" fontId="47" fillId="35" borderId="25" applyNumberFormat="0" applyProtection="0">
      <alignment horizontal="left" vertical="top" indent="1"/>
    </xf>
    <xf numFmtId="4" fontId="47" fillId="35" borderId="25" applyNumberFormat="0" applyProtection="0">
      <alignment horizontal="left" vertical="center" indent="1"/>
    </xf>
    <xf numFmtId="4" fontId="51" fillId="35" borderId="25" applyNumberFormat="0" applyProtection="0">
      <alignment vertical="center"/>
    </xf>
    <xf numFmtId="4" fontId="47" fillId="35" borderId="25" applyNumberFormat="0" applyProtection="0">
      <alignment vertical="center"/>
    </xf>
    <xf numFmtId="0" fontId="19" fillId="49" borderId="25" applyNumberFormat="0" applyProtection="0">
      <alignment horizontal="left" vertical="top" indent="1"/>
    </xf>
    <xf numFmtId="0" fontId="19" fillId="49" borderId="25" applyNumberFormat="0" applyProtection="0">
      <alignment horizontal="left" vertical="top" indent="1"/>
    </xf>
    <xf numFmtId="0" fontId="19" fillId="55" borderId="25" applyNumberFormat="0" applyProtection="0">
      <alignment horizontal="left" vertical="top" indent="1"/>
    </xf>
    <xf numFmtId="0" fontId="19" fillId="49" borderId="25" applyNumberFormat="0" applyProtection="0">
      <alignment horizontal="left" vertical="center" indent="1"/>
    </xf>
    <xf numFmtId="0" fontId="19" fillId="49" borderId="25" applyNumberFormat="0" applyProtection="0">
      <alignment horizontal="left" vertical="center" indent="1"/>
    </xf>
    <xf numFmtId="0" fontId="19" fillId="55" borderId="25" applyNumberFormat="0" applyProtection="0">
      <alignment horizontal="left" vertical="center" indent="1"/>
    </xf>
    <xf numFmtId="0" fontId="19" fillId="85" borderId="25" applyNumberFormat="0" applyProtection="0">
      <alignment horizontal="left" vertical="top" indent="1"/>
    </xf>
    <xf numFmtId="0" fontId="19" fillId="85" borderId="25" applyNumberFormat="0" applyProtection="0">
      <alignment horizontal="left" vertical="top" indent="1"/>
    </xf>
    <xf numFmtId="0" fontId="19" fillId="54" borderId="25" applyNumberFormat="0" applyProtection="0">
      <alignment horizontal="left" vertical="top" indent="1"/>
    </xf>
    <xf numFmtId="0" fontId="19" fillId="85" borderId="25" applyNumberFormat="0" applyProtection="0">
      <alignment horizontal="left" vertical="center" indent="1"/>
    </xf>
    <xf numFmtId="0" fontId="19" fillId="85" borderId="25" applyNumberFormat="0" applyProtection="0">
      <alignment horizontal="left" vertical="center" indent="1"/>
    </xf>
    <xf numFmtId="0" fontId="19" fillId="54" borderId="25" applyNumberFormat="0" applyProtection="0">
      <alignment horizontal="left" vertical="center" indent="1"/>
    </xf>
    <xf numFmtId="0" fontId="19" fillId="51" borderId="25" applyNumberFormat="0" applyProtection="0">
      <alignment horizontal="left" vertical="top" indent="1"/>
    </xf>
    <xf numFmtId="0" fontId="19" fillId="51" borderId="25" applyNumberFormat="0" applyProtection="0">
      <alignment horizontal="left" vertical="top" indent="1"/>
    </xf>
    <xf numFmtId="0" fontId="19" fillId="34" borderId="25" applyNumberFormat="0" applyProtection="0">
      <alignment horizontal="left" vertical="top" indent="1"/>
    </xf>
    <xf numFmtId="0" fontId="19" fillId="51" borderId="25" applyNumberFormat="0" applyProtection="0">
      <alignment horizontal="left" vertical="center" indent="1"/>
    </xf>
    <xf numFmtId="0" fontId="19" fillId="51" borderId="25" applyNumberFormat="0" applyProtection="0">
      <alignment horizontal="left" vertical="center" indent="1"/>
    </xf>
    <xf numFmtId="0" fontId="19" fillId="34" borderId="25" applyNumberFormat="0" applyProtection="0">
      <alignment horizontal="left" vertical="center" indent="1"/>
    </xf>
    <xf numFmtId="0" fontId="19" fillId="84" borderId="25" applyNumberFormat="0" applyProtection="0">
      <alignment horizontal="left" vertical="top" indent="1"/>
    </xf>
    <xf numFmtId="0" fontId="19" fillId="84" borderId="25" applyNumberFormat="0" applyProtection="0">
      <alignment horizontal="left" vertical="top" indent="1"/>
    </xf>
    <xf numFmtId="0" fontId="19" fillId="50" borderId="25" applyNumberFormat="0" applyProtection="0">
      <alignment horizontal="left" vertical="top" indent="1"/>
    </xf>
    <xf numFmtId="0" fontId="19" fillId="84" borderId="25" applyNumberFormat="0" applyProtection="0">
      <alignment horizontal="left" vertical="center" indent="1"/>
    </xf>
    <xf numFmtId="0" fontId="19" fillId="84" borderId="25" applyNumberFormat="0" applyProtection="0">
      <alignment horizontal="left" vertical="center" indent="1"/>
    </xf>
    <xf numFmtId="0" fontId="19" fillId="50" borderId="25" applyNumberFormat="0" applyProtection="0">
      <alignment horizontal="left" vertical="center" indent="1"/>
    </xf>
    <xf numFmtId="4" fontId="47" fillId="51" borderId="25" applyNumberFormat="0" applyProtection="0">
      <alignment horizontal="right" vertical="center"/>
    </xf>
    <xf numFmtId="4" fontId="47" fillId="47" borderId="25" applyNumberFormat="0" applyProtection="0">
      <alignment horizontal="right" vertical="center"/>
    </xf>
    <xf numFmtId="4" fontId="47" fillId="46" borderId="25" applyNumberFormat="0" applyProtection="0">
      <alignment horizontal="right" vertical="center"/>
    </xf>
    <xf numFmtId="4" fontId="47" fillId="45" borderId="25" applyNumberFormat="0" applyProtection="0">
      <alignment horizontal="right" vertical="center"/>
    </xf>
    <xf numFmtId="4" fontId="47" fillId="44" borderId="25" applyNumberFormat="0" applyProtection="0">
      <alignment horizontal="right" vertical="center"/>
    </xf>
    <xf numFmtId="4" fontId="47" fillId="43" borderId="25" applyNumberFormat="0" applyProtection="0">
      <alignment horizontal="right" vertical="center"/>
    </xf>
    <xf numFmtId="4" fontId="47" fillId="42" borderId="25" applyNumberFormat="0" applyProtection="0">
      <alignment horizontal="right" vertical="center"/>
    </xf>
    <xf numFmtId="4" fontId="47" fillId="41" borderId="25" applyNumberFormat="0" applyProtection="0">
      <alignment horizontal="right" vertical="center"/>
    </xf>
    <xf numFmtId="4" fontId="47" fillId="40" borderId="25" applyNumberFormat="0" applyProtection="0">
      <alignment horizontal="right" vertical="center"/>
    </xf>
    <xf numFmtId="4" fontId="47" fillId="39" borderId="25" applyNumberFormat="0" applyProtection="0">
      <alignment horizontal="right" vertical="center"/>
    </xf>
    <xf numFmtId="0" fontId="27" fillId="38" borderId="25" applyNumberFormat="0" applyProtection="0">
      <alignment horizontal="left" vertical="top" indent="1"/>
    </xf>
    <xf numFmtId="4" fontId="27" fillId="38" borderId="25" applyNumberFormat="0" applyProtection="0">
      <alignment horizontal="left" vertical="center" indent="1"/>
    </xf>
    <xf numFmtId="4" fontId="46" fillId="38" borderId="25" applyNumberFormat="0" applyProtection="0">
      <alignment vertical="center"/>
    </xf>
    <xf numFmtId="4" fontId="27" fillId="37" borderId="25" applyNumberFormat="0" applyProtection="0">
      <alignment vertical="center"/>
    </xf>
    <xf numFmtId="0" fontId="63" fillId="59" borderId="69" applyNumberFormat="0" applyFont="0" applyFill="0" applyAlignment="0" applyProtection="0">
      <protection locked="0"/>
    </xf>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24" fillId="59" borderId="69" applyNumberFormat="0" applyFont="0" applyAlignment="0" applyProtection="0">
      <protection locked="0"/>
    </xf>
    <xf numFmtId="0" fontId="105" fillId="0" borderId="68" applyNumberFormat="0" applyFill="0" applyAlignment="0" applyProtection="0"/>
    <xf numFmtId="0" fontId="105" fillId="0" borderId="68" applyNumberFormat="0" applyFill="0" applyAlignment="0" applyProtection="0"/>
    <xf numFmtId="0" fontId="102" fillId="79" borderId="70" applyNumberFormat="0" applyAlignment="0" applyProtection="0"/>
    <xf numFmtId="0" fontId="102" fillId="79" borderId="70" applyNumberFormat="0" applyAlignment="0" applyProtection="0"/>
    <xf numFmtId="0" fontId="102" fillId="79" borderId="70" applyNumberFormat="0" applyAlignment="0" applyProtection="0"/>
    <xf numFmtId="0" fontId="102" fillId="79" borderId="70" applyNumberFormat="0" applyAlignment="0" applyProtection="0"/>
    <xf numFmtId="0" fontId="110" fillId="77" borderId="70" applyNumberFormat="0" applyAlignment="0" applyProtection="0"/>
    <xf numFmtId="0" fontId="110" fillId="77" borderId="70" applyNumberFormat="0" applyAlignment="0" applyProtection="0"/>
    <xf numFmtId="0" fontId="110" fillId="77" borderId="70" applyNumberFormat="0" applyAlignment="0" applyProtection="0"/>
    <xf numFmtId="0" fontId="110" fillId="77" borderId="70" applyNumberForma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4" fontId="27" fillId="37" borderId="73" applyNumberFormat="0" applyProtection="0">
      <alignment vertical="center"/>
    </xf>
    <xf numFmtId="4" fontId="46" fillId="38" borderId="73" applyNumberFormat="0" applyProtection="0">
      <alignment vertical="center"/>
    </xf>
    <xf numFmtId="4" fontId="27" fillId="38" borderId="73" applyNumberFormat="0" applyProtection="0">
      <alignment horizontal="left" vertical="center" indent="1"/>
    </xf>
    <xf numFmtId="0" fontId="27" fillId="38" borderId="73" applyNumberFormat="0" applyProtection="0">
      <alignment horizontal="left" vertical="top" indent="1"/>
    </xf>
    <xf numFmtId="4" fontId="47" fillId="39" borderId="73" applyNumberFormat="0" applyProtection="0">
      <alignment horizontal="right" vertical="center"/>
    </xf>
    <xf numFmtId="4" fontId="47" fillId="40" borderId="73" applyNumberFormat="0" applyProtection="0">
      <alignment horizontal="right" vertical="center"/>
    </xf>
    <xf numFmtId="4" fontId="47" fillId="41" borderId="73" applyNumberFormat="0" applyProtection="0">
      <alignment horizontal="right" vertical="center"/>
    </xf>
    <xf numFmtId="4" fontId="47" fillId="42" borderId="73" applyNumberFormat="0" applyProtection="0">
      <alignment horizontal="right" vertical="center"/>
    </xf>
    <xf numFmtId="4" fontId="47" fillId="43" borderId="73" applyNumberFormat="0" applyProtection="0">
      <alignment horizontal="right" vertical="center"/>
    </xf>
    <xf numFmtId="4" fontId="47" fillId="44" borderId="73" applyNumberFormat="0" applyProtection="0">
      <alignment horizontal="right" vertical="center"/>
    </xf>
    <xf numFmtId="4" fontId="47" fillId="45" borderId="73" applyNumberFormat="0" applyProtection="0">
      <alignment horizontal="right" vertical="center"/>
    </xf>
    <xf numFmtId="4" fontId="47" fillId="46" borderId="73" applyNumberFormat="0" applyProtection="0">
      <alignment horizontal="right" vertical="center"/>
    </xf>
    <xf numFmtId="4" fontId="47" fillId="47" borderId="73" applyNumberFormat="0" applyProtection="0">
      <alignment horizontal="right" vertical="center"/>
    </xf>
    <xf numFmtId="4" fontId="47" fillId="51" borderId="73" applyNumberFormat="0" applyProtection="0">
      <alignment horizontal="right" vertical="center"/>
    </xf>
    <xf numFmtId="0" fontId="19" fillId="50" borderId="73" applyNumberFormat="0" applyProtection="0">
      <alignment horizontal="left" vertical="center" indent="1"/>
    </xf>
    <xf numFmtId="0" fontId="19" fillId="84" borderId="73" applyNumberFormat="0" applyProtection="0">
      <alignment horizontal="left" vertical="center" indent="1"/>
    </xf>
    <xf numFmtId="0" fontId="19" fillId="84" borderId="73" applyNumberFormat="0" applyProtection="0">
      <alignment horizontal="left" vertical="center" indent="1"/>
    </xf>
    <xf numFmtId="0" fontId="19" fillId="50" borderId="73" applyNumberFormat="0" applyProtection="0">
      <alignment horizontal="left" vertical="top" indent="1"/>
    </xf>
    <xf numFmtId="0" fontId="19" fillId="84" borderId="73" applyNumberFormat="0" applyProtection="0">
      <alignment horizontal="left" vertical="top" indent="1"/>
    </xf>
    <xf numFmtId="0" fontId="19" fillId="84" borderId="73" applyNumberFormat="0" applyProtection="0">
      <alignment horizontal="left" vertical="top" indent="1"/>
    </xf>
    <xf numFmtId="0" fontId="19" fillId="34" borderId="73" applyNumberFormat="0" applyProtection="0">
      <alignment horizontal="left" vertical="center" indent="1"/>
    </xf>
    <xf numFmtId="0" fontId="19" fillId="51" borderId="73" applyNumberFormat="0" applyProtection="0">
      <alignment horizontal="left" vertical="center" indent="1"/>
    </xf>
    <xf numFmtId="0" fontId="19" fillId="51" borderId="73" applyNumberFormat="0" applyProtection="0">
      <alignment horizontal="left" vertical="center" indent="1"/>
    </xf>
    <xf numFmtId="0" fontId="19" fillId="34" borderId="73" applyNumberFormat="0" applyProtection="0">
      <alignment horizontal="left" vertical="top" indent="1"/>
    </xf>
    <xf numFmtId="0" fontId="19" fillId="51" borderId="73" applyNumberFormat="0" applyProtection="0">
      <alignment horizontal="left" vertical="top" indent="1"/>
    </xf>
    <xf numFmtId="0" fontId="19" fillId="51" borderId="73" applyNumberFormat="0" applyProtection="0">
      <alignment horizontal="left" vertical="top" indent="1"/>
    </xf>
    <xf numFmtId="0" fontId="19" fillId="54" borderId="73" applyNumberFormat="0" applyProtection="0">
      <alignment horizontal="left" vertical="center" indent="1"/>
    </xf>
    <xf numFmtId="0" fontId="19" fillId="85" borderId="73" applyNumberFormat="0" applyProtection="0">
      <alignment horizontal="left" vertical="center" indent="1"/>
    </xf>
    <xf numFmtId="0" fontId="19" fillId="85" borderId="73" applyNumberFormat="0" applyProtection="0">
      <alignment horizontal="left" vertical="center" indent="1"/>
    </xf>
    <xf numFmtId="0" fontId="19" fillId="54" borderId="73" applyNumberFormat="0" applyProtection="0">
      <alignment horizontal="left" vertical="top" indent="1"/>
    </xf>
    <xf numFmtId="0" fontId="19" fillId="85" borderId="73" applyNumberFormat="0" applyProtection="0">
      <alignment horizontal="left" vertical="top" indent="1"/>
    </xf>
    <xf numFmtId="0" fontId="19" fillId="85" borderId="73" applyNumberFormat="0" applyProtection="0">
      <alignment horizontal="left" vertical="top" indent="1"/>
    </xf>
    <xf numFmtId="0" fontId="19" fillId="55" borderId="73" applyNumberFormat="0" applyProtection="0">
      <alignment horizontal="left" vertical="center" indent="1"/>
    </xf>
    <xf numFmtId="0" fontId="19" fillId="49" borderId="73" applyNumberFormat="0" applyProtection="0">
      <alignment horizontal="left" vertical="center" indent="1"/>
    </xf>
    <xf numFmtId="0" fontId="19" fillId="49" borderId="73" applyNumberFormat="0" applyProtection="0">
      <alignment horizontal="left" vertical="center" indent="1"/>
    </xf>
    <xf numFmtId="0" fontId="19" fillId="55" borderId="73" applyNumberFormat="0" applyProtection="0">
      <alignment horizontal="left" vertical="top" indent="1"/>
    </xf>
    <xf numFmtId="0" fontId="19" fillId="49" borderId="73" applyNumberFormat="0" applyProtection="0">
      <alignment horizontal="left" vertical="top" indent="1"/>
    </xf>
    <xf numFmtId="0" fontId="19" fillId="49" borderId="73" applyNumberFormat="0" applyProtection="0">
      <alignment horizontal="left" vertical="top" indent="1"/>
    </xf>
    <xf numFmtId="4" fontId="47" fillId="35" borderId="73" applyNumberFormat="0" applyProtection="0">
      <alignment vertical="center"/>
    </xf>
    <xf numFmtId="4" fontId="51" fillId="35" borderId="73" applyNumberFormat="0" applyProtection="0">
      <alignment vertical="center"/>
    </xf>
    <xf numFmtId="4" fontId="47" fillId="35" borderId="73" applyNumberFormat="0" applyProtection="0">
      <alignment horizontal="left" vertical="center" indent="1"/>
    </xf>
    <xf numFmtId="0" fontId="47" fillId="35" borderId="73" applyNumberFormat="0" applyProtection="0">
      <alignment horizontal="left" vertical="top" indent="1"/>
    </xf>
    <xf numFmtId="4" fontId="47" fillId="0" borderId="73" applyNumberFormat="0" applyProtection="0">
      <alignment horizontal="right" vertical="center"/>
    </xf>
    <xf numFmtId="4" fontId="51" fillId="49" borderId="73" applyNumberFormat="0" applyProtection="0">
      <alignment horizontal="right" vertical="center"/>
    </xf>
    <xf numFmtId="4" fontId="47" fillId="0" borderId="73" applyNumberFormat="0" applyProtection="0">
      <alignment horizontal="left" vertical="center" indent="1"/>
    </xf>
    <xf numFmtId="0" fontId="47" fillId="34" borderId="73" applyNumberFormat="0" applyProtection="0">
      <alignment horizontal="left" vertical="top"/>
    </xf>
    <xf numFmtId="4" fontId="25" fillId="49" borderId="73" applyNumberFormat="0" applyProtection="0">
      <alignment horizontal="right" vertical="center"/>
    </xf>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37" fontId="30" fillId="0" borderId="0"/>
    <xf numFmtId="43" fontId="1" fillId="0" borderId="0" applyFont="0" applyFill="0" applyBorder="0" applyAlignment="0" applyProtection="0"/>
    <xf numFmtId="39" fontId="30" fillId="0" borderId="0"/>
    <xf numFmtId="43" fontId="19" fillId="0" borderId="0" applyFont="0" applyFill="0" applyBorder="0" applyAlignment="0" applyProtection="0"/>
    <xf numFmtId="44" fontId="1" fillId="0" borderId="0" applyFont="0" applyFill="0" applyBorder="0" applyAlignment="0" applyProtection="0"/>
    <xf numFmtId="0" fontId="118" fillId="0" borderId="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4" fontId="18" fillId="0" borderId="0" applyFont="0" applyFill="0" applyBorder="0" applyAlignment="0" applyProtection="0"/>
    <xf numFmtId="0" fontId="118" fillId="0" borderId="0"/>
    <xf numFmtId="43" fontId="18" fillId="0" borderId="0" applyFont="0" applyFill="0" applyBorder="0" applyAlignment="0" applyProtection="0"/>
    <xf numFmtId="43" fontId="18" fillId="0" borderId="0" applyFont="0" applyFill="0" applyBorder="0" applyAlignment="0" applyProtection="0"/>
    <xf numFmtId="0" fontId="118" fillId="0" borderId="0"/>
    <xf numFmtId="9" fontId="18" fillId="0" borderId="0" applyFont="0" applyFill="0" applyBorder="0" applyAlignment="0" applyProtection="0"/>
    <xf numFmtId="0" fontId="1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8" fillId="0" borderId="0"/>
    <xf numFmtId="178" fontId="30" fillId="0" borderId="0"/>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0" fontId="18" fillId="0" borderId="0"/>
    <xf numFmtId="37" fontId="132" fillId="0" borderId="0"/>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43" fontId="18" fillId="0" borderId="0" applyFont="0" applyFill="0" applyBorder="0" applyAlignment="0" applyProtection="0"/>
    <xf numFmtId="0" fontId="26" fillId="0" borderId="105" applyNumberFormat="0" applyAlignment="0" applyProtection="0">
      <alignment horizontal="left" vertical="center"/>
    </xf>
    <xf numFmtId="172" fontId="18" fillId="0" borderId="0"/>
    <xf numFmtId="174" fontId="18" fillId="0" borderId="0"/>
    <xf numFmtId="0" fontId="18" fillId="0" borderId="0"/>
    <xf numFmtId="0" fontId="24" fillId="59" borderId="121" applyNumberFormat="0" applyFont="0" applyAlignment="0" applyProtection="0">
      <protection locked="0"/>
    </xf>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27" fillId="34" borderId="106" applyNumberFormat="0" applyProtection="0"/>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27" fillId="48" borderId="107" applyNumberFormat="0" applyProtection="0">
      <alignment horizontal="left" vertical="center" indent="1"/>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4" fontId="25" fillId="49" borderId="106" applyNumberFormat="0" applyProtection="0">
      <alignment horizontal="right" vertical="center"/>
    </xf>
    <xf numFmtId="176" fontId="18" fillId="0" borderId="99">
      <alignment horizontal="justify" vertical="top" wrapText="1"/>
    </xf>
    <xf numFmtId="0" fontId="18" fillId="0" borderId="0">
      <alignment horizontal="left" wrapText="1"/>
    </xf>
    <xf numFmtId="177" fontId="18" fillId="0" borderId="0" applyFill="0" applyBorder="0" applyAlignment="0" applyProtection="0">
      <alignment wrapText="1"/>
    </xf>
    <xf numFmtId="0" fontId="18" fillId="0" borderId="0"/>
    <xf numFmtId="4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vertical="center"/>
    </xf>
    <xf numFmtId="4" fontId="27" fillId="34" borderId="106" applyNumberFormat="0" applyProtection="0"/>
    <xf numFmtId="4" fontId="27" fillId="34" borderId="106" applyNumberFormat="0" applyProtection="0"/>
    <xf numFmtId="4" fontId="27" fillId="34" borderId="106" applyNumberFormat="0" applyProtection="0"/>
    <xf numFmtId="4" fontId="27" fillId="34" borderId="106" applyNumberFormat="0" applyProtection="0"/>
    <xf numFmtId="4" fontId="27" fillId="34" borderId="77" applyNumberFormat="0" applyProtection="0">
      <alignment vertical="center"/>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59"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center"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37" fontId="18" fillId="0" borderId="0" applyFill="0" applyBorder="0" applyAlignment="0" applyProtection="0"/>
    <xf numFmtId="44" fontId="18" fillId="0" borderId="0" applyFont="0" applyFill="0" applyBorder="0" applyAlignment="0" applyProtection="0"/>
    <xf numFmtId="5" fontId="18" fillId="0" borderId="0" applyFill="0" applyBorder="0" applyAlignment="0" applyProtection="0"/>
    <xf numFmtId="179" fontId="18" fillId="0" borderId="0" applyFill="0" applyBorder="0" applyAlignment="0" applyProtection="0"/>
    <xf numFmtId="2" fontId="18" fillId="0" borderId="0" applyFill="0" applyBorder="0" applyAlignment="0" applyProtection="0"/>
    <xf numFmtId="0" fontId="18" fillId="0" borderId="0"/>
    <xf numFmtId="179" fontId="18" fillId="0" borderId="0" applyFill="0" applyBorder="0" applyAlignment="0" applyProtection="0"/>
    <xf numFmtId="4" fontId="47" fillId="51" borderId="106" applyNumberFormat="0" applyProtection="0">
      <alignment horizontal="left" vertical="center" indent="1"/>
    </xf>
    <xf numFmtId="0" fontId="18" fillId="0" borderId="0"/>
    <xf numFmtId="0" fontId="18" fillId="0" borderId="0"/>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27" fillId="38" borderId="106" applyNumberFormat="0" applyProtection="0">
      <alignment horizontal="left" vertical="center" indent="1"/>
    </xf>
    <xf numFmtId="4" fontId="47" fillId="0"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0" fontId="18" fillId="0" borderId="0"/>
    <xf numFmtId="37"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0" fontId="18" fillId="0" borderId="0"/>
    <xf numFmtId="37"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4" fontId="27" fillId="34" borderId="77" applyNumberFormat="0" applyProtection="0">
      <alignment vertical="center"/>
    </xf>
    <xf numFmtId="179"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02" fillId="79" borderId="120" applyNumberFormat="0" applyAlignment="0" applyProtection="0"/>
    <xf numFmtId="4" fontId="27" fillId="34" borderId="77" applyNumberFormat="0" applyProtection="0">
      <alignment vertical="center"/>
    </xf>
    <xf numFmtId="0" fontId="63" fillId="59" borderId="121" applyNumberFormat="0" applyFont="0" applyFill="0" applyAlignment="0" applyProtection="0">
      <protection locked="0"/>
    </xf>
    <xf numFmtId="0" fontId="18" fillId="51" borderId="123" applyNumberFormat="0" applyProtection="0">
      <alignment horizontal="left" vertical="center" indent="1"/>
    </xf>
    <xf numFmtId="0" fontId="110" fillId="77" borderId="120" applyNumberFormat="0" applyAlignment="0" applyProtection="0"/>
    <xf numFmtId="0" fontId="18" fillId="0" borderId="37" applyNumberFormat="0" applyFill="0" applyAlignment="0" applyProtection="0"/>
    <xf numFmtId="0" fontId="18" fillId="0" borderId="0" applyFont="0" applyFill="0" applyBorder="0" applyAlignment="0" applyProtection="0"/>
    <xf numFmtId="0" fontId="18" fillId="0" borderId="0" applyFont="0" applyFill="0" applyBorder="0" applyAlignment="0" applyProtection="0"/>
    <xf numFmtId="17" fontId="18" fillId="0" borderId="0" applyFont="0" applyFill="0" applyBorder="0" applyAlignment="0" applyProtection="0"/>
    <xf numFmtId="0" fontId="18" fillId="0" borderId="0"/>
    <xf numFmtId="0" fontId="18" fillId="0" borderId="0"/>
    <xf numFmtId="0" fontId="21" fillId="35" borderId="85" applyNumberFormat="0" applyFont="0" applyAlignment="0" applyProtection="0">
      <alignment horizontal="center"/>
      <protection locked="0"/>
    </xf>
    <xf numFmtId="0" fontId="18" fillId="0" borderId="0" applyFill="0" applyBorder="0" applyProtection="0">
      <alignment horizontal="right"/>
    </xf>
    <xf numFmtId="0" fontId="18" fillId="0" borderId="0" applyFill="0" applyBorder="0" applyProtection="0">
      <alignment horizontal="right"/>
    </xf>
    <xf numFmtId="0" fontId="18" fillId="0" borderId="0" applyFont="0" applyFill="0" applyBorder="0" applyAlignment="0" applyProtection="0"/>
    <xf numFmtId="4" fontId="47" fillId="0" borderId="123" applyNumberFormat="0" applyProtection="0">
      <alignment horizontal="right" vertical="center"/>
    </xf>
    <xf numFmtId="4" fontId="47" fillId="0" borderId="123" applyNumberFormat="0" applyProtection="0">
      <alignment horizontal="left" vertical="center" indent="1"/>
    </xf>
    <xf numFmtId="0" fontId="18" fillId="54" borderId="123" applyNumberFormat="0" applyProtection="0">
      <alignment horizontal="left" vertical="top" indent="1"/>
    </xf>
    <xf numFmtId="4" fontId="27" fillId="38" borderId="123" applyNumberFormat="0" applyProtection="0">
      <alignment horizontal="left" vertical="center" indent="1"/>
    </xf>
    <xf numFmtId="0" fontId="18" fillId="0" borderId="0"/>
    <xf numFmtId="0" fontId="18" fillId="0" borderId="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47" fillId="34" borderId="123" applyNumberFormat="0" applyProtection="0">
      <alignment horizontal="left" vertical="top"/>
    </xf>
    <xf numFmtId="4" fontId="47" fillId="35" borderId="123" applyNumberFormat="0" applyProtection="0">
      <alignment horizontal="left" vertical="center" indent="1"/>
    </xf>
    <xf numFmtId="0" fontId="18" fillId="50" borderId="123" applyNumberFormat="0" applyProtection="0">
      <alignment horizontal="left" vertical="center" indent="1"/>
    </xf>
    <xf numFmtId="4" fontId="27" fillId="38" borderId="123" applyNumberFormat="0" applyProtection="0">
      <alignment horizontal="left" vertical="center" indent="1"/>
    </xf>
    <xf numFmtId="0" fontId="18" fillId="51" borderId="123" applyNumberFormat="0" applyProtection="0">
      <alignment horizontal="left" vertical="top" indent="1"/>
    </xf>
    <xf numFmtId="0" fontId="21" fillId="35" borderId="12" applyNumberFormat="0" applyFont="0" applyAlignment="0" applyProtection="0">
      <alignment horizontal="center"/>
      <protection locked="0"/>
    </xf>
    <xf numFmtId="4" fontId="47" fillId="44" borderId="123" applyNumberFormat="0" applyProtection="0">
      <alignment horizontal="right" vertical="center"/>
    </xf>
    <xf numFmtId="0" fontId="18" fillId="34" borderId="123" applyNumberFormat="0" applyProtection="0">
      <alignment horizontal="left" vertical="top" indent="1"/>
    </xf>
    <xf numFmtId="0" fontId="18" fillId="85" borderId="123" applyNumberFormat="0" applyProtection="0">
      <alignment horizontal="left" vertical="center" indent="1"/>
    </xf>
    <xf numFmtId="0" fontId="18" fillId="85" borderId="123" applyNumberFormat="0" applyProtection="0">
      <alignment horizontal="left" vertical="center" indent="1"/>
    </xf>
    <xf numFmtId="0" fontId="18" fillId="50" borderId="123" applyNumberFormat="0" applyProtection="0">
      <alignment horizontal="left" vertical="top" indent="1"/>
    </xf>
    <xf numFmtId="4" fontId="47" fillId="43" borderId="123" applyNumberFormat="0" applyProtection="0">
      <alignment horizontal="right" vertical="center"/>
    </xf>
    <xf numFmtId="0" fontId="18" fillId="54" borderId="123" applyNumberFormat="0" applyProtection="0">
      <alignment horizontal="left" vertical="center" indent="1"/>
    </xf>
    <xf numFmtId="0" fontId="105" fillId="0" borderId="127" applyNumberFormat="0" applyFill="0" applyAlignment="0" applyProtection="0"/>
    <xf numFmtId="0" fontId="105" fillId="0" borderId="127" applyNumberFormat="0" applyFill="0" applyAlignment="0" applyProtection="0"/>
    <xf numFmtId="4" fontId="47" fillId="45" borderId="123" applyNumberFormat="0" applyProtection="0">
      <alignment horizontal="right" vertical="center"/>
    </xf>
    <xf numFmtId="0" fontId="102" fillId="79" borderId="124" applyNumberFormat="0" applyAlignment="0" applyProtection="0"/>
    <xf numFmtId="4" fontId="47" fillId="0" borderId="123" applyNumberFormat="0" applyProtection="0">
      <alignment horizontal="right" vertical="center"/>
    </xf>
    <xf numFmtId="0" fontId="18" fillId="34" borderId="123" applyNumberFormat="0" applyProtection="0">
      <alignment horizontal="left" vertical="top" indent="1"/>
    </xf>
    <xf numFmtId="0" fontId="18" fillId="84" borderId="123" applyNumberFormat="0" applyProtection="0">
      <alignment horizontal="left" vertical="center" indent="1"/>
    </xf>
    <xf numFmtId="0" fontId="18" fillId="34" borderId="123" applyNumberFormat="0" applyProtection="0">
      <alignment horizontal="left" vertical="center" indent="1"/>
    </xf>
    <xf numFmtId="0" fontId="18" fillId="50" borderId="123" applyNumberFormat="0" applyProtection="0">
      <alignment horizontal="left" vertical="center" indent="1"/>
    </xf>
    <xf numFmtId="0" fontId="18" fillId="50" borderId="123" applyNumberFormat="0" applyProtection="0">
      <alignment horizontal="left" vertical="top" indent="1"/>
    </xf>
    <xf numFmtId="0" fontId="110" fillId="77" borderId="124" applyNumberFormat="0" applyAlignment="0" applyProtection="0"/>
    <xf numFmtId="4" fontId="47" fillId="41" borderId="123" applyNumberFormat="0" applyProtection="0">
      <alignment horizontal="right" vertical="center"/>
    </xf>
    <xf numFmtId="0" fontId="105" fillId="0" borderId="127" applyNumberFormat="0" applyFill="0" applyAlignment="0" applyProtection="0"/>
    <xf numFmtId="0" fontId="18" fillId="50" borderId="123" applyNumberFormat="0" applyProtection="0">
      <alignment horizontal="left" vertical="center" indent="1"/>
    </xf>
    <xf numFmtId="4" fontId="27" fillId="37" borderId="123" applyNumberFormat="0" applyProtection="0">
      <alignment vertical="center"/>
    </xf>
    <xf numFmtId="0" fontId="18" fillId="85" borderId="123" applyNumberFormat="0" applyProtection="0">
      <alignment horizontal="left" vertical="center" indent="1"/>
    </xf>
    <xf numFmtId="4" fontId="47" fillId="51" borderId="123" applyNumberFormat="0" applyProtection="0">
      <alignment horizontal="right" vertical="center"/>
    </xf>
    <xf numFmtId="4" fontId="47" fillId="35" borderId="123" applyNumberFormat="0" applyProtection="0">
      <alignment horizontal="left" vertical="center" indent="1"/>
    </xf>
    <xf numFmtId="0" fontId="18" fillId="84" borderId="123" applyNumberFormat="0" applyProtection="0">
      <alignment horizontal="left" vertical="top" indent="1"/>
    </xf>
    <xf numFmtId="0" fontId="114" fillId="79" borderId="126" applyNumberFormat="0" applyAlignment="0" applyProtection="0"/>
    <xf numFmtId="0" fontId="24" fillId="59" borderId="128" applyNumberFormat="0" applyFont="0" applyAlignment="0" applyProtection="0">
      <protection locked="0"/>
    </xf>
    <xf numFmtId="4" fontId="47" fillId="40" borderId="123" applyNumberFormat="0" applyProtection="0">
      <alignment horizontal="right" vertical="center"/>
    </xf>
    <xf numFmtId="0" fontId="18" fillId="54" borderId="123" applyNumberFormat="0" applyProtection="0">
      <alignment horizontal="left" vertical="center" indent="1"/>
    </xf>
    <xf numFmtId="0" fontId="105" fillId="0" borderId="127" applyNumberFormat="0" applyFill="0" applyAlignment="0" applyProtection="0"/>
    <xf numFmtId="0" fontId="18" fillId="51" borderId="123" applyNumberFormat="0" applyProtection="0">
      <alignment horizontal="left" vertical="top" indent="1"/>
    </xf>
    <xf numFmtId="0" fontId="110" fillId="77" borderId="124" applyNumberFormat="0" applyAlignment="0" applyProtection="0"/>
    <xf numFmtId="4" fontId="47" fillId="0" borderId="123" applyNumberFormat="0" applyProtection="0">
      <alignment horizontal="right" vertical="center"/>
    </xf>
    <xf numFmtId="0" fontId="47" fillId="34" borderId="123" applyNumberFormat="0" applyProtection="0">
      <alignment horizontal="left" vertical="top"/>
    </xf>
    <xf numFmtId="0" fontId="18" fillId="54" borderId="123" applyNumberFormat="0" applyProtection="0">
      <alignment horizontal="left" vertical="center" indent="1"/>
    </xf>
    <xf numFmtId="4" fontId="47" fillId="44" borderId="123" applyNumberFormat="0" applyProtection="0">
      <alignment horizontal="right" vertical="center"/>
    </xf>
    <xf numFmtId="0" fontId="114" fillId="79" borderId="126" applyNumberFormat="0" applyAlignment="0" applyProtection="0"/>
    <xf numFmtId="0" fontId="18" fillId="49" borderId="123" applyNumberFormat="0" applyProtection="0">
      <alignment horizontal="left" vertical="top" indent="1"/>
    </xf>
    <xf numFmtId="4" fontId="47" fillId="40" borderId="123" applyNumberFormat="0" applyProtection="0">
      <alignment horizontal="right" vertical="center"/>
    </xf>
    <xf numFmtId="0" fontId="114" fillId="79" borderId="126" applyNumberFormat="0" applyAlignment="0" applyProtection="0"/>
    <xf numFmtId="4" fontId="51" fillId="49" borderId="123" applyNumberFormat="0" applyProtection="0">
      <alignment horizontal="right" vertical="center"/>
    </xf>
    <xf numFmtId="4" fontId="47" fillId="35" borderId="123" applyNumberFormat="0" applyProtection="0">
      <alignment vertical="center"/>
    </xf>
    <xf numFmtId="0" fontId="18" fillId="84" borderId="123" applyNumberFormat="0" applyProtection="0">
      <alignment horizontal="left" vertical="top" indent="1"/>
    </xf>
    <xf numFmtId="4" fontId="25" fillId="49" borderId="123" applyNumberFormat="0" applyProtection="0">
      <alignment horizontal="right" vertical="center"/>
    </xf>
    <xf numFmtId="4" fontId="47" fillId="35" borderId="123" applyNumberFormat="0" applyProtection="0">
      <alignment vertical="center"/>
    </xf>
    <xf numFmtId="0" fontId="18" fillId="50" borderId="123" applyNumberFormat="0" applyProtection="0">
      <alignment horizontal="left" vertical="top" indent="1"/>
    </xf>
    <xf numFmtId="0" fontId="114" fillId="79" borderId="126" applyNumberFormat="0" applyAlignment="0" applyProtection="0"/>
    <xf numFmtId="0" fontId="114" fillId="79" borderId="126" applyNumberFormat="0" applyAlignment="0" applyProtection="0"/>
    <xf numFmtId="4" fontId="47" fillId="46" borderId="123" applyNumberFormat="0" applyProtection="0">
      <alignment horizontal="right" vertical="center"/>
    </xf>
    <xf numFmtId="0" fontId="18" fillId="54" borderId="123" applyNumberFormat="0" applyProtection="0">
      <alignment horizontal="left" vertical="top" indent="1"/>
    </xf>
    <xf numFmtId="0" fontId="105" fillId="0" borderId="127" applyNumberFormat="0" applyFill="0" applyAlignment="0" applyProtection="0"/>
    <xf numFmtId="0" fontId="18" fillId="85" borderId="123" applyNumberFormat="0" applyProtection="0">
      <alignment horizontal="left" vertical="top" indent="1"/>
    </xf>
    <xf numFmtId="4" fontId="47" fillId="0" borderId="123" applyNumberFormat="0" applyProtection="0">
      <alignment horizontal="left" vertical="center" indent="1"/>
    </xf>
    <xf numFmtId="4" fontId="27" fillId="38" borderId="123" applyNumberFormat="0" applyProtection="0">
      <alignment horizontal="left" vertical="center" indent="1"/>
    </xf>
    <xf numFmtId="0" fontId="18" fillId="55" borderId="123" applyNumberFormat="0" applyProtection="0">
      <alignment horizontal="left" vertical="top" indent="1"/>
    </xf>
    <xf numFmtId="0" fontId="18" fillId="50" borderId="123" applyNumberFormat="0" applyProtection="0">
      <alignment horizontal="left" vertical="top" indent="1"/>
    </xf>
    <xf numFmtId="4" fontId="47" fillId="47" borderId="123" applyNumberFormat="0" applyProtection="0">
      <alignment horizontal="right" vertical="center"/>
    </xf>
    <xf numFmtId="0" fontId="102" fillId="79" borderId="124" applyNumberFormat="0" applyAlignment="0" applyProtection="0"/>
    <xf numFmtId="0" fontId="18" fillId="49" borderId="123" applyNumberFormat="0" applyProtection="0">
      <alignment horizontal="left" vertical="center" indent="1"/>
    </xf>
    <xf numFmtId="0" fontId="105" fillId="0" borderId="127" applyNumberFormat="0" applyFill="0" applyAlignment="0" applyProtection="0"/>
    <xf numFmtId="0" fontId="18" fillId="54" borderId="123" applyNumberFormat="0" applyProtection="0">
      <alignment horizontal="left" vertical="center" indent="1"/>
    </xf>
    <xf numFmtId="0" fontId="18" fillId="55" borderId="123" applyNumberFormat="0" applyProtection="0">
      <alignment horizontal="left" vertical="top" indent="1"/>
    </xf>
    <xf numFmtId="0" fontId="114" fillId="79" borderId="126" applyNumberFormat="0" applyAlignment="0" applyProtection="0"/>
    <xf numFmtId="4" fontId="47" fillId="0" borderId="123" applyNumberFormat="0" applyProtection="0">
      <alignment horizontal="left" vertical="center" indent="1"/>
    </xf>
    <xf numFmtId="0" fontId="18" fillId="49" borderId="123" applyNumberFormat="0" applyProtection="0">
      <alignment horizontal="left" vertical="center" indent="1"/>
    </xf>
    <xf numFmtId="0" fontId="18" fillId="76" borderId="125" applyNumberFormat="0" applyFont="0" applyAlignment="0" applyProtection="0"/>
    <xf numFmtId="0" fontId="18" fillId="34" borderId="123" applyNumberFormat="0" applyProtection="0">
      <alignment horizontal="left" vertical="center" indent="1"/>
    </xf>
    <xf numFmtId="0" fontId="27" fillId="38" borderId="123" applyNumberFormat="0" applyProtection="0">
      <alignment horizontal="left" vertical="top" indent="1"/>
    </xf>
    <xf numFmtId="0" fontId="18" fillId="76" borderId="125" applyNumberFormat="0" applyFont="0" applyAlignment="0" applyProtection="0"/>
    <xf numFmtId="0" fontId="18" fillId="51" borderId="123" applyNumberFormat="0" applyProtection="0">
      <alignment horizontal="left" vertical="center" indent="1"/>
    </xf>
    <xf numFmtId="4" fontId="47" fillId="0" borderId="123" applyNumberFormat="0" applyProtection="0">
      <alignment horizontal="left" vertical="center" indent="1"/>
    </xf>
    <xf numFmtId="0" fontId="18" fillId="49" borderId="123" applyNumberFormat="0" applyProtection="0">
      <alignment horizontal="left" vertical="top" indent="1"/>
    </xf>
    <xf numFmtId="0" fontId="18" fillId="54" borderId="123" applyNumberFormat="0" applyProtection="0">
      <alignment horizontal="left" vertical="top" indent="1"/>
    </xf>
    <xf numFmtId="0" fontId="114" fillId="79" borderId="126" applyNumberFormat="0" applyAlignment="0" applyProtection="0"/>
    <xf numFmtId="0" fontId="105" fillId="0" borderId="127" applyNumberFormat="0" applyFill="0" applyAlignment="0" applyProtection="0"/>
    <xf numFmtId="0" fontId="18" fillId="85" borderId="123" applyNumberFormat="0" applyProtection="0">
      <alignment horizontal="left" vertical="top" indent="1"/>
    </xf>
    <xf numFmtId="4" fontId="47" fillId="45" borderId="123" applyNumberFormat="0" applyProtection="0">
      <alignment horizontal="right" vertical="center"/>
    </xf>
    <xf numFmtId="0" fontId="110" fillId="77" borderId="124" applyNumberFormat="0" applyAlignment="0" applyProtection="0"/>
    <xf numFmtId="0" fontId="18" fillId="84" borderId="123" applyNumberFormat="0" applyProtection="0">
      <alignment horizontal="left" vertical="center" indent="1"/>
    </xf>
    <xf numFmtId="0" fontId="18" fillId="49" borderId="123" applyNumberFormat="0" applyProtection="0">
      <alignment horizontal="left" vertical="top" indent="1"/>
    </xf>
    <xf numFmtId="44" fontId="18" fillId="0" borderId="0" applyFont="0" applyFill="0" applyBorder="0" applyAlignment="0" applyProtection="0"/>
    <xf numFmtId="0" fontId="18" fillId="55" borderId="123" applyNumberFormat="0" applyProtection="0">
      <alignment horizontal="left" vertical="center" indent="1"/>
    </xf>
    <xf numFmtId="0" fontId="47" fillId="34" borderId="123" applyNumberFormat="0" applyProtection="0">
      <alignment horizontal="left" vertical="top"/>
    </xf>
    <xf numFmtId="0" fontId="18" fillId="54" borderId="123" applyNumberFormat="0" applyProtection="0">
      <alignment horizontal="left" vertical="top" indent="1"/>
    </xf>
    <xf numFmtId="4" fontId="47" fillId="44" borderId="123" applyNumberFormat="0" applyProtection="0">
      <alignment horizontal="right" vertical="center"/>
    </xf>
    <xf numFmtId="4" fontId="47" fillId="0" borderId="123" applyNumberFormat="0" applyProtection="0">
      <alignment horizontal="right" vertical="center"/>
    </xf>
    <xf numFmtId="0" fontId="18" fillId="51" borderId="123" applyNumberFormat="0" applyProtection="0">
      <alignment horizontal="left" vertical="center" indent="1"/>
    </xf>
    <xf numFmtId="4" fontId="27" fillId="37" borderId="123" applyNumberFormat="0" applyProtection="0">
      <alignment vertical="center"/>
    </xf>
    <xf numFmtId="0" fontId="105" fillId="0" borderId="127" applyNumberFormat="0" applyFill="0" applyAlignment="0" applyProtection="0"/>
    <xf numFmtId="0" fontId="27" fillId="38" borderId="123" applyNumberFormat="0" applyProtection="0">
      <alignment horizontal="left" vertical="top" indent="1"/>
    </xf>
    <xf numFmtId="0" fontId="18" fillId="51" borderId="123" applyNumberFormat="0" applyProtection="0">
      <alignment horizontal="left" vertical="top" indent="1"/>
    </xf>
    <xf numFmtId="0" fontId="47" fillId="34" borderId="123" applyNumberFormat="0" applyProtection="0">
      <alignment horizontal="left" vertical="top"/>
    </xf>
    <xf numFmtId="0" fontId="18" fillId="85" borderId="123" applyNumberFormat="0" applyProtection="0">
      <alignment horizontal="left" vertical="center" indent="1"/>
    </xf>
    <xf numFmtId="0" fontId="110" fillId="77" borderId="124" applyNumberFormat="0" applyAlignment="0" applyProtection="0"/>
    <xf numFmtId="4" fontId="47" fillId="0" borderId="123" applyNumberFormat="0" applyProtection="0">
      <alignment horizontal="left" vertical="center" indent="1"/>
    </xf>
    <xf numFmtId="4" fontId="25" fillId="49" borderId="123" applyNumberFormat="0" applyProtection="0">
      <alignment horizontal="right" vertical="center"/>
    </xf>
    <xf numFmtId="0" fontId="18" fillId="54" borderId="123" applyNumberFormat="0" applyProtection="0">
      <alignment horizontal="left" vertical="center" indent="1"/>
    </xf>
    <xf numFmtId="4" fontId="47" fillId="46" borderId="123" applyNumberFormat="0" applyProtection="0">
      <alignment horizontal="right" vertical="center"/>
    </xf>
    <xf numFmtId="0" fontId="18" fillId="85" borderId="123" applyNumberFormat="0" applyProtection="0">
      <alignment horizontal="left" vertical="center" indent="1"/>
    </xf>
    <xf numFmtId="0" fontId="114" fillId="79" borderId="126" applyNumberFormat="0" applyAlignment="0" applyProtection="0"/>
    <xf numFmtId="4" fontId="27" fillId="38" borderId="123" applyNumberFormat="0" applyProtection="0">
      <alignment horizontal="left" vertical="center" indent="1"/>
    </xf>
    <xf numFmtId="0" fontId="18" fillId="55" borderId="123" applyNumberFormat="0" applyProtection="0">
      <alignment horizontal="left" vertical="center" indent="1"/>
    </xf>
    <xf numFmtId="4" fontId="46" fillId="38" borderId="123" applyNumberFormat="0" applyProtection="0">
      <alignment vertical="center"/>
    </xf>
    <xf numFmtId="0" fontId="114" fillId="79" borderId="126" applyNumberFormat="0" applyAlignment="0" applyProtection="0"/>
    <xf numFmtId="0" fontId="105" fillId="0" borderId="127" applyNumberFormat="0" applyFill="0" applyAlignment="0" applyProtection="0"/>
    <xf numFmtId="4" fontId="47" fillId="39" borderId="123" applyNumberFormat="0" applyProtection="0">
      <alignment horizontal="right" vertical="center"/>
    </xf>
    <xf numFmtId="4" fontId="27" fillId="34" borderId="130" applyNumberFormat="0" applyProtection="0">
      <alignment vertical="center"/>
    </xf>
    <xf numFmtId="4" fontId="47" fillId="35" borderId="123" applyNumberFormat="0" applyProtection="0">
      <alignment horizontal="left" vertical="center" indent="1"/>
    </xf>
    <xf numFmtId="0" fontId="18" fillId="84" borderId="123" applyNumberFormat="0" applyProtection="0">
      <alignment horizontal="left" vertical="top" indent="1"/>
    </xf>
    <xf numFmtId="0" fontId="18" fillId="85" borderId="123" applyNumberFormat="0" applyProtection="0">
      <alignment horizontal="left" vertical="center" indent="1"/>
    </xf>
    <xf numFmtId="0" fontId="18" fillId="49" borderId="123" applyNumberFormat="0" applyProtection="0">
      <alignment horizontal="left" vertical="center" indent="1"/>
    </xf>
    <xf numFmtId="0" fontId="114" fillId="79" borderId="126" applyNumberFormat="0" applyAlignment="0" applyProtection="0"/>
    <xf numFmtId="0" fontId="102" fillId="79" borderId="124" applyNumberFormat="0" applyAlignment="0" applyProtection="0"/>
    <xf numFmtId="0" fontId="18" fillId="76" borderId="125" applyNumberFormat="0" applyFont="0" applyAlignment="0" applyProtection="0"/>
    <xf numFmtId="0" fontId="102" fillId="79" borderId="124" applyNumberFormat="0" applyAlignment="0" applyProtection="0"/>
    <xf numFmtId="0" fontId="18" fillId="0" borderId="0"/>
    <xf numFmtId="4" fontId="27" fillId="37" borderId="123" applyNumberFormat="0" applyProtection="0">
      <alignment vertical="center"/>
    </xf>
    <xf numFmtId="4" fontId="27" fillId="38" borderId="123" applyNumberFormat="0" applyProtection="0">
      <alignment horizontal="left" vertical="center" indent="1"/>
    </xf>
    <xf numFmtId="0" fontId="18" fillId="34" borderId="123" applyNumberFormat="0" applyProtection="0">
      <alignment horizontal="left" vertical="top" indent="1"/>
    </xf>
    <xf numFmtId="4" fontId="47" fillId="51" borderId="123" applyNumberFormat="0" applyProtection="0">
      <alignment horizontal="left" vertical="center" indent="1"/>
    </xf>
    <xf numFmtId="4" fontId="27" fillId="38" borderId="123" applyNumberFormat="0" applyProtection="0">
      <alignment vertical="center"/>
    </xf>
    <xf numFmtId="0" fontId="24" fillId="59" borderId="128" applyNumberFormat="0" applyFont="0" applyAlignment="0" applyProtection="0">
      <protection locked="0"/>
    </xf>
    <xf numFmtId="0" fontId="18" fillId="34" borderId="123" applyNumberFormat="0" applyProtection="0">
      <alignment horizontal="left" vertical="top" indent="1"/>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8" fillId="50" borderId="123" applyNumberFormat="0" applyProtection="0">
      <alignment horizontal="left" vertical="top" indent="1"/>
    </xf>
    <xf numFmtId="4" fontId="27" fillId="34" borderId="123" applyNumberForma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50" borderId="123" applyNumberFormat="0" applyProtection="0">
      <alignment horizontal="left" vertical="center" indent="1"/>
    </xf>
    <xf numFmtId="0" fontId="18" fillId="76" borderId="115" applyNumberFormat="0" applyFont="0" applyAlignment="0" applyProtection="0"/>
    <xf numFmtId="4" fontId="51" fillId="35" borderId="123" applyNumberFormat="0" applyProtection="0">
      <alignment vertical="center"/>
    </xf>
    <xf numFmtId="0" fontId="18" fillId="50" borderId="123" applyNumberFormat="0" applyProtection="0">
      <alignment horizontal="left" vertical="center" indent="1"/>
    </xf>
    <xf numFmtId="4" fontId="27" fillId="38" borderId="123" applyNumberFormat="0" applyProtection="0">
      <alignment horizontal="left" vertical="center" indent="1"/>
    </xf>
    <xf numFmtId="0" fontId="18" fillId="54" borderId="123" applyNumberFormat="0" applyProtection="0">
      <alignment horizontal="left" vertical="top" indent="1"/>
    </xf>
    <xf numFmtId="0" fontId="21" fillId="35" borderId="12" applyNumberFormat="0" applyFont="0" applyAlignment="0" applyProtection="0">
      <alignment horizontal="center"/>
      <protection locked="0"/>
    </xf>
    <xf numFmtId="0" fontId="18" fillId="76" borderId="125" applyNumberFormat="0" applyFont="0" applyAlignment="0" applyProtection="0"/>
    <xf numFmtId="0" fontId="18" fillId="76" borderId="125" applyNumberFormat="0" applyFont="0" applyAlignment="0" applyProtection="0"/>
    <xf numFmtId="0" fontId="105" fillId="0" borderId="127" applyNumberFormat="0" applyFill="0" applyAlignment="0" applyProtection="0"/>
    <xf numFmtId="0" fontId="114" fillId="79" borderId="126" applyNumberFormat="0" applyAlignment="0" applyProtection="0"/>
    <xf numFmtId="0" fontId="114" fillId="79" borderId="126" applyNumberFormat="0" applyAlignment="0" applyProtection="0"/>
    <xf numFmtId="4" fontId="47" fillId="45" borderId="123" applyNumberFormat="0" applyProtection="0">
      <alignment horizontal="right" vertical="center"/>
    </xf>
    <xf numFmtId="0" fontId="18" fillId="54" borderId="123" applyNumberFormat="0" applyProtection="0">
      <alignment horizontal="left" vertical="top" indent="1"/>
    </xf>
    <xf numFmtId="0" fontId="110" fillId="77" borderId="124" applyNumberFormat="0" applyAlignment="0" applyProtection="0"/>
    <xf numFmtId="0" fontId="18" fillId="51" borderId="123" applyNumberFormat="0" applyProtection="0">
      <alignment horizontal="left" vertical="center" indent="1"/>
    </xf>
    <xf numFmtId="0" fontId="18" fillId="76" borderId="125" applyNumberFormat="0" applyFont="0" applyAlignment="0" applyProtection="0"/>
    <xf numFmtId="4" fontId="47" fillId="40" borderId="123" applyNumberFormat="0" applyProtection="0">
      <alignment horizontal="right" vertical="center"/>
    </xf>
    <xf numFmtId="0" fontId="27" fillId="38" borderId="123" applyNumberFormat="0" applyProtection="0">
      <alignment horizontal="left" vertical="top" indent="1"/>
    </xf>
    <xf numFmtId="0" fontId="18" fillId="49" borderId="123" applyNumberFormat="0" applyProtection="0">
      <alignment horizontal="left" vertical="top" indent="1"/>
    </xf>
    <xf numFmtId="4" fontId="46" fillId="38" borderId="123" applyNumberFormat="0" applyProtection="0">
      <alignment vertical="center"/>
    </xf>
    <xf numFmtId="0" fontId="18" fillId="51" borderId="123" applyNumberFormat="0" applyProtection="0">
      <alignment horizontal="left" vertical="top" indent="1"/>
    </xf>
    <xf numFmtId="4" fontId="47" fillId="59" borderId="123" applyNumberFormat="0" applyProtection="0">
      <alignment horizontal="left" vertical="center" indent="1"/>
    </xf>
    <xf numFmtId="4" fontId="47" fillId="44" borderId="123" applyNumberFormat="0" applyProtection="0">
      <alignment horizontal="right" vertical="center"/>
    </xf>
    <xf numFmtId="0" fontId="105" fillId="0" borderId="127" applyNumberFormat="0" applyFill="0" applyAlignment="0" applyProtection="0"/>
    <xf numFmtId="0" fontId="18" fillId="84" borderId="123" applyNumberFormat="0" applyProtection="0">
      <alignment horizontal="left" vertical="center" indent="1"/>
    </xf>
    <xf numFmtId="0" fontId="18" fillId="55" borderId="123" applyNumberFormat="0" applyProtection="0">
      <alignment horizontal="left" vertical="top" indent="1"/>
    </xf>
    <xf numFmtId="4" fontId="47" fillId="45" borderId="123" applyNumberFormat="0" applyProtection="0">
      <alignment horizontal="right" vertical="center"/>
    </xf>
    <xf numFmtId="4" fontId="47" fillId="0" borderId="123" applyNumberFormat="0" applyProtection="0">
      <alignment horizontal="right" vertical="center"/>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84" borderId="123" applyNumberFormat="0" applyProtection="0">
      <alignment horizontal="left" vertical="top" indent="1"/>
    </xf>
    <xf numFmtId="0" fontId="18" fillId="76" borderId="12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center" indent="1"/>
    </xf>
    <xf numFmtId="4" fontId="47" fillId="40" borderId="123" applyNumberFormat="0" applyProtection="0">
      <alignment horizontal="right" vertical="center"/>
    </xf>
    <xf numFmtId="4" fontId="47" fillId="35" borderId="123" applyNumberFormat="0" applyProtection="0">
      <alignment horizontal="left" vertical="center" indent="1"/>
    </xf>
    <xf numFmtId="0" fontId="105" fillId="0" borderId="127" applyNumberFormat="0" applyFill="0" applyAlignment="0" applyProtection="0"/>
    <xf numFmtId="0" fontId="18" fillId="84" borderId="123" applyNumberFormat="0" applyProtection="0">
      <alignment horizontal="left" vertical="top" indent="1"/>
    </xf>
    <xf numFmtId="4" fontId="47" fillId="0" borderId="123" applyNumberFormat="0" applyProtection="0">
      <alignment horizontal="left" vertical="center" indent="1"/>
    </xf>
    <xf numFmtId="0" fontId="18" fillId="85" borderId="123" applyNumberFormat="0" applyProtection="0">
      <alignment horizontal="left" vertical="center" indent="1"/>
    </xf>
    <xf numFmtId="0" fontId="18" fillId="51" borderId="123" applyNumberFormat="0" applyProtection="0">
      <alignment horizontal="left" vertical="top" indent="1"/>
    </xf>
    <xf numFmtId="4" fontId="51" fillId="35" borderId="123" applyNumberFormat="0" applyProtection="0">
      <alignment vertical="center"/>
    </xf>
    <xf numFmtId="4" fontId="47" fillId="45" borderId="123" applyNumberFormat="0" applyProtection="0">
      <alignment horizontal="right" vertical="center"/>
    </xf>
    <xf numFmtId="0" fontId="18" fillId="55" borderId="123" applyNumberFormat="0" applyProtection="0">
      <alignment horizontal="left" vertical="top" indent="1"/>
    </xf>
    <xf numFmtId="0" fontId="102" fillId="79" borderId="124" applyNumberFormat="0" applyAlignment="0" applyProtection="0"/>
    <xf numFmtId="0" fontId="63" fillId="59" borderId="128" applyNumberFormat="0" applyFont="0" applyFill="0" applyAlignment="0" applyProtection="0">
      <protection locked="0"/>
    </xf>
    <xf numFmtId="0" fontId="18" fillId="49" borderId="123" applyNumberFormat="0" applyProtection="0">
      <alignment horizontal="left" vertical="center" indent="1"/>
    </xf>
    <xf numFmtId="0" fontId="105" fillId="0" borderId="127" applyNumberFormat="0" applyFill="0" applyAlignment="0" applyProtection="0"/>
    <xf numFmtId="0" fontId="47" fillId="34" borderId="123" applyNumberFormat="0" applyProtection="0">
      <alignment horizontal="left" vertical="top"/>
    </xf>
    <xf numFmtId="4" fontId="27" fillId="34" borderId="123" applyNumberFormat="0" applyProtection="0"/>
    <xf numFmtId="4" fontId="27" fillId="34" borderId="123" applyNumberFormat="0" applyProtection="0"/>
    <xf numFmtId="0" fontId="114" fillId="79" borderId="126" applyNumberFormat="0" applyAlignment="0" applyProtection="0"/>
    <xf numFmtId="0" fontId="18" fillId="54" borderId="123" applyNumberFormat="0" applyProtection="0">
      <alignment horizontal="left" vertical="center" indent="1"/>
    </xf>
    <xf numFmtId="0" fontId="18" fillId="34" borderId="123" applyNumberFormat="0" applyProtection="0">
      <alignment horizontal="left" vertical="center" indent="1"/>
    </xf>
    <xf numFmtId="0" fontId="110" fillId="77" borderId="124" applyNumberFormat="0" applyAlignment="0" applyProtection="0"/>
    <xf numFmtId="4" fontId="47" fillId="0" borderId="123" applyNumberFormat="0" applyProtection="0">
      <alignment horizontal="right" vertical="center"/>
    </xf>
    <xf numFmtId="0" fontId="47" fillId="34" borderId="123" applyNumberFormat="0" applyProtection="0">
      <alignment horizontal="center" vertical="top"/>
    </xf>
    <xf numFmtId="4" fontId="47" fillId="41" borderId="123" applyNumberFormat="0" applyProtection="0">
      <alignment horizontal="right" vertical="center"/>
    </xf>
    <xf numFmtId="4" fontId="47" fillId="35" borderId="123" applyNumberFormat="0" applyProtection="0">
      <alignment horizontal="left" vertical="center" indent="1"/>
    </xf>
    <xf numFmtId="0" fontId="18" fillId="76" borderId="125" applyNumberFormat="0" applyFont="0" applyAlignment="0" applyProtection="0"/>
    <xf numFmtId="0" fontId="18" fillId="50" borderId="123" applyNumberFormat="0" applyProtection="0">
      <alignment horizontal="left" vertical="top" indent="1"/>
    </xf>
    <xf numFmtId="0" fontId="114" fillId="79" borderId="126" applyNumberFormat="0" applyAlignment="0" applyProtection="0"/>
    <xf numFmtId="4" fontId="27" fillId="38" borderId="123" applyNumberFormat="0" applyProtection="0">
      <alignment horizontal="left" vertical="center" indent="1"/>
    </xf>
    <xf numFmtId="0" fontId="105" fillId="0" borderId="127" applyNumberFormat="0" applyFill="0" applyAlignment="0" applyProtection="0"/>
    <xf numFmtId="4" fontId="27" fillId="38" borderId="123" applyNumberFormat="0" applyProtection="0">
      <alignment horizontal="left" vertical="center" indent="1"/>
    </xf>
    <xf numFmtId="0" fontId="18" fillId="34" borderId="123" applyNumberFormat="0" applyProtection="0">
      <alignment horizontal="left" vertical="center" indent="1"/>
    </xf>
    <xf numFmtId="4" fontId="27" fillId="34" borderId="123" applyNumberFormat="0" applyProtection="0"/>
    <xf numFmtId="0" fontId="102" fillId="79" borderId="120" applyNumberFormat="0" applyAlignment="0" applyProtection="0"/>
    <xf numFmtId="0" fontId="110" fillId="77" borderId="120" applyNumberFormat="0" applyAlignment="0" applyProtection="0"/>
    <xf numFmtId="0" fontId="114" fillId="79" borderId="116" applyNumberFormat="0" applyAlignment="0" applyProtection="0"/>
    <xf numFmtId="0" fontId="114" fillId="79" borderId="116" applyNumberFormat="0" applyAlignment="0" applyProtection="0"/>
    <xf numFmtId="0" fontId="102" fillId="79" borderId="124" applyNumberFormat="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63" fillId="59" borderId="128" applyNumberFormat="0" applyFont="0" applyFill="0" applyAlignment="0" applyProtection="0">
      <protection locked="0"/>
    </xf>
    <xf numFmtId="0" fontId="18" fillId="50" borderId="123" applyNumberFormat="0" applyProtection="0">
      <alignment horizontal="left" vertical="top" indent="1"/>
    </xf>
    <xf numFmtId="0" fontId="18" fillId="76" borderId="125" applyNumberFormat="0" applyFont="0" applyAlignment="0" applyProtection="0"/>
    <xf numFmtId="0" fontId="102" fillId="79" borderId="124" applyNumberFormat="0" applyAlignment="0" applyProtection="0"/>
    <xf numFmtId="0" fontId="18" fillId="49" borderId="123" applyNumberFormat="0" applyProtection="0">
      <alignment horizontal="left" vertical="center" indent="1"/>
    </xf>
    <xf numFmtId="0" fontId="110" fillId="77" borderId="124" applyNumberFormat="0" applyAlignment="0" applyProtection="0"/>
    <xf numFmtId="0" fontId="18" fillId="84" borderId="123" applyNumberFormat="0" applyProtection="0">
      <alignment horizontal="left" vertical="top" indent="1"/>
    </xf>
    <xf numFmtId="4" fontId="47" fillId="35" borderId="123" applyNumberFormat="0" applyProtection="0">
      <alignment horizontal="left" vertical="center" indent="1"/>
    </xf>
    <xf numFmtId="4" fontId="27" fillId="34" borderId="123" applyNumberFormat="0" applyProtection="0"/>
    <xf numFmtId="0" fontId="18" fillId="34" borderId="123" applyNumberFormat="0" applyProtection="0">
      <alignment horizontal="left" vertical="top" indent="1"/>
    </xf>
    <xf numFmtId="0" fontId="18" fillId="49" borderId="123" applyNumberFormat="0" applyProtection="0">
      <alignment horizontal="left" vertical="center" indent="1"/>
    </xf>
    <xf numFmtId="0" fontId="18" fillId="85" borderId="123" applyNumberFormat="0" applyProtection="0">
      <alignment horizontal="left" vertical="center" indent="1"/>
    </xf>
    <xf numFmtId="4" fontId="47" fillId="0" borderId="123" applyNumberFormat="0" applyProtection="0">
      <alignment horizontal="right" vertical="center"/>
    </xf>
    <xf numFmtId="0" fontId="18" fillId="51" borderId="123" applyNumberFormat="0" applyProtection="0">
      <alignment horizontal="left" vertical="top" indent="1"/>
    </xf>
    <xf numFmtId="0" fontId="110" fillId="77" borderId="124" applyNumberFormat="0" applyAlignment="0" applyProtection="0"/>
    <xf numFmtId="0" fontId="18" fillId="76" borderId="125" applyNumberFormat="0" applyFont="0" applyAlignment="0" applyProtection="0"/>
    <xf numFmtId="0" fontId="105" fillId="0" borderId="127" applyNumberFormat="0" applyFill="0" applyAlignment="0" applyProtection="0"/>
    <xf numFmtId="0" fontId="18" fillId="50" borderId="123" applyNumberFormat="0" applyProtection="0">
      <alignment horizontal="left" vertical="center" indent="1"/>
    </xf>
    <xf numFmtId="0" fontId="114" fillId="79" borderId="126" applyNumberFormat="0" applyAlignment="0" applyProtection="0"/>
    <xf numFmtId="0" fontId="114" fillId="79" borderId="126" applyNumberFormat="0" applyAlignment="0" applyProtection="0"/>
    <xf numFmtId="0" fontId="105" fillId="0" borderId="127" applyNumberFormat="0" applyFill="0" applyAlignment="0" applyProtection="0"/>
    <xf numFmtId="0" fontId="105" fillId="0" borderId="127" applyNumberFormat="0" applyFill="0" applyAlignment="0" applyProtection="0"/>
    <xf numFmtId="0" fontId="18" fillId="34" borderId="123" applyNumberFormat="0" applyProtection="0">
      <alignment horizontal="left" vertical="center" indent="1"/>
    </xf>
    <xf numFmtId="4" fontId="27" fillId="38"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27" fillId="38" borderId="123" applyNumberFormat="0" applyProtection="0">
      <alignment horizontal="left" vertical="center" indent="1"/>
    </xf>
    <xf numFmtId="0" fontId="110" fillId="77" borderId="124" applyNumberFormat="0" applyAlignment="0" applyProtection="0"/>
    <xf numFmtId="0" fontId="18" fillId="51" borderId="123" applyNumberFormat="0" applyProtection="0">
      <alignment horizontal="left" vertical="top" indent="1"/>
    </xf>
    <xf numFmtId="4" fontId="51" fillId="49" borderId="123" applyNumberFormat="0" applyProtection="0">
      <alignment horizontal="right" vertical="center"/>
    </xf>
    <xf numFmtId="0" fontId="18" fillId="76" borderId="115" applyNumberFormat="0" applyFont="0" applyAlignment="0" applyProtection="0"/>
    <xf numFmtId="0" fontId="18" fillId="34" borderId="123" applyNumberFormat="0" applyProtection="0">
      <alignment horizontal="left" vertical="center" indent="1"/>
    </xf>
    <xf numFmtId="0" fontId="18" fillId="54" borderId="123" applyNumberFormat="0" applyProtection="0">
      <alignment horizontal="left" vertical="top" indent="1"/>
    </xf>
    <xf numFmtId="4" fontId="27" fillId="34" borderId="123" applyNumberFormat="0" applyProtection="0"/>
    <xf numFmtId="0" fontId="26" fillId="0" borderId="129">
      <alignment horizontal="left" vertical="center"/>
    </xf>
    <xf numFmtId="0" fontId="26" fillId="0" borderId="113">
      <alignment horizontal="left" vertical="center"/>
    </xf>
    <xf numFmtId="0" fontId="114" fillId="79" borderId="126" applyNumberFormat="0" applyAlignment="0" applyProtection="0"/>
    <xf numFmtId="4" fontId="27" fillId="38" borderId="123" applyNumberFormat="0" applyProtection="0">
      <alignment horizontal="left" vertical="center" indent="1"/>
    </xf>
    <xf numFmtId="0" fontId="18" fillId="51" borderId="123" applyNumberFormat="0" applyProtection="0">
      <alignment horizontal="left" vertical="top" indent="1"/>
    </xf>
    <xf numFmtId="0" fontId="18" fillId="85" borderId="123" applyNumberFormat="0" applyProtection="0">
      <alignment horizontal="left" vertical="top" indent="1"/>
    </xf>
    <xf numFmtId="0" fontId="18" fillId="49" borderId="123" applyNumberFormat="0" applyProtection="0">
      <alignment horizontal="left" vertical="center" indent="1"/>
    </xf>
    <xf numFmtId="4" fontId="47" fillId="47" borderId="123" applyNumberFormat="0" applyProtection="0">
      <alignment horizontal="right" vertical="center"/>
    </xf>
    <xf numFmtId="0" fontId="110" fillId="77" borderId="124" applyNumberFormat="0" applyAlignment="0" applyProtection="0"/>
    <xf numFmtId="4" fontId="47" fillId="44" borderId="123" applyNumberFormat="0" applyProtection="0">
      <alignment horizontal="right" vertical="center"/>
    </xf>
    <xf numFmtId="0" fontId="18" fillId="51" borderId="123" applyNumberFormat="0" applyProtection="0">
      <alignment horizontal="left" vertical="top" indent="1"/>
    </xf>
    <xf numFmtId="0" fontId="18" fillId="76" borderId="125" applyNumberFormat="0" applyFont="0" applyAlignment="0" applyProtection="0"/>
    <xf numFmtId="4" fontId="47" fillId="39" borderId="123" applyNumberFormat="0" applyProtection="0">
      <alignment horizontal="right" vertical="center"/>
    </xf>
    <xf numFmtId="4" fontId="47" fillId="0" borderId="123" applyNumberFormat="0" applyProtection="0">
      <alignment horizontal="right" vertical="center"/>
    </xf>
    <xf numFmtId="0" fontId="18" fillId="76" borderId="125" applyNumberFormat="0" applyFont="0" applyAlignment="0" applyProtection="0"/>
    <xf numFmtId="4" fontId="47" fillId="0" borderId="123" applyNumberFormat="0" applyProtection="0">
      <alignment horizontal="right" vertical="center"/>
    </xf>
    <xf numFmtId="4" fontId="47" fillId="35" borderId="123" applyNumberFormat="0" applyProtection="0">
      <alignment vertical="center"/>
    </xf>
    <xf numFmtId="4" fontId="47" fillId="39" borderId="123" applyNumberFormat="0" applyProtection="0">
      <alignment horizontal="right" vertical="center"/>
    </xf>
    <xf numFmtId="0" fontId="18" fillId="84" borderId="123" applyNumberFormat="0" applyProtection="0">
      <alignment horizontal="left" vertical="top" indent="1"/>
    </xf>
    <xf numFmtId="0" fontId="105" fillId="0" borderId="127" applyNumberFormat="0" applyFill="0" applyAlignment="0" applyProtection="0"/>
    <xf numFmtId="0" fontId="105" fillId="0" borderId="127" applyNumberFormat="0" applyFill="0" applyAlignment="0" applyProtection="0"/>
    <xf numFmtId="4" fontId="46" fillId="38" borderId="123" applyNumberFormat="0" applyProtection="0">
      <alignment vertical="center"/>
    </xf>
    <xf numFmtId="0" fontId="18" fillId="54" borderId="123" applyNumberFormat="0" applyProtection="0">
      <alignment horizontal="left" vertical="center" indent="1"/>
    </xf>
    <xf numFmtId="0" fontId="18" fillId="85" borderId="123" applyNumberFormat="0" applyProtection="0">
      <alignment horizontal="left" vertical="center" indent="1"/>
    </xf>
    <xf numFmtId="0" fontId="63" fillId="59" borderId="128" applyNumberFormat="0" applyFont="0" applyFill="0" applyAlignment="0" applyProtection="0">
      <protection locked="0"/>
    </xf>
    <xf numFmtId="0" fontId="105" fillId="0" borderId="127" applyNumberFormat="0" applyFill="0" applyAlignment="0" applyProtection="0"/>
    <xf numFmtId="4" fontId="27" fillId="37" borderId="123" applyNumberFormat="0" applyProtection="0">
      <alignment vertical="center"/>
    </xf>
    <xf numFmtId="0" fontId="114" fillId="79" borderId="116" applyNumberFormat="0" applyAlignment="0" applyProtection="0"/>
    <xf numFmtId="0" fontId="114" fillId="79" borderId="116" applyNumberFormat="0" applyAlignment="0" applyProtection="0"/>
    <xf numFmtId="0" fontId="47" fillId="34" borderId="123" applyNumberFormat="0" applyProtection="0">
      <alignment horizontal="left" vertical="top"/>
    </xf>
    <xf numFmtId="0" fontId="47" fillId="34" borderId="123" applyNumberFormat="0" applyProtection="0">
      <alignment horizontal="left" vertical="top"/>
    </xf>
    <xf numFmtId="0" fontId="18" fillId="76" borderId="115" applyNumberFormat="0" applyFont="0" applyAlignment="0" applyProtection="0"/>
    <xf numFmtId="0" fontId="18" fillId="55" borderId="123" applyNumberFormat="0" applyProtection="0">
      <alignment horizontal="left" vertical="top" indent="1"/>
    </xf>
    <xf numFmtId="4" fontId="47" fillId="39" borderId="123" applyNumberFormat="0" applyProtection="0">
      <alignment horizontal="right" vertical="center"/>
    </xf>
    <xf numFmtId="0" fontId="114" fillId="79" borderId="126" applyNumberFormat="0" applyAlignment="0" applyProtection="0"/>
    <xf numFmtId="0" fontId="18" fillId="85" borderId="123" applyNumberFormat="0" applyProtection="0">
      <alignment horizontal="left" vertical="center" indent="1"/>
    </xf>
    <xf numFmtId="0" fontId="18" fillId="34" borderId="123" applyNumberFormat="0" applyProtection="0">
      <alignment horizontal="left" vertical="top" indent="1"/>
    </xf>
    <xf numFmtId="0" fontId="102" fillId="79" borderId="124" applyNumberFormat="0" applyAlignment="0" applyProtection="0"/>
    <xf numFmtId="0" fontId="18" fillId="54" borderId="123" applyNumberFormat="0" applyProtection="0">
      <alignment horizontal="left" vertical="top" indent="1"/>
    </xf>
    <xf numFmtId="0" fontId="18" fillId="51" borderId="123" applyNumberFormat="0" applyProtection="0">
      <alignment horizontal="left" vertical="center" indent="1"/>
    </xf>
    <xf numFmtId="0" fontId="18" fillId="76" borderId="125" applyNumberFormat="0" applyFont="0" applyAlignment="0" applyProtection="0"/>
    <xf numFmtId="0" fontId="102" fillId="79" borderId="124" applyNumberFormat="0" applyAlignment="0" applyProtection="0"/>
    <xf numFmtId="0" fontId="18" fillId="55" borderId="123" applyNumberFormat="0" applyProtection="0">
      <alignment horizontal="left" vertical="top" indent="1"/>
    </xf>
    <xf numFmtId="0" fontId="102" fillId="79" borderId="124" applyNumberFormat="0" applyAlignment="0" applyProtection="0"/>
    <xf numFmtId="4" fontId="27" fillId="37" borderId="123" applyNumberFormat="0" applyProtection="0">
      <alignment vertical="center"/>
    </xf>
    <xf numFmtId="0" fontId="102" fillId="79" borderId="124" applyNumberFormat="0" applyAlignment="0" applyProtection="0"/>
    <xf numFmtId="0" fontId="18" fillId="51" borderId="123" applyNumberFormat="0" applyProtection="0">
      <alignment horizontal="left" vertical="top" indent="1"/>
    </xf>
    <xf numFmtId="0" fontId="105" fillId="0" borderId="127" applyNumberFormat="0" applyFill="0" applyAlignment="0" applyProtection="0"/>
    <xf numFmtId="4" fontId="47" fillId="43" borderId="123" applyNumberFormat="0" applyProtection="0">
      <alignment horizontal="right" vertical="center"/>
    </xf>
    <xf numFmtId="0" fontId="18" fillId="85" borderId="123" applyNumberFormat="0" applyProtection="0">
      <alignment horizontal="left" vertical="top" indent="1"/>
    </xf>
    <xf numFmtId="0" fontId="18" fillId="34" borderId="123" applyNumberFormat="0" applyProtection="0">
      <alignment horizontal="left" vertical="top" indent="1"/>
    </xf>
    <xf numFmtId="0" fontId="18" fillId="50" borderId="123" applyNumberFormat="0" applyProtection="0">
      <alignment horizontal="left" vertical="center" indent="1"/>
    </xf>
    <xf numFmtId="4" fontId="47" fillId="47" borderId="123" applyNumberFormat="0" applyProtection="0">
      <alignment horizontal="right" vertical="center"/>
    </xf>
    <xf numFmtId="0" fontId="18" fillId="55" borderId="123" applyNumberFormat="0" applyProtection="0">
      <alignment horizontal="left" vertical="center" indent="1"/>
    </xf>
    <xf numFmtId="0" fontId="18" fillId="49" borderId="123" applyNumberFormat="0" applyProtection="0">
      <alignment horizontal="left" vertical="center" indent="1"/>
    </xf>
    <xf numFmtId="4" fontId="47" fillId="0" borderId="123" applyNumberFormat="0" applyProtection="0">
      <alignment horizontal="left" vertical="center" indent="1"/>
    </xf>
    <xf numFmtId="0" fontId="18" fillId="54" borderId="123" applyNumberFormat="0" applyProtection="0">
      <alignment horizontal="left" vertical="top" indent="1"/>
    </xf>
    <xf numFmtId="0" fontId="18" fillId="50"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8" fillId="54" borderId="123" applyNumberFormat="0" applyProtection="0">
      <alignment horizontal="left" vertical="center" indent="1"/>
    </xf>
    <xf numFmtId="4" fontId="27" fillId="34" borderId="123" applyNumberFormat="0" applyProtection="0"/>
    <xf numFmtId="0" fontId="114" fillId="79" borderId="116" applyNumberFormat="0" applyAlignment="0" applyProtection="0"/>
    <xf numFmtId="4" fontId="47" fillId="39" borderId="123" applyNumberFormat="0" applyProtection="0">
      <alignment horizontal="right" vertical="center"/>
    </xf>
    <xf numFmtId="0" fontId="18" fillId="34" borderId="123" applyNumberFormat="0" applyProtection="0">
      <alignment horizontal="left" vertical="top" indent="1"/>
    </xf>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top" indent="1"/>
    </xf>
    <xf numFmtId="0" fontId="47" fillId="34" borderId="123" applyNumberFormat="0" applyProtection="0">
      <alignment horizontal="left" vertical="top"/>
    </xf>
    <xf numFmtId="4" fontId="27" fillId="38" borderId="123" applyNumberFormat="0" applyProtection="0">
      <alignment horizontal="left" vertical="center" indent="1"/>
    </xf>
    <xf numFmtId="4" fontId="47" fillId="0" borderId="123" applyNumberFormat="0" applyProtection="0">
      <alignment horizontal="left" vertical="center" indent="1"/>
    </xf>
    <xf numFmtId="0" fontId="18" fillId="55" borderId="123" applyNumberFormat="0" applyProtection="0">
      <alignment horizontal="left" vertical="center" indent="1"/>
    </xf>
    <xf numFmtId="0" fontId="18" fillId="76" borderId="125" applyNumberFormat="0" applyFont="0" applyAlignment="0" applyProtection="0"/>
    <xf numFmtId="0" fontId="18" fillId="55" borderId="123" applyNumberFormat="0" applyProtection="0">
      <alignment horizontal="left" vertical="top" indent="1"/>
    </xf>
    <xf numFmtId="0" fontId="105" fillId="0" borderId="127" applyNumberFormat="0" applyFill="0" applyAlignment="0" applyProtection="0"/>
    <xf numFmtId="0" fontId="18" fillId="55" borderId="123" applyNumberFormat="0" applyProtection="0">
      <alignment horizontal="left" vertical="top" indent="1"/>
    </xf>
    <xf numFmtId="4" fontId="47" fillId="35" borderId="123" applyNumberFormat="0" applyProtection="0">
      <alignment horizontal="left" vertical="center" indent="1"/>
    </xf>
    <xf numFmtId="4" fontId="27" fillId="38" borderId="123" applyNumberFormat="0" applyProtection="0">
      <alignment horizontal="left" vertical="center" indent="1"/>
    </xf>
    <xf numFmtId="0" fontId="114" fillId="79" borderId="126" applyNumberFormat="0" applyAlignment="0" applyProtection="0"/>
    <xf numFmtId="0" fontId="18" fillId="55" borderId="123" applyNumberFormat="0" applyProtection="0">
      <alignment horizontal="left" vertical="center" indent="1"/>
    </xf>
    <xf numFmtId="0" fontId="18" fillId="54" borderId="123" applyNumberFormat="0" applyProtection="0">
      <alignment horizontal="left" vertical="top" indent="1"/>
    </xf>
    <xf numFmtId="4" fontId="51" fillId="35" borderId="123" applyNumberFormat="0" applyProtection="0">
      <alignment vertical="center"/>
    </xf>
    <xf numFmtId="4" fontId="25" fillId="49" borderId="123" applyNumberFormat="0" applyProtection="0">
      <alignment horizontal="right" vertical="center"/>
    </xf>
    <xf numFmtId="0" fontId="27" fillId="38" borderId="123" applyNumberFormat="0" applyProtection="0">
      <alignment horizontal="left" vertical="top" indent="1"/>
    </xf>
    <xf numFmtId="0" fontId="18" fillId="50" borderId="123" applyNumberFormat="0" applyProtection="0">
      <alignment horizontal="left" vertical="center" indent="1"/>
    </xf>
    <xf numFmtId="0" fontId="114" fillId="79" borderId="126" applyNumberFormat="0" applyAlignment="0" applyProtection="0"/>
    <xf numFmtId="4" fontId="47" fillId="0" borderId="123" applyNumberFormat="0" applyProtection="0">
      <alignment horizontal="right" vertical="center"/>
    </xf>
    <xf numFmtId="0" fontId="18" fillId="34" borderId="123" applyNumberFormat="0" applyProtection="0">
      <alignment horizontal="left" vertical="top" indent="1"/>
    </xf>
    <xf numFmtId="0" fontId="18" fillId="84" borderId="123" applyNumberFormat="0" applyProtection="0">
      <alignment horizontal="left" vertical="center" indent="1"/>
    </xf>
    <xf numFmtId="0" fontId="105" fillId="0" borderId="127" applyNumberFormat="0" applyFill="0" applyAlignment="0" applyProtection="0"/>
    <xf numFmtId="0" fontId="18" fillId="50" borderId="123" applyNumberFormat="0" applyProtection="0">
      <alignment horizontal="left" vertical="top" indent="1"/>
    </xf>
    <xf numFmtId="0" fontId="110" fillId="77" borderId="124" applyNumberFormat="0" applyAlignment="0" applyProtection="0"/>
    <xf numFmtId="4" fontId="27" fillId="38" borderId="123" applyNumberFormat="0" applyProtection="0">
      <alignment horizontal="left" vertical="center" indent="1"/>
    </xf>
    <xf numFmtId="4" fontId="47" fillId="0"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8" fillId="55" borderId="123" applyNumberFormat="0" applyProtection="0">
      <alignment horizontal="left" vertical="top" indent="1"/>
    </xf>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top" indent="1"/>
    </xf>
    <xf numFmtId="4" fontId="25" fillId="49" borderId="123" applyNumberFormat="0" applyProtection="0">
      <alignment horizontal="right" vertical="center"/>
    </xf>
    <xf numFmtId="0" fontId="110" fillId="77" borderId="124" applyNumberFormat="0" applyAlignment="0" applyProtection="0"/>
    <xf numFmtId="0" fontId="18" fillId="49" borderId="123" applyNumberFormat="0" applyProtection="0">
      <alignment horizontal="left" vertical="top" indent="1"/>
    </xf>
    <xf numFmtId="0" fontId="18" fillId="84" borderId="123" applyNumberFormat="0" applyProtection="0">
      <alignment horizontal="left" vertical="top" indent="1"/>
    </xf>
    <xf numFmtId="4" fontId="47" fillId="41" borderId="123" applyNumberFormat="0" applyProtection="0">
      <alignment horizontal="right" vertical="center"/>
    </xf>
    <xf numFmtId="4" fontId="47" fillId="0" borderId="123" applyNumberFormat="0" applyProtection="0">
      <alignment horizontal="right" vertical="center"/>
    </xf>
    <xf numFmtId="0" fontId="114" fillId="79" borderId="126" applyNumberFormat="0" applyAlignment="0" applyProtection="0"/>
    <xf numFmtId="0" fontId="105" fillId="0" borderId="127" applyNumberFormat="0" applyFill="0" applyAlignment="0" applyProtection="0"/>
    <xf numFmtId="4" fontId="47" fillId="46" borderId="123" applyNumberFormat="0" applyProtection="0">
      <alignment horizontal="right" vertical="center"/>
    </xf>
    <xf numFmtId="0" fontId="18" fillId="76" borderId="125" applyNumberFormat="0" applyFont="0" applyAlignment="0" applyProtection="0"/>
    <xf numFmtId="0" fontId="47" fillId="34" borderId="123" applyNumberFormat="0" applyProtection="0">
      <alignment horizontal="left" vertical="top"/>
    </xf>
    <xf numFmtId="4" fontId="47" fillId="46" borderId="123" applyNumberFormat="0" applyProtection="0">
      <alignment horizontal="right" vertical="center"/>
    </xf>
    <xf numFmtId="0" fontId="18" fillId="55" borderId="123" applyNumberFormat="0" applyProtection="0">
      <alignment horizontal="left" vertical="top" indent="1"/>
    </xf>
    <xf numFmtId="0" fontId="18" fillId="51" borderId="123" applyNumberFormat="0" applyProtection="0">
      <alignment horizontal="left" vertical="center" indent="1"/>
    </xf>
    <xf numFmtId="4" fontId="27" fillId="34" borderId="123" applyNumberFormat="0" applyProtection="0"/>
    <xf numFmtId="4" fontId="47" fillId="47" borderId="123" applyNumberFormat="0" applyProtection="0">
      <alignment horizontal="right" vertical="center"/>
    </xf>
    <xf numFmtId="0" fontId="27" fillId="38" borderId="123" applyNumberFormat="0" applyProtection="0">
      <alignment horizontal="left" vertical="top" indent="1"/>
    </xf>
    <xf numFmtId="0" fontId="114" fillId="79" borderId="126" applyNumberFormat="0" applyAlignment="0" applyProtection="0"/>
    <xf numFmtId="0" fontId="114" fillId="79" borderId="126" applyNumberFormat="0" applyAlignment="0" applyProtection="0"/>
    <xf numFmtId="0" fontId="47" fillId="34" borderId="123" applyNumberFormat="0" applyProtection="0">
      <alignment horizontal="left" vertical="top"/>
    </xf>
    <xf numFmtId="0" fontId="27" fillId="38" borderId="123" applyNumberFormat="0" applyProtection="0">
      <alignment horizontal="left" vertical="top" indent="1"/>
    </xf>
    <xf numFmtId="0" fontId="114" fillId="79" borderId="126" applyNumberFormat="0" applyAlignment="0" applyProtection="0"/>
    <xf numFmtId="0" fontId="18" fillId="55" borderId="123" applyNumberFormat="0" applyProtection="0">
      <alignment horizontal="left" vertical="center" indent="1"/>
    </xf>
    <xf numFmtId="4" fontId="27" fillId="34" borderId="130" applyNumberFormat="0" applyProtection="0">
      <alignment vertical="center"/>
    </xf>
    <xf numFmtId="4" fontId="47" fillId="0" borderId="123" applyNumberFormat="0" applyProtection="0">
      <alignment horizontal="right" vertical="center"/>
    </xf>
    <xf numFmtId="0" fontId="18" fillId="76" borderId="125" applyNumberFormat="0" applyFont="0" applyAlignment="0" applyProtection="0"/>
    <xf numFmtId="4" fontId="47" fillId="42" borderId="123" applyNumberFormat="0" applyProtection="0">
      <alignment horizontal="right" vertical="center"/>
    </xf>
    <xf numFmtId="0" fontId="18" fillId="84" borderId="123" applyNumberFormat="0" applyProtection="0">
      <alignment horizontal="left" vertical="center" indent="1"/>
    </xf>
    <xf numFmtId="0" fontId="114" fillId="79" borderId="116" applyNumberFormat="0" applyAlignment="0" applyProtection="0"/>
    <xf numFmtId="4" fontId="27" fillId="34" borderId="123" applyNumberForma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top" indent="1"/>
    </xf>
    <xf numFmtId="0" fontId="18" fillId="49" borderId="123" applyNumberFormat="0" applyProtection="0">
      <alignment horizontal="left" vertical="center" indent="1"/>
    </xf>
    <xf numFmtId="4" fontId="47" fillId="0" borderId="123" applyNumberFormat="0" applyProtection="0">
      <alignment horizontal="left" vertical="center" indent="1"/>
    </xf>
    <xf numFmtId="4" fontId="47" fillId="40" borderId="123" applyNumberFormat="0" applyProtection="0">
      <alignment horizontal="right" vertical="center"/>
    </xf>
    <xf numFmtId="4" fontId="46" fillId="38" borderId="123" applyNumberFormat="0" applyProtection="0">
      <alignment vertical="center"/>
    </xf>
    <xf numFmtId="4" fontId="47" fillId="0" borderId="123" applyNumberFormat="0" applyProtection="0">
      <alignment horizontal="left" vertical="center" indent="1"/>
    </xf>
    <xf numFmtId="4" fontId="47" fillId="0" borderId="123" applyNumberFormat="0" applyProtection="0">
      <alignment horizontal="right" vertical="center"/>
    </xf>
    <xf numFmtId="4" fontId="47" fillId="44" borderId="123" applyNumberFormat="0" applyProtection="0">
      <alignment horizontal="right" vertical="center"/>
    </xf>
    <xf numFmtId="0" fontId="18" fillId="49" borderId="123" applyNumberFormat="0" applyProtection="0">
      <alignment horizontal="left" vertical="top" indent="1"/>
    </xf>
    <xf numFmtId="0" fontId="18" fillId="76" borderId="125" applyNumberFormat="0" applyFont="0" applyAlignment="0" applyProtection="0"/>
    <xf numFmtId="0" fontId="18" fillId="34" borderId="123" applyNumberFormat="0" applyProtection="0">
      <alignment horizontal="left" vertical="center" indent="1"/>
    </xf>
    <xf numFmtId="4" fontId="27" fillId="38" borderId="123" applyNumberFormat="0" applyProtection="0">
      <alignment horizontal="left" vertical="center" indent="1"/>
    </xf>
    <xf numFmtId="4" fontId="51" fillId="49" borderId="123" applyNumberFormat="0" applyProtection="0">
      <alignment horizontal="right" vertical="center"/>
    </xf>
    <xf numFmtId="0" fontId="18" fillId="76" borderId="125" applyNumberFormat="0" applyFont="0" applyAlignment="0" applyProtection="0"/>
    <xf numFmtId="0" fontId="18" fillId="34" borderId="123" applyNumberFormat="0" applyProtection="0">
      <alignment horizontal="left" vertical="center" indent="1"/>
    </xf>
    <xf numFmtId="0" fontId="18" fillId="54" borderId="123" applyNumberFormat="0" applyProtection="0">
      <alignment horizontal="left" vertical="center" indent="1"/>
    </xf>
    <xf numFmtId="0" fontId="114" fillId="79" borderId="126" applyNumberFormat="0" applyAlignment="0" applyProtection="0"/>
    <xf numFmtId="0" fontId="18" fillId="49" borderId="123" applyNumberFormat="0" applyProtection="0">
      <alignment horizontal="left" vertical="top" indent="1"/>
    </xf>
    <xf numFmtId="4" fontId="47" fillId="59" borderId="123" applyNumberFormat="0" applyProtection="0">
      <alignment horizontal="left" vertical="center" indent="1"/>
    </xf>
    <xf numFmtId="4" fontId="46" fillId="38" borderId="123" applyNumberFormat="0" applyProtection="0">
      <alignment vertical="center"/>
    </xf>
    <xf numFmtId="0" fontId="102" fillId="79" borderId="124" applyNumberFormat="0" applyAlignment="0" applyProtection="0"/>
    <xf numFmtId="0" fontId="114" fillId="79" borderId="126" applyNumberFormat="0" applyAlignment="0" applyProtection="0"/>
    <xf numFmtId="0" fontId="18" fillId="34" borderId="123" applyNumberFormat="0" applyProtection="0">
      <alignment horizontal="left" vertical="top" indent="1"/>
    </xf>
    <xf numFmtId="4" fontId="47" fillId="42" borderId="123" applyNumberFormat="0" applyProtection="0">
      <alignment horizontal="right" vertical="center"/>
    </xf>
    <xf numFmtId="0" fontId="18" fillId="50" borderId="123" applyNumberFormat="0" applyProtection="0">
      <alignment horizontal="left" vertical="top" indent="1"/>
    </xf>
    <xf numFmtId="4" fontId="47" fillId="0" borderId="123" applyNumberFormat="0" applyProtection="0">
      <alignment horizontal="right" vertical="center"/>
    </xf>
    <xf numFmtId="0" fontId="110" fillId="77" borderId="124" applyNumberFormat="0" applyAlignment="0" applyProtection="0"/>
    <xf numFmtId="0" fontId="24" fillId="59" borderId="128" applyNumberFormat="0" applyFont="0" applyAlignment="0" applyProtection="0">
      <protection locked="0"/>
    </xf>
    <xf numFmtId="0" fontId="18" fillId="34" borderId="123" applyNumberFormat="0" applyProtection="0">
      <alignment horizontal="left" vertical="top" indent="1"/>
    </xf>
    <xf numFmtId="0" fontId="18" fillId="34" borderId="123" applyNumberFormat="0" applyProtection="0">
      <alignment horizontal="left" vertical="center" indent="1"/>
    </xf>
    <xf numFmtId="0" fontId="18" fillId="76" borderId="125" applyNumberFormat="0" applyFont="0" applyAlignment="0" applyProtection="0"/>
    <xf numFmtId="4" fontId="27" fillId="37" borderId="123" applyNumberFormat="0" applyProtection="0">
      <alignment vertical="center"/>
    </xf>
    <xf numFmtId="4" fontId="47" fillId="0" borderId="123" applyNumberFormat="0" applyProtection="0">
      <alignment horizontal="right" vertical="center"/>
    </xf>
    <xf numFmtId="0" fontId="18" fillId="76" borderId="125" applyNumberFormat="0" applyFont="0" applyAlignment="0" applyProtection="0"/>
    <xf numFmtId="0" fontId="114" fillId="79" borderId="116" applyNumberFormat="0" applyAlignment="0" applyProtection="0"/>
    <xf numFmtId="0" fontId="114" fillId="79" borderId="116" applyNumberFormat="0" applyAlignment="0" applyProtection="0"/>
    <xf numFmtId="0" fontId="105" fillId="0" borderId="127" applyNumberFormat="0" applyFill="0" applyAlignment="0" applyProtection="0"/>
    <xf numFmtId="0" fontId="18" fillId="76" borderId="115" applyNumberFormat="0" applyFont="0" applyAlignment="0" applyProtection="0"/>
    <xf numFmtId="0" fontId="18" fillId="76" borderId="115" applyNumberFormat="0" applyFont="0" applyAlignment="0" applyProtection="0"/>
    <xf numFmtId="4" fontId="47" fillId="35" borderId="123" applyNumberFormat="0" applyProtection="0">
      <alignment vertical="center"/>
    </xf>
    <xf numFmtId="0" fontId="18" fillId="50" borderId="123" applyNumberFormat="0" applyProtection="0">
      <alignment horizontal="left" vertical="center" indent="1"/>
    </xf>
    <xf numFmtId="4" fontId="46" fillId="38" borderId="123" applyNumberFormat="0" applyProtection="0">
      <alignment vertical="center"/>
    </xf>
    <xf numFmtId="0" fontId="114" fillId="79" borderId="126" applyNumberFormat="0" applyAlignment="0" applyProtection="0"/>
    <xf numFmtId="0" fontId="114" fillId="79" borderId="126" applyNumberFormat="0" applyAlignment="0" applyProtection="0"/>
    <xf numFmtId="4" fontId="47" fillId="0" borderId="123" applyNumberFormat="0" applyProtection="0">
      <alignment horizontal="left" vertical="center" indent="1"/>
    </xf>
    <xf numFmtId="0" fontId="18" fillId="51" borderId="123" applyNumberFormat="0" applyProtection="0">
      <alignment horizontal="left" vertical="center" indent="1"/>
    </xf>
    <xf numFmtId="0" fontId="18" fillId="49" borderId="123" applyNumberFormat="0" applyProtection="0">
      <alignment horizontal="left" vertical="top" indent="1"/>
    </xf>
    <xf numFmtId="4" fontId="47" fillId="47" borderId="123" applyNumberFormat="0" applyProtection="0">
      <alignment horizontal="right" vertical="center"/>
    </xf>
    <xf numFmtId="4" fontId="47" fillId="45" borderId="123" applyNumberFormat="0" applyProtection="0">
      <alignment horizontal="right" vertical="center"/>
    </xf>
    <xf numFmtId="4" fontId="47" fillId="35" borderId="123" applyNumberFormat="0" applyProtection="0">
      <alignment vertical="center"/>
    </xf>
    <xf numFmtId="0" fontId="105" fillId="0" borderId="127" applyNumberFormat="0" applyFill="0" applyAlignment="0" applyProtection="0"/>
    <xf numFmtId="0" fontId="18" fillId="76" borderId="125" applyNumberFormat="0" applyFont="0" applyAlignment="0" applyProtection="0"/>
    <xf numFmtId="4" fontId="51" fillId="35" borderId="123" applyNumberFormat="0" applyProtection="0">
      <alignment vertical="center"/>
    </xf>
    <xf numFmtId="0" fontId="47" fillId="34" borderId="123" applyNumberFormat="0" applyProtection="0">
      <alignment horizontal="left" vertical="top"/>
    </xf>
    <xf numFmtId="4" fontId="27" fillId="37" borderId="123" applyNumberFormat="0" applyProtection="0">
      <alignment vertical="center"/>
    </xf>
    <xf numFmtId="0" fontId="114" fillId="79" borderId="126" applyNumberFormat="0" applyAlignment="0" applyProtection="0"/>
    <xf numFmtId="0" fontId="105" fillId="0" borderId="127" applyNumberFormat="0" applyFill="0" applyAlignment="0" applyProtection="0"/>
    <xf numFmtId="0" fontId="18" fillId="85" borderId="123" applyNumberFormat="0" applyProtection="0">
      <alignment horizontal="left" vertical="top" indent="1"/>
    </xf>
    <xf numFmtId="0" fontId="18" fillId="49" borderId="123" applyNumberFormat="0" applyProtection="0">
      <alignment horizontal="left" vertical="top" indent="1"/>
    </xf>
    <xf numFmtId="0" fontId="114" fillId="79" borderId="126" applyNumberFormat="0" applyAlignment="0" applyProtection="0"/>
    <xf numFmtId="0" fontId="114" fillId="79" borderId="126" applyNumberFormat="0" applyAlignment="0" applyProtection="0"/>
    <xf numFmtId="0" fontId="18" fillId="51" borderId="123" applyNumberFormat="0" applyProtection="0">
      <alignment horizontal="left" vertical="center" indent="1"/>
    </xf>
    <xf numFmtId="0" fontId="114" fillId="79" borderId="126" applyNumberFormat="0" applyAlignment="0" applyProtection="0"/>
    <xf numFmtId="0" fontId="18" fillId="85" borderId="123" applyNumberFormat="0" applyProtection="0">
      <alignment horizontal="left" vertical="top" indent="1"/>
    </xf>
    <xf numFmtId="4" fontId="47" fillId="0" borderId="123" applyNumberFormat="0" applyProtection="0">
      <alignment horizontal="left" vertical="center" indent="1"/>
    </xf>
    <xf numFmtId="0" fontId="18" fillId="50" borderId="123" applyNumberFormat="0" applyProtection="0">
      <alignment horizontal="left" vertical="top" indent="1"/>
    </xf>
    <xf numFmtId="0" fontId="18" fillId="85" borderId="123" applyNumberFormat="0" applyProtection="0">
      <alignment horizontal="left" vertical="top" indent="1"/>
    </xf>
    <xf numFmtId="0" fontId="105" fillId="0" borderId="127" applyNumberFormat="0" applyFill="0" applyAlignment="0" applyProtection="0"/>
    <xf numFmtId="0" fontId="27" fillId="38" borderId="123" applyNumberFormat="0" applyProtection="0">
      <alignment horizontal="left" vertical="top" indent="1"/>
    </xf>
    <xf numFmtId="0" fontId="18" fillId="0" borderId="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76" borderId="125" applyNumberFormat="0" applyFont="0" applyAlignment="0" applyProtection="0"/>
    <xf numFmtId="0" fontId="18" fillId="50" borderId="123" applyNumberFormat="0" applyProtection="0">
      <alignment horizontal="left" vertical="top" indent="1"/>
    </xf>
    <xf numFmtId="0" fontId="27" fillId="38" borderId="123" applyNumberFormat="0" applyProtection="0">
      <alignment horizontal="left" vertical="top" indent="1"/>
    </xf>
    <xf numFmtId="0" fontId="18" fillId="55" borderId="123" applyNumberFormat="0" applyProtection="0">
      <alignment horizontal="left" vertical="top" indent="1"/>
    </xf>
    <xf numFmtId="0" fontId="18" fillId="85" borderId="123" applyNumberFormat="0" applyProtection="0">
      <alignment horizontal="left" vertical="top" indent="1"/>
    </xf>
    <xf numFmtId="0" fontId="18" fillId="84" borderId="123" applyNumberFormat="0" applyProtection="0">
      <alignment horizontal="left" vertical="center" indent="1"/>
    </xf>
    <xf numFmtId="4" fontId="47" fillId="41" borderId="123" applyNumberFormat="0" applyProtection="0">
      <alignment horizontal="right" vertical="center"/>
    </xf>
    <xf numFmtId="0" fontId="18" fillId="55" borderId="123" applyNumberFormat="0" applyProtection="0">
      <alignment horizontal="left" vertical="center" indent="1"/>
    </xf>
    <xf numFmtId="0" fontId="18" fillId="84" borderId="123" applyNumberFormat="0" applyProtection="0">
      <alignment horizontal="left" vertical="center" indent="1"/>
    </xf>
    <xf numFmtId="0" fontId="47" fillId="34" borderId="123" applyNumberFormat="0" applyProtection="0">
      <alignment horizontal="left" vertical="top"/>
    </xf>
    <xf numFmtId="0" fontId="102" fillId="79" borderId="124" applyNumberFormat="0" applyAlignment="0" applyProtection="0"/>
    <xf numFmtId="0" fontId="18" fillId="54" borderId="123" applyNumberFormat="0" applyProtection="0">
      <alignment horizontal="left" vertical="top" indent="1"/>
    </xf>
    <xf numFmtId="0" fontId="110" fillId="77" borderId="124" applyNumberFormat="0" applyAlignment="0" applyProtection="0"/>
    <xf numFmtId="0" fontId="18" fillId="55" borderId="123" applyNumberFormat="0" applyProtection="0">
      <alignment horizontal="left" vertical="top" indent="1"/>
    </xf>
    <xf numFmtId="4" fontId="47" fillId="46" borderId="123" applyNumberFormat="0" applyProtection="0">
      <alignment horizontal="right" vertical="center"/>
    </xf>
    <xf numFmtId="4" fontId="51" fillId="35" borderId="123" applyNumberFormat="0" applyProtection="0">
      <alignment vertical="center"/>
    </xf>
    <xf numFmtId="0" fontId="18" fillId="55" borderId="123" applyNumberFormat="0" applyProtection="0">
      <alignment horizontal="left" vertical="center" indent="1"/>
    </xf>
    <xf numFmtId="4" fontId="47" fillId="35" borderId="123" applyNumberFormat="0" applyProtection="0">
      <alignment vertical="center"/>
    </xf>
    <xf numFmtId="0" fontId="18" fillId="55" borderId="123" applyNumberFormat="0" applyProtection="0">
      <alignment horizontal="left" vertical="center" indent="1"/>
    </xf>
    <xf numFmtId="0" fontId="18" fillId="50" borderId="123" applyNumberFormat="0" applyProtection="0">
      <alignment horizontal="left" vertical="top" indent="1"/>
    </xf>
    <xf numFmtId="0" fontId="110" fillId="77" borderId="124" applyNumberFormat="0" applyAlignment="0" applyProtection="0"/>
    <xf numFmtId="4" fontId="47" fillId="42" borderId="123" applyNumberFormat="0" applyProtection="0">
      <alignment horizontal="right" vertical="center"/>
    </xf>
    <xf numFmtId="0" fontId="105" fillId="0" borderId="127" applyNumberFormat="0" applyFill="0" applyAlignment="0" applyProtection="0"/>
    <xf numFmtId="0" fontId="18" fillId="50" borderId="123" applyNumberFormat="0" applyProtection="0">
      <alignment horizontal="left" vertical="center" indent="1"/>
    </xf>
    <xf numFmtId="0" fontId="24" fillId="59" borderId="128" applyNumberFormat="0" applyFont="0" applyAlignment="0" applyProtection="0">
      <protection locked="0"/>
    </xf>
    <xf numFmtId="0" fontId="18" fillId="50" borderId="123" applyNumberFormat="0" applyProtection="0">
      <alignment horizontal="left" vertical="center" indent="1"/>
    </xf>
    <xf numFmtId="0" fontId="18" fillId="34" borderId="123" applyNumberFormat="0" applyProtection="0">
      <alignment horizontal="left" vertical="center" indent="1"/>
    </xf>
    <xf numFmtId="0" fontId="110" fillId="77" borderId="120" applyNumberFormat="0" applyAlignment="0" applyProtection="0"/>
    <xf numFmtId="4" fontId="27" fillId="38" borderId="123" applyNumberFormat="0" applyProtection="0">
      <alignment vertical="center"/>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55" borderId="123" applyNumberFormat="0" applyProtection="0">
      <alignment horizontal="left" vertical="top" indent="1"/>
    </xf>
    <xf numFmtId="0" fontId="18" fillId="0" borderId="0"/>
    <xf numFmtId="0" fontId="18" fillId="0" borderId="0"/>
    <xf numFmtId="9" fontId="18" fillId="0" borderId="0" applyFont="0" applyFill="0" applyBorder="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27" fillId="34" borderId="106" applyNumberFormat="0" applyProtection="0"/>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4" fontId="25" fillId="49" borderId="106" applyNumberFormat="0" applyProtection="0">
      <alignment horizontal="right" vertical="center"/>
    </xf>
    <xf numFmtId="0" fontId="18" fillId="0" borderId="0"/>
    <xf numFmtId="0" fontId="102" fillId="79" borderId="120" applyNumberFormat="0" applyAlignment="0" applyProtection="0"/>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vertical="center"/>
    </xf>
    <xf numFmtId="4" fontId="27" fillId="34" borderId="106" applyNumberFormat="0" applyProtection="0"/>
    <xf numFmtId="4" fontId="27" fillId="34" borderId="106" applyNumberFormat="0" applyProtection="0"/>
    <xf numFmtId="4" fontId="27" fillId="34" borderId="106" applyNumberFormat="0" applyProtection="0"/>
    <xf numFmtId="4" fontId="27" fillId="34" borderId="106" applyNumberFormat="0" applyProtection="0"/>
    <xf numFmtId="4" fontId="27" fillId="34" borderId="77" applyNumberFormat="0" applyProtection="0">
      <alignment vertical="center"/>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59"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center"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0" fillId="77" borderId="120" applyNumberFormat="0" applyAlignment="0" applyProtection="0"/>
    <xf numFmtId="4" fontId="47" fillId="51" borderId="106" applyNumberFormat="0" applyProtection="0">
      <alignment horizontal="left" vertical="center" indent="1"/>
    </xf>
    <xf numFmtId="0" fontId="18" fillId="0" borderId="0"/>
    <xf numFmtId="4" fontId="27" fillId="38" borderId="106" applyNumberFormat="0" applyProtection="0">
      <alignment horizontal="left" vertical="center" indent="1"/>
    </xf>
    <xf numFmtId="4" fontId="47" fillId="0"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0" fontId="105" fillId="0" borderId="127" applyNumberFormat="0" applyFill="0" applyAlignment="0" applyProtection="0"/>
    <xf numFmtId="0" fontId="110" fillId="77" borderId="120" applyNumberFormat="0" applyAlignment="0" applyProtection="0"/>
    <xf numFmtId="4" fontId="27" fillId="38" borderId="123" applyNumberFormat="0" applyProtection="0">
      <alignment vertical="center"/>
    </xf>
    <xf numFmtId="0" fontId="18" fillId="0" borderId="0"/>
    <xf numFmtId="4" fontId="27" fillId="34" borderId="77" applyNumberFormat="0" applyProtection="0">
      <alignment vertical="center"/>
    </xf>
    <xf numFmtId="0" fontId="18" fillId="0" borderId="0"/>
    <xf numFmtId="0" fontId="18" fillId="0" borderId="0"/>
    <xf numFmtId="0" fontId="18" fillId="0" borderId="0"/>
    <xf numFmtId="0" fontId="18" fillId="0" borderId="0"/>
    <xf numFmtId="0" fontId="102" fillId="79" borderId="120" applyNumberFormat="0" applyAlignment="0" applyProtection="0"/>
    <xf numFmtId="4" fontId="27" fillId="34" borderId="77" applyNumberFormat="0" applyProtection="0">
      <alignment vertical="center"/>
    </xf>
    <xf numFmtId="0" fontId="110" fillId="77" borderId="120" applyNumberFormat="0" applyAlignment="0" applyProtection="0"/>
    <xf numFmtId="0" fontId="18" fillId="0" borderId="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49" borderId="123" applyNumberFormat="0" applyProtection="0">
      <alignment horizontal="left" vertical="center" indent="1"/>
    </xf>
    <xf numFmtId="0" fontId="102" fillId="79" borderId="124" applyNumberFormat="0" applyAlignment="0" applyProtection="0"/>
    <xf numFmtId="0" fontId="18" fillId="76" borderId="115" applyNumberFormat="0" applyFont="0" applyAlignment="0" applyProtection="0"/>
    <xf numFmtId="0" fontId="18" fillId="50" borderId="123" applyNumberFormat="0" applyProtection="0">
      <alignment horizontal="left" vertical="top" indent="1"/>
    </xf>
    <xf numFmtId="0" fontId="18" fillId="76" borderId="125" applyNumberFormat="0" applyFont="0" applyAlignment="0" applyProtection="0"/>
    <xf numFmtId="4" fontId="27" fillId="38" borderId="123" applyNumberFormat="0" applyProtection="0">
      <alignment horizontal="left" vertical="center" indent="1"/>
    </xf>
    <xf numFmtId="0" fontId="110" fillId="77" borderId="124" applyNumberFormat="0" applyAlignment="0" applyProtection="0"/>
    <xf numFmtId="4" fontId="27" fillId="34" borderId="130" applyNumberFormat="0" applyProtection="0">
      <alignment vertical="center"/>
    </xf>
    <xf numFmtId="4" fontId="47" fillId="0" borderId="123" applyNumberFormat="0" applyProtection="0">
      <alignment horizontal="left" vertical="center" indent="1"/>
    </xf>
    <xf numFmtId="0" fontId="114" fillId="79" borderId="126" applyNumberFormat="0" applyAlignment="0" applyProtection="0"/>
    <xf numFmtId="0" fontId="105" fillId="0" borderId="127" applyNumberFormat="0" applyFill="0" applyAlignment="0" applyProtection="0"/>
    <xf numFmtId="4" fontId="47" fillId="51" borderId="123" applyNumberFormat="0" applyProtection="0">
      <alignment horizontal="right" vertical="center"/>
    </xf>
    <xf numFmtId="4" fontId="25" fillId="49" borderId="123" applyNumberFormat="0" applyProtection="0">
      <alignment horizontal="right" vertical="center"/>
    </xf>
    <xf numFmtId="4" fontId="47" fillId="46" borderId="123" applyNumberFormat="0" applyProtection="0">
      <alignment horizontal="right" vertical="center"/>
    </xf>
    <xf numFmtId="0" fontId="102" fillId="79" borderId="124" applyNumberFormat="0" applyAlignment="0" applyProtection="0"/>
    <xf numFmtId="0" fontId="114" fillId="79" borderId="126" applyNumberFormat="0" applyAlignment="0" applyProtection="0"/>
    <xf numFmtId="4" fontId="47" fillId="41" borderId="123" applyNumberFormat="0" applyProtection="0">
      <alignment horizontal="right" vertical="center"/>
    </xf>
    <xf numFmtId="0" fontId="18" fillId="50" borderId="123" applyNumberFormat="0" applyProtection="0">
      <alignment horizontal="left" vertical="center" indent="1"/>
    </xf>
    <xf numFmtId="4" fontId="27" fillId="34" borderId="123" applyNumberFormat="0" applyProtection="0"/>
    <xf numFmtId="0" fontId="18" fillId="76" borderId="125" applyNumberFormat="0" applyFont="0" applyAlignment="0" applyProtection="0"/>
    <xf numFmtId="4" fontId="47" fillId="44" borderId="123" applyNumberFormat="0" applyProtection="0">
      <alignment horizontal="right" vertical="center"/>
    </xf>
    <xf numFmtId="0" fontId="18" fillId="55" borderId="123" applyNumberFormat="0" applyProtection="0">
      <alignment horizontal="left" vertical="center" indent="1"/>
    </xf>
    <xf numFmtId="0" fontId="110" fillId="77" borderId="124" applyNumberFormat="0" applyAlignment="0" applyProtection="0"/>
    <xf numFmtId="0" fontId="18" fillId="85" borderId="123" applyNumberFormat="0" applyProtection="0">
      <alignment horizontal="left" vertical="top" indent="1"/>
    </xf>
    <xf numFmtId="0" fontId="18" fillId="55" borderId="123" applyNumberFormat="0" applyProtection="0">
      <alignment horizontal="left" vertical="center" indent="1"/>
    </xf>
    <xf numFmtId="0" fontId="110" fillId="77" borderId="124" applyNumberFormat="0" applyAlignment="0" applyProtection="0"/>
    <xf numFmtId="4" fontId="47" fillId="0" borderId="123" applyNumberFormat="0" applyProtection="0">
      <alignment horizontal="left" vertical="center" indent="1"/>
    </xf>
    <xf numFmtId="4" fontId="47" fillId="35" borderId="123" applyNumberFormat="0" applyProtection="0">
      <alignment vertical="center"/>
    </xf>
    <xf numFmtId="0" fontId="102" fillId="79" borderId="120" applyNumberFormat="0" applyAlignment="0" applyProtection="0"/>
    <xf numFmtId="0" fontId="110" fillId="77" borderId="120" applyNumberFormat="0" applyAlignment="0" applyProtection="0"/>
    <xf numFmtId="4" fontId="27" fillId="34" borderId="123" applyNumberFormat="0" applyProtection="0"/>
    <xf numFmtId="0" fontId="18" fillId="0" borderId="0" applyFill="0" applyBorder="0" applyProtection="0">
      <alignment horizontal="right"/>
    </xf>
    <xf numFmtId="0" fontId="114" fillId="79" borderId="116" applyNumberFormat="0" applyAlignment="0" applyProtection="0"/>
    <xf numFmtId="4" fontId="47" fillId="42" borderId="123" applyNumberFormat="0" applyProtection="0">
      <alignment horizontal="right" vertical="center"/>
    </xf>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47" fillId="35" borderId="123" applyNumberFormat="0" applyProtection="0">
      <alignment horizontal="left" vertical="top" indent="1"/>
    </xf>
    <xf numFmtId="0" fontId="18" fillId="50" borderId="123" applyNumberFormat="0" applyProtection="0">
      <alignment horizontal="left" vertical="top" indent="1"/>
    </xf>
    <xf numFmtId="0" fontId="110" fillId="77" borderId="124" applyNumberFormat="0" applyAlignment="0" applyProtection="0"/>
    <xf numFmtId="0" fontId="18" fillId="54" borderId="123" applyNumberFormat="0" applyProtection="0">
      <alignment horizontal="left" vertical="center" indent="1"/>
    </xf>
    <xf numFmtId="0" fontId="114" fillId="79" borderId="126" applyNumberFormat="0" applyAlignment="0" applyProtection="0"/>
    <xf numFmtId="0" fontId="18" fillId="85" borderId="123" applyNumberFormat="0" applyProtection="0">
      <alignment horizontal="left" vertical="top" indent="1"/>
    </xf>
    <xf numFmtId="0" fontId="18" fillId="84" borderId="123" applyNumberFormat="0" applyProtection="0">
      <alignment horizontal="left" vertical="center" indent="1"/>
    </xf>
    <xf numFmtId="0" fontId="47" fillId="35" borderId="123" applyNumberFormat="0" applyProtection="0">
      <alignment horizontal="left" vertical="top" indent="1"/>
    </xf>
    <xf numFmtId="0" fontId="26" fillId="0" borderId="129">
      <alignment horizontal="left" vertical="center"/>
    </xf>
    <xf numFmtId="4" fontId="47" fillId="0" borderId="123" applyNumberFormat="0" applyProtection="0">
      <alignment horizontal="left" vertical="center" indent="1"/>
    </xf>
    <xf numFmtId="0" fontId="105" fillId="0" borderId="127" applyNumberFormat="0" applyFill="0" applyAlignment="0" applyProtection="0"/>
    <xf numFmtId="0" fontId="18" fillId="85" borderId="123" applyNumberFormat="0" applyProtection="0">
      <alignment horizontal="left" vertical="center" indent="1"/>
    </xf>
    <xf numFmtId="0" fontId="47" fillId="35" borderId="123" applyNumberFormat="0" applyProtection="0">
      <alignment horizontal="left" vertical="top" indent="1"/>
    </xf>
    <xf numFmtId="4" fontId="47" fillId="43" borderId="123" applyNumberFormat="0" applyProtection="0">
      <alignment horizontal="right" vertical="center"/>
    </xf>
    <xf numFmtId="4" fontId="47" fillId="0" borderId="123" applyNumberFormat="0" applyProtection="0">
      <alignment horizontal="right" vertical="center"/>
    </xf>
    <xf numFmtId="0" fontId="18" fillId="76" borderId="125" applyNumberFormat="0" applyFont="0" applyAlignment="0" applyProtection="0"/>
    <xf numFmtId="0" fontId="18" fillId="51" borderId="123" applyNumberFormat="0" applyProtection="0">
      <alignment horizontal="left" vertical="center" indent="1"/>
    </xf>
    <xf numFmtId="0" fontId="18" fillId="85" borderId="123" applyNumberFormat="0" applyProtection="0">
      <alignment horizontal="left" vertical="center" indent="1"/>
    </xf>
    <xf numFmtId="0" fontId="102" fillId="79" borderId="124" applyNumberFormat="0" applyAlignment="0" applyProtection="0"/>
    <xf numFmtId="4" fontId="47" fillId="43" borderId="123" applyNumberFormat="0" applyProtection="0">
      <alignment horizontal="right" vertical="center"/>
    </xf>
    <xf numFmtId="0" fontId="18" fillId="54" borderId="123" applyNumberFormat="0" applyProtection="0">
      <alignment horizontal="left" vertical="center" indent="1"/>
    </xf>
    <xf numFmtId="0" fontId="18" fillId="49" borderId="123" applyNumberFormat="0" applyProtection="0">
      <alignment horizontal="left" vertical="center" indent="1"/>
    </xf>
    <xf numFmtId="4" fontId="27" fillId="38" borderId="123" applyNumberFormat="0" applyProtection="0">
      <alignment horizontal="left" vertical="center" indent="1"/>
    </xf>
    <xf numFmtId="4" fontId="47" fillId="43" borderId="123" applyNumberFormat="0" applyProtection="0">
      <alignment horizontal="right" vertical="center"/>
    </xf>
    <xf numFmtId="4" fontId="47" fillId="35" borderId="123" applyNumberFormat="0" applyProtection="0">
      <alignment vertical="center"/>
    </xf>
    <xf numFmtId="0" fontId="18" fillId="76" borderId="125" applyNumberFormat="0" applyFont="0" applyAlignment="0" applyProtection="0"/>
    <xf numFmtId="0" fontId="18" fillId="76" borderId="125" applyNumberFormat="0" applyFont="0" applyAlignment="0" applyProtection="0"/>
    <xf numFmtId="4" fontId="46" fillId="38" borderId="123" applyNumberFormat="0" applyProtection="0">
      <alignment vertical="center"/>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47" fillId="35" borderId="123" applyNumberFormat="0" applyProtection="0">
      <alignment horizontal="left" vertical="center" indent="1"/>
    </xf>
    <xf numFmtId="0" fontId="18" fillId="76" borderId="115" applyNumberFormat="0" applyFont="0" applyAlignment="0" applyProtection="0"/>
    <xf numFmtId="4" fontId="25" fillId="49" borderId="123" applyNumberFormat="0" applyProtection="0">
      <alignment horizontal="right" vertical="center"/>
    </xf>
    <xf numFmtId="0" fontId="18" fillId="50" borderId="123" applyNumberFormat="0" applyProtection="0">
      <alignment horizontal="left" vertical="top" indent="1"/>
    </xf>
    <xf numFmtId="4" fontId="47" fillId="39" borderId="123" applyNumberFormat="0" applyProtection="0">
      <alignment horizontal="right" vertical="center"/>
    </xf>
    <xf numFmtId="0" fontId="18" fillId="85" borderId="123" applyNumberFormat="0" applyProtection="0">
      <alignment horizontal="left" vertical="top" indent="1"/>
    </xf>
    <xf numFmtId="0" fontId="63" fillId="59" borderId="128" applyNumberFormat="0" applyFont="0" applyFill="0" applyAlignment="0" applyProtection="0">
      <protection locked="0"/>
    </xf>
    <xf numFmtId="0" fontId="18" fillId="34" borderId="123" applyNumberFormat="0" applyProtection="0">
      <alignment horizontal="left" vertical="center" indent="1"/>
    </xf>
    <xf numFmtId="0" fontId="18" fillId="49" borderId="123" applyNumberFormat="0" applyProtection="0">
      <alignment horizontal="left" vertical="center" indent="1"/>
    </xf>
    <xf numFmtId="0" fontId="114" fillId="79" borderId="126" applyNumberFormat="0" applyAlignment="0" applyProtection="0"/>
    <xf numFmtId="4" fontId="27" fillId="38" borderId="123" applyNumberFormat="0" applyProtection="0">
      <alignment horizontal="left" vertical="center" indent="1"/>
    </xf>
    <xf numFmtId="4" fontId="47" fillId="39" borderId="123" applyNumberFormat="0" applyProtection="0">
      <alignment horizontal="right" vertical="center"/>
    </xf>
    <xf numFmtId="0" fontId="110" fillId="77" borderId="124" applyNumberFormat="0" applyAlignment="0" applyProtection="0"/>
    <xf numFmtId="0" fontId="18" fillId="84" borderId="123" applyNumberFormat="0" applyProtection="0">
      <alignment horizontal="left" vertical="top" indent="1"/>
    </xf>
    <xf numFmtId="0" fontId="18" fillId="85" borderId="123" applyNumberFormat="0" applyProtection="0">
      <alignment horizontal="left" vertical="center" indent="1"/>
    </xf>
    <xf numFmtId="0" fontId="114" fillId="79" borderId="126" applyNumberFormat="0" applyAlignment="0" applyProtection="0"/>
    <xf numFmtId="4" fontId="47" fillId="46" borderId="123" applyNumberFormat="0" applyProtection="0">
      <alignment horizontal="right" vertical="center"/>
    </xf>
    <xf numFmtId="0" fontId="18" fillId="34" borderId="123" applyNumberFormat="0" applyProtection="0">
      <alignment horizontal="left" vertical="center" indent="1"/>
    </xf>
    <xf numFmtId="0" fontId="102" fillId="79" borderId="124" applyNumberFormat="0" applyAlignment="0" applyProtection="0"/>
    <xf numFmtId="0" fontId="18" fillId="84" borderId="123" applyNumberFormat="0" applyProtection="0">
      <alignment horizontal="left" vertical="top" indent="1"/>
    </xf>
    <xf numFmtId="4" fontId="47" fillId="51" borderId="123" applyNumberFormat="0" applyProtection="0">
      <alignment horizontal="right" vertical="center"/>
    </xf>
    <xf numFmtId="0" fontId="18" fillId="49" borderId="123" applyNumberFormat="0" applyProtection="0">
      <alignment horizontal="left" vertical="center" indent="1"/>
    </xf>
    <xf numFmtId="0" fontId="18" fillId="50" borderId="123" applyNumberFormat="0" applyProtection="0">
      <alignment horizontal="left" vertical="center" indent="1"/>
    </xf>
    <xf numFmtId="4" fontId="27" fillId="34" borderId="123" applyNumberFormat="0" applyProtection="0"/>
    <xf numFmtId="0" fontId="18" fillId="55" borderId="123" applyNumberFormat="0" applyProtection="0">
      <alignment horizontal="left" vertical="center" indent="1"/>
    </xf>
    <xf numFmtId="4" fontId="47" fillId="0" borderId="123" applyNumberFormat="0" applyProtection="0">
      <alignment horizontal="left" vertical="center" indent="1"/>
    </xf>
    <xf numFmtId="0" fontId="47" fillId="34" borderId="123" applyNumberFormat="0" applyProtection="0">
      <alignment horizontal="left" vertical="top"/>
    </xf>
    <xf numFmtId="4" fontId="47" fillId="40" borderId="123" applyNumberFormat="0" applyProtection="0">
      <alignment horizontal="right" vertical="center"/>
    </xf>
    <xf numFmtId="0" fontId="47" fillId="35" borderId="123" applyNumberFormat="0" applyProtection="0">
      <alignment horizontal="left" vertical="top" indent="1"/>
    </xf>
    <xf numFmtId="0" fontId="18" fillId="76" borderId="125" applyNumberFormat="0" applyFont="0" applyAlignment="0" applyProtection="0"/>
    <xf numFmtId="4" fontId="47" fillId="40" borderId="123" applyNumberFormat="0" applyProtection="0">
      <alignment horizontal="right" vertical="center"/>
    </xf>
    <xf numFmtId="0" fontId="18" fillId="50" borderId="123" applyNumberFormat="0" applyProtection="0">
      <alignment horizontal="left" vertical="center" indent="1"/>
    </xf>
    <xf numFmtId="0" fontId="18" fillId="76" borderId="125" applyNumberFormat="0" applyFont="0" applyAlignment="0" applyProtection="0"/>
    <xf numFmtId="0" fontId="114" fillId="79" borderId="126" applyNumberFormat="0" applyAlignment="0" applyProtection="0"/>
    <xf numFmtId="4" fontId="47" fillId="51" borderId="123" applyNumberFormat="0" applyProtection="0">
      <alignment horizontal="right" vertical="center"/>
    </xf>
    <xf numFmtId="4" fontId="27" fillId="34" borderId="130" applyNumberFormat="0" applyProtection="0">
      <alignment vertical="center"/>
    </xf>
    <xf numFmtId="0" fontId="18" fillId="55" borderId="123" applyNumberFormat="0" applyProtection="0">
      <alignment horizontal="left" vertical="center" indent="1"/>
    </xf>
    <xf numFmtId="0" fontId="102" fillId="79" borderId="120" applyNumberFormat="0" applyAlignment="0" applyProtection="0"/>
    <xf numFmtId="0" fontId="110" fillId="77" borderId="120" applyNumberFormat="0" applyAlignment="0" applyProtection="0"/>
    <xf numFmtId="0" fontId="114" fillId="79" borderId="116" applyNumberFormat="0" applyAlignment="0" applyProtection="0"/>
    <xf numFmtId="4" fontId="47" fillId="0" borderId="123" applyNumberFormat="0" applyProtection="0">
      <alignment horizontal="right" vertical="center"/>
    </xf>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18" fillId="34" borderId="123" applyNumberFormat="0" applyProtection="0">
      <alignment horizontal="left" vertical="center" indent="1"/>
    </xf>
    <xf numFmtId="0" fontId="18" fillId="55" borderId="123" applyNumberFormat="0" applyProtection="0">
      <alignment horizontal="left" vertical="top" indent="1"/>
    </xf>
    <xf numFmtId="0" fontId="18" fillId="76" borderId="125" applyNumberFormat="0" applyFont="0" applyAlignment="0" applyProtection="0"/>
    <xf numFmtId="0" fontId="105" fillId="0" borderId="127" applyNumberFormat="0" applyFill="0" applyAlignment="0" applyProtection="0"/>
    <xf numFmtId="0" fontId="105" fillId="0" borderId="127" applyNumberFormat="0" applyFill="0" applyAlignment="0" applyProtection="0"/>
    <xf numFmtId="0" fontId="63" fillId="59" borderId="128" applyNumberFormat="0" applyFont="0" applyFill="0" applyAlignment="0" applyProtection="0">
      <protection locked="0"/>
    </xf>
    <xf numFmtId="0" fontId="18" fillId="51" borderId="123" applyNumberFormat="0" applyProtection="0">
      <alignment horizontal="left" vertical="top" indent="1"/>
    </xf>
    <xf numFmtId="0" fontId="105" fillId="0" borderId="127" applyNumberFormat="0" applyFill="0" applyAlignment="0" applyProtection="0"/>
    <xf numFmtId="4" fontId="47" fillId="0" borderId="123" applyNumberFormat="0" applyProtection="0">
      <alignment horizontal="left" vertical="center" indent="1"/>
    </xf>
    <xf numFmtId="0" fontId="102" fillId="79" borderId="124" applyNumberFormat="0" applyAlignment="0" applyProtection="0"/>
    <xf numFmtId="0" fontId="102" fillId="79" borderId="124" applyNumberFormat="0" applyAlignment="0" applyProtection="0"/>
    <xf numFmtId="0" fontId="18" fillId="85" borderId="123" applyNumberFormat="0" applyProtection="0">
      <alignment horizontal="left" vertical="top" indent="1"/>
    </xf>
    <xf numFmtId="4" fontId="51" fillId="49" borderId="123" applyNumberFormat="0" applyProtection="0">
      <alignment horizontal="right" vertical="center"/>
    </xf>
    <xf numFmtId="0" fontId="47" fillId="34" borderId="123" applyNumberFormat="0" applyProtection="0">
      <alignment horizontal="left" vertical="top"/>
    </xf>
    <xf numFmtId="4" fontId="47" fillId="0" borderId="123" applyNumberFormat="0" applyProtection="0">
      <alignment horizontal="left" vertical="center" indent="1"/>
    </xf>
    <xf numFmtId="4" fontId="25" fillId="49" borderId="123" applyNumberFormat="0" applyProtection="0">
      <alignment horizontal="right" vertical="center"/>
    </xf>
    <xf numFmtId="0" fontId="18" fillId="84" borderId="123" applyNumberFormat="0" applyProtection="0">
      <alignment horizontal="left" vertical="top" indent="1"/>
    </xf>
    <xf numFmtId="0" fontId="114" fillId="79" borderId="126" applyNumberFormat="0" applyAlignment="0" applyProtection="0"/>
    <xf numFmtId="0" fontId="18" fillId="54" borderId="123" applyNumberFormat="0" applyProtection="0">
      <alignment horizontal="left" vertical="top" indent="1"/>
    </xf>
    <xf numFmtId="4" fontId="51" fillId="49" borderId="123" applyNumberFormat="0" applyProtection="0">
      <alignment horizontal="right" vertical="center"/>
    </xf>
    <xf numFmtId="0" fontId="105" fillId="0" borderId="127" applyNumberFormat="0" applyFill="0" applyAlignment="0" applyProtection="0"/>
    <xf numFmtId="0" fontId="114" fillId="79" borderId="126" applyNumberFormat="0" applyAlignment="0" applyProtection="0"/>
    <xf numFmtId="0" fontId="18" fillId="54" borderId="123" applyNumberFormat="0" applyProtection="0">
      <alignment horizontal="left" vertical="top" indent="1"/>
    </xf>
    <xf numFmtId="0" fontId="18" fillId="50" borderId="123" applyNumberFormat="0" applyProtection="0">
      <alignment horizontal="left" vertical="top" indent="1"/>
    </xf>
    <xf numFmtId="4" fontId="47" fillId="39" borderId="123" applyNumberFormat="0" applyProtection="0">
      <alignment horizontal="right" vertical="center"/>
    </xf>
    <xf numFmtId="0" fontId="102" fillId="79" borderId="124"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47" fillId="46" borderId="123" applyNumberFormat="0" applyProtection="0">
      <alignment horizontal="right" vertical="center"/>
    </xf>
    <xf numFmtId="0" fontId="114" fillId="79" borderId="126" applyNumberFormat="0" applyAlignment="0" applyProtection="0"/>
    <xf numFmtId="0" fontId="27" fillId="38" borderId="123" applyNumberFormat="0" applyProtection="0">
      <alignment horizontal="left" vertical="top" indent="1"/>
    </xf>
    <xf numFmtId="0" fontId="18" fillId="76" borderId="115" applyNumberFormat="0" applyFont="0" applyAlignment="0" applyProtection="0"/>
    <xf numFmtId="0" fontId="18" fillId="34" borderId="123" applyNumberFormat="0" applyProtection="0">
      <alignment horizontal="left" vertical="center" indent="1"/>
    </xf>
    <xf numFmtId="4" fontId="47" fillId="41" borderId="123" applyNumberFormat="0" applyProtection="0">
      <alignment horizontal="right" vertical="center"/>
    </xf>
    <xf numFmtId="0" fontId="18" fillId="50" borderId="123" applyNumberFormat="0" applyProtection="0">
      <alignment horizontal="left" vertical="center" indent="1"/>
    </xf>
    <xf numFmtId="0" fontId="102" fillId="79" borderId="124" applyNumberFormat="0" applyAlignment="0" applyProtection="0"/>
    <xf numFmtId="0" fontId="110" fillId="77" borderId="124" applyNumberFormat="0" applyAlignment="0" applyProtection="0"/>
    <xf numFmtId="4" fontId="47" fillId="45" borderId="123" applyNumberFormat="0" applyProtection="0">
      <alignment horizontal="right" vertical="center"/>
    </xf>
    <xf numFmtId="4" fontId="51" fillId="35" borderId="123" applyNumberFormat="0" applyProtection="0">
      <alignment vertical="center"/>
    </xf>
    <xf numFmtId="0" fontId="18" fillId="84" borderId="123" applyNumberFormat="0" applyProtection="0">
      <alignment horizontal="left" vertical="center" indent="1"/>
    </xf>
    <xf numFmtId="4" fontId="25" fillId="49" borderId="123" applyNumberFormat="0" applyProtection="0">
      <alignment horizontal="right" vertical="center"/>
    </xf>
    <xf numFmtId="0" fontId="114" fillId="79" borderId="126" applyNumberFormat="0" applyAlignment="0" applyProtection="0"/>
    <xf numFmtId="0" fontId="47" fillId="35" borderId="123" applyNumberFormat="0" applyProtection="0">
      <alignment horizontal="left" vertical="top" indent="1"/>
    </xf>
    <xf numFmtId="0" fontId="105" fillId="0" borderId="127" applyNumberFormat="0" applyFill="0" applyAlignment="0" applyProtection="0"/>
    <xf numFmtId="0" fontId="18" fillId="85" borderId="123" applyNumberFormat="0" applyProtection="0">
      <alignment horizontal="left" vertical="top" indent="1"/>
    </xf>
    <xf numFmtId="0" fontId="114" fillId="79" borderId="126" applyNumberFormat="0" applyAlignment="0" applyProtection="0"/>
    <xf numFmtId="4" fontId="47" fillId="47" borderId="123" applyNumberFormat="0" applyProtection="0">
      <alignment horizontal="right" vertical="center"/>
    </xf>
    <xf numFmtId="0" fontId="47" fillId="34" borderId="123" applyNumberFormat="0" applyProtection="0">
      <alignment horizontal="left" vertical="top"/>
    </xf>
    <xf numFmtId="0" fontId="18" fillId="76" borderId="125" applyNumberFormat="0" applyFont="0" applyAlignment="0" applyProtection="0"/>
    <xf numFmtId="0" fontId="18" fillId="34" borderId="123" applyNumberFormat="0" applyProtection="0">
      <alignment horizontal="left" vertical="top" indent="1"/>
    </xf>
    <xf numFmtId="0" fontId="18" fillId="49" borderId="123" applyNumberFormat="0" applyProtection="0">
      <alignment horizontal="left" vertical="top" indent="1"/>
    </xf>
    <xf numFmtId="4" fontId="27" fillId="38" borderId="123" applyNumberFormat="0" applyProtection="0">
      <alignment horizontal="left" vertical="center" indent="1"/>
    </xf>
    <xf numFmtId="4" fontId="51" fillId="35" borderId="123" applyNumberFormat="0" applyProtection="0">
      <alignment vertical="center"/>
    </xf>
    <xf numFmtId="0" fontId="114" fillId="79" borderId="126" applyNumberFormat="0" applyAlignment="0" applyProtection="0"/>
    <xf numFmtId="0" fontId="18" fillId="85" borderId="123" applyNumberFormat="0" applyProtection="0">
      <alignment horizontal="left" vertical="center" indent="1"/>
    </xf>
    <xf numFmtId="0" fontId="18" fillId="84" borderId="123" applyNumberFormat="0" applyProtection="0">
      <alignment horizontal="left" vertical="top" indent="1"/>
    </xf>
    <xf numFmtId="4" fontId="47" fillId="35" borderId="123" applyNumberFormat="0" applyProtection="0">
      <alignment vertical="center"/>
    </xf>
    <xf numFmtId="4" fontId="47" fillId="0" borderId="123" applyNumberFormat="0" applyProtection="0">
      <alignment horizontal="right" vertical="center"/>
    </xf>
    <xf numFmtId="4" fontId="47" fillId="42" borderId="123" applyNumberFormat="0" applyProtection="0">
      <alignment horizontal="right" vertical="center"/>
    </xf>
    <xf numFmtId="0" fontId="105" fillId="0" borderId="127" applyNumberFormat="0" applyFill="0" applyAlignment="0" applyProtection="0"/>
    <xf numFmtId="0" fontId="47" fillId="34" borderId="123" applyNumberFormat="0" applyProtection="0">
      <alignment horizontal="left" vertical="top"/>
    </xf>
    <xf numFmtId="0" fontId="102" fillId="79" borderId="120" applyNumberFormat="0" applyAlignment="0" applyProtection="0"/>
    <xf numFmtId="0" fontId="114" fillId="79" borderId="116" applyNumberFormat="0" applyAlignment="0" applyProtection="0"/>
    <xf numFmtId="0" fontId="114" fillId="79" borderId="116" applyNumberFormat="0" applyAlignment="0" applyProtection="0"/>
    <xf numFmtId="0" fontId="105" fillId="0" borderId="127" applyNumberFormat="0" applyFill="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102" fillId="79" borderId="124" applyNumberFormat="0" applyAlignment="0" applyProtection="0"/>
    <xf numFmtId="4" fontId="47" fillId="51" borderId="123" applyNumberFormat="0" applyProtection="0">
      <alignment horizontal="left" vertical="center" indent="1"/>
    </xf>
    <xf numFmtId="4" fontId="47" fillId="42" borderId="123" applyNumberFormat="0" applyProtection="0">
      <alignment horizontal="right" vertical="center"/>
    </xf>
    <xf numFmtId="4" fontId="47" fillId="43" borderId="123" applyNumberFormat="0" applyProtection="0">
      <alignment horizontal="right" vertical="center"/>
    </xf>
    <xf numFmtId="0" fontId="65" fillId="0" borderId="20" applyNumberFormat="0" applyFont="0" applyFill="0" applyAlignment="0" applyProtection="0"/>
    <xf numFmtId="4" fontId="47" fillId="51" borderId="123" applyNumberFormat="0" applyProtection="0">
      <alignment horizontal="right" vertical="center"/>
    </xf>
    <xf numFmtId="4" fontId="47" fillId="43" borderId="123" applyNumberFormat="0" applyProtection="0">
      <alignment horizontal="right" vertical="center"/>
    </xf>
    <xf numFmtId="0" fontId="18" fillId="50" borderId="123" applyNumberFormat="0" applyProtection="0">
      <alignment horizontal="left" vertical="top" indent="1"/>
    </xf>
    <xf numFmtId="0" fontId="18" fillId="34" borderId="123" applyNumberFormat="0" applyProtection="0">
      <alignment horizontal="left" vertical="center" indent="1"/>
    </xf>
    <xf numFmtId="4" fontId="27" fillId="38" borderId="123" applyNumberFormat="0" applyProtection="0">
      <alignment horizontal="left" vertical="center" indent="1"/>
    </xf>
    <xf numFmtId="0" fontId="18" fillId="34" borderId="123" applyNumberFormat="0" applyProtection="0">
      <alignment horizontal="left" vertical="center" indent="1"/>
    </xf>
    <xf numFmtId="0" fontId="18" fillId="50" borderId="123" applyNumberFormat="0" applyProtection="0">
      <alignment horizontal="left" vertical="top" indent="1"/>
    </xf>
    <xf numFmtId="0" fontId="18" fillId="51" borderId="123" applyNumberFormat="0" applyProtection="0">
      <alignment horizontal="left" vertical="center" indent="1"/>
    </xf>
    <xf numFmtId="4" fontId="47" fillId="41" borderId="123" applyNumberFormat="0" applyProtection="0">
      <alignment horizontal="right" vertical="center"/>
    </xf>
    <xf numFmtId="4" fontId="47" fillId="51" borderId="123" applyNumberFormat="0" applyProtection="0">
      <alignment horizontal="right" vertical="center"/>
    </xf>
    <xf numFmtId="0" fontId="18" fillId="54" borderId="123" applyNumberFormat="0" applyProtection="0">
      <alignment horizontal="left" vertical="top" indent="1"/>
    </xf>
    <xf numFmtId="0" fontId="18" fillId="55" borderId="123" applyNumberFormat="0" applyProtection="0">
      <alignment horizontal="left" vertical="top" indent="1"/>
    </xf>
    <xf numFmtId="0" fontId="18" fillId="34" borderId="123" applyNumberFormat="0" applyProtection="0">
      <alignment horizontal="left" vertical="center" indent="1"/>
    </xf>
    <xf numFmtId="4" fontId="47" fillId="42" borderId="123" applyNumberFormat="0" applyProtection="0">
      <alignment horizontal="right" vertical="center"/>
    </xf>
    <xf numFmtId="0" fontId="18" fillId="55" borderId="123" applyNumberFormat="0" applyProtection="0">
      <alignment horizontal="left" vertical="top" indent="1"/>
    </xf>
    <xf numFmtId="0" fontId="18" fillId="84" borderId="123" applyNumberFormat="0" applyProtection="0">
      <alignment horizontal="left" vertical="top" indent="1"/>
    </xf>
    <xf numFmtId="4" fontId="51" fillId="35" borderId="123" applyNumberFormat="0" applyProtection="0">
      <alignment vertical="center"/>
    </xf>
    <xf numFmtId="0" fontId="18" fillId="34" borderId="123" applyNumberFormat="0" applyProtection="0">
      <alignment horizontal="left" vertical="top" indent="1"/>
    </xf>
    <xf numFmtId="4" fontId="47" fillId="45" borderId="123" applyNumberFormat="0" applyProtection="0">
      <alignment horizontal="right" vertical="center"/>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47" fillId="40" borderId="123" applyNumberFormat="0" applyProtection="0">
      <alignment horizontal="right" vertical="center"/>
    </xf>
    <xf numFmtId="0" fontId="47" fillId="34" borderId="123" applyNumberFormat="0" applyProtection="0">
      <alignment horizontal="left" vertical="top"/>
    </xf>
    <xf numFmtId="0" fontId="114" fillId="79" borderId="116" applyNumberFormat="0" applyAlignment="0" applyProtection="0"/>
    <xf numFmtId="0" fontId="18" fillId="51" borderId="123" applyNumberFormat="0" applyProtection="0">
      <alignment horizontal="left" vertical="center" indent="1"/>
    </xf>
    <xf numFmtId="4" fontId="27" fillId="38" borderId="123" applyNumberFormat="0" applyProtection="0">
      <alignment horizontal="left" vertical="center" indent="1"/>
    </xf>
    <xf numFmtId="0" fontId="18" fillId="34" borderId="123" applyNumberFormat="0" applyProtection="0">
      <alignment horizontal="left" vertical="center" indent="1"/>
    </xf>
    <xf numFmtId="4" fontId="27" fillId="38" borderId="123" applyNumberFormat="0" applyProtection="0">
      <alignment horizontal="left" vertical="center" indent="1"/>
    </xf>
    <xf numFmtId="0" fontId="47" fillId="34" borderId="123" applyNumberFormat="0" applyProtection="0">
      <alignment horizontal="left" vertical="top"/>
    </xf>
    <xf numFmtId="0" fontId="110" fillId="77" borderId="124" applyNumberFormat="0" applyAlignment="0" applyProtection="0"/>
    <xf numFmtId="4" fontId="46" fillId="38" borderId="123" applyNumberFormat="0" applyProtection="0">
      <alignment vertical="center"/>
    </xf>
    <xf numFmtId="0" fontId="18" fillId="34" borderId="123" applyNumberFormat="0" applyProtection="0">
      <alignment horizontal="left" vertical="center" indent="1"/>
    </xf>
    <xf numFmtId="4" fontId="47" fillId="39" borderId="123" applyNumberFormat="0" applyProtection="0">
      <alignment horizontal="right" vertical="center"/>
    </xf>
    <xf numFmtId="0" fontId="18" fillId="50" borderId="123" applyNumberFormat="0" applyProtection="0">
      <alignment horizontal="left" vertical="top" indent="1"/>
    </xf>
    <xf numFmtId="0" fontId="18" fillId="76" borderId="125" applyNumberFormat="0" applyFont="0" applyAlignment="0" applyProtection="0"/>
    <xf numFmtId="4" fontId="47" fillId="51" borderId="123" applyNumberFormat="0" applyProtection="0">
      <alignment horizontal="left" vertical="center" indent="1"/>
    </xf>
    <xf numFmtId="0" fontId="18" fillId="54" borderId="123" applyNumberFormat="0" applyProtection="0">
      <alignment horizontal="left" vertical="center" indent="1"/>
    </xf>
    <xf numFmtId="0" fontId="110" fillId="77" borderId="124" applyNumberFormat="0" applyAlignment="0" applyProtection="0"/>
    <xf numFmtId="0" fontId="105" fillId="0" borderId="127" applyNumberFormat="0" applyFill="0" applyAlignment="0" applyProtection="0"/>
    <xf numFmtId="4" fontId="47" fillId="47" borderId="123" applyNumberFormat="0" applyProtection="0">
      <alignment horizontal="right" vertical="center"/>
    </xf>
    <xf numFmtId="0" fontId="18" fillId="50" borderId="123" applyNumberFormat="0" applyProtection="0">
      <alignment horizontal="left" vertical="center" indent="1"/>
    </xf>
    <xf numFmtId="0" fontId="102" fillId="79" borderId="124" applyNumberFormat="0" applyAlignment="0" applyProtection="0"/>
    <xf numFmtId="0" fontId="47" fillId="34" borderId="123" applyNumberFormat="0" applyProtection="0">
      <alignment horizontal="left" vertical="top"/>
    </xf>
    <xf numFmtId="0" fontId="18" fillId="49" borderId="123" applyNumberFormat="0" applyProtection="0">
      <alignment horizontal="left" vertical="top" indent="1"/>
    </xf>
    <xf numFmtId="0" fontId="18" fillId="51" borderId="123" applyNumberFormat="0" applyProtection="0">
      <alignment horizontal="left" vertical="top" indent="1"/>
    </xf>
    <xf numFmtId="0" fontId="18" fillId="51" borderId="123" applyNumberFormat="0" applyProtection="0">
      <alignment horizontal="left" vertical="center" indent="1"/>
    </xf>
    <xf numFmtId="0" fontId="18" fillId="50" borderId="123" applyNumberFormat="0" applyProtection="0">
      <alignment horizontal="left" vertical="top" indent="1"/>
    </xf>
    <xf numFmtId="0" fontId="18" fillId="54" borderId="123" applyNumberFormat="0" applyProtection="0">
      <alignment horizontal="left" vertical="center" indent="1"/>
    </xf>
    <xf numFmtId="4" fontId="47" fillId="41" borderId="123" applyNumberFormat="0" applyProtection="0">
      <alignment horizontal="right" vertical="center"/>
    </xf>
    <xf numFmtId="0" fontId="18" fillId="49" borderId="123" applyNumberFormat="0" applyProtection="0">
      <alignment horizontal="left" vertical="top" indent="1"/>
    </xf>
    <xf numFmtId="0" fontId="18" fillId="84" borderId="123" applyNumberFormat="0" applyProtection="0">
      <alignment horizontal="left" vertical="center" indent="1"/>
    </xf>
    <xf numFmtId="0" fontId="18" fillId="76" borderId="125" applyNumberFormat="0" applyFont="0" applyAlignment="0" applyProtection="0"/>
    <xf numFmtId="0" fontId="105" fillId="0" borderId="127" applyNumberFormat="0" applyFill="0" applyAlignment="0" applyProtection="0"/>
    <xf numFmtId="4" fontId="27" fillId="38" borderId="123" applyNumberFormat="0" applyProtection="0">
      <alignment horizontal="left" vertical="center" indent="1"/>
    </xf>
    <xf numFmtId="0" fontId="18" fillId="84" borderId="123" applyNumberFormat="0" applyProtection="0">
      <alignment horizontal="left" vertical="top" indent="1"/>
    </xf>
    <xf numFmtId="0" fontId="114" fillId="79" borderId="116" applyNumberFormat="0" applyAlignment="0" applyProtection="0"/>
    <xf numFmtId="0" fontId="114" fillId="79" borderId="116" applyNumberFormat="0" applyAlignment="0" applyProtection="0"/>
    <xf numFmtId="0" fontId="47" fillId="34" borderId="123" applyNumberFormat="0" applyProtection="0">
      <alignment horizontal="left" vertical="top"/>
    </xf>
    <xf numFmtId="0" fontId="18" fillId="76" borderId="115" applyNumberFormat="0" applyFont="0" applyAlignment="0" applyProtection="0"/>
    <xf numFmtId="0" fontId="18" fillId="55" borderId="123" applyNumberFormat="0" applyProtection="0">
      <alignment horizontal="left" vertical="top" indent="1"/>
    </xf>
    <xf numFmtId="0" fontId="18" fillId="51" borderId="123" applyNumberFormat="0" applyProtection="0">
      <alignment horizontal="left" vertical="top" indent="1"/>
    </xf>
    <xf numFmtId="0" fontId="105" fillId="0" borderId="127" applyNumberFormat="0" applyFill="0" applyAlignment="0" applyProtection="0"/>
    <xf numFmtId="0" fontId="105" fillId="0" borderId="127" applyNumberFormat="0" applyFill="0" applyAlignment="0" applyProtection="0"/>
    <xf numFmtId="4" fontId="51" fillId="35" borderId="123" applyNumberFormat="0" applyProtection="0">
      <alignment vertical="center"/>
    </xf>
    <xf numFmtId="4" fontId="47" fillId="0" borderId="123" applyNumberFormat="0" applyProtection="0">
      <alignment horizontal="left" vertical="center" indent="1"/>
    </xf>
    <xf numFmtId="0" fontId="18" fillId="76" borderId="125" applyNumberFormat="0" applyFont="0" applyAlignment="0" applyProtection="0"/>
    <xf numFmtId="0" fontId="47" fillId="34" borderId="123" applyNumberFormat="0" applyProtection="0">
      <alignment horizontal="left" vertical="top"/>
    </xf>
    <xf numFmtId="0" fontId="105" fillId="0" borderId="127" applyNumberFormat="0" applyFill="0" applyAlignment="0" applyProtection="0"/>
    <xf numFmtId="0" fontId="18" fillId="49" borderId="123" applyNumberFormat="0" applyProtection="0">
      <alignment horizontal="left" vertical="center" indent="1"/>
    </xf>
    <xf numFmtId="4" fontId="46" fillId="38" borderId="123" applyNumberFormat="0" applyProtection="0">
      <alignment vertical="center"/>
    </xf>
    <xf numFmtId="0" fontId="110" fillId="77" borderId="124" applyNumberFormat="0" applyAlignment="0" applyProtection="0"/>
    <xf numFmtId="0" fontId="102" fillId="79" borderId="124" applyNumberFormat="0" applyAlignment="0" applyProtection="0"/>
    <xf numFmtId="0" fontId="105" fillId="0" borderId="127" applyNumberFormat="0" applyFill="0" applyAlignment="0" applyProtection="0"/>
    <xf numFmtId="0" fontId="26" fillId="0" borderId="122">
      <alignment horizontal="left" vertical="center"/>
    </xf>
    <xf numFmtId="0" fontId="26" fillId="0" borderId="129">
      <alignment horizontal="left" vertical="center"/>
    </xf>
    <xf numFmtId="0" fontId="110" fillId="77" borderId="124" applyNumberFormat="0" applyAlignment="0" applyProtection="0"/>
    <xf numFmtId="0" fontId="18" fillId="85" borderId="123" applyNumberFormat="0" applyProtection="0">
      <alignment horizontal="left" vertical="top" indent="1"/>
    </xf>
    <xf numFmtId="4" fontId="47" fillId="0" borderId="123" applyNumberFormat="0" applyProtection="0">
      <alignment horizontal="left" vertical="center" indent="1"/>
    </xf>
    <xf numFmtId="0" fontId="114" fillId="79" borderId="126" applyNumberFormat="0" applyAlignment="0" applyProtection="0"/>
    <xf numFmtId="0" fontId="18" fillId="49" borderId="123" applyNumberFormat="0" applyProtection="0">
      <alignment horizontal="left" vertical="center" indent="1"/>
    </xf>
    <xf numFmtId="0" fontId="102" fillId="79" borderId="124" applyNumberFormat="0" applyAlignment="0" applyProtection="0"/>
    <xf numFmtId="0" fontId="114" fillId="79" borderId="116" applyNumberFormat="0" applyAlignment="0" applyProtection="0"/>
    <xf numFmtId="0" fontId="114" fillId="79" borderId="116" applyNumberFormat="0" applyAlignment="0" applyProtection="0"/>
    <xf numFmtId="4" fontId="27" fillId="34" borderId="123" applyNumberFormat="0" applyProtection="0"/>
    <xf numFmtId="0" fontId="105" fillId="0" borderId="127" applyNumberFormat="0" applyFill="0" applyAlignment="0" applyProtection="0"/>
    <xf numFmtId="0" fontId="47" fillId="35" borderId="123" applyNumberFormat="0" applyProtection="0">
      <alignment horizontal="left" vertical="top" indent="1"/>
    </xf>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top" indent="1"/>
    </xf>
    <xf numFmtId="4" fontId="47" fillId="51" borderId="123" applyNumberFormat="0" applyProtection="0">
      <alignment horizontal="right" vertical="center"/>
    </xf>
    <xf numFmtId="0" fontId="18" fillId="76" borderId="125" applyNumberFormat="0" applyFont="0" applyAlignment="0" applyProtection="0"/>
    <xf numFmtId="0" fontId="18" fillId="34" borderId="123" applyNumberFormat="0" applyProtection="0">
      <alignment horizontal="left" vertical="top" indent="1"/>
    </xf>
    <xf numFmtId="0" fontId="18" fillId="34" borderId="123" applyNumberFormat="0" applyProtection="0">
      <alignment horizontal="left" vertical="top" indent="1"/>
    </xf>
    <xf numFmtId="0" fontId="114" fillId="79" borderId="126" applyNumberFormat="0" applyAlignment="0" applyProtection="0"/>
    <xf numFmtId="0" fontId="110" fillId="77" borderId="124" applyNumberFormat="0" applyAlignment="0" applyProtection="0"/>
    <xf numFmtId="0" fontId="114" fillId="79" borderId="126" applyNumberFormat="0" applyAlignment="0" applyProtection="0"/>
    <xf numFmtId="0" fontId="18" fillId="34" borderId="123" applyNumberFormat="0" applyProtection="0">
      <alignment horizontal="left" vertical="top" indent="1"/>
    </xf>
    <xf numFmtId="0" fontId="114" fillId="79" borderId="126" applyNumberFormat="0" applyAlignment="0" applyProtection="0"/>
    <xf numFmtId="0" fontId="18" fillId="34" borderId="123" applyNumberFormat="0" applyProtection="0">
      <alignment horizontal="left" vertical="top" indent="1"/>
    </xf>
    <xf numFmtId="4" fontId="47" fillId="0" borderId="123" applyNumberFormat="0" applyProtection="0">
      <alignment horizontal="left" vertical="center" indent="1"/>
    </xf>
    <xf numFmtId="0" fontId="18" fillId="84" borderId="123" applyNumberFormat="0" applyProtection="0">
      <alignment horizontal="left" vertical="center" indent="1"/>
    </xf>
    <xf numFmtId="4" fontId="27" fillId="38" borderId="123" applyNumberFormat="0" applyProtection="0">
      <alignment horizontal="left" vertical="center" indent="1"/>
    </xf>
    <xf numFmtId="0" fontId="18" fillId="84" borderId="123" applyNumberFormat="0" applyProtection="0">
      <alignment horizontal="left" vertical="top" indent="1"/>
    </xf>
    <xf numFmtId="0" fontId="47" fillId="34" borderId="123" applyNumberFormat="0" applyProtection="0">
      <alignment horizontal="center" vertical="top"/>
    </xf>
    <xf numFmtId="0" fontId="110" fillId="77" borderId="124" applyNumberFormat="0" applyAlignment="0" applyProtection="0"/>
    <xf numFmtId="4" fontId="51" fillId="49" borderId="123" applyNumberFormat="0" applyProtection="0">
      <alignment horizontal="right" vertical="center"/>
    </xf>
    <xf numFmtId="0" fontId="114" fillId="79" borderId="126" applyNumberFormat="0" applyAlignment="0" applyProtection="0"/>
    <xf numFmtId="0" fontId="18" fillId="85" borderId="123" applyNumberFormat="0" applyProtection="0">
      <alignment horizontal="left" vertical="center" indent="1"/>
    </xf>
    <xf numFmtId="0" fontId="18" fillId="55" borderId="123" applyNumberFormat="0" applyProtection="0">
      <alignment horizontal="left" vertical="top" indent="1"/>
    </xf>
    <xf numFmtId="0" fontId="18" fillId="49" borderId="123" applyNumberFormat="0" applyProtection="0">
      <alignment horizontal="left" vertical="center" indent="1"/>
    </xf>
    <xf numFmtId="4" fontId="47" fillId="0"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05" fillId="0" borderId="127" applyNumberFormat="0" applyFill="0" applyAlignment="0" applyProtection="0"/>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top" indent="1"/>
    </xf>
    <xf numFmtId="0" fontId="18" fillId="50" borderId="123" applyNumberFormat="0" applyProtection="0">
      <alignment horizontal="left" vertical="center" indent="1"/>
    </xf>
    <xf numFmtId="4" fontId="27" fillId="37" borderId="123" applyNumberFormat="0" applyProtection="0">
      <alignment vertical="center"/>
    </xf>
    <xf numFmtId="0" fontId="18" fillId="51" borderId="123" applyNumberFormat="0" applyProtection="0">
      <alignment horizontal="left" vertical="center" indent="1"/>
    </xf>
    <xf numFmtId="0" fontId="18" fillId="0" borderId="0" applyFill="0" applyBorder="0" applyProtection="0">
      <alignment horizontal="right"/>
    </xf>
    <xf numFmtId="0" fontId="18" fillId="84" borderId="123" applyNumberFormat="0" applyProtection="0">
      <alignment horizontal="left" vertical="center" indent="1"/>
    </xf>
    <xf numFmtId="4" fontId="27" fillId="37" borderId="123" applyNumberFormat="0" applyProtection="0">
      <alignment vertical="center"/>
    </xf>
    <xf numFmtId="0" fontId="18" fillId="54" borderId="123" applyNumberFormat="0" applyProtection="0">
      <alignment horizontal="left" vertical="center" indent="1"/>
    </xf>
    <xf numFmtId="0" fontId="110" fillId="77" borderId="124" applyNumberFormat="0" applyAlignment="0" applyProtection="0"/>
    <xf numFmtId="0" fontId="18" fillId="84" borderId="123" applyNumberFormat="0" applyProtection="0">
      <alignment horizontal="left" vertical="center" indent="1"/>
    </xf>
    <xf numFmtId="0" fontId="18" fillId="85" borderId="123" applyNumberFormat="0" applyProtection="0">
      <alignment horizontal="left" vertical="top" indent="1"/>
    </xf>
    <xf numFmtId="0" fontId="18" fillId="55" borderId="123" applyNumberFormat="0" applyProtection="0">
      <alignment horizontal="left" vertical="center" indent="1"/>
    </xf>
    <xf numFmtId="0" fontId="18" fillId="54" borderId="123" applyNumberFormat="0" applyProtection="0">
      <alignment horizontal="left" vertical="top" indent="1"/>
    </xf>
    <xf numFmtId="0" fontId="18" fillId="84" borderId="123" applyNumberFormat="0" applyProtection="0">
      <alignment horizontal="left" vertical="center" indent="1"/>
    </xf>
    <xf numFmtId="0" fontId="18" fillId="84" borderId="123" applyNumberFormat="0" applyProtection="0">
      <alignment horizontal="left" vertical="center" indent="1"/>
    </xf>
    <xf numFmtId="0" fontId="18" fillId="55" borderId="123" applyNumberFormat="0" applyProtection="0">
      <alignment horizontal="left" vertical="center" indent="1"/>
    </xf>
    <xf numFmtId="0" fontId="18" fillId="50" borderId="123" applyNumberFormat="0" applyProtection="0">
      <alignment horizontal="left" vertical="center" indent="1"/>
    </xf>
    <xf numFmtId="4" fontId="51" fillId="49" borderId="123" applyNumberFormat="0" applyProtection="0">
      <alignment horizontal="right" vertical="center"/>
    </xf>
    <xf numFmtId="4" fontId="47" fillId="0" borderId="123" applyNumberFormat="0" applyProtection="0">
      <alignment horizontal="right" vertical="center"/>
    </xf>
    <xf numFmtId="4" fontId="47" fillId="59" borderId="123" applyNumberFormat="0" applyProtection="0">
      <alignment horizontal="left" vertical="center" indent="1"/>
    </xf>
    <xf numFmtId="0" fontId="18" fillId="84" borderId="123" applyNumberFormat="0" applyProtection="0">
      <alignment horizontal="left" vertical="top" indent="1"/>
    </xf>
    <xf numFmtId="0" fontId="18" fillId="51" borderId="123" applyNumberFormat="0" applyProtection="0">
      <alignment horizontal="left" vertical="top" indent="1"/>
    </xf>
    <xf numFmtId="0" fontId="63" fillId="59" borderId="128" applyNumberFormat="0" applyFont="0" applyFill="0" applyAlignment="0" applyProtection="0">
      <protection locked="0"/>
    </xf>
    <xf numFmtId="0" fontId="47" fillId="34" borderId="123" applyNumberFormat="0" applyProtection="0">
      <alignment horizontal="center" vertical="top"/>
    </xf>
    <xf numFmtId="0" fontId="114" fillId="79" borderId="126" applyNumberFormat="0" applyAlignment="0" applyProtection="0"/>
    <xf numFmtId="0" fontId="18" fillId="84" borderId="123" applyNumberFormat="0" applyProtection="0">
      <alignment horizontal="left" vertical="center" indent="1"/>
    </xf>
    <xf numFmtId="0" fontId="18" fillId="76" borderId="125" applyNumberFormat="0" applyFont="0" applyAlignment="0" applyProtection="0"/>
    <xf numFmtId="0" fontId="102" fillId="79" borderId="124" applyNumberFormat="0" applyAlignment="0" applyProtection="0"/>
    <xf numFmtId="4" fontId="47" fillId="45" borderId="123" applyNumberFormat="0" applyProtection="0">
      <alignment horizontal="right" vertical="center"/>
    </xf>
    <xf numFmtId="0" fontId="18" fillId="54" borderId="123" applyNumberFormat="0" applyProtection="0">
      <alignment horizontal="left" vertical="center" indent="1"/>
    </xf>
    <xf numFmtId="0" fontId="24" fillId="59" borderId="128" applyNumberFormat="0" applyFont="0" applyAlignment="0" applyProtection="0">
      <protection locked="0"/>
    </xf>
    <xf numFmtId="0" fontId="110" fillId="77" borderId="124" applyNumberFormat="0" applyAlignment="0" applyProtection="0"/>
    <xf numFmtId="0" fontId="18" fillId="51" borderId="123" applyNumberFormat="0" applyProtection="0">
      <alignment horizontal="left" vertical="top" indent="1"/>
    </xf>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 fontId="18" fillId="0" borderId="0" applyFont="0" applyFill="0" applyBorder="0" applyAlignment="0" applyProtection="0"/>
    <xf numFmtId="0" fontId="63" fillId="59" borderId="121" applyNumberFormat="0" applyFont="0" applyFill="0" applyAlignment="0" applyProtection="0">
      <protection locked="0"/>
    </xf>
    <xf numFmtId="0" fontId="18" fillId="0" borderId="0" applyFont="0" applyFill="0" applyBorder="0" applyAlignment="0" applyProtection="0"/>
    <xf numFmtId="3" fontId="18" fillId="0" borderId="0" applyFont="0" applyFill="0" applyBorder="0" applyAlignment="0" applyProtection="0"/>
    <xf numFmtId="0" fontId="18" fillId="0" borderId="27" applyNumberFormat="0" applyFont="0" applyFill="0" applyAlignment="0" applyProtection="0"/>
    <xf numFmtId="0" fontId="18" fillId="55" borderId="123" applyNumberFormat="0" applyProtection="0">
      <alignment horizontal="left" vertical="center" indent="1"/>
    </xf>
    <xf numFmtId="4" fontId="47" fillId="35" borderId="123" applyNumberFormat="0" applyProtection="0">
      <alignment horizontal="left" vertical="center" indent="1"/>
    </xf>
    <xf numFmtId="0" fontId="105" fillId="0" borderId="127" applyNumberFormat="0" applyFill="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37" applyNumberFormat="0" applyFill="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4" fontId="47" fillId="47" borderId="123" applyNumberFormat="0" applyProtection="0">
      <alignment horizontal="right" vertical="center"/>
    </xf>
    <xf numFmtId="0" fontId="18" fillId="49" borderId="123" applyNumberFormat="0" applyProtection="0">
      <alignment horizontal="left" vertical="top" indent="1"/>
    </xf>
    <xf numFmtId="43" fontId="18" fillId="0" borderId="0" applyFont="0" applyFill="0" applyBorder="0" applyAlignment="0" applyProtection="0"/>
    <xf numFmtId="3" fontId="18" fillId="0" borderId="0" applyFont="0" applyFill="0" applyBorder="0" applyAlignment="0" applyProtection="0"/>
    <xf numFmtId="3" fontId="18" fillId="0" borderId="0" applyFill="0" applyBorder="0" applyAlignment="0" applyProtection="0"/>
    <xf numFmtId="3" fontId="18"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5" fontId="18" fillId="0" borderId="0" applyFill="0" applyBorder="0" applyAlignment="0" applyProtection="0"/>
    <xf numFmtId="179" fontId="18" fillId="0" borderId="0" applyFill="0" applyBorder="0" applyAlignment="0" applyProtection="0"/>
    <xf numFmtId="0" fontId="18" fillId="0" borderId="0" applyFont="0" applyFill="0" applyBorder="0" applyAlignment="0" applyProtection="0"/>
    <xf numFmtId="2" fontId="18" fillId="0" borderId="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21" fillId="35" borderId="85" applyNumberFormat="0" applyFont="0" applyAlignment="0" applyProtection="0">
      <alignment horizontal="center"/>
      <protection locked="0"/>
    </xf>
    <xf numFmtId="0" fontId="18" fillId="0" borderId="0"/>
    <xf numFmtId="4" fontId="47" fillId="44" borderId="123" applyNumberFormat="0" applyProtection="0">
      <alignment horizontal="right" vertical="center"/>
    </xf>
    <xf numFmtId="0" fontId="102" fillId="79" borderId="124"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4" borderId="123" applyNumberFormat="0" applyProtection="0">
      <alignment horizontal="left" vertical="top" indent="1"/>
    </xf>
    <xf numFmtId="0" fontId="18" fillId="51" borderId="123" applyNumberFormat="0" applyProtection="0">
      <alignment horizontal="left" vertical="center" indent="1"/>
    </xf>
    <xf numFmtId="0" fontId="18" fillId="49" borderId="123" applyNumberFormat="0" applyProtection="0">
      <alignment horizontal="left" vertical="top" indent="1"/>
    </xf>
    <xf numFmtId="0" fontId="114" fillId="79" borderId="126" applyNumberFormat="0" applyAlignment="0" applyProtection="0"/>
    <xf numFmtId="0" fontId="18" fillId="51" borderId="123" applyNumberFormat="0" applyProtection="0">
      <alignment horizontal="left" vertical="top" indent="1"/>
    </xf>
    <xf numFmtId="0" fontId="114" fillId="79" borderId="126" applyNumberForma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8" fillId="50" borderId="123" applyNumberFormat="0" applyProtection="0">
      <alignment horizontal="left" vertical="top" inden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02" fillId="79" borderId="120" applyNumberFormat="0" applyAlignment="0" applyProtection="0"/>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top" indent="1"/>
    </xf>
    <xf numFmtId="0" fontId="18" fillId="49" borderId="106" applyNumberFormat="0" applyProtection="0">
      <alignment horizontal="left" vertical="top" indent="1"/>
    </xf>
    <xf numFmtId="0" fontId="18" fillId="61" borderId="14" applyNumberFormat="0">
      <protection locked="0"/>
    </xf>
    <xf numFmtId="0" fontId="18" fillId="61" borderId="14" applyNumberFormat="0">
      <protection locked="0"/>
    </xf>
    <xf numFmtId="0" fontId="18" fillId="61" borderId="14" applyNumberFormat="0">
      <protection locked="0"/>
    </xf>
    <xf numFmtId="0" fontId="18" fillId="0" borderId="0">
      <alignment horizontal="left" wrapText="1"/>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10" fillId="77" borderId="120" applyNumberFormat="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50" borderId="123" applyNumberFormat="0" applyProtection="0">
      <alignment horizontal="left" vertical="center" indent="1"/>
    </xf>
    <xf numFmtId="0" fontId="18" fillId="0" borderId="0"/>
    <xf numFmtId="179" fontId="18" fillId="0" borderId="0" applyFill="0" applyBorder="0" applyAlignment="0" applyProtection="0"/>
    <xf numFmtId="179" fontId="18" fillId="0" borderId="0" applyFill="0" applyBorder="0" applyAlignment="0" applyProtection="0"/>
    <xf numFmtId="0" fontId="18" fillId="85" borderId="123" applyNumberFormat="0" applyProtection="0">
      <alignment horizontal="left" vertical="center" indent="1"/>
    </xf>
    <xf numFmtId="4" fontId="47" fillId="40" borderId="123" applyNumberFormat="0" applyProtection="0">
      <alignment horizontal="right" vertical="center"/>
    </xf>
    <xf numFmtId="0" fontId="18" fillId="0" borderId="0"/>
    <xf numFmtId="0" fontId="102" fillId="79" borderId="124" applyNumberFormat="0" applyAlignment="0" applyProtection="0"/>
    <xf numFmtId="37"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0" fontId="110" fillId="77" borderId="124" applyNumberFormat="0" applyAlignment="0" applyProtection="0"/>
    <xf numFmtId="4" fontId="27" fillId="38" borderId="123" applyNumberFormat="0" applyProtection="0">
      <alignment horizontal="left" vertical="center" indent="1"/>
    </xf>
    <xf numFmtId="0" fontId="18" fillId="49" borderId="123" applyNumberFormat="0" applyProtection="0">
      <alignment horizontal="left" vertical="top" indent="1"/>
    </xf>
    <xf numFmtId="0" fontId="18" fillId="0" borderId="0"/>
    <xf numFmtId="4" fontId="27" fillId="34" borderId="123" applyNumberFormat="0" applyProtection="0"/>
    <xf numFmtId="44" fontId="18" fillId="0" borderId="0" applyFont="0" applyFill="0" applyBorder="0" applyAlignment="0" applyProtection="0"/>
    <xf numFmtId="0" fontId="18" fillId="0" borderId="0"/>
    <xf numFmtId="0" fontId="18" fillId="0" borderId="0"/>
    <xf numFmtId="37" fontId="18" fillId="0" borderId="0" applyFill="0" applyBorder="0" applyAlignment="0" applyProtection="0"/>
    <xf numFmtId="0" fontId="18" fillId="0" borderId="0"/>
    <xf numFmtId="37" fontId="18" fillId="0" borderId="0" applyFill="0" applyBorder="0" applyAlignment="0" applyProtection="0"/>
    <xf numFmtId="0" fontId="18" fillId="0" borderId="0"/>
    <xf numFmtId="0" fontId="18" fillId="0" borderId="0"/>
    <xf numFmtId="179" fontId="18" fillId="0" borderId="0" applyFill="0" applyBorder="0" applyAlignment="0" applyProtection="0"/>
    <xf numFmtId="0" fontId="18" fillId="0" borderId="0"/>
    <xf numFmtId="0" fontId="18" fillId="0" borderId="0"/>
    <xf numFmtId="179" fontId="18" fillId="0" borderId="0" applyFill="0" applyBorder="0" applyAlignment="0" applyProtection="0"/>
    <xf numFmtId="179" fontId="18" fillId="0" borderId="0" applyFill="0" applyBorder="0" applyAlignment="0" applyProtection="0"/>
    <xf numFmtId="0" fontId="18" fillId="0" borderId="0"/>
    <xf numFmtId="179" fontId="18" fillId="0" borderId="0" applyFill="0" applyBorder="0" applyAlignment="0" applyProtection="0"/>
    <xf numFmtId="179" fontId="18" fillId="0" borderId="0" applyFill="0" applyBorder="0" applyAlignment="0" applyProtection="0"/>
    <xf numFmtId="0" fontId="18" fillId="0" borderId="0"/>
    <xf numFmtId="179"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xf numFmtId="0" fontId="18" fillId="0" borderId="0"/>
    <xf numFmtId="0" fontId="18" fillId="0" borderId="0"/>
    <xf numFmtId="179" fontId="18" fillId="0" borderId="0" applyFill="0" applyBorder="0" applyAlignment="0" applyProtection="0"/>
    <xf numFmtId="37" fontId="18" fillId="0" borderId="0" applyFill="0" applyBorder="0" applyAlignment="0" applyProtection="0"/>
    <xf numFmtId="0" fontId="18" fillId="0" borderId="0"/>
    <xf numFmtId="179"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24" fillId="59" borderId="112" applyNumberFormat="0" applyFont="0" applyAlignment="0" applyProtection="0">
      <protection locked="0"/>
    </xf>
    <xf numFmtId="0" fontId="18" fillId="0" borderId="0" applyFont="0" applyFill="0" applyBorder="0" applyAlignment="0" applyProtection="0"/>
    <xf numFmtId="0" fontId="63" fillId="59" borderId="112" applyNumberFormat="0" applyFont="0" applyFill="0" applyAlignment="0" applyProtection="0">
      <protection locked="0"/>
    </xf>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8" fillId="0" borderId="0"/>
    <xf numFmtId="0" fontId="18" fillId="0" borderId="0"/>
    <xf numFmtId="3"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xf numFmtId="4" fontId="27" fillId="34" borderId="123" applyNumberFormat="0" applyProtection="0"/>
    <xf numFmtId="4" fontId="47" fillId="43" borderId="123" applyNumberFormat="0" applyProtection="0">
      <alignment horizontal="right" vertical="center"/>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8" fillId="0" borderId="0" applyFont="0" applyFill="0" applyBorder="0" applyAlignment="0" applyProtection="0"/>
    <xf numFmtId="4" fontId="25" fillId="49" borderId="106" applyNumberFormat="0" applyProtection="0">
      <alignment horizontal="right" vertical="center"/>
    </xf>
    <xf numFmtId="0" fontId="47" fillId="34" borderId="106" applyNumberFormat="0" applyProtection="0">
      <alignment horizontal="left" vertical="top"/>
    </xf>
    <xf numFmtId="4" fontId="47" fillId="0" borderId="106" applyNumberFormat="0" applyProtection="0">
      <alignment horizontal="left" vertical="center" indent="1"/>
    </xf>
    <xf numFmtId="4" fontId="51" fillId="49" borderId="106" applyNumberFormat="0" applyProtection="0">
      <alignment horizontal="right" vertical="center"/>
    </xf>
    <xf numFmtId="4" fontId="47" fillId="0" borderId="106" applyNumberFormat="0" applyProtection="0">
      <alignment horizontal="right" vertical="center"/>
    </xf>
    <xf numFmtId="0" fontId="47" fillId="35" borderId="106" applyNumberFormat="0" applyProtection="0">
      <alignment horizontal="left" vertical="top" indent="1"/>
    </xf>
    <xf numFmtId="4" fontId="47" fillId="35" borderId="106" applyNumberFormat="0" applyProtection="0">
      <alignment horizontal="left" vertical="center" indent="1"/>
    </xf>
    <xf numFmtId="4" fontId="51" fillId="35" borderId="106" applyNumberFormat="0" applyProtection="0">
      <alignment vertical="center"/>
    </xf>
    <xf numFmtId="4" fontId="47" fillId="35" borderId="106" applyNumberFormat="0" applyProtection="0">
      <alignment vertical="center"/>
    </xf>
    <xf numFmtId="0" fontId="18" fillId="49" borderId="106" applyNumberFormat="0" applyProtection="0">
      <alignment horizontal="left" vertical="top" indent="1"/>
    </xf>
    <xf numFmtId="0" fontId="18" fillId="49" borderId="106" applyNumberFormat="0" applyProtection="0">
      <alignment horizontal="left" vertical="top" indent="1"/>
    </xf>
    <xf numFmtId="0" fontId="18" fillId="5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4"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3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0" borderId="106" applyNumberFormat="0" applyProtection="0">
      <alignment horizontal="left" vertical="top"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center" indent="1"/>
    </xf>
    <xf numFmtId="4" fontId="47" fillId="51" borderId="106" applyNumberFormat="0" applyProtection="0">
      <alignment horizontal="right" vertical="center"/>
    </xf>
    <xf numFmtId="4" fontId="47" fillId="47" borderId="106" applyNumberFormat="0" applyProtection="0">
      <alignment horizontal="right" vertical="center"/>
    </xf>
    <xf numFmtId="4" fontId="47" fillId="46" borderId="106" applyNumberFormat="0" applyProtection="0">
      <alignment horizontal="right" vertical="center"/>
    </xf>
    <xf numFmtId="4" fontId="47" fillId="45" borderId="106" applyNumberFormat="0" applyProtection="0">
      <alignment horizontal="right" vertical="center"/>
    </xf>
    <xf numFmtId="4" fontId="47" fillId="44" borderId="106" applyNumberFormat="0" applyProtection="0">
      <alignment horizontal="right" vertical="center"/>
    </xf>
    <xf numFmtId="4" fontId="47" fillId="43" borderId="106" applyNumberFormat="0" applyProtection="0">
      <alignment horizontal="right" vertical="center"/>
    </xf>
    <xf numFmtId="4" fontId="47" fillId="42" borderId="106" applyNumberFormat="0" applyProtection="0">
      <alignment horizontal="right" vertical="center"/>
    </xf>
    <xf numFmtId="4" fontId="47" fillId="41" borderId="106" applyNumberFormat="0" applyProtection="0">
      <alignment horizontal="right" vertical="center"/>
    </xf>
    <xf numFmtId="4" fontId="47" fillId="40" borderId="106" applyNumberFormat="0" applyProtection="0">
      <alignment horizontal="right" vertical="center"/>
    </xf>
    <xf numFmtId="4" fontId="47" fillId="39" borderId="106" applyNumberFormat="0" applyProtection="0">
      <alignment horizontal="right" vertical="center"/>
    </xf>
    <xf numFmtId="0" fontId="27" fillId="38" borderId="106" applyNumberFormat="0" applyProtection="0">
      <alignment horizontal="left" vertical="top" indent="1"/>
    </xf>
    <xf numFmtId="4" fontId="27" fillId="38" borderId="106" applyNumberFormat="0" applyProtection="0">
      <alignment horizontal="left" vertical="center" indent="1"/>
    </xf>
    <xf numFmtId="4" fontId="46" fillId="38" borderId="106" applyNumberFormat="0" applyProtection="0">
      <alignment vertical="center"/>
    </xf>
    <xf numFmtId="4" fontId="27" fillId="37" borderId="106" applyNumberFormat="0" applyProtection="0">
      <alignment vertical="center"/>
    </xf>
    <xf numFmtId="3" fontId="18" fillId="0" borderId="0" applyFont="0" applyFill="0" applyBorder="0" applyAlignment="0" applyProtection="0"/>
    <xf numFmtId="0" fontId="63" fillId="59" borderId="112" applyNumberFormat="0" applyFont="0" applyFill="0" applyAlignment="0" applyProtection="0">
      <protection locked="0"/>
    </xf>
    <xf numFmtId="0" fontId="18" fillId="0" borderId="0"/>
    <xf numFmtId="0" fontId="18" fillId="0" borderId="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3" fontId="18" fillId="0" borderId="0" applyFont="0" applyFill="0" applyBorder="0" applyAlignment="0" applyProtection="0"/>
    <xf numFmtId="0" fontId="18" fillId="0" borderId="0"/>
    <xf numFmtId="3" fontId="18" fillId="0" borderId="0" applyFont="0" applyFill="0" applyBorder="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4" fontId="47" fillId="46" borderId="123" applyNumberFormat="0" applyProtection="0">
      <alignment horizontal="right" vertical="center"/>
    </xf>
    <xf numFmtId="4" fontId="51" fillId="49" borderId="123" applyNumberFormat="0" applyProtection="0">
      <alignment horizontal="right" vertical="center"/>
    </xf>
    <xf numFmtId="0" fontId="105" fillId="0" borderId="127" applyNumberFormat="0" applyFill="0" applyAlignment="0" applyProtection="0"/>
    <xf numFmtId="0" fontId="114" fillId="79" borderId="126" applyNumberFormat="0" applyAlignment="0" applyProtection="0"/>
    <xf numFmtId="4" fontId="47" fillId="0" borderId="123" applyNumberFormat="0" applyProtection="0">
      <alignment horizontal="right" vertical="center"/>
    </xf>
    <xf numFmtId="4" fontId="25" fillId="49" borderId="123" applyNumberFormat="0" applyProtection="0">
      <alignment horizontal="right" vertical="center"/>
    </xf>
    <xf numFmtId="0" fontId="102" fillId="79" borderId="124" applyNumberFormat="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0"/>
    <xf numFmtId="0" fontId="18" fillId="0" borderId="0"/>
    <xf numFmtId="0" fontId="24" fillId="59" borderId="112" applyNumberFormat="0" applyFont="0" applyAlignment="0" applyProtection="0">
      <protection locked="0"/>
    </xf>
    <xf numFmtId="0" fontId="18" fillId="61" borderId="14" applyNumberFormat="0">
      <protection locked="0"/>
    </xf>
    <xf numFmtId="0" fontId="18" fillId="0" borderId="0" applyFont="0" applyFill="0" applyBorder="0" applyAlignment="0" applyProtection="0"/>
    <xf numFmtId="3" fontId="18" fillId="0" borderId="0" applyFont="0" applyFill="0" applyBorder="0" applyAlignment="0" applyProtection="0"/>
    <xf numFmtId="0" fontId="24" fillId="59" borderId="121" applyNumberFormat="0" applyFont="0" applyAlignment="0" applyProtection="0">
      <protection locked="0"/>
    </xf>
    <xf numFmtId="4" fontId="47" fillId="41" borderId="123" applyNumberFormat="0" applyProtection="0">
      <alignment horizontal="right" vertical="center"/>
    </xf>
    <xf numFmtId="0" fontId="18" fillId="0" borderId="0" applyFont="0" applyFill="0" applyBorder="0" applyAlignment="0" applyProtection="0"/>
    <xf numFmtId="0" fontId="26" fillId="0" borderId="53">
      <alignment horizontal="left" vertical="center"/>
    </xf>
    <xf numFmtId="0" fontId="102" fillId="79" borderId="124" applyNumberFormat="0" applyAlignment="0" applyProtection="0"/>
    <xf numFmtId="0" fontId="102" fillId="79" borderId="124" applyNumberFormat="0" applyAlignment="0" applyProtection="0"/>
    <xf numFmtId="0" fontId="18" fillId="54" borderId="123" applyNumberFormat="0" applyProtection="0">
      <alignment horizontal="left" vertical="top" indent="1"/>
    </xf>
    <xf numFmtId="0" fontId="24" fillId="59" borderId="128" applyNumberFormat="0" applyFont="0" applyAlignment="0" applyProtection="0">
      <protection locked="0"/>
    </xf>
    <xf numFmtId="0" fontId="102" fillId="79" borderId="124" applyNumberFormat="0" applyAlignment="0" applyProtection="0"/>
    <xf numFmtId="0" fontId="110" fillId="77" borderId="124" applyNumberFormat="0" applyAlignment="0" applyProtection="0"/>
    <xf numFmtId="0" fontId="18" fillId="0" borderId="0"/>
    <xf numFmtId="0" fontId="18" fillId="0" borderId="0" applyFont="0" applyFill="0" applyBorder="0" applyAlignment="0" applyProtection="0"/>
    <xf numFmtId="0" fontId="18" fillId="0" borderId="0" applyFont="0" applyFill="0" applyBorder="0" applyAlignment="0" applyProtection="0"/>
    <xf numFmtId="0" fontId="105" fillId="0" borderId="111" applyNumberFormat="0" applyFill="0" applyAlignment="0" applyProtection="0"/>
    <xf numFmtId="0" fontId="105" fillId="0" borderId="111" applyNumberFormat="0" applyFill="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61" borderId="14" applyNumberFormat="0">
      <protection locked="0"/>
    </xf>
    <xf numFmtId="0" fontId="18" fillId="0" borderId="0" applyFont="0" applyFill="0" applyBorder="0" applyAlignment="0" applyProtection="0"/>
    <xf numFmtId="0" fontId="18" fillId="0" borderId="0"/>
    <xf numFmtId="0" fontId="18" fillId="61" borderId="14" applyNumberFormat="0">
      <protection locked="0"/>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applyFont="0" applyFill="0" applyBorder="0" applyAlignment="0" applyProtection="0"/>
    <xf numFmtId="0" fontId="18" fillId="54" borderId="123" applyNumberFormat="0" applyProtection="0">
      <alignment horizontal="left" vertical="top" indent="1"/>
    </xf>
    <xf numFmtId="0" fontId="18" fillId="49" borderId="123" applyNumberFormat="0" applyProtection="0">
      <alignment horizontal="left" vertical="top" indent="1"/>
    </xf>
    <xf numFmtId="0" fontId="18" fillId="54" borderId="123" applyNumberFormat="0" applyProtection="0">
      <alignment horizontal="left" vertical="center" indent="1"/>
    </xf>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8" fillId="85" borderId="123" applyNumberFormat="0" applyProtection="0">
      <alignment horizontal="left" vertical="top" indent="1"/>
    </xf>
    <xf numFmtId="0" fontId="18" fillId="51" borderId="123" applyNumberFormat="0" applyProtection="0">
      <alignment horizontal="left" vertical="center" indent="1"/>
    </xf>
    <xf numFmtId="0" fontId="47" fillId="35" borderId="123" applyNumberFormat="0" applyProtection="0">
      <alignment horizontal="left" vertical="top" indent="1"/>
    </xf>
    <xf numFmtId="0" fontId="18" fillId="51" borderId="123" applyNumberFormat="0" applyProtection="0">
      <alignment horizontal="left" vertical="center" indent="1"/>
    </xf>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top"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34"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top"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54"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top"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5"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top" indent="1"/>
    </xf>
    <xf numFmtId="0" fontId="18" fillId="49" borderId="106" applyNumberFormat="0" applyProtection="0">
      <alignment horizontal="left" vertical="top" indent="1"/>
    </xf>
    <xf numFmtId="0" fontId="18" fillId="49"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4" fontId="25" fillId="49" borderId="106" applyNumberFormat="0" applyProtection="0">
      <alignment horizontal="right" vertical="center"/>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10" fillId="77" borderId="124" applyNumberFormat="0" applyAlignment="0" applyProtection="0"/>
    <xf numFmtId="0" fontId="114" fillId="79" borderId="126" applyNumberFormat="0" applyAlignment="0" applyProtection="0"/>
    <xf numFmtId="4" fontId="47" fillId="51" borderId="123" applyNumberFormat="0" applyProtection="0">
      <alignment horizontal="right" vertical="center"/>
    </xf>
    <xf numFmtId="4" fontId="47" fillId="42" borderId="123" applyNumberFormat="0" applyProtection="0">
      <alignment horizontal="right" vertical="center"/>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0" fontId="26" fillId="0" borderId="113">
      <alignment horizontal="left" vertical="center"/>
    </xf>
    <xf numFmtId="4" fontId="27" fillId="34" borderId="114" applyNumberFormat="0" applyProtection="0">
      <alignment vertical="center"/>
    </xf>
    <xf numFmtId="4" fontId="47" fillId="0" borderId="106" applyNumberFormat="0" applyProtection="0">
      <alignment horizontal="right" vertical="center"/>
    </xf>
    <xf numFmtId="0" fontId="18" fillId="51" borderId="106" applyNumberFormat="0" applyProtection="0">
      <alignment horizontal="left" vertical="center" indent="1"/>
    </xf>
    <xf numFmtId="4" fontId="27" fillId="37" borderId="106" applyNumberFormat="0" applyProtection="0">
      <alignment vertical="center"/>
    </xf>
    <xf numFmtId="0" fontId="110" fillId="77" borderId="108" applyNumberFormat="0" applyAlignment="0" applyProtection="0"/>
    <xf numFmtId="0" fontId="24" fillId="59" borderId="112" applyNumberFormat="0" applyFont="0" applyAlignment="0" applyProtection="0">
      <protection locked="0"/>
    </xf>
    <xf numFmtId="0" fontId="102" fillId="79" borderId="108" applyNumberFormat="0" applyAlignment="0" applyProtection="0"/>
    <xf numFmtId="4" fontId="47" fillId="42" borderId="106" applyNumberFormat="0" applyProtection="0">
      <alignment horizontal="right" vertical="center"/>
    </xf>
    <xf numFmtId="0" fontId="18" fillId="51" borderId="106" applyNumberFormat="0" applyProtection="0">
      <alignment horizontal="left" vertical="top" indent="1"/>
    </xf>
    <xf numFmtId="4" fontId="25" fillId="49" borderId="106" applyNumberFormat="0" applyProtection="0">
      <alignment horizontal="right" vertical="center"/>
    </xf>
    <xf numFmtId="0" fontId="114" fillId="79" borderId="110" applyNumberFormat="0" applyAlignment="0" applyProtection="0"/>
    <xf numFmtId="9" fontId="18" fillId="0" borderId="0" applyFont="0" applyFill="0" applyBorder="0" applyAlignment="0" applyProtection="0"/>
    <xf numFmtId="44" fontId="18" fillId="0" borderId="0" applyFont="0" applyFill="0" applyBorder="0" applyProtection="0">
      <alignment horizontal="right"/>
    </xf>
    <xf numFmtId="43" fontId="18" fillId="0" borderId="0" applyFont="0" applyFill="0" applyBorder="0" applyAlignment="0" applyProtection="0"/>
    <xf numFmtId="0" fontId="47" fillId="35" borderId="106" applyNumberFormat="0" applyProtection="0">
      <alignment horizontal="left" vertical="top" indent="1"/>
    </xf>
    <xf numFmtId="0" fontId="18" fillId="34" borderId="106" applyNumberFormat="0" applyProtection="0">
      <alignment horizontal="left" vertical="center" indent="1"/>
    </xf>
    <xf numFmtId="0" fontId="102" fillId="79" borderId="108" applyNumberFormat="0" applyAlignment="0" applyProtection="0"/>
    <xf numFmtId="4" fontId="47" fillId="43" borderId="106" applyNumberFormat="0" applyProtection="0">
      <alignment horizontal="right" vertical="center"/>
    </xf>
    <xf numFmtId="0" fontId="18" fillId="54" borderId="106" applyNumberFormat="0" applyProtection="0">
      <alignment horizontal="left" vertical="center" indent="1"/>
    </xf>
    <xf numFmtId="0" fontId="114" fillId="79" borderId="110" applyNumberFormat="0" applyAlignment="0" applyProtection="0"/>
    <xf numFmtId="4" fontId="25" fillId="49" borderId="106" applyNumberFormat="0" applyProtection="0">
      <alignment horizontal="right" vertical="center"/>
    </xf>
    <xf numFmtId="0" fontId="18" fillId="51" borderId="106" applyNumberFormat="0" applyProtection="0">
      <alignment horizontal="left" vertical="top" indent="1"/>
    </xf>
    <xf numFmtId="4" fontId="47" fillId="39" borderId="106" applyNumberFormat="0" applyProtection="0">
      <alignment horizontal="right" vertical="center"/>
    </xf>
    <xf numFmtId="0" fontId="18" fillId="76" borderId="109" applyNumberFormat="0" applyFont="0" applyAlignment="0" applyProtection="0"/>
    <xf numFmtId="0" fontId="105" fillId="0" borderId="111" applyNumberFormat="0" applyFill="0" applyAlignment="0" applyProtection="0"/>
    <xf numFmtId="0" fontId="27" fillId="38" borderId="106" applyNumberFormat="0" applyProtection="0">
      <alignment horizontal="left" vertical="top" indent="1"/>
    </xf>
    <xf numFmtId="0" fontId="18" fillId="51" borderId="106" applyNumberFormat="0" applyProtection="0">
      <alignment horizontal="left" vertical="center" indent="1"/>
    </xf>
    <xf numFmtId="4" fontId="47" fillId="0" borderId="106" applyNumberFormat="0" applyProtection="0">
      <alignment horizontal="right" vertical="center"/>
    </xf>
    <xf numFmtId="0" fontId="105" fillId="0" borderId="111" applyNumberFormat="0" applyFill="0" applyAlignment="0" applyProtection="0"/>
    <xf numFmtId="0" fontId="18" fillId="76" borderId="109" applyNumberFormat="0" applyFont="0" applyAlignment="0" applyProtection="0"/>
    <xf numFmtId="0" fontId="21" fillId="35" borderId="85" applyNumberFormat="0" applyFont="0" applyAlignment="0" applyProtection="0">
      <alignment horizontal="center"/>
      <protection locked="0"/>
    </xf>
    <xf numFmtId="0" fontId="18" fillId="49" borderId="106" applyNumberFormat="0" applyProtection="0">
      <alignment horizontal="left" vertical="center" indent="1"/>
    </xf>
    <xf numFmtId="4" fontId="47" fillId="51" borderId="106" applyNumberFormat="0" applyProtection="0">
      <alignment horizontal="right" vertical="center"/>
    </xf>
    <xf numFmtId="0" fontId="114" fillId="79" borderId="110" applyNumberFormat="0" applyAlignment="0" applyProtection="0"/>
    <xf numFmtId="0" fontId="114" fillId="79" borderId="110" applyNumberFormat="0" applyAlignment="0" applyProtection="0"/>
    <xf numFmtId="0" fontId="18" fillId="49" borderId="106" applyNumberFormat="0" applyProtection="0">
      <alignment horizontal="left" vertical="center" indent="1"/>
    </xf>
    <xf numFmtId="0" fontId="105" fillId="0" borderId="111" applyNumberFormat="0" applyFill="0" applyAlignment="0" applyProtection="0"/>
    <xf numFmtId="0" fontId="18" fillId="85" borderId="106" applyNumberFormat="0" applyProtection="0">
      <alignment horizontal="left" vertical="center" indent="1"/>
    </xf>
    <xf numFmtId="4" fontId="47" fillId="41" borderId="106" applyNumberFormat="0" applyProtection="0">
      <alignment horizontal="right" vertical="center"/>
    </xf>
    <xf numFmtId="0" fontId="18" fillId="76" borderId="109" applyNumberFormat="0" applyFont="0" applyAlignment="0" applyProtection="0"/>
    <xf numFmtId="4" fontId="46" fillId="38" borderId="106" applyNumberFormat="0" applyProtection="0">
      <alignment vertical="center"/>
    </xf>
    <xf numFmtId="0" fontId="18" fillId="84" borderId="106" applyNumberFormat="0" applyProtection="0">
      <alignment horizontal="left" vertical="top" indent="1"/>
    </xf>
    <xf numFmtId="4" fontId="47" fillId="35" borderId="106" applyNumberFormat="0" applyProtection="0">
      <alignment horizontal="left" vertical="center" indent="1"/>
    </xf>
    <xf numFmtId="0" fontId="105" fillId="0" borderId="111" applyNumberFormat="0" applyFill="0" applyAlignment="0" applyProtection="0"/>
    <xf numFmtId="0" fontId="18" fillId="76" borderId="109" applyNumberFormat="0" applyFont="0" applyAlignment="0" applyProtection="0"/>
    <xf numFmtId="0" fontId="18" fillId="49" borderId="106" applyNumberFormat="0" applyProtection="0">
      <alignment horizontal="left" vertical="top" indent="1"/>
    </xf>
    <xf numFmtId="0" fontId="18" fillId="84" borderId="106" applyNumberFormat="0" applyProtection="0">
      <alignment horizontal="left" vertical="center"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51" borderId="106" applyNumberFormat="0" applyProtection="0">
      <alignment horizontal="right" vertical="center"/>
    </xf>
    <xf numFmtId="0" fontId="18" fillId="85" borderId="106" applyNumberFormat="0" applyProtection="0">
      <alignment horizontal="left" vertical="top" indent="1"/>
    </xf>
    <xf numFmtId="0" fontId="105" fillId="0" borderId="111" applyNumberFormat="0" applyFill="0" applyAlignment="0" applyProtection="0"/>
    <xf numFmtId="0" fontId="24" fillId="59" borderId="112" applyNumberFormat="0" applyFont="0" applyAlignment="0" applyProtection="0">
      <protection locked="0"/>
    </xf>
    <xf numFmtId="4" fontId="47" fillId="43" borderId="106" applyNumberFormat="0" applyProtection="0">
      <alignment horizontal="right" vertical="center"/>
    </xf>
    <xf numFmtId="0" fontId="18" fillId="54" borderId="106" applyNumberFormat="0" applyProtection="0">
      <alignment horizontal="left" vertical="top" indent="1"/>
    </xf>
    <xf numFmtId="0" fontId="18" fillId="76" borderId="109" applyNumberFormat="0" applyFont="0" applyAlignment="0" applyProtection="0"/>
    <xf numFmtId="0" fontId="105" fillId="0" borderId="111" applyNumberFormat="0" applyFill="0" applyAlignment="0" applyProtection="0"/>
    <xf numFmtId="0" fontId="18" fillId="50" borderId="106" applyNumberFormat="0" applyProtection="0">
      <alignment horizontal="left" vertical="top" indent="1"/>
    </xf>
    <xf numFmtId="4" fontId="47" fillId="35" borderId="106" applyNumberFormat="0" applyProtection="0">
      <alignment vertical="center"/>
    </xf>
    <xf numFmtId="0" fontId="105" fillId="0" borderId="111" applyNumberFormat="0" applyFill="0" applyAlignment="0" applyProtection="0"/>
    <xf numFmtId="0" fontId="18" fillId="76" borderId="109" applyNumberFormat="0" applyFont="0" applyAlignment="0" applyProtection="0"/>
    <xf numFmtId="4" fontId="47" fillId="35" borderId="106" applyNumberFormat="0" applyProtection="0">
      <alignment vertical="center"/>
    </xf>
    <xf numFmtId="0" fontId="18" fillId="50" borderId="106" applyNumberFormat="0" applyProtection="0">
      <alignment horizontal="left" vertical="top"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46" borderId="106" applyNumberFormat="0" applyProtection="0">
      <alignment horizontal="right" vertical="center"/>
    </xf>
    <xf numFmtId="0" fontId="18" fillId="54" borderId="106" applyNumberFormat="0" applyProtection="0">
      <alignment horizontal="left" vertical="top" indent="1"/>
    </xf>
    <xf numFmtId="0" fontId="105" fillId="0" borderId="111" applyNumberFormat="0" applyFill="0" applyAlignment="0" applyProtection="0"/>
    <xf numFmtId="0" fontId="63" fillId="59" borderId="112" applyNumberFormat="0" applyFont="0" applyFill="0" applyAlignment="0" applyProtection="0">
      <protection locked="0"/>
    </xf>
    <xf numFmtId="0" fontId="105" fillId="0" borderId="111" applyNumberFormat="0" applyFill="0" applyAlignment="0" applyProtection="0"/>
    <xf numFmtId="0" fontId="18" fillId="85" borderId="106" applyNumberFormat="0" applyProtection="0">
      <alignment horizontal="left" vertical="top" indent="1"/>
    </xf>
    <xf numFmtId="4" fontId="47" fillId="45" borderId="106" applyNumberFormat="0" applyProtection="0">
      <alignment horizontal="right" vertical="center"/>
    </xf>
    <xf numFmtId="0" fontId="110" fillId="77" borderId="108" applyNumberFormat="0" applyAlignment="0" applyProtection="0"/>
    <xf numFmtId="0" fontId="18" fillId="84" borderId="106" applyNumberFormat="0" applyProtection="0">
      <alignment horizontal="left" vertical="center" indent="1"/>
    </xf>
    <xf numFmtId="0" fontId="18" fillId="49" borderId="106" applyNumberFormat="0" applyProtection="0">
      <alignment horizontal="left" vertical="top" indent="1"/>
    </xf>
    <xf numFmtId="4" fontId="47" fillId="35" borderId="106" applyNumberFormat="0" applyProtection="0">
      <alignment horizontal="left" vertical="center" indent="1"/>
    </xf>
    <xf numFmtId="0" fontId="18" fillId="84" borderId="106" applyNumberFormat="0" applyProtection="0">
      <alignment horizontal="left" vertical="top" indent="1"/>
    </xf>
    <xf numFmtId="0" fontId="102" fillId="79" borderId="108" applyNumberFormat="0" applyAlignment="0" applyProtection="0"/>
    <xf numFmtId="4" fontId="47" fillId="44" borderId="106" applyNumberFormat="0" applyProtection="0">
      <alignment horizontal="right" vertical="center"/>
    </xf>
    <xf numFmtId="0" fontId="18" fillId="85" borderId="106" applyNumberFormat="0" applyProtection="0">
      <alignment horizontal="left" vertical="center" indent="1"/>
    </xf>
    <xf numFmtId="0" fontId="114" fillId="79" borderId="110" applyNumberFormat="0" applyAlignment="0" applyProtection="0"/>
    <xf numFmtId="4" fontId="51" fillId="49" borderId="106" applyNumberFormat="0" applyProtection="0">
      <alignment horizontal="right" vertical="center"/>
    </xf>
    <xf numFmtId="0" fontId="18" fillId="51" borderId="106" applyNumberFormat="0" applyProtection="0">
      <alignment horizontal="left" vertical="center" indent="1"/>
    </xf>
    <xf numFmtId="4" fontId="46" fillId="38" borderId="106" applyNumberFormat="0" applyProtection="0">
      <alignment vertical="center"/>
    </xf>
    <xf numFmtId="0" fontId="110" fillId="77" borderId="108" applyNumberFormat="0" applyAlignment="0" applyProtection="0"/>
    <xf numFmtId="0" fontId="102" fillId="79" borderId="108" applyNumberFormat="0" applyAlignment="0" applyProtection="0"/>
    <xf numFmtId="4" fontId="47" fillId="41" borderId="106" applyNumberFormat="0" applyProtection="0">
      <alignment horizontal="right" vertical="center"/>
    </xf>
    <xf numFmtId="0" fontId="18" fillId="51" borderId="106" applyNumberFormat="0" applyProtection="0">
      <alignment horizontal="left" vertical="top" indent="1"/>
    </xf>
    <xf numFmtId="0" fontId="47" fillId="34" borderId="106" applyNumberFormat="0" applyProtection="0">
      <alignment horizontal="left" vertical="top"/>
    </xf>
    <xf numFmtId="0" fontId="114" fillId="79" borderId="110" applyNumberFormat="0" applyAlignment="0" applyProtection="0"/>
    <xf numFmtId="0" fontId="26" fillId="0" borderId="113">
      <alignment horizontal="left" vertical="center"/>
    </xf>
    <xf numFmtId="4" fontId="27" fillId="34" borderId="114" applyNumberFormat="0" applyProtection="0">
      <alignment vertical="center"/>
    </xf>
    <xf numFmtId="0" fontId="26" fillId="0" borderId="113">
      <alignment horizontal="left" vertical="center"/>
    </xf>
    <xf numFmtId="4" fontId="27" fillId="34" borderId="114" applyNumberFormat="0" applyProtection="0">
      <alignment vertical="center"/>
    </xf>
    <xf numFmtId="4" fontId="27" fillId="34" borderId="114" applyNumberFormat="0" applyProtection="0">
      <alignment vertical="center"/>
    </xf>
    <xf numFmtId="4" fontId="47" fillId="0" borderId="106" applyNumberFormat="0" applyProtection="0">
      <alignment horizontal="left" vertical="center" indent="1"/>
    </xf>
    <xf numFmtId="0" fontId="18" fillId="34" borderId="106" applyNumberFormat="0" applyProtection="0">
      <alignment horizontal="left" vertical="top" indent="1"/>
    </xf>
    <xf numFmtId="4" fontId="27" fillId="38" borderId="106" applyNumberFormat="0" applyProtection="0">
      <alignment horizontal="left" vertical="center" indent="1"/>
    </xf>
    <xf numFmtId="0" fontId="110" fillId="77" borderId="108" applyNumberFormat="0" applyAlignment="0" applyProtection="0"/>
    <xf numFmtId="4" fontId="47" fillId="40" borderId="106" applyNumberFormat="0" applyProtection="0">
      <alignment horizontal="right" vertical="center"/>
    </xf>
    <xf numFmtId="0" fontId="18" fillId="34" borderId="106" applyNumberFormat="0" applyProtection="0">
      <alignment horizontal="left" vertical="top" indent="1"/>
    </xf>
    <xf numFmtId="4" fontId="47" fillId="0" borderId="106" applyNumberFormat="0" applyProtection="0">
      <alignment horizontal="left" vertical="center" indent="1"/>
    </xf>
    <xf numFmtId="0" fontId="114" fillId="79" borderId="110" applyNumberFormat="0" applyAlignment="0" applyProtection="0"/>
    <xf numFmtId="0" fontId="105" fillId="0" borderId="111" applyNumberFormat="0" applyFill="0" applyAlignment="0" applyProtection="0"/>
    <xf numFmtId="0" fontId="18" fillId="55" borderId="106" applyNumberFormat="0" applyProtection="0">
      <alignment horizontal="left" vertical="center" indent="1"/>
    </xf>
    <xf numFmtId="4" fontId="47" fillId="46" borderId="106" applyNumberFormat="0" applyProtection="0">
      <alignment horizontal="right" vertical="center"/>
    </xf>
    <xf numFmtId="0" fontId="110" fillId="77" borderId="108" applyNumberFormat="0" applyAlignment="0" applyProtection="0"/>
    <xf numFmtId="0" fontId="18" fillId="50" borderId="106" applyNumberFormat="0" applyProtection="0">
      <alignment horizontal="left" vertical="center" indent="1"/>
    </xf>
    <xf numFmtId="0" fontId="18" fillId="55" borderId="106" applyNumberFormat="0" applyProtection="0">
      <alignment horizontal="left" vertical="top" indent="1"/>
    </xf>
    <xf numFmtId="0" fontId="47" fillId="34" borderId="106" applyNumberFormat="0" applyProtection="0">
      <alignment horizontal="left" vertical="top"/>
    </xf>
    <xf numFmtId="0" fontId="18" fillId="51" borderId="106" applyNumberFormat="0" applyProtection="0">
      <alignment horizontal="left" vertical="top" indent="1"/>
    </xf>
    <xf numFmtId="0" fontId="27" fillId="38" borderId="106" applyNumberFormat="0" applyProtection="0">
      <alignment horizontal="left" vertical="top" indent="1"/>
    </xf>
    <xf numFmtId="0" fontId="18" fillId="76" borderId="109" applyNumberFormat="0" applyFont="0" applyAlignment="0" applyProtection="0"/>
    <xf numFmtId="0" fontId="110" fillId="77" borderId="108" applyNumberFormat="0" applyAlignment="0" applyProtection="0"/>
    <xf numFmtId="0" fontId="105" fillId="0" borderId="111" applyNumberFormat="0" applyFill="0" applyAlignment="0" applyProtection="0"/>
    <xf numFmtId="4" fontId="47" fillId="39" borderId="106" applyNumberFormat="0" applyProtection="0">
      <alignment horizontal="right" vertical="center"/>
    </xf>
    <xf numFmtId="0" fontId="18" fillId="51" borderId="106" applyNumberFormat="0" applyProtection="0">
      <alignment horizontal="left" vertical="center" indent="1"/>
    </xf>
    <xf numFmtId="4" fontId="51" fillId="49" borderId="106" applyNumberFormat="0" applyProtection="0">
      <alignment horizontal="right" vertical="center"/>
    </xf>
    <xf numFmtId="0" fontId="18" fillId="49" borderId="106" applyNumberFormat="0" applyProtection="0">
      <alignment horizontal="left" vertical="center" indent="1"/>
    </xf>
    <xf numFmtId="4" fontId="47" fillId="47" borderId="106" applyNumberFormat="0" applyProtection="0">
      <alignment horizontal="right" vertical="center"/>
    </xf>
    <xf numFmtId="0" fontId="110" fillId="77" borderId="108" applyNumberFormat="0" applyAlignment="0" applyProtection="0"/>
    <xf numFmtId="0" fontId="18" fillId="49" borderId="106" applyNumberFormat="0" applyProtection="0">
      <alignment horizontal="left" vertical="center" indent="1"/>
    </xf>
    <xf numFmtId="0" fontId="18" fillId="54" borderId="106" applyNumberFormat="0" applyProtection="0">
      <alignment horizontal="left" vertical="center" indent="1"/>
    </xf>
    <xf numFmtId="4" fontId="47" fillId="40" borderId="106" applyNumberFormat="0" applyProtection="0">
      <alignment horizontal="right" vertical="center"/>
    </xf>
    <xf numFmtId="0" fontId="18" fillId="76" borderId="109" applyNumberFormat="0" applyFont="0" applyAlignment="0" applyProtection="0"/>
    <xf numFmtId="4" fontId="27" fillId="38" borderId="106" applyNumberFormat="0" applyProtection="0">
      <alignment horizontal="left" vertical="center" indent="1"/>
    </xf>
    <xf numFmtId="0" fontId="18" fillId="34" borderId="106" applyNumberFormat="0" applyProtection="0">
      <alignment horizontal="left" vertical="center" indent="1"/>
    </xf>
    <xf numFmtId="0" fontId="47" fillId="35" borderId="106" applyNumberFormat="0" applyProtection="0">
      <alignment horizontal="left" vertical="top" indent="1"/>
    </xf>
    <xf numFmtId="0" fontId="105" fillId="0" borderId="111" applyNumberFormat="0" applyFill="0" applyAlignment="0" applyProtection="0"/>
    <xf numFmtId="0" fontId="18" fillId="76" borderId="109" applyNumberFormat="0" applyFont="0" applyAlignment="0" applyProtection="0"/>
    <xf numFmtId="0" fontId="18" fillId="55" borderId="106" applyNumberFormat="0" applyProtection="0">
      <alignment horizontal="left" vertical="top" indent="1"/>
    </xf>
    <xf numFmtId="0" fontId="18" fillId="50" borderId="106" applyNumberFormat="0" applyProtection="0">
      <alignment horizontal="left" vertical="center" indent="1"/>
    </xf>
    <xf numFmtId="0" fontId="114" fillId="79" borderId="110" applyNumberFormat="0" applyAlignment="0" applyProtection="0"/>
    <xf numFmtId="0" fontId="114" fillId="79" borderId="110" applyNumberFormat="0" applyAlignment="0" applyProtection="0"/>
    <xf numFmtId="0" fontId="18" fillId="55" borderId="106" applyNumberFormat="0" applyProtection="0">
      <alignment horizontal="left" vertical="center" indent="1"/>
    </xf>
    <xf numFmtId="4" fontId="47" fillId="42" borderId="106" applyNumberFormat="0" applyProtection="0">
      <alignment horizontal="right" vertical="center"/>
    </xf>
    <xf numFmtId="0" fontId="18" fillId="85" borderId="106" applyNumberFormat="0" applyProtection="0">
      <alignment horizontal="left" vertical="center" indent="1"/>
    </xf>
    <xf numFmtId="0" fontId="18" fillId="76" borderId="109" applyNumberFormat="0" applyFont="0" applyAlignment="0" applyProtection="0"/>
    <xf numFmtId="0" fontId="105" fillId="0" borderId="111" applyNumberFormat="0" applyFill="0" applyAlignment="0" applyProtection="0"/>
    <xf numFmtId="4" fontId="27" fillId="37" borderId="106" applyNumberFormat="0" applyProtection="0">
      <alignment vertical="center"/>
    </xf>
    <xf numFmtId="0" fontId="18" fillId="84" borderId="106" applyNumberFormat="0" applyProtection="0">
      <alignment horizontal="left" vertical="top" indent="1"/>
    </xf>
    <xf numFmtId="4" fontId="51" fillId="35" borderId="106" applyNumberFormat="0" applyProtection="0">
      <alignment vertical="center"/>
    </xf>
    <xf numFmtId="0" fontId="105" fillId="0" borderId="111" applyNumberFormat="0" applyFill="0" applyAlignment="0" applyProtection="0"/>
    <xf numFmtId="0" fontId="18" fillId="76" borderId="109" applyNumberFormat="0" applyFont="0" applyAlignment="0" applyProtection="0"/>
    <xf numFmtId="0" fontId="18" fillId="49" borderId="106" applyNumberFormat="0" applyProtection="0">
      <alignment horizontal="left" vertical="top" indent="1"/>
    </xf>
    <xf numFmtId="0" fontId="18" fillId="84" borderId="106" applyNumberFormat="0" applyProtection="0">
      <alignment horizontal="left" vertical="center"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47" borderId="106" applyNumberFormat="0" applyProtection="0">
      <alignment horizontal="right" vertical="center"/>
    </xf>
    <xf numFmtId="0" fontId="18" fillId="85" borderId="106" applyNumberFormat="0" applyProtection="0">
      <alignment horizontal="left" vertical="top" indent="1"/>
    </xf>
    <xf numFmtId="0" fontId="105" fillId="0" borderId="111" applyNumberFormat="0" applyFill="0" applyAlignment="0" applyProtection="0"/>
    <xf numFmtId="0" fontId="105" fillId="0" borderId="111" applyNumberFormat="0" applyFill="0" applyAlignment="0" applyProtection="0"/>
    <xf numFmtId="0" fontId="18" fillId="85" borderId="106" applyNumberFormat="0" applyProtection="0">
      <alignment horizontal="left" vertical="top" indent="1"/>
    </xf>
    <xf numFmtId="4" fontId="47" fillId="44" borderId="106" applyNumberFormat="0" applyProtection="0">
      <alignment horizontal="right" vertical="center"/>
    </xf>
    <xf numFmtId="0" fontId="110" fillId="77" borderId="108" applyNumberFormat="0" applyAlignment="0" applyProtection="0"/>
    <xf numFmtId="0" fontId="63" fillId="59" borderId="112" applyNumberFormat="0" applyFont="0" applyFill="0" applyAlignment="0" applyProtection="0">
      <protection locked="0"/>
    </xf>
    <xf numFmtId="0" fontId="18" fillId="84" borderId="106" applyNumberFormat="0" applyProtection="0">
      <alignment horizontal="left" vertical="center" indent="1"/>
    </xf>
    <xf numFmtId="0" fontId="18" fillId="49" borderId="106" applyNumberFormat="0" applyProtection="0">
      <alignment horizontal="left" vertical="top" indent="1"/>
    </xf>
    <xf numFmtId="0" fontId="105" fillId="0" borderId="111" applyNumberFormat="0" applyFill="0" applyAlignment="0" applyProtection="0"/>
    <xf numFmtId="0" fontId="18" fillId="76" borderId="109" applyNumberFormat="0" applyFont="0" applyAlignment="0" applyProtection="0"/>
    <xf numFmtId="4" fontId="51" fillId="35" borderId="106" applyNumberFormat="0" applyProtection="0">
      <alignment vertical="center"/>
    </xf>
    <xf numFmtId="0" fontId="18" fillId="84" borderId="106" applyNumberFormat="0" applyProtection="0">
      <alignment horizontal="left" vertical="top"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45" borderId="106" applyNumberFormat="0" applyProtection="0">
      <alignment horizontal="right" vertical="center"/>
    </xf>
    <xf numFmtId="0" fontId="18" fillId="85" borderId="106" applyNumberFormat="0" applyProtection="0">
      <alignment horizontal="left" vertical="center" indent="1"/>
    </xf>
    <xf numFmtId="0" fontId="105" fillId="0" borderId="111" applyNumberFormat="0" applyFill="0" applyAlignment="0" applyProtection="0"/>
    <xf numFmtId="0" fontId="114" fillId="79" borderId="110" applyNumberFormat="0" applyAlignment="0" applyProtection="0"/>
    <xf numFmtId="0" fontId="21" fillId="35" borderId="85" applyNumberFormat="0" applyFont="0" applyAlignment="0" applyProtection="0">
      <alignment horizontal="center"/>
      <protection locked="0"/>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27" fillId="34" borderId="106" applyNumberFormat="0" applyProtection="0"/>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4" fontId="25" fillId="49" borderId="106" applyNumberFormat="0" applyProtection="0">
      <alignment horizontal="righ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vertical="center"/>
    </xf>
    <xf numFmtId="4" fontId="27" fillId="34" borderId="106" applyNumberFormat="0" applyProtection="0"/>
    <xf numFmtId="4" fontId="27" fillId="34" borderId="106" applyNumberFormat="0" applyProtection="0"/>
    <xf numFmtId="4" fontId="27" fillId="34" borderId="106" applyNumberFormat="0" applyProtection="0"/>
    <xf numFmtId="4" fontId="27" fillId="34" borderId="106" applyNumberFormat="0" applyProtection="0"/>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59"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center" vertical="top"/>
    </xf>
    <xf numFmtId="4" fontId="47" fillId="51" borderId="106" applyNumberFormat="0" applyProtection="0">
      <alignment horizontal="left" vertical="center" indent="1"/>
    </xf>
    <xf numFmtId="4" fontId="27" fillId="38" borderId="106" applyNumberFormat="0" applyProtection="0">
      <alignment horizontal="left" vertical="center" indent="1"/>
    </xf>
    <xf numFmtId="4" fontId="47" fillId="0"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top" indent="1"/>
    </xf>
    <xf numFmtId="0" fontId="18" fillId="49" borderId="106" applyNumberFormat="0" applyProtection="0">
      <alignment horizontal="left" vertical="top" indent="1"/>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24" fillId="59" borderId="112" applyNumberFormat="0" applyFont="0" applyAlignment="0" applyProtection="0">
      <protection locked="0"/>
    </xf>
    <xf numFmtId="0" fontId="63" fillId="59" borderId="112" applyNumberFormat="0" applyFont="0" applyFill="0" applyAlignment="0" applyProtection="0">
      <protection locked="0"/>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4" fontId="25" fillId="49" borderId="106" applyNumberFormat="0" applyProtection="0">
      <alignment horizontal="right" vertical="center"/>
    </xf>
    <xf numFmtId="0" fontId="47" fillId="34" borderId="106" applyNumberFormat="0" applyProtection="0">
      <alignment horizontal="left" vertical="top"/>
    </xf>
    <xf numFmtId="4" fontId="47" fillId="0" borderId="106" applyNumberFormat="0" applyProtection="0">
      <alignment horizontal="left" vertical="center" indent="1"/>
    </xf>
    <xf numFmtId="4" fontId="51" fillId="49" borderId="106" applyNumberFormat="0" applyProtection="0">
      <alignment horizontal="right" vertical="center"/>
    </xf>
    <xf numFmtId="4" fontId="47" fillId="0" borderId="106" applyNumberFormat="0" applyProtection="0">
      <alignment horizontal="right" vertical="center"/>
    </xf>
    <xf numFmtId="0" fontId="47" fillId="35" borderId="106" applyNumberFormat="0" applyProtection="0">
      <alignment horizontal="left" vertical="top" indent="1"/>
    </xf>
    <xf numFmtId="4" fontId="47" fillId="35" borderId="106" applyNumberFormat="0" applyProtection="0">
      <alignment horizontal="left" vertical="center" indent="1"/>
    </xf>
    <xf numFmtId="4" fontId="51" fillId="35" borderId="106" applyNumberFormat="0" applyProtection="0">
      <alignment vertical="center"/>
    </xf>
    <xf numFmtId="4" fontId="47" fillId="35" borderId="106" applyNumberFormat="0" applyProtection="0">
      <alignment vertical="center"/>
    </xf>
    <xf numFmtId="0" fontId="18" fillId="49" borderId="106" applyNumberFormat="0" applyProtection="0">
      <alignment horizontal="left" vertical="top" indent="1"/>
    </xf>
    <xf numFmtId="0" fontId="18" fillId="49" borderId="106" applyNumberFormat="0" applyProtection="0">
      <alignment horizontal="left" vertical="top" indent="1"/>
    </xf>
    <xf numFmtId="0" fontId="18" fillId="5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4"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3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0" borderId="106" applyNumberFormat="0" applyProtection="0">
      <alignment horizontal="left" vertical="top"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center" indent="1"/>
    </xf>
    <xf numFmtId="4" fontId="47" fillId="51" borderId="106" applyNumberFormat="0" applyProtection="0">
      <alignment horizontal="right" vertical="center"/>
    </xf>
    <xf numFmtId="4" fontId="47" fillId="47" borderId="106" applyNumberFormat="0" applyProtection="0">
      <alignment horizontal="right" vertical="center"/>
    </xf>
    <xf numFmtId="4" fontId="47" fillId="46" borderId="106" applyNumberFormat="0" applyProtection="0">
      <alignment horizontal="right" vertical="center"/>
    </xf>
    <xf numFmtId="4" fontId="47" fillId="45" borderId="106" applyNumberFormat="0" applyProtection="0">
      <alignment horizontal="right" vertical="center"/>
    </xf>
    <xf numFmtId="4" fontId="47" fillId="44" borderId="106" applyNumberFormat="0" applyProtection="0">
      <alignment horizontal="right" vertical="center"/>
    </xf>
    <xf numFmtId="4" fontId="47" fillId="43" borderId="106" applyNumberFormat="0" applyProtection="0">
      <alignment horizontal="right" vertical="center"/>
    </xf>
    <xf numFmtId="4" fontId="47" fillId="42" borderId="106" applyNumberFormat="0" applyProtection="0">
      <alignment horizontal="right" vertical="center"/>
    </xf>
    <xf numFmtId="4" fontId="47" fillId="41" borderId="106" applyNumberFormat="0" applyProtection="0">
      <alignment horizontal="right" vertical="center"/>
    </xf>
    <xf numFmtId="4" fontId="47" fillId="40" borderId="106" applyNumberFormat="0" applyProtection="0">
      <alignment horizontal="right" vertical="center"/>
    </xf>
    <xf numFmtId="4" fontId="47" fillId="39" borderId="106" applyNumberFormat="0" applyProtection="0">
      <alignment horizontal="right" vertical="center"/>
    </xf>
    <xf numFmtId="0" fontId="27" fillId="38" borderId="106" applyNumberFormat="0" applyProtection="0">
      <alignment horizontal="left" vertical="top" indent="1"/>
    </xf>
    <xf numFmtId="4" fontId="27" fillId="38" borderId="106" applyNumberFormat="0" applyProtection="0">
      <alignment horizontal="left" vertical="center" indent="1"/>
    </xf>
    <xf numFmtId="4" fontId="46" fillId="38" borderId="106" applyNumberFormat="0" applyProtection="0">
      <alignment vertical="center"/>
    </xf>
    <xf numFmtId="4" fontId="27" fillId="37" borderId="106" applyNumberFormat="0" applyProtection="0">
      <alignment vertical="center"/>
    </xf>
    <xf numFmtId="0" fontId="63" fillId="59" borderId="112" applyNumberFormat="0" applyFont="0" applyFill="0" applyAlignment="0" applyProtection="0">
      <protection locked="0"/>
    </xf>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24" fillId="59" borderId="112" applyNumberFormat="0" applyFont="0" applyAlignment="0" applyProtection="0">
      <protection locked="0"/>
    </xf>
    <xf numFmtId="0" fontId="105" fillId="0" borderId="111" applyNumberFormat="0" applyFill="0" applyAlignment="0" applyProtection="0"/>
    <xf numFmtId="0" fontId="105" fillId="0" borderId="111" applyNumberFormat="0" applyFill="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top"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34"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top"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54"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top"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5"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top" indent="1"/>
    </xf>
    <xf numFmtId="0" fontId="18" fillId="49" borderId="106" applyNumberFormat="0" applyProtection="0">
      <alignment horizontal="left" vertical="top" indent="1"/>
    </xf>
    <xf numFmtId="0" fontId="18" fillId="49"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4" fontId="25" fillId="49" borderId="106" applyNumberFormat="0" applyProtection="0">
      <alignment horizontal="right" vertical="center"/>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12" fontId="26" fillId="36" borderId="20">
      <alignment horizontal="left"/>
    </xf>
    <xf numFmtId="0" fontId="18" fillId="54" borderId="123" applyNumberFormat="0" applyProtection="0">
      <alignment horizontal="left" vertical="top" indent="1"/>
    </xf>
    <xf numFmtId="0" fontId="18" fillId="55" borderId="123" applyNumberFormat="0" applyProtection="0">
      <alignment horizontal="left" vertical="center" indent="1"/>
    </xf>
    <xf numFmtId="0" fontId="18" fillId="55" borderId="123" applyNumberFormat="0" applyProtection="0">
      <alignment horizontal="left" vertical="top" indent="1"/>
    </xf>
    <xf numFmtId="4" fontId="47" fillId="0" borderId="123" applyNumberFormat="0" applyProtection="0">
      <alignment horizontal="right" vertical="center"/>
    </xf>
    <xf numFmtId="4" fontId="47" fillId="0" borderId="123" applyNumberFormat="0" applyProtection="0">
      <alignment horizontal="right" vertical="center"/>
    </xf>
    <xf numFmtId="4" fontId="47" fillId="0" borderId="123" applyNumberFormat="0" applyProtection="0">
      <alignment horizontal="left" vertical="center" indent="1"/>
    </xf>
    <xf numFmtId="0" fontId="47" fillId="34" borderId="123" applyNumberFormat="0" applyProtection="0">
      <alignment horizontal="left" vertical="top"/>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vertical="center"/>
    </xf>
    <xf numFmtId="4" fontId="27" fillId="38" borderId="117" applyNumberFormat="0" applyProtection="0">
      <alignment vertical="center"/>
    </xf>
    <xf numFmtId="4" fontId="27" fillId="38" borderId="117" applyNumberFormat="0" applyProtection="0">
      <alignment vertical="center"/>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4" fontId="27" fillId="34" borderId="117" applyNumberFormat="0" applyProtection="0"/>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59" borderId="117" applyNumberFormat="0" applyProtection="0">
      <alignment horizontal="left" vertical="center" indent="1"/>
    </xf>
    <xf numFmtId="4" fontId="47" fillId="59" borderId="117" applyNumberFormat="0" applyProtection="0">
      <alignment horizontal="left" vertical="center" indent="1"/>
    </xf>
    <xf numFmtId="4" fontId="47" fillId="59"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51" borderId="117" applyNumberFormat="0" applyProtection="0">
      <alignment horizontal="left" vertical="center" indent="1"/>
    </xf>
    <xf numFmtId="4" fontId="47" fillId="51" borderId="117" applyNumberFormat="0" applyProtection="0">
      <alignment horizontal="left" vertical="center" indent="1"/>
    </xf>
    <xf numFmtId="4" fontId="47" fillId="51" borderId="117" applyNumberFormat="0" applyProtection="0">
      <alignment horizontal="left" vertical="center" indent="1"/>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center" vertical="top"/>
    </xf>
    <xf numFmtId="0" fontId="47" fillId="34" borderId="117" applyNumberFormat="0" applyProtection="0">
      <alignment horizontal="center" vertical="top"/>
    </xf>
    <xf numFmtId="0" fontId="47" fillId="34" borderId="117" applyNumberFormat="0" applyProtection="0">
      <alignment horizontal="center"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176" fontId="18" fillId="0" borderId="16">
      <alignment horizontal="justify" vertical="top" wrapText="1"/>
    </xf>
    <xf numFmtId="4" fontId="47" fillId="42" borderId="123" applyNumberFormat="0" applyProtection="0">
      <alignment horizontal="right" vertical="center"/>
    </xf>
    <xf numFmtId="4" fontId="47" fillId="43" borderId="123" applyNumberFormat="0" applyProtection="0">
      <alignment horizontal="right" vertical="center"/>
    </xf>
    <xf numFmtId="4" fontId="47" fillId="44" borderId="123" applyNumberFormat="0" applyProtection="0">
      <alignment horizontal="right" vertical="center"/>
    </xf>
    <xf numFmtId="4" fontId="47" fillId="47" borderId="123" applyNumberFormat="0" applyProtection="0">
      <alignment horizontal="right" vertical="center"/>
    </xf>
    <xf numFmtId="4" fontId="27" fillId="38" borderId="123" applyNumberFormat="0" applyProtection="0">
      <alignment horizontal="left" vertical="center" indent="1"/>
    </xf>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8" fillId="54" borderId="123" applyNumberFormat="0" applyProtection="0">
      <alignment horizontal="left" vertical="center" indent="1"/>
    </xf>
    <xf numFmtId="4" fontId="47" fillId="0" borderId="123" applyNumberFormat="0" applyProtection="0">
      <alignment horizontal="right" vertical="center"/>
    </xf>
    <xf numFmtId="4" fontId="47" fillId="0" borderId="123" applyNumberFormat="0" applyProtection="0">
      <alignment horizontal="right" vertical="center"/>
    </xf>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8"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198"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 fontId="27" fillId="38" borderId="123" applyNumberFormat="0" applyProtection="0">
      <alignment horizontal="left" vertical="center" indent="1"/>
    </xf>
    <xf numFmtId="4" fontId="47" fillId="0" borderId="123" applyNumberFormat="0" applyProtection="0">
      <alignment horizontal="right" vertical="center"/>
    </xf>
    <xf numFmtId="0" fontId="18" fillId="54" borderId="123" applyNumberFormat="0" applyProtection="0">
      <alignment horizontal="left" vertical="center" indent="1"/>
    </xf>
    <xf numFmtId="0" fontId="47" fillId="35" borderId="123" applyNumberFormat="0" applyProtection="0">
      <alignment horizontal="left" vertical="top" indent="1"/>
    </xf>
    <xf numFmtId="4" fontId="47" fillId="51" borderId="123" applyNumberFormat="0" applyProtection="0">
      <alignment horizontal="right" vertical="center"/>
    </xf>
    <xf numFmtId="0" fontId="26" fillId="0" borderId="122">
      <alignment horizontal="left" vertical="center"/>
    </xf>
    <xf numFmtId="0" fontId="110" fillId="77" borderId="120" applyNumberFormat="0" applyAlignment="0" applyProtection="0"/>
    <xf numFmtId="0" fontId="24" fillId="59" borderId="121" applyNumberFormat="0" applyFont="0" applyAlignment="0" applyProtection="0">
      <protection locked="0"/>
    </xf>
    <xf numFmtId="0" fontId="102" fillId="79" borderId="120" applyNumberFormat="0" applyAlignment="0" applyProtection="0"/>
    <xf numFmtId="0" fontId="18" fillId="50" borderId="123" applyNumberFormat="0" applyProtection="0">
      <alignment horizontal="left" vertical="center" indent="1"/>
    </xf>
    <xf numFmtId="0" fontId="102" fillId="79" borderId="120" applyNumberFormat="0" applyAlignment="0" applyProtection="0"/>
    <xf numFmtId="0" fontId="18" fillId="54" borderId="123" applyNumberFormat="0" applyProtection="0">
      <alignment horizontal="left" vertical="center" indent="1"/>
    </xf>
    <xf numFmtId="0" fontId="102" fillId="79" borderId="120" applyNumberFormat="0" applyAlignment="0" applyProtection="0"/>
    <xf numFmtId="0" fontId="24" fillId="59" borderId="121" applyNumberFormat="0" applyFont="0" applyAlignment="0" applyProtection="0">
      <protection locked="0"/>
    </xf>
    <xf numFmtId="0" fontId="47" fillId="34" borderId="123" applyNumberFormat="0" applyProtection="0">
      <alignment horizontal="left" vertical="top"/>
    </xf>
    <xf numFmtId="0" fontId="102" fillId="79" borderId="120" applyNumberFormat="0" applyAlignment="0" applyProtection="0"/>
    <xf numFmtId="0" fontId="63" fillId="59" borderId="121" applyNumberFormat="0" applyFont="0" applyFill="0" applyAlignment="0" applyProtection="0">
      <protection locked="0"/>
    </xf>
    <xf numFmtId="4" fontId="47" fillId="0" borderId="123" applyNumberFormat="0" applyProtection="0">
      <alignment horizontal="right" vertical="center"/>
    </xf>
    <xf numFmtId="0" fontId="110" fillId="77" borderId="120" applyNumberFormat="0" applyAlignment="0" applyProtection="0"/>
    <xf numFmtId="0" fontId="102" fillId="79" borderId="120" applyNumberFormat="0" applyAlignment="0" applyProtection="0"/>
    <xf numFmtId="0" fontId="110" fillId="77" borderId="120" applyNumberFormat="0" applyAlignment="0" applyProtection="0"/>
    <xf numFmtId="0" fontId="102" fillId="79" borderId="120" applyNumberFormat="0" applyAlignment="0" applyProtection="0"/>
    <xf numFmtId="0" fontId="26" fillId="0" borderId="122">
      <alignment horizontal="left" vertical="center"/>
    </xf>
    <xf numFmtId="0" fontId="26" fillId="0" borderId="122">
      <alignment horizontal="left" vertical="center"/>
    </xf>
    <xf numFmtId="0" fontId="110" fillId="77" borderId="120" applyNumberFormat="0" applyAlignment="0" applyProtection="0"/>
    <xf numFmtId="0" fontId="18" fillId="54" borderId="123" applyNumberFormat="0" applyProtection="0">
      <alignment horizontal="left" vertical="center" indent="1"/>
    </xf>
    <xf numFmtId="0" fontId="110" fillId="77" borderId="120" applyNumberFormat="0" applyAlignment="0" applyProtection="0"/>
    <xf numFmtId="0" fontId="110" fillId="77" borderId="120" applyNumberFormat="0" applyAlignment="0" applyProtection="0"/>
    <xf numFmtId="4" fontId="47" fillId="0" borderId="123" applyNumberFormat="0" applyProtection="0">
      <alignment horizontal="left" vertical="center" indent="1"/>
    </xf>
    <xf numFmtId="0" fontId="110" fillId="77" borderId="120" applyNumberFormat="0" applyAlignment="0" applyProtection="0"/>
    <xf numFmtId="0" fontId="102" fillId="79" borderId="120" applyNumberFormat="0" applyAlignment="0" applyProtection="0"/>
    <xf numFmtId="0" fontId="110" fillId="77" borderId="120" applyNumberFormat="0" applyAlignment="0" applyProtection="0"/>
    <xf numFmtId="0" fontId="63" fillId="59" borderId="121" applyNumberFormat="0" applyFont="0" applyFill="0" applyAlignment="0" applyProtection="0">
      <protection locked="0"/>
    </xf>
    <xf numFmtId="0" fontId="18" fillId="54" borderId="123" applyNumberFormat="0" applyProtection="0">
      <alignment horizontal="left" vertical="top" indent="1"/>
    </xf>
    <xf numFmtId="0" fontId="102" fillId="79" borderId="120" applyNumberFormat="0" applyAlignment="0" applyProtection="0"/>
    <xf numFmtId="4" fontId="47" fillId="0" borderId="123" applyNumberFormat="0" applyProtection="0">
      <alignment horizontal="right" vertical="center"/>
    </xf>
    <xf numFmtId="4" fontId="47" fillId="0" borderId="123" applyNumberFormat="0" applyProtection="0">
      <alignment horizontal="left" vertical="center" indent="1"/>
    </xf>
    <xf numFmtId="0" fontId="18" fillId="34" borderId="123" applyNumberFormat="0" applyProtection="0">
      <alignment horizontal="left" vertical="center" indent="1"/>
    </xf>
    <xf numFmtId="0" fontId="47" fillId="34" borderId="123" applyNumberFormat="0" applyProtection="0">
      <alignment horizontal="left" vertical="top"/>
    </xf>
    <xf numFmtId="0" fontId="47" fillId="34" borderId="123" applyNumberFormat="0" applyProtection="0">
      <alignment horizontal="left" vertical="top"/>
    </xf>
    <xf numFmtId="0" fontId="47" fillId="34" borderId="123" applyNumberFormat="0" applyProtection="0">
      <alignment horizontal="left" vertical="top"/>
    </xf>
    <xf numFmtId="4" fontId="47" fillId="0" borderId="123" applyNumberFormat="0" applyProtection="0">
      <alignment horizontal="left" vertical="center" indent="1"/>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47" fillId="34" borderId="123" applyNumberFormat="0" applyProtection="0">
      <alignment horizontal="left" vertical="top"/>
    </xf>
    <xf numFmtId="0" fontId="18" fillId="54" borderId="123" applyNumberFormat="0" applyProtection="0">
      <alignment horizontal="left" vertical="top" indent="1"/>
    </xf>
    <xf numFmtId="0" fontId="24" fillId="59" borderId="121" applyNumberFormat="0" applyFont="0" applyAlignment="0" applyProtection="0">
      <protection locked="0"/>
    </xf>
    <xf numFmtId="0" fontId="63" fillId="59" borderId="121" applyNumberFormat="0" applyFont="0" applyFill="0" applyAlignment="0" applyProtection="0">
      <protection locked="0"/>
    </xf>
    <xf numFmtId="0" fontId="18" fillId="0" borderId="0" applyFill="0" applyBorder="0" applyProtection="0">
      <alignment horizontal="right"/>
    </xf>
    <xf numFmtId="0" fontId="63" fillId="59" borderId="121" applyNumberFormat="0" applyFont="0" applyFill="0" applyAlignment="0" applyProtection="0">
      <protection locked="0"/>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24" fillId="59" borderId="121" applyNumberFormat="0" applyFont="0" applyAlignment="0" applyProtection="0">
      <protection locked="0"/>
    </xf>
    <xf numFmtId="4" fontId="51" fillId="49" borderId="123" applyNumberFormat="0" applyProtection="0">
      <alignment horizontal="right" vertical="center"/>
    </xf>
    <xf numFmtId="0" fontId="18" fillId="54" borderId="123" applyNumberFormat="0" applyProtection="0">
      <alignment horizontal="left" vertical="center" indent="1"/>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47" fillId="35" borderId="123" applyNumberFormat="0" applyProtection="0">
      <alignment horizontal="left" vertical="top" indent="1"/>
    </xf>
    <xf numFmtId="0" fontId="18" fillId="34" borderId="123" applyNumberFormat="0" applyProtection="0">
      <alignment horizontal="left" vertical="top" indent="1"/>
    </xf>
    <xf numFmtId="0" fontId="105" fillId="0" borderId="127" applyNumberFormat="0" applyFill="0" applyAlignment="0" applyProtection="0"/>
    <xf numFmtId="0" fontId="105" fillId="0" borderId="127" applyNumberFormat="0" applyFill="0" applyAlignment="0" applyProtection="0"/>
    <xf numFmtId="0" fontId="105" fillId="0" borderId="127" applyNumberFormat="0" applyFill="0" applyAlignment="0" applyProtection="0"/>
    <xf numFmtId="0" fontId="105" fillId="0" borderId="127" applyNumberFormat="0" applyFill="0" applyAlignment="0" applyProtection="0"/>
    <xf numFmtId="0" fontId="105" fillId="0" borderId="127" applyNumberFormat="0" applyFill="0" applyAlignment="0" applyProtection="0"/>
    <xf numFmtId="49" fontId="1" fillId="0" borderId="0" applyAlignment="0">
      <alignment horizontal="center"/>
    </xf>
    <xf numFmtId="2" fontId="1" fillId="0" borderId="0"/>
    <xf numFmtId="0" fontId="18" fillId="0" borderId="0" applyFill="0" applyBorder="0" applyProtection="0">
      <alignment horizontal="right"/>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0" borderId="0" applyFill="0" applyBorder="0" applyProtection="0">
      <alignment horizontal="right"/>
    </xf>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0" borderId="0" applyFill="0" applyBorder="0" applyProtection="0">
      <alignment horizontal="right"/>
    </xf>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8" fillId="0" borderId="0" applyFill="0" applyBorder="0" applyProtection="0">
      <alignment horizontal="right"/>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18" fillId="0" borderId="0" applyFill="0" applyBorder="0" applyProtection="0">
      <alignment horizontal="right"/>
    </xf>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8" fillId="0" borderId="0" applyFill="0" applyBorder="0" applyProtection="0">
      <alignment horizontal="right"/>
    </xf>
    <xf numFmtId="0" fontId="18" fillId="0" borderId="139" applyNumberFormat="0" applyFill="0" applyAlignment="0" applyProtection="0"/>
    <xf numFmtId="0" fontId="18" fillId="0" borderId="139" applyNumberFormat="0" applyFill="0" applyAlignment="0" applyProtection="0"/>
    <xf numFmtId="0" fontId="18" fillId="0" borderId="0" applyFill="0" applyBorder="0" applyProtection="0">
      <alignment horizontal="right"/>
    </xf>
    <xf numFmtId="0" fontId="18" fillId="0" borderId="0" applyFill="0" applyBorder="0" applyProtection="0">
      <alignment horizontal="right"/>
    </xf>
    <xf numFmtId="0" fontId="26" fillId="0" borderId="129">
      <alignment horizontal="left" vertical="center"/>
    </xf>
    <xf numFmtId="0" fontId="18" fillId="0" borderId="0" applyFill="0" applyBorder="0" applyProtection="0">
      <alignment horizontal="right"/>
    </xf>
    <xf numFmtId="0" fontId="21" fillId="35" borderId="140" applyNumberFormat="0" applyFont="0" applyAlignment="0" applyProtection="0">
      <alignment horizontal="center"/>
      <protection locked="0"/>
    </xf>
    <xf numFmtId="0" fontId="21" fillId="35" borderId="140" applyNumberFormat="0" applyFont="0" applyAlignment="0" applyProtection="0">
      <alignment horizontal="center"/>
      <protection locked="0"/>
    </xf>
    <xf numFmtId="0" fontId="21" fillId="35" borderId="140" applyNumberFormat="0" applyFont="0" applyAlignment="0" applyProtection="0">
      <alignment horizontal="center"/>
      <protection locked="0"/>
    </xf>
    <xf numFmtId="0" fontId="21" fillId="35" borderId="140" applyNumberFormat="0" applyFont="0" applyAlignment="0" applyProtection="0">
      <alignment horizontal="center"/>
      <protection locked="0"/>
    </xf>
    <xf numFmtId="0" fontId="18" fillId="0" borderId="0" applyFill="0" applyBorder="0" applyProtection="0">
      <alignment horizontal="right"/>
    </xf>
    <xf numFmtId="37" fontId="30" fillId="0" borderId="0"/>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18" fillId="0" borderId="0" applyFill="0" applyBorder="0" applyProtection="0">
      <alignment horizontal="right"/>
    </xf>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vertical="center"/>
    </xf>
    <xf numFmtId="4" fontId="27" fillId="38" borderId="142" applyNumberFormat="0" applyProtection="0">
      <alignment vertical="center"/>
    </xf>
    <xf numFmtId="4" fontId="27" fillId="38" borderId="142" applyNumberFormat="0" applyProtection="0">
      <alignment vertical="center"/>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4" fontId="27" fillId="34" borderId="142" applyNumberFormat="0" applyProtection="0"/>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59" borderId="144"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59" borderId="142" applyNumberFormat="0" applyProtection="0">
      <alignment horizontal="left" vertical="center" indent="1"/>
    </xf>
    <xf numFmtId="4" fontId="47" fillId="59" borderId="142" applyNumberFormat="0" applyProtection="0">
      <alignment horizontal="left" vertical="center" indent="1"/>
    </xf>
    <xf numFmtId="4" fontId="47" fillId="59"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51" borderId="142" applyNumberFormat="0" applyProtection="0">
      <alignment horizontal="left" vertical="center" indent="1"/>
    </xf>
    <xf numFmtId="4" fontId="47" fillId="51" borderId="142" applyNumberFormat="0" applyProtection="0">
      <alignment horizontal="left" vertical="center" indent="1"/>
    </xf>
    <xf numFmtId="4" fontId="47" fillId="51" borderId="142" applyNumberFormat="0" applyProtection="0">
      <alignment horizontal="left" vertical="center" indent="1"/>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center" vertical="top"/>
    </xf>
    <xf numFmtId="0" fontId="47" fillId="34" borderId="142" applyNumberFormat="0" applyProtection="0">
      <alignment horizontal="center" vertical="top"/>
    </xf>
    <xf numFmtId="0" fontId="47" fillId="34" borderId="142" applyNumberFormat="0" applyProtection="0">
      <alignment horizontal="center"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176" fontId="18" fillId="0" borderId="145">
      <alignment horizontal="justify" vertical="top" wrapText="1"/>
    </xf>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35" fillId="0" borderId="147"/>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47" fillId="0" borderId="0">
      <alignment vertical="top"/>
    </xf>
    <xf numFmtId="0" fontId="140" fillId="0" borderId="0"/>
    <xf numFmtId="43" fontId="140" fillId="0" borderId="0" applyFont="0" applyFill="0" applyBorder="0" applyAlignment="0" applyProtection="0"/>
    <xf numFmtId="0" fontId="18" fillId="0" borderId="0" applyFill="0" applyBorder="0" applyProtection="0">
      <alignment horizontal="right"/>
    </xf>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5" fillId="49" borderId="160" applyNumberFormat="0" applyProtection="0">
      <alignment horizontal="right" vertical="center"/>
    </xf>
    <xf numFmtId="0" fontId="47" fillId="34" borderId="160" applyNumberFormat="0" applyProtection="0">
      <alignment horizontal="left" vertical="top"/>
    </xf>
    <xf numFmtId="4" fontId="47" fillId="0" borderId="160" applyNumberFormat="0" applyProtection="0">
      <alignment horizontal="left" vertical="center" indent="1"/>
    </xf>
    <xf numFmtId="4" fontId="51" fillId="49" borderId="160" applyNumberFormat="0" applyProtection="0">
      <alignment horizontal="right" vertical="center"/>
    </xf>
    <xf numFmtId="4" fontId="47" fillId="0" borderId="160" applyNumberFormat="0" applyProtection="0">
      <alignment horizontal="right" vertical="center"/>
    </xf>
    <xf numFmtId="0" fontId="47" fillId="35" borderId="160" applyNumberFormat="0" applyProtection="0">
      <alignment horizontal="left" vertical="top" indent="1"/>
    </xf>
    <xf numFmtId="4" fontId="47" fillId="35" borderId="160" applyNumberFormat="0" applyProtection="0">
      <alignment horizontal="left" vertical="center" indent="1"/>
    </xf>
    <xf numFmtId="4" fontId="51" fillId="35" borderId="160" applyNumberFormat="0" applyProtection="0">
      <alignment vertical="center"/>
    </xf>
    <xf numFmtId="4" fontId="47" fillId="35" borderId="160" applyNumberFormat="0" applyProtection="0">
      <alignment vertical="center"/>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4" fontId="47" fillId="51" borderId="160" applyNumberFormat="0" applyProtection="0">
      <alignment horizontal="right" vertical="center"/>
    </xf>
    <xf numFmtId="4" fontId="47" fillId="47" borderId="160" applyNumberFormat="0" applyProtection="0">
      <alignment horizontal="right" vertical="center"/>
    </xf>
    <xf numFmtId="4" fontId="47" fillId="46" borderId="160" applyNumberFormat="0" applyProtection="0">
      <alignment horizontal="right" vertical="center"/>
    </xf>
    <xf numFmtId="4" fontId="47" fillId="45" borderId="160" applyNumberFormat="0" applyProtection="0">
      <alignment horizontal="right" vertical="center"/>
    </xf>
    <xf numFmtId="4" fontId="47" fillId="44" borderId="160" applyNumberFormat="0" applyProtection="0">
      <alignment horizontal="right" vertical="center"/>
    </xf>
    <xf numFmtId="4" fontId="47" fillId="43" borderId="160" applyNumberFormat="0" applyProtection="0">
      <alignment horizontal="right" vertical="center"/>
    </xf>
    <xf numFmtId="4" fontId="47" fillId="42" borderId="160" applyNumberFormat="0" applyProtection="0">
      <alignment horizontal="right" vertical="center"/>
    </xf>
    <xf numFmtId="4" fontId="47" fillId="41" borderId="160" applyNumberFormat="0" applyProtection="0">
      <alignment horizontal="right" vertical="center"/>
    </xf>
    <xf numFmtId="4" fontId="47" fillId="40" borderId="160" applyNumberFormat="0" applyProtection="0">
      <alignment horizontal="right" vertical="center"/>
    </xf>
    <xf numFmtId="4" fontId="47" fillId="39" borderId="160" applyNumberFormat="0" applyProtection="0">
      <alignment horizontal="right" vertical="center"/>
    </xf>
    <xf numFmtId="0" fontId="27" fillId="38" borderId="160" applyNumberFormat="0" applyProtection="0">
      <alignment horizontal="left" vertical="top" indent="1"/>
    </xf>
    <xf numFmtId="4" fontId="27" fillId="38" borderId="160" applyNumberFormat="0" applyProtection="0">
      <alignment horizontal="left" vertical="center" indent="1"/>
    </xf>
    <xf numFmtId="4" fontId="46" fillId="38" borderId="160" applyNumberFormat="0" applyProtection="0">
      <alignment vertical="center"/>
    </xf>
    <xf numFmtId="4" fontId="27" fillId="37" borderId="160" applyNumberFormat="0" applyProtection="0">
      <alignment vertical="center"/>
    </xf>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6" fillId="0" borderId="32">
      <alignment horizontal="left" vertical="center"/>
    </xf>
    <xf numFmtId="4" fontId="27" fillId="34" borderId="36" applyNumberFormat="0" applyProtection="0">
      <alignment vertical="center"/>
    </xf>
    <xf numFmtId="4" fontId="47" fillId="0" borderId="160" applyNumberFormat="0" applyProtection="0">
      <alignment horizontal="right" vertical="center"/>
    </xf>
    <xf numFmtId="0" fontId="18" fillId="51" borderId="160" applyNumberFormat="0" applyProtection="0">
      <alignment horizontal="left" vertical="center" indent="1"/>
    </xf>
    <xf numFmtId="4" fontId="27" fillId="37" borderId="160" applyNumberFormat="0" applyProtection="0">
      <alignment vertical="center"/>
    </xf>
    <xf numFmtId="0" fontId="110" fillId="77" borderId="161" applyNumberFormat="0" applyAlignment="0" applyProtection="0"/>
    <xf numFmtId="0" fontId="24" fillId="59" borderId="165" applyNumberFormat="0" applyFont="0" applyAlignment="0" applyProtection="0">
      <protection locked="0"/>
    </xf>
    <xf numFmtId="0" fontId="102" fillId="79" borderId="161" applyNumberFormat="0" applyAlignment="0" applyProtection="0"/>
    <xf numFmtId="4" fontId="47" fillId="42" borderId="160" applyNumberFormat="0" applyProtection="0">
      <alignment horizontal="right" vertical="center"/>
    </xf>
    <xf numFmtId="0" fontId="18" fillId="51" borderId="160" applyNumberFormat="0" applyProtection="0">
      <alignment horizontal="left" vertical="top" indent="1"/>
    </xf>
    <xf numFmtId="4" fontId="25" fillId="49" borderId="160" applyNumberFormat="0" applyProtection="0">
      <alignment horizontal="right" vertical="center"/>
    </xf>
    <xf numFmtId="0" fontId="114" fillId="79" borderId="163" applyNumberFormat="0" applyAlignment="0" applyProtection="0"/>
    <xf numFmtId="0" fontId="47" fillId="35" borderId="160" applyNumberFormat="0" applyProtection="0">
      <alignment horizontal="left" vertical="top" indent="1"/>
    </xf>
    <xf numFmtId="0" fontId="18" fillId="34" borderId="160" applyNumberFormat="0" applyProtection="0">
      <alignment horizontal="left" vertical="center" indent="1"/>
    </xf>
    <xf numFmtId="0" fontId="102" fillId="79" borderId="161" applyNumberFormat="0" applyAlignment="0" applyProtection="0"/>
    <xf numFmtId="4" fontId="47" fillId="43" borderId="160" applyNumberFormat="0" applyProtection="0">
      <alignment horizontal="right" vertical="center"/>
    </xf>
    <xf numFmtId="0" fontId="18" fillId="54" borderId="160" applyNumberFormat="0" applyProtection="0">
      <alignment horizontal="left" vertical="center" indent="1"/>
    </xf>
    <xf numFmtId="0" fontId="114" fillId="79" borderId="163" applyNumberFormat="0" applyAlignment="0" applyProtection="0"/>
    <xf numFmtId="4" fontId="25" fillId="49" borderId="160" applyNumberFormat="0" applyProtection="0">
      <alignment horizontal="right" vertical="center"/>
    </xf>
    <xf numFmtId="0" fontId="18" fillId="51" borderId="160" applyNumberFormat="0" applyProtection="0">
      <alignment horizontal="left" vertical="top" indent="1"/>
    </xf>
    <xf numFmtId="4" fontId="47" fillId="39" borderId="160" applyNumberFormat="0" applyProtection="0">
      <alignment horizontal="right" vertical="center"/>
    </xf>
    <xf numFmtId="0" fontId="18" fillId="76" borderId="162" applyNumberFormat="0" applyFont="0" applyAlignment="0" applyProtection="0"/>
    <xf numFmtId="0" fontId="105" fillId="0" borderId="164" applyNumberFormat="0" applyFill="0" applyAlignment="0" applyProtection="0"/>
    <xf numFmtId="0" fontId="27" fillId="38" borderId="160" applyNumberFormat="0" applyProtection="0">
      <alignment horizontal="left" vertical="top" indent="1"/>
    </xf>
    <xf numFmtId="0" fontId="18" fillId="51" borderId="160" applyNumberFormat="0" applyProtection="0">
      <alignment horizontal="left" vertical="center" indent="1"/>
    </xf>
    <xf numFmtId="4" fontId="47" fillId="0" borderId="160" applyNumberFormat="0" applyProtection="0">
      <alignment horizontal="righ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center" indent="1"/>
    </xf>
    <xf numFmtId="4" fontId="47" fillId="51" borderId="160"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8" fillId="49" borderId="160" applyNumberFormat="0" applyProtection="0">
      <alignment horizontal="left" vertical="center" indent="1"/>
    </xf>
    <xf numFmtId="0" fontId="105" fillId="0" borderId="164" applyNumberFormat="0" applyFill="0" applyAlignment="0" applyProtection="0"/>
    <xf numFmtId="0" fontId="18" fillId="85" borderId="160" applyNumberFormat="0" applyProtection="0">
      <alignment horizontal="left" vertical="center" indent="1"/>
    </xf>
    <xf numFmtId="4" fontId="47" fillId="41" borderId="160" applyNumberFormat="0" applyProtection="0">
      <alignment horizontal="right" vertical="center"/>
    </xf>
    <xf numFmtId="0" fontId="18" fillId="76" borderId="162" applyNumberFormat="0" applyFont="0" applyAlignment="0" applyProtection="0"/>
    <xf numFmtId="4" fontId="46" fillId="38" borderId="160" applyNumberFormat="0" applyProtection="0">
      <alignment vertical="center"/>
    </xf>
    <xf numFmtId="0" fontId="18" fillId="84" borderId="160" applyNumberFormat="0" applyProtection="0">
      <alignment horizontal="left" vertical="top" indent="1"/>
    </xf>
    <xf numFmtId="4" fontId="47" fillId="35" borderId="160" applyNumberFormat="0" applyProtection="0">
      <alignment horizontal="left" vertical="center" indent="1"/>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51"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24" fillId="59" borderId="165" applyNumberFormat="0" applyFont="0" applyAlignment="0" applyProtection="0">
      <protection locked="0"/>
    </xf>
    <xf numFmtId="4" fontId="47" fillId="43" borderId="160" applyNumberFormat="0" applyProtection="0">
      <alignment horizontal="right" vertical="center"/>
    </xf>
    <xf numFmtId="0" fontId="18" fillId="54" borderId="160" applyNumberFormat="0" applyProtection="0">
      <alignment horizontal="left" vertical="top" indent="1"/>
    </xf>
    <xf numFmtId="0" fontId="18" fillId="76" borderId="162" applyNumberFormat="0" applyFont="0" applyAlignment="0" applyProtection="0"/>
    <xf numFmtId="0" fontId="105" fillId="0" borderId="164" applyNumberFormat="0" applyFill="0" applyAlignment="0" applyProtection="0"/>
    <xf numFmtId="0" fontId="18" fillId="50" borderId="160" applyNumberFormat="0" applyProtection="0">
      <alignment horizontal="left" vertical="top" indent="1"/>
    </xf>
    <xf numFmtId="4" fontId="47"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4" fontId="47" fillId="35" borderId="160" applyNumberFormat="0" applyProtection="0">
      <alignment vertical="center"/>
    </xf>
    <xf numFmtId="0" fontId="18" fillId="50"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6" borderId="160" applyNumberFormat="0" applyProtection="0">
      <alignment horizontal="right" vertical="center"/>
    </xf>
    <xf numFmtId="0" fontId="18" fillId="54" borderId="160" applyNumberFormat="0" applyProtection="0">
      <alignment horizontal="left" vertical="top" indent="1"/>
    </xf>
    <xf numFmtId="0" fontId="105" fillId="0" borderId="164" applyNumberFormat="0" applyFill="0" applyAlignment="0" applyProtection="0"/>
    <xf numFmtId="0" fontId="63" fillId="59" borderId="165" applyNumberFormat="0" applyFont="0" applyFill="0" applyAlignment="0" applyProtection="0">
      <protection locked="0"/>
    </xf>
    <xf numFmtId="0" fontId="105" fillId="0" borderId="164" applyNumberFormat="0" applyFill="0" applyAlignment="0" applyProtection="0"/>
    <xf numFmtId="0" fontId="18" fillId="85" borderId="160" applyNumberFormat="0" applyProtection="0">
      <alignment horizontal="left" vertical="top" indent="1"/>
    </xf>
    <xf numFmtId="4" fontId="47" fillId="45" borderId="160" applyNumberFormat="0" applyProtection="0">
      <alignment horizontal="right" vertical="center"/>
    </xf>
    <xf numFmtId="0" fontId="110" fillId="77" borderId="161" applyNumberFormat="0" applyAlignment="0" applyProtection="0"/>
    <xf numFmtId="0" fontId="18" fillId="84" borderId="160" applyNumberFormat="0" applyProtection="0">
      <alignment horizontal="left" vertical="center" indent="1"/>
    </xf>
    <xf numFmtId="0" fontId="18" fillId="49" borderId="160" applyNumberFormat="0" applyProtection="0">
      <alignment horizontal="left" vertical="top" indent="1"/>
    </xf>
    <xf numFmtId="4" fontId="47" fillId="35" borderId="160" applyNumberFormat="0" applyProtection="0">
      <alignment horizontal="left" vertical="center" indent="1"/>
    </xf>
    <xf numFmtId="0" fontId="18" fillId="84" borderId="160" applyNumberFormat="0" applyProtection="0">
      <alignment horizontal="left" vertical="top" indent="1"/>
    </xf>
    <xf numFmtId="0" fontId="102" fillId="79" borderId="161" applyNumberFormat="0" applyAlignment="0" applyProtection="0"/>
    <xf numFmtId="4" fontId="47" fillId="44" borderId="160" applyNumberFormat="0" applyProtection="0">
      <alignment horizontal="right" vertical="center"/>
    </xf>
    <xf numFmtId="0" fontId="18" fillId="85" borderId="160" applyNumberFormat="0" applyProtection="0">
      <alignment horizontal="left" vertical="center" indent="1"/>
    </xf>
    <xf numFmtId="0" fontId="114" fillId="79" borderId="163" applyNumberFormat="0" applyAlignment="0" applyProtection="0"/>
    <xf numFmtId="4" fontId="51" fillId="49" borderId="160" applyNumberFormat="0" applyProtection="0">
      <alignment horizontal="right" vertical="center"/>
    </xf>
    <xf numFmtId="0" fontId="18" fillId="51" borderId="160" applyNumberFormat="0" applyProtection="0">
      <alignment horizontal="left" vertical="center" indent="1"/>
    </xf>
    <xf numFmtId="4" fontId="46" fillId="38" borderId="160" applyNumberFormat="0" applyProtection="0">
      <alignment vertical="center"/>
    </xf>
    <xf numFmtId="0" fontId="110" fillId="77" borderId="161" applyNumberFormat="0" applyAlignment="0" applyProtection="0"/>
    <xf numFmtId="0" fontId="102" fillId="79" borderId="161" applyNumberFormat="0" applyAlignment="0" applyProtection="0"/>
    <xf numFmtId="4" fontId="47" fillId="41" borderId="160" applyNumberFormat="0" applyProtection="0">
      <alignment horizontal="right" vertical="center"/>
    </xf>
    <xf numFmtId="0" fontId="18" fillId="51" borderId="160" applyNumberFormat="0" applyProtection="0">
      <alignment horizontal="left" vertical="top" indent="1"/>
    </xf>
    <xf numFmtId="0" fontId="47" fillId="34" borderId="160" applyNumberFormat="0" applyProtection="0">
      <alignment horizontal="left" vertical="top"/>
    </xf>
    <xf numFmtId="0" fontId="114" fillId="79" borderId="163" applyNumberFormat="0" applyAlignment="0" applyProtection="0"/>
    <xf numFmtId="0" fontId="26" fillId="0" borderId="32">
      <alignment horizontal="left" vertical="center"/>
    </xf>
    <xf numFmtId="4" fontId="27" fillId="34" borderId="36" applyNumberFormat="0" applyProtection="0">
      <alignment vertical="center"/>
    </xf>
    <xf numFmtId="0" fontId="26" fillId="0" borderId="32">
      <alignment horizontal="left" vertical="center"/>
    </xf>
    <xf numFmtId="4" fontId="27" fillId="34" borderId="36" applyNumberFormat="0" applyProtection="0">
      <alignment vertical="center"/>
    </xf>
    <xf numFmtId="4" fontId="27" fillId="34" borderId="36" applyNumberFormat="0" applyProtection="0">
      <alignment vertical="center"/>
    </xf>
    <xf numFmtId="4" fontId="47" fillId="0" borderId="160" applyNumberFormat="0" applyProtection="0">
      <alignment horizontal="left" vertical="center" indent="1"/>
    </xf>
    <xf numFmtId="0" fontId="18" fillId="34" borderId="160" applyNumberFormat="0" applyProtection="0">
      <alignment horizontal="left" vertical="top" indent="1"/>
    </xf>
    <xf numFmtId="4" fontId="27" fillId="38" borderId="160" applyNumberFormat="0" applyProtection="0">
      <alignment horizontal="left" vertical="center" indent="1"/>
    </xf>
    <xf numFmtId="0" fontId="110" fillId="77" borderId="161" applyNumberFormat="0" applyAlignment="0" applyProtection="0"/>
    <xf numFmtId="4" fontId="47" fillId="40" borderId="160" applyNumberFormat="0" applyProtection="0">
      <alignment horizontal="right" vertical="center"/>
    </xf>
    <xf numFmtId="0" fontId="18" fillId="34" borderId="160" applyNumberFormat="0" applyProtection="0">
      <alignment horizontal="left" vertical="top" indent="1"/>
    </xf>
    <xf numFmtId="4" fontId="47" fillId="0" borderId="160" applyNumberFormat="0" applyProtection="0">
      <alignment horizontal="left" vertical="center" indent="1"/>
    </xf>
    <xf numFmtId="0" fontId="114" fillId="79" borderId="163" applyNumberFormat="0" applyAlignment="0" applyProtection="0"/>
    <xf numFmtId="0" fontId="105" fillId="0" borderId="164" applyNumberFormat="0" applyFill="0" applyAlignment="0" applyProtection="0"/>
    <xf numFmtId="0" fontId="18" fillId="55" borderId="160" applyNumberFormat="0" applyProtection="0">
      <alignment horizontal="left" vertical="center" indent="1"/>
    </xf>
    <xf numFmtId="4" fontId="47" fillId="46" borderId="160" applyNumberFormat="0" applyProtection="0">
      <alignment horizontal="right" vertical="center"/>
    </xf>
    <xf numFmtId="0" fontId="110" fillId="77" borderId="161" applyNumberFormat="0" applyAlignment="0" applyProtection="0"/>
    <xf numFmtId="0" fontId="18" fillId="50" borderId="160" applyNumberFormat="0" applyProtection="0">
      <alignment horizontal="left" vertical="center" indent="1"/>
    </xf>
    <xf numFmtId="0" fontId="18" fillId="55" borderId="160" applyNumberFormat="0" applyProtection="0">
      <alignment horizontal="left" vertical="top" indent="1"/>
    </xf>
    <xf numFmtId="0" fontId="47" fillId="34" borderId="160" applyNumberFormat="0" applyProtection="0">
      <alignment horizontal="left" vertical="top"/>
    </xf>
    <xf numFmtId="0" fontId="18" fillId="51" borderId="160" applyNumberFormat="0" applyProtection="0">
      <alignment horizontal="left" vertical="top" indent="1"/>
    </xf>
    <xf numFmtId="0" fontId="27" fillId="38" borderId="160" applyNumberFormat="0" applyProtection="0">
      <alignment horizontal="left" vertical="top" indent="1"/>
    </xf>
    <xf numFmtId="0" fontId="18" fillId="76" borderId="162" applyNumberFormat="0" applyFont="0" applyAlignment="0" applyProtection="0"/>
    <xf numFmtId="0" fontId="110" fillId="77" borderId="161" applyNumberFormat="0" applyAlignment="0" applyProtection="0"/>
    <xf numFmtId="0" fontId="105" fillId="0" borderId="164" applyNumberFormat="0" applyFill="0" applyAlignment="0" applyProtection="0"/>
    <xf numFmtId="4" fontId="47" fillId="39" borderId="160" applyNumberFormat="0" applyProtection="0">
      <alignment horizontal="right" vertical="center"/>
    </xf>
    <xf numFmtId="0" fontId="18" fillId="51" borderId="160" applyNumberFormat="0" applyProtection="0">
      <alignment horizontal="left" vertical="center" indent="1"/>
    </xf>
    <xf numFmtId="4" fontId="51" fillId="49" borderId="160" applyNumberFormat="0" applyProtection="0">
      <alignment horizontal="right" vertical="center"/>
    </xf>
    <xf numFmtId="0" fontId="18" fillId="49" borderId="160" applyNumberFormat="0" applyProtection="0">
      <alignment horizontal="left" vertical="center" indent="1"/>
    </xf>
    <xf numFmtId="4" fontId="47" fillId="47" borderId="160" applyNumberFormat="0" applyProtection="0">
      <alignment horizontal="right" vertical="center"/>
    </xf>
    <xf numFmtId="0" fontId="110" fillId="77" borderId="161" applyNumberFormat="0" applyAlignment="0" applyProtection="0"/>
    <xf numFmtId="0" fontId="18" fillId="49" borderId="160" applyNumberFormat="0" applyProtection="0">
      <alignment horizontal="left" vertical="center" indent="1"/>
    </xf>
    <xf numFmtId="0" fontId="18" fillId="54" borderId="160" applyNumberFormat="0" applyProtection="0">
      <alignment horizontal="left" vertical="center" indent="1"/>
    </xf>
    <xf numFmtId="4" fontId="47" fillId="40" borderId="160" applyNumberFormat="0" applyProtection="0">
      <alignment horizontal="right" vertical="center"/>
    </xf>
    <xf numFmtId="0" fontId="18" fillId="76" borderId="162" applyNumberFormat="0" applyFont="0" applyAlignment="0" applyProtection="0"/>
    <xf numFmtId="4" fontId="27" fillId="38" borderId="160" applyNumberFormat="0" applyProtection="0">
      <alignment horizontal="left" vertical="center" indent="1"/>
    </xf>
    <xf numFmtId="0" fontId="18" fillId="34" borderId="160" applyNumberFormat="0" applyProtection="0">
      <alignment horizontal="left" vertical="center" indent="1"/>
    </xf>
    <xf numFmtId="0" fontId="47" fillId="35"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0" fontId="18" fillId="55" borderId="160" applyNumberFormat="0" applyProtection="0">
      <alignment horizontal="left" vertical="top" indent="1"/>
    </xf>
    <xf numFmtId="0" fontId="18" fillId="50" borderId="160"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5" borderId="160" applyNumberFormat="0" applyProtection="0">
      <alignment horizontal="left" vertical="center" indent="1"/>
    </xf>
    <xf numFmtId="4" fontId="47" fillId="42" borderId="160" applyNumberFormat="0" applyProtection="0">
      <alignment horizontal="right" vertical="center"/>
    </xf>
    <xf numFmtId="0" fontId="18" fillId="85" borderId="160" applyNumberFormat="0" applyProtection="0">
      <alignment horizontal="left" vertical="center" indent="1"/>
    </xf>
    <xf numFmtId="0" fontId="18" fillId="76" borderId="162" applyNumberFormat="0" applyFont="0" applyAlignment="0" applyProtection="0"/>
    <xf numFmtId="0" fontId="105" fillId="0" borderId="164" applyNumberFormat="0" applyFill="0" applyAlignment="0" applyProtection="0"/>
    <xf numFmtId="4" fontId="27" fillId="37" borderId="160" applyNumberFormat="0" applyProtection="0">
      <alignment vertical="center"/>
    </xf>
    <xf numFmtId="0" fontId="18" fillId="84" borderId="160" applyNumberFormat="0" applyProtection="0">
      <alignment horizontal="left" vertical="top" indent="1"/>
    </xf>
    <xf numFmtId="4" fontId="51"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7"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8" fillId="85" borderId="160" applyNumberFormat="0" applyProtection="0">
      <alignment horizontal="left" vertical="top" indent="1"/>
    </xf>
    <xf numFmtId="4" fontId="47" fillId="44" borderId="160" applyNumberFormat="0" applyProtection="0">
      <alignment horizontal="right" vertical="center"/>
    </xf>
    <xf numFmtId="0" fontId="110" fillId="77" borderId="161" applyNumberFormat="0" applyAlignment="0" applyProtection="0"/>
    <xf numFmtId="0" fontId="63" fillId="59" borderId="165" applyNumberFormat="0" applyFont="0" applyFill="0" applyAlignment="0" applyProtection="0">
      <protection locked="0"/>
    </xf>
    <xf numFmtId="0" fontId="18" fillId="84" borderId="160" applyNumberFormat="0" applyProtection="0">
      <alignment horizontal="left" vertical="center" indent="1"/>
    </xf>
    <xf numFmtId="0" fontId="18" fillId="49"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4" fontId="51" fillId="35" borderId="160" applyNumberFormat="0" applyProtection="0">
      <alignment vertical="center"/>
    </xf>
    <xf numFmtId="0" fontId="18" fillId="84"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5" borderId="160" applyNumberFormat="0" applyProtection="0">
      <alignment horizontal="right" vertical="center"/>
    </xf>
    <xf numFmtId="0" fontId="18" fillId="85" borderId="160" applyNumberFormat="0" applyProtection="0">
      <alignment horizontal="left" vertical="center" indent="1"/>
    </xf>
    <xf numFmtId="0" fontId="105" fillId="0" borderId="164" applyNumberFormat="0" applyFill="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27" fillId="48" borderId="166" applyNumberFormat="0" applyProtection="0">
      <alignment horizontal="left" vertical="center" indent="1"/>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36" applyNumberFormat="0" applyProtection="0">
      <alignment vertical="center"/>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7" fillId="34" borderId="36" applyNumberFormat="0" applyProtection="0">
      <alignment vertical="center"/>
    </xf>
    <xf numFmtId="0" fontId="102" fillId="79" borderId="161" applyNumberFormat="0" applyAlignment="0" applyProtection="0"/>
    <xf numFmtId="4" fontId="27" fillId="34" borderId="36" applyNumberFormat="0" applyProtection="0">
      <alignment vertical="center"/>
    </xf>
    <xf numFmtId="0" fontId="63" fillId="59" borderId="165" applyNumberFormat="0" applyFont="0" applyFill="0" applyAlignment="0" applyProtection="0">
      <protection locked="0"/>
    </xf>
    <xf numFmtId="0" fontId="18" fillId="51" borderId="142" applyNumberFormat="0" applyProtection="0">
      <alignment horizontal="left" vertical="center" indent="1"/>
    </xf>
    <xf numFmtId="0" fontId="110" fillId="77" borderId="161" applyNumberFormat="0" applyAlignment="0" applyProtection="0"/>
    <xf numFmtId="0" fontId="18" fillId="0" borderId="139" applyNumberFormat="0" applyFill="0" applyAlignment="0" applyProtection="0"/>
    <xf numFmtId="4" fontId="47" fillId="0" borderId="142" applyNumberFormat="0" applyProtection="0">
      <alignment horizontal="right" vertical="center"/>
    </xf>
    <xf numFmtId="4" fontId="47" fillId="0" borderId="142" applyNumberFormat="0" applyProtection="0">
      <alignment horizontal="left" vertical="center" indent="1"/>
    </xf>
    <xf numFmtId="0" fontId="18" fillId="54" borderId="142" applyNumberFormat="0" applyProtection="0">
      <alignment horizontal="left" vertical="top" indent="1"/>
    </xf>
    <xf numFmtId="4" fontId="27" fillId="38"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47" fillId="34" borderId="142" applyNumberFormat="0" applyProtection="0">
      <alignment horizontal="left" vertical="top"/>
    </xf>
    <xf numFmtId="4" fontId="47" fillId="35" borderId="142" applyNumberFormat="0" applyProtection="0">
      <alignment horizontal="left" vertical="center" indent="1"/>
    </xf>
    <xf numFmtId="0" fontId="18" fillId="50" borderId="142" applyNumberFormat="0" applyProtection="0">
      <alignment horizontal="left" vertical="center" indent="1"/>
    </xf>
    <xf numFmtId="4" fontId="27" fillId="38" borderId="142" applyNumberFormat="0" applyProtection="0">
      <alignment horizontal="left" vertical="center" indent="1"/>
    </xf>
    <xf numFmtId="0" fontId="18" fillId="51" borderId="142" applyNumberFormat="0" applyProtection="0">
      <alignment horizontal="left" vertical="top" indent="1"/>
    </xf>
    <xf numFmtId="0" fontId="21" fillId="35" borderId="140" applyNumberFormat="0" applyFont="0" applyAlignment="0" applyProtection="0">
      <alignment horizontal="center"/>
      <protection locked="0"/>
    </xf>
    <xf numFmtId="4" fontId="47" fillId="44" borderId="142" applyNumberFormat="0" applyProtection="0">
      <alignment horizontal="right" vertical="center"/>
    </xf>
    <xf numFmtId="0" fontId="18" fillId="34" borderId="142" applyNumberFormat="0" applyProtection="0">
      <alignment horizontal="left" vertical="top"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50" borderId="142" applyNumberFormat="0" applyProtection="0">
      <alignment horizontal="left" vertical="top" indent="1"/>
    </xf>
    <xf numFmtId="4" fontId="47" fillId="43" borderId="142" applyNumberFormat="0" applyProtection="0">
      <alignment horizontal="right" vertical="center"/>
    </xf>
    <xf numFmtId="0" fontId="18" fillId="54" borderId="142" applyNumberFormat="0" applyProtection="0">
      <alignment horizontal="left" vertical="center" indent="1"/>
    </xf>
    <xf numFmtId="0" fontId="105" fillId="0" borderId="146" applyNumberFormat="0" applyFill="0" applyAlignment="0" applyProtection="0"/>
    <xf numFmtId="0" fontId="105" fillId="0" borderId="146" applyNumberFormat="0" applyFill="0" applyAlignment="0" applyProtection="0"/>
    <xf numFmtId="4" fontId="47" fillId="45" borderId="142" applyNumberFormat="0" applyProtection="0">
      <alignment horizontal="right" vertical="center"/>
    </xf>
    <xf numFmtId="0" fontId="102" fillId="79" borderId="149" applyNumberFormat="0" applyAlignment="0" applyProtection="0"/>
    <xf numFmtId="4" fontId="47" fillId="0" borderId="142" applyNumberFormat="0" applyProtection="0">
      <alignment horizontal="right" vertical="center"/>
    </xf>
    <xf numFmtId="0" fontId="18" fillId="34" borderId="142" applyNumberFormat="0" applyProtection="0">
      <alignment horizontal="left" vertical="top" indent="1"/>
    </xf>
    <xf numFmtId="0" fontId="18" fillId="84" borderId="142" applyNumberFormat="0" applyProtection="0">
      <alignment horizontal="left" vertical="center" indent="1"/>
    </xf>
    <xf numFmtId="0" fontId="18" fillId="34"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top" indent="1"/>
    </xf>
    <xf numFmtId="0" fontId="110" fillId="77" borderId="149" applyNumberFormat="0" applyAlignment="0" applyProtection="0"/>
    <xf numFmtId="4" fontId="47" fillId="41" borderId="142" applyNumberFormat="0" applyProtection="0">
      <alignment horizontal="right" vertical="center"/>
    </xf>
    <xf numFmtId="0" fontId="105" fillId="0" borderId="146" applyNumberFormat="0" applyFill="0" applyAlignment="0" applyProtection="0"/>
    <xf numFmtId="0" fontId="18" fillId="50" borderId="142" applyNumberFormat="0" applyProtection="0">
      <alignment horizontal="left" vertical="center" indent="1"/>
    </xf>
    <xf numFmtId="4" fontId="27" fillId="37" borderId="142" applyNumberFormat="0" applyProtection="0">
      <alignment vertical="center"/>
    </xf>
    <xf numFmtId="0" fontId="18" fillId="85" borderId="142" applyNumberFormat="0" applyProtection="0">
      <alignment horizontal="left" vertical="center" indent="1"/>
    </xf>
    <xf numFmtId="4" fontId="47" fillId="51" borderId="142" applyNumberFormat="0" applyProtection="0">
      <alignment horizontal="right" vertical="center"/>
    </xf>
    <xf numFmtId="4" fontId="47" fillId="35" borderId="142" applyNumberFormat="0" applyProtection="0">
      <alignment horizontal="left" vertical="center" indent="1"/>
    </xf>
    <xf numFmtId="0" fontId="18" fillId="84" borderId="142" applyNumberFormat="0" applyProtection="0">
      <alignment horizontal="left" vertical="top" indent="1"/>
    </xf>
    <xf numFmtId="0" fontId="114" fillId="79" borderId="141" applyNumberFormat="0" applyAlignment="0" applyProtection="0"/>
    <xf numFmtId="0" fontId="24" fillId="59" borderId="148" applyNumberFormat="0" applyFont="0" applyAlignment="0" applyProtection="0">
      <protection locked="0"/>
    </xf>
    <xf numFmtId="4" fontId="47" fillId="40" borderId="142" applyNumberFormat="0" applyProtection="0">
      <alignment horizontal="right" vertical="center"/>
    </xf>
    <xf numFmtId="0" fontId="18" fillId="54" borderId="142" applyNumberFormat="0" applyProtection="0">
      <alignment horizontal="left" vertical="center" indent="1"/>
    </xf>
    <xf numFmtId="0" fontId="105" fillId="0" borderId="146" applyNumberFormat="0" applyFill="0" applyAlignment="0" applyProtection="0"/>
    <xf numFmtId="0" fontId="18" fillId="51" borderId="142" applyNumberFormat="0" applyProtection="0">
      <alignment horizontal="left" vertical="top" indent="1"/>
    </xf>
    <xf numFmtId="0" fontId="110" fillId="77" borderId="149" applyNumberFormat="0" applyAlignment="0" applyProtection="0"/>
    <xf numFmtId="4" fontId="47" fillId="0" borderId="142" applyNumberFormat="0" applyProtection="0">
      <alignment horizontal="right" vertical="center"/>
    </xf>
    <xf numFmtId="0" fontId="47" fillId="34" borderId="142" applyNumberFormat="0" applyProtection="0">
      <alignment horizontal="left" vertical="top"/>
    </xf>
    <xf numFmtId="0" fontId="18" fillId="54" borderId="142" applyNumberFormat="0" applyProtection="0">
      <alignment horizontal="left" vertical="center" indent="1"/>
    </xf>
    <xf numFmtId="4" fontId="47" fillId="44" borderId="142" applyNumberFormat="0" applyProtection="0">
      <alignment horizontal="right" vertical="center"/>
    </xf>
    <xf numFmtId="0" fontId="114" fillId="79" borderId="141" applyNumberFormat="0" applyAlignment="0" applyProtection="0"/>
    <xf numFmtId="0" fontId="18" fillId="49" borderId="142" applyNumberFormat="0" applyProtection="0">
      <alignment horizontal="left" vertical="top" indent="1"/>
    </xf>
    <xf numFmtId="4" fontId="47" fillId="40" borderId="142" applyNumberFormat="0" applyProtection="0">
      <alignment horizontal="right" vertical="center"/>
    </xf>
    <xf numFmtId="0" fontId="114" fillId="79" borderId="141" applyNumberFormat="0" applyAlignment="0" applyProtection="0"/>
    <xf numFmtId="4" fontId="51" fillId="49" borderId="142" applyNumberFormat="0" applyProtection="0">
      <alignment horizontal="right" vertical="center"/>
    </xf>
    <xf numFmtId="4" fontId="47" fillId="35" borderId="142" applyNumberFormat="0" applyProtection="0">
      <alignment vertical="center"/>
    </xf>
    <xf numFmtId="0" fontId="18" fillId="84" borderId="142" applyNumberFormat="0" applyProtection="0">
      <alignment horizontal="left" vertical="top" indent="1"/>
    </xf>
    <xf numFmtId="4" fontId="25" fillId="49" borderId="142" applyNumberFormat="0" applyProtection="0">
      <alignment horizontal="right" vertical="center"/>
    </xf>
    <xf numFmtId="4" fontId="47" fillId="35" borderId="142" applyNumberFormat="0" applyProtection="0">
      <alignment vertical="center"/>
    </xf>
    <xf numFmtId="0" fontId="18" fillId="50" borderId="142" applyNumberFormat="0" applyProtection="0">
      <alignment horizontal="left" vertical="top" indent="1"/>
    </xf>
    <xf numFmtId="0" fontId="114" fillId="79" borderId="141" applyNumberFormat="0" applyAlignment="0" applyProtection="0"/>
    <xf numFmtId="0" fontId="114" fillId="79" borderId="141" applyNumberFormat="0" applyAlignment="0" applyProtection="0"/>
    <xf numFmtId="4" fontId="47" fillId="46" borderId="142" applyNumberFormat="0" applyProtection="0">
      <alignment horizontal="right" vertical="center"/>
    </xf>
    <xf numFmtId="0" fontId="18" fillId="54" borderId="142" applyNumberFormat="0" applyProtection="0">
      <alignment horizontal="left" vertical="top" indent="1"/>
    </xf>
    <xf numFmtId="0" fontId="105" fillId="0" borderId="146" applyNumberFormat="0" applyFill="0" applyAlignment="0" applyProtection="0"/>
    <xf numFmtId="0" fontId="18" fillId="85" borderId="142" applyNumberFormat="0" applyProtection="0">
      <alignment horizontal="left" vertical="top" indent="1"/>
    </xf>
    <xf numFmtId="4" fontId="47" fillId="0" borderId="142" applyNumberFormat="0" applyProtection="0">
      <alignment horizontal="left" vertical="center" indent="1"/>
    </xf>
    <xf numFmtId="4" fontId="27" fillId="38" borderId="142" applyNumberFormat="0" applyProtection="0">
      <alignment horizontal="left" vertical="center" indent="1"/>
    </xf>
    <xf numFmtId="0" fontId="18" fillId="55" borderId="142" applyNumberFormat="0" applyProtection="0">
      <alignment horizontal="left" vertical="top" indent="1"/>
    </xf>
    <xf numFmtId="0" fontId="18" fillId="50" borderId="142" applyNumberFormat="0" applyProtection="0">
      <alignment horizontal="left" vertical="top" indent="1"/>
    </xf>
    <xf numFmtId="4" fontId="47" fillId="47" borderId="142" applyNumberFormat="0" applyProtection="0">
      <alignment horizontal="right" vertical="center"/>
    </xf>
    <xf numFmtId="0" fontId="102" fillId="79" borderId="149" applyNumberFormat="0" applyAlignment="0" applyProtection="0"/>
    <xf numFmtId="0" fontId="18" fillId="49" borderId="142" applyNumberFormat="0" applyProtection="0">
      <alignment horizontal="left" vertical="center" indent="1"/>
    </xf>
    <xf numFmtId="0" fontId="105" fillId="0" borderId="146" applyNumberFormat="0" applyFill="0" applyAlignment="0" applyProtection="0"/>
    <xf numFmtId="0" fontId="18" fillId="54" borderId="142" applyNumberFormat="0" applyProtection="0">
      <alignment horizontal="left" vertical="center" indent="1"/>
    </xf>
    <xf numFmtId="0" fontId="18" fillId="55" borderId="142" applyNumberFormat="0" applyProtection="0">
      <alignment horizontal="left" vertical="top" indent="1"/>
    </xf>
    <xf numFmtId="0" fontId="114" fillId="79" borderId="141" applyNumberFormat="0" applyAlignment="0" applyProtection="0"/>
    <xf numFmtId="4" fontId="47" fillId="0" borderId="142" applyNumberFormat="0" applyProtection="0">
      <alignment horizontal="left" vertical="center" indent="1"/>
    </xf>
    <xf numFmtId="0" fontId="18" fillId="49" borderId="142" applyNumberFormat="0" applyProtection="0">
      <alignment horizontal="left" vertical="center" indent="1"/>
    </xf>
    <xf numFmtId="0" fontId="18" fillId="76" borderId="151" applyNumberFormat="0" applyFont="0" applyAlignment="0" applyProtection="0"/>
    <xf numFmtId="0" fontId="18" fillId="34" borderId="142" applyNumberFormat="0" applyProtection="0">
      <alignment horizontal="left" vertical="center" indent="1"/>
    </xf>
    <xf numFmtId="0" fontId="27" fillId="38" borderId="142" applyNumberFormat="0" applyProtection="0">
      <alignment horizontal="left" vertical="top" indent="1"/>
    </xf>
    <xf numFmtId="0" fontId="18" fillId="76" borderId="151" applyNumberFormat="0" applyFont="0" applyAlignment="0" applyProtection="0"/>
    <xf numFmtId="0" fontId="18" fillId="51" borderId="142" applyNumberFormat="0" applyProtection="0">
      <alignment horizontal="left" vertical="center" indent="1"/>
    </xf>
    <xf numFmtId="4" fontId="47" fillId="0" borderId="142" applyNumberFormat="0" applyProtection="0">
      <alignment horizontal="left" vertical="center" indent="1"/>
    </xf>
    <xf numFmtId="0" fontId="18" fillId="49" borderId="142" applyNumberFormat="0" applyProtection="0">
      <alignment horizontal="left" vertical="top" indent="1"/>
    </xf>
    <xf numFmtId="0" fontId="18" fillId="54" borderId="142" applyNumberFormat="0" applyProtection="0">
      <alignment horizontal="left" vertical="top" indent="1"/>
    </xf>
    <xf numFmtId="0" fontId="114" fillId="79" borderId="141" applyNumberFormat="0" applyAlignment="0" applyProtection="0"/>
    <xf numFmtId="0" fontId="105" fillId="0" borderId="146" applyNumberFormat="0" applyFill="0" applyAlignment="0" applyProtection="0"/>
    <xf numFmtId="0" fontId="18" fillId="85" borderId="142" applyNumberFormat="0" applyProtection="0">
      <alignment horizontal="left" vertical="top" indent="1"/>
    </xf>
    <xf numFmtId="4" fontId="47" fillId="45" borderId="142" applyNumberFormat="0" applyProtection="0">
      <alignment horizontal="right" vertical="center"/>
    </xf>
    <xf numFmtId="0" fontId="110" fillId="77" borderId="149" applyNumberFormat="0" applyAlignment="0" applyProtection="0"/>
    <xf numFmtId="0" fontId="18" fillId="84" borderId="142" applyNumberFormat="0" applyProtection="0">
      <alignment horizontal="left" vertical="center" indent="1"/>
    </xf>
    <xf numFmtId="0" fontId="18" fillId="49" borderId="142" applyNumberFormat="0" applyProtection="0">
      <alignment horizontal="left" vertical="top" indent="1"/>
    </xf>
    <xf numFmtId="0" fontId="18" fillId="55" borderId="142" applyNumberFormat="0" applyProtection="0">
      <alignment horizontal="left" vertical="center" indent="1"/>
    </xf>
    <xf numFmtId="0" fontId="47" fillId="34" borderId="142" applyNumberFormat="0" applyProtection="0">
      <alignment horizontal="left" vertical="top"/>
    </xf>
    <xf numFmtId="0" fontId="18" fillId="54" borderId="142" applyNumberFormat="0" applyProtection="0">
      <alignment horizontal="left" vertical="top" indent="1"/>
    </xf>
    <xf numFmtId="4" fontId="47" fillId="44" borderId="142" applyNumberFormat="0" applyProtection="0">
      <alignment horizontal="right" vertical="center"/>
    </xf>
    <xf numFmtId="4" fontId="47" fillId="0" borderId="142" applyNumberFormat="0" applyProtection="0">
      <alignment horizontal="right" vertical="center"/>
    </xf>
    <xf numFmtId="0" fontId="18" fillId="51" borderId="142" applyNumberFormat="0" applyProtection="0">
      <alignment horizontal="left" vertical="center" indent="1"/>
    </xf>
    <xf numFmtId="4" fontId="27" fillId="37" borderId="142" applyNumberFormat="0" applyProtection="0">
      <alignment vertical="center"/>
    </xf>
    <xf numFmtId="0" fontId="105" fillId="0" borderId="146" applyNumberFormat="0" applyFill="0" applyAlignment="0" applyProtection="0"/>
    <xf numFmtId="0" fontId="27" fillId="38" borderId="142" applyNumberFormat="0" applyProtection="0">
      <alignment horizontal="left" vertical="top" indent="1"/>
    </xf>
    <xf numFmtId="0" fontId="18" fillId="51" borderId="142" applyNumberFormat="0" applyProtection="0">
      <alignment horizontal="left" vertical="top" indent="1"/>
    </xf>
    <xf numFmtId="0" fontId="47" fillId="34" borderId="142" applyNumberFormat="0" applyProtection="0">
      <alignment horizontal="left" vertical="top"/>
    </xf>
    <xf numFmtId="0" fontId="18" fillId="85" borderId="142" applyNumberFormat="0" applyProtection="0">
      <alignment horizontal="left" vertical="center" indent="1"/>
    </xf>
    <xf numFmtId="0" fontId="110" fillId="77" borderId="149" applyNumberFormat="0" applyAlignment="0" applyProtection="0"/>
    <xf numFmtId="4" fontId="47" fillId="0" borderId="142" applyNumberFormat="0" applyProtection="0">
      <alignment horizontal="left" vertical="center" indent="1"/>
    </xf>
    <xf numFmtId="4" fontId="25" fillId="49" borderId="142" applyNumberFormat="0" applyProtection="0">
      <alignment horizontal="right" vertical="center"/>
    </xf>
    <xf numFmtId="0" fontId="18" fillId="54" borderId="142" applyNumberFormat="0" applyProtection="0">
      <alignment horizontal="left" vertical="center" indent="1"/>
    </xf>
    <xf numFmtId="4" fontId="47" fillId="46" borderId="142" applyNumberFormat="0" applyProtection="0">
      <alignment horizontal="right" vertical="center"/>
    </xf>
    <xf numFmtId="0" fontId="18" fillId="85" borderId="142" applyNumberFormat="0" applyProtection="0">
      <alignment horizontal="left" vertical="center" indent="1"/>
    </xf>
    <xf numFmtId="0" fontId="114" fillId="79" borderId="141" applyNumberFormat="0" applyAlignment="0" applyProtection="0"/>
    <xf numFmtId="4" fontId="27" fillId="38" borderId="142" applyNumberFormat="0" applyProtection="0">
      <alignment horizontal="left" vertical="center" indent="1"/>
    </xf>
    <xf numFmtId="0" fontId="18" fillId="55" borderId="142" applyNumberFormat="0" applyProtection="0">
      <alignment horizontal="left" vertical="center" indent="1"/>
    </xf>
    <xf numFmtId="4" fontId="46" fillId="38" borderId="142" applyNumberFormat="0" applyProtection="0">
      <alignment vertical="center"/>
    </xf>
    <xf numFmtId="0" fontId="114" fillId="79" borderId="141" applyNumberFormat="0" applyAlignment="0" applyProtection="0"/>
    <xf numFmtId="0" fontId="105" fillId="0" borderId="146" applyNumberFormat="0" applyFill="0" applyAlignment="0" applyProtection="0"/>
    <xf numFmtId="4" fontId="47" fillId="39" borderId="142" applyNumberFormat="0" applyProtection="0">
      <alignment horizontal="right" vertical="center"/>
    </xf>
    <xf numFmtId="4" fontId="27" fillId="34" borderId="143" applyNumberFormat="0" applyProtection="0">
      <alignment vertical="center"/>
    </xf>
    <xf numFmtId="4" fontId="47" fillId="35" borderId="142" applyNumberFormat="0" applyProtection="0">
      <alignment horizontal="left" vertical="center" indent="1"/>
    </xf>
    <xf numFmtId="0" fontId="18" fillId="84" borderId="142" applyNumberFormat="0" applyProtection="0">
      <alignment horizontal="left" vertical="top" indent="1"/>
    </xf>
    <xf numFmtId="0" fontId="18" fillId="85" borderId="142" applyNumberFormat="0" applyProtection="0">
      <alignment horizontal="left" vertical="center" indent="1"/>
    </xf>
    <xf numFmtId="0" fontId="18" fillId="49" borderId="142" applyNumberFormat="0" applyProtection="0">
      <alignment horizontal="left" vertical="center" indent="1"/>
    </xf>
    <xf numFmtId="0" fontId="114" fillId="79" borderId="141" applyNumberFormat="0" applyAlignment="0" applyProtection="0"/>
    <xf numFmtId="0" fontId="102" fillId="79" borderId="149" applyNumberFormat="0" applyAlignment="0" applyProtection="0"/>
    <xf numFmtId="0" fontId="18" fillId="76" borderId="151" applyNumberFormat="0" applyFont="0" applyAlignment="0" applyProtection="0"/>
    <xf numFmtId="0" fontId="102" fillId="79" borderId="149" applyNumberFormat="0" applyAlignment="0" applyProtection="0"/>
    <xf numFmtId="4" fontId="27" fillId="37" borderId="142" applyNumberFormat="0" applyProtection="0">
      <alignment vertical="center"/>
    </xf>
    <xf numFmtId="4" fontId="27" fillId="38" borderId="142" applyNumberFormat="0" applyProtection="0">
      <alignment horizontal="left" vertical="center" indent="1"/>
    </xf>
    <xf numFmtId="0" fontId="18" fillId="34" borderId="142" applyNumberFormat="0" applyProtection="0">
      <alignment horizontal="left" vertical="top" indent="1"/>
    </xf>
    <xf numFmtId="4" fontId="47" fillId="51" borderId="142" applyNumberFormat="0" applyProtection="0">
      <alignment horizontal="left" vertical="center" indent="1"/>
    </xf>
    <xf numFmtId="4" fontId="27" fillId="38" borderId="142" applyNumberFormat="0" applyProtection="0">
      <alignment vertical="center"/>
    </xf>
    <xf numFmtId="0" fontId="24" fillId="59" borderId="148" applyNumberFormat="0" applyFont="0" applyAlignment="0" applyProtection="0">
      <protection locked="0"/>
    </xf>
    <xf numFmtId="0" fontId="18" fillId="34" borderId="142" applyNumberFormat="0" applyProtection="0">
      <alignment horizontal="left" vertical="top"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50" borderId="142" applyNumberFormat="0" applyProtection="0">
      <alignment horizontal="left" vertical="top" indent="1"/>
    </xf>
    <xf numFmtId="4" fontId="27" fillId="34" borderId="142" applyNumberForma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50" borderId="142" applyNumberFormat="0" applyProtection="0">
      <alignment horizontal="left" vertical="center" indent="1"/>
    </xf>
    <xf numFmtId="0" fontId="18" fillId="76" borderId="162" applyNumberFormat="0" applyFont="0" applyAlignment="0" applyProtection="0"/>
    <xf numFmtId="4" fontId="51" fillId="35" borderId="142" applyNumberFormat="0" applyProtection="0">
      <alignment vertical="center"/>
    </xf>
    <xf numFmtId="0" fontId="18" fillId="50" borderId="142" applyNumberFormat="0" applyProtection="0">
      <alignment horizontal="left" vertical="center" indent="1"/>
    </xf>
    <xf numFmtId="4" fontId="27" fillId="38" borderId="142" applyNumberFormat="0" applyProtection="0">
      <alignment horizontal="left" vertical="center" indent="1"/>
    </xf>
    <xf numFmtId="0" fontId="18" fillId="54" borderId="142" applyNumberFormat="0" applyProtection="0">
      <alignment horizontal="left" vertical="top" indent="1"/>
    </xf>
    <xf numFmtId="0" fontId="21" fillId="35" borderId="140" applyNumberFormat="0" applyFont="0" applyAlignment="0" applyProtection="0">
      <alignment horizontal="center"/>
      <protection locked="0"/>
    </xf>
    <xf numFmtId="0" fontId="18" fillId="76" borderId="151" applyNumberFormat="0" applyFont="0" applyAlignment="0" applyProtection="0"/>
    <xf numFmtId="0" fontId="18" fillId="76" borderId="151" applyNumberFormat="0" applyFont="0" applyAlignment="0" applyProtection="0"/>
    <xf numFmtId="0" fontId="105" fillId="0" borderId="146" applyNumberFormat="0" applyFill="0" applyAlignment="0" applyProtection="0"/>
    <xf numFmtId="0" fontId="114" fillId="79" borderId="141" applyNumberFormat="0" applyAlignment="0" applyProtection="0"/>
    <xf numFmtId="0" fontId="114" fillId="79" borderId="141" applyNumberFormat="0" applyAlignment="0" applyProtection="0"/>
    <xf numFmtId="4" fontId="47" fillId="45" borderId="142" applyNumberFormat="0" applyProtection="0">
      <alignment horizontal="right" vertical="center"/>
    </xf>
    <xf numFmtId="0" fontId="18" fillId="54" borderId="142" applyNumberFormat="0" applyProtection="0">
      <alignment horizontal="left" vertical="top" indent="1"/>
    </xf>
    <xf numFmtId="0" fontId="110" fillId="77" borderId="149" applyNumberFormat="0" applyAlignment="0" applyProtection="0"/>
    <xf numFmtId="0" fontId="18" fillId="51" borderId="142" applyNumberFormat="0" applyProtection="0">
      <alignment horizontal="left" vertical="center" indent="1"/>
    </xf>
    <xf numFmtId="0" fontId="18" fillId="76" borderId="151" applyNumberFormat="0" applyFont="0" applyAlignment="0" applyProtection="0"/>
    <xf numFmtId="4" fontId="47" fillId="40" borderId="142" applyNumberFormat="0" applyProtection="0">
      <alignment horizontal="right" vertical="center"/>
    </xf>
    <xf numFmtId="0" fontId="27" fillId="38" borderId="142" applyNumberFormat="0" applyProtection="0">
      <alignment horizontal="left" vertical="top" indent="1"/>
    </xf>
    <xf numFmtId="0" fontId="18" fillId="49" borderId="142" applyNumberFormat="0" applyProtection="0">
      <alignment horizontal="left" vertical="top" indent="1"/>
    </xf>
    <xf numFmtId="4" fontId="46" fillId="38" borderId="142" applyNumberFormat="0" applyProtection="0">
      <alignment vertical="center"/>
    </xf>
    <xf numFmtId="0" fontId="18" fillId="51" borderId="142" applyNumberFormat="0" applyProtection="0">
      <alignment horizontal="left" vertical="top" indent="1"/>
    </xf>
    <xf numFmtId="4" fontId="47" fillId="59" borderId="142" applyNumberFormat="0" applyProtection="0">
      <alignment horizontal="left" vertical="center" indent="1"/>
    </xf>
    <xf numFmtId="4" fontId="47" fillId="44" borderId="142" applyNumberFormat="0" applyProtection="0">
      <alignment horizontal="right" vertical="center"/>
    </xf>
    <xf numFmtId="0" fontId="105" fillId="0" borderId="146" applyNumberFormat="0" applyFill="0" applyAlignment="0" applyProtection="0"/>
    <xf numFmtId="0" fontId="18" fillId="84" borderId="142" applyNumberFormat="0" applyProtection="0">
      <alignment horizontal="left" vertical="center" indent="1"/>
    </xf>
    <xf numFmtId="0" fontId="18" fillId="55" borderId="142" applyNumberFormat="0" applyProtection="0">
      <alignment horizontal="left" vertical="top" indent="1"/>
    </xf>
    <xf numFmtId="4" fontId="47" fillId="45" borderId="142" applyNumberFormat="0" applyProtection="0">
      <alignment horizontal="right" vertical="center"/>
    </xf>
    <xf numFmtId="4" fontId="47" fillId="0" borderId="142"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84" borderId="142" applyNumberFormat="0" applyProtection="0">
      <alignment horizontal="left" vertical="top" indent="1"/>
    </xf>
    <xf numFmtId="0" fontId="18" fillId="76" borderId="151"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center" indent="1"/>
    </xf>
    <xf numFmtId="4" fontId="47" fillId="40" borderId="142" applyNumberFormat="0" applyProtection="0">
      <alignment horizontal="right" vertical="center"/>
    </xf>
    <xf numFmtId="4" fontId="47" fillId="35" borderId="142" applyNumberFormat="0" applyProtection="0">
      <alignment horizontal="left" vertical="center" indent="1"/>
    </xf>
    <xf numFmtId="0" fontId="105" fillId="0" borderId="146" applyNumberFormat="0" applyFill="0" applyAlignment="0" applyProtection="0"/>
    <xf numFmtId="0" fontId="18" fillId="84" borderId="142" applyNumberFormat="0" applyProtection="0">
      <alignment horizontal="left" vertical="top" indent="1"/>
    </xf>
    <xf numFmtId="4" fontId="47" fillId="0" borderId="142" applyNumberFormat="0" applyProtection="0">
      <alignment horizontal="left" vertical="center" indent="1"/>
    </xf>
    <xf numFmtId="0" fontId="18" fillId="85" borderId="142" applyNumberFormat="0" applyProtection="0">
      <alignment horizontal="left" vertical="center" indent="1"/>
    </xf>
    <xf numFmtId="0" fontId="18" fillId="51" borderId="142" applyNumberFormat="0" applyProtection="0">
      <alignment horizontal="left" vertical="top" indent="1"/>
    </xf>
    <xf numFmtId="4" fontId="51" fillId="35" borderId="142" applyNumberFormat="0" applyProtection="0">
      <alignment vertical="center"/>
    </xf>
    <xf numFmtId="4" fontId="47" fillId="45" borderId="142" applyNumberFormat="0" applyProtection="0">
      <alignment horizontal="right" vertical="center"/>
    </xf>
    <xf numFmtId="0" fontId="18" fillId="55" borderId="142" applyNumberFormat="0" applyProtection="0">
      <alignment horizontal="left" vertical="top" indent="1"/>
    </xf>
    <xf numFmtId="0" fontId="102" fillId="79" borderId="149" applyNumberFormat="0" applyAlignment="0" applyProtection="0"/>
    <xf numFmtId="0" fontId="63" fillId="59" borderId="148" applyNumberFormat="0" applyFont="0" applyFill="0" applyAlignment="0" applyProtection="0">
      <protection locked="0"/>
    </xf>
    <xf numFmtId="0" fontId="18" fillId="49" borderId="142" applyNumberFormat="0" applyProtection="0">
      <alignment horizontal="left" vertical="center" indent="1"/>
    </xf>
    <xf numFmtId="0" fontId="105" fillId="0" borderId="146" applyNumberFormat="0" applyFill="0" applyAlignment="0" applyProtection="0"/>
    <xf numFmtId="0" fontId="47" fillId="34" borderId="142" applyNumberFormat="0" applyProtection="0">
      <alignment horizontal="left" vertical="top"/>
    </xf>
    <xf numFmtId="4" fontId="27" fillId="34" borderId="142" applyNumberFormat="0" applyProtection="0"/>
    <xf numFmtId="4" fontId="27" fillId="34" borderId="142" applyNumberFormat="0" applyProtection="0"/>
    <xf numFmtId="0" fontId="114" fillId="79" borderId="141" applyNumberFormat="0" applyAlignment="0" applyProtection="0"/>
    <xf numFmtId="0" fontId="18" fillId="54" borderId="142" applyNumberFormat="0" applyProtection="0">
      <alignment horizontal="left" vertical="center" indent="1"/>
    </xf>
    <xf numFmtId="0" fontId="18" fillId="34" borderId="142" applyNumberFormat="0" applyProtection="0">
      <alignment horizontal="left" vertical="center" indent="1"/>
    </xf>
    <xf numFmtId="0" fontId="110" fillId="77" borderId="149" applyNumberFormat="0" applyAlignment="0" applyProtection="0"/>
    <xf numFmtId="4" fontId="47" fillId="0" borderId="142" applyNumberFormat="0" applyProtection="0">
      <alignment horizontal="right" vertical="center"/>
    </xf>
    <xf numFmtId="0" fontId="47" fillId="34" borderId="142" applyNumberFormat="0" applyProtection="0">
      <alignment horizontal="center" vertical="top"/>
    </xf>
    <xf numFmtId="4" fontId="47" fillId="41" borderId="142" applyNumberFormat="0" applyProtection="0">
      <alignment horizontal="right" vertical="center"/>
    </xf>
    <xf numFmtId="4" fontId="47" fillId="35" borderId="142" applyNumberFormat="0" applyProtection="0">
      <alignment horizontal="left" vertical="center" indent="1"/>
    </xf>
    <xf numFmtId="0" fontId="18" fillId="76" borderId="151" applyNumberFormat="0" applyFont="0" applyAlignment="0" applyProtection="0"/>
    <xf numFmtId="0" fontId="18" fillId="50" borderId="142" applyNumberFormat="0" applyProtection="0">
      <alignment horizontal="left" vertical="top" indent="1"/>
    </xf>
    <xf numFmtId="0" fontId="114" fillId="79" borderId="141" applyNumberFormat="0" applyAlignment="0" applyProtection="0"/>
    <xf numFmtId="4" fontId="27" fillId="38" borderId="142" applyNumberFormat="0" applyProtection="0">
      <alignment horizontal="left" vertical="center" indent="1"/>
    </xf>
    <xf numFmtId="0" fontId="105" fillId="0" borderId="146" applyNumberFormat="0" applyFill="0" applyAlignment="0" applyProtection="0"/>
    <xf numFmtId="4" fontId="27" fillId="38" borderId="142" applyNumberFormat="0" applyProtection="0">
      <alignment horizontal="left" vertical="center" indent="1"/>
    </xf>
    <xf numFmtId="0" fontId="18" fillId="34" borderId="142" applyNumberFormat="0" applyProtection="0">
      <alignment horizontal="left" vertical="center" indent="1"/>
    </xf>
    <xf numFmtId="4" fontId="27" fillId="34" borderId="142" applyNumberFormat="0" applyProtection="0"/>
    <xf numFmtId="0" fontId="102" fillId="79" borderId="161" applyNumberFormat="0" applyAlignment="0" applyProtection="0"/>
    <xf numFmtId="0" fontId="110" fillId="77" borderId="161"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49" applyNumberFormat="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63" fillId="59" borderId="148" applyNumberFormat="0" applyFont="0" applyFill="0" applyAlignment="0" applyProtection="0">
      <protection locked="0"/>
    </xf>
    <xf numFmtId="0" fontId="18" fillId="50" borderId="142" applyNumberFormat="0" applyProtection="0">
      <alignment horizontal="left" vertical="top" indent="1"/>
    </xf>
    <xf numFmtId="0" fontId="18" fillId="76" borderId="151" applyNumberFormat="0" applyFont="0" applyAlignment="0" applyProtection="0"/>
    <xf numFmtId="0" fontId="102" fillId="79" borderId="149" applyNumberFormat="0" applyAlignment="0" applyProtection="0"/>
    <xf numFmtId="0" fontId="18" fillId="49" borderId="142" applyNumberFormat="0" applyProtection="0">
      <alignment horizontal="left" vertical="center" indent="1"/>
    </xf>
    <xf numFmtId="0" fontId="110" fillId="77" borderId="149" applyNumberFormat="0" applyAlignment="0" applyProtection="0"/>
    <xf numFmtId="0" fontId="18" fillId="84" borderId="142" applyNumberFormat="0" applyProtection="0">
      <alignment horizontal="left" vertical="top" indent="1"/>
    </xf>
    <xf numFmtId="4" fontId="47" fillId="35" borderId="142" applyNumberFormat="0" applyProtection="0">
      <alignment horizontal="left" vertical="center" indent="1"/>
    </xf>
    <xf numFmtId="4" fontId="27" fillId="34" borderId="142" applyNumberFormat="0" applyProtection="0"/>
    <xf numFmtId="0" fontId="18" fillId="34" borderId="142" applyNumberFormat="0" applyProtection="0">
      <alignment horizontal="left" vertical="top" indent="1"/>
    </xf>
    <xf numFmtId="0" fontId="18" fillId="49" borderId="142" applyNumberFormat="0" applyProtection="0">
      <alignment horizontal="left" vertical="center" indent="1"/>
    </xf>
    <xf numFmtId="0" fontId="18" fillId="85" borderId="142" applyNumberFormat="0" applyProtection="0">
      <alignment horizontal="left" vertical="center" indent="1"/>
    </xf>
    <xf numFmtId="4" fontId="47" fillId="0" borderId="142" applyNumberFormat="0" applyProtection="0">
      <alignment horizontal="right" vertical="center"/>
    </xf>
    <xf numFmtId="0" fontId="18" fillId="51" borderId="142" applyNumberFormat="0" applyProtection="0">
      <alignment horizontal="left" vertical="top" indent="1"/>
    </xf>
    <xf numFmtId="0" fontId="110" fillId="77" borderId="149" applyNumberFormat="0" applyAlignment="0" applyProtection="0"/>
    <xf numFmtId="0" fontId="18" fillId="76" borderId="151" applyNumberFormat="0" applyFont="0" applyAlignment="0" applyProtection="0"/>
    <xf numFmtId="0" fontId="105" fillId="0" borderId="146" applyNumberFormat="0" applyFill="0" applyAlignment="0" applyProtection="0"/>
    <xf numFmtId="0" fontId="18" fillId="50" borderId="142" applyNumberFormat="0" applyProtection="0">
      <alignment horizontal="left" vertical="center" indent="1"/>
    </xf>
    <xf numFmtId="0" fontId="114" fillId="79" borderId="141" applyNumberFormat="0" applyAlignment="0" applyProtection="0"/>
    <xf numFmtId="0" fontId="114" fillId="79" borderId="141" applyNumberFormat="0" applyAlignment="0" applyProtection="0"/>
    <xf numFmtId="0" fontId="105" fillId="0" borderId="146" applyNumberFormat="0" applyFill="0" applyAlignment="0" applyProtection="0"/>
    <xf numFmtId="0" fontId="105" fillId="0" borderId="146" applyNumberFormat="0" applyFill="0" applyAlignment="0" applyProtection="0"/>
    <xf numFmtId="0" fontId="18" fillId="34" borderId="142" applyNumberFormat="0" applyProtection="0">
      <alignment horizontal="left" vertical="center" indent="1"/>
    </xf>
    <xf numFmtId="4" fontId="27" fillId="38"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8" borderId="142" applyNumberFormat="0" applyProtection="0">
      <alignment horizontal="left" vertical="center" indent="1"/>
    </xf>
    <xf numFmtId="0" fontId="110" fillId="77" borderId="149" applyNumberFormat="0" applyAlignment="0" applyProtection="0"/>
    <xf numFmtId="0" fontId="18" fillId="51" borderId="142" applyNumberFormat="0" applyProtection="0">
      <alignment horizontal="left" vertical="top" indent="1"/>
    </xf>
    <xf numFmtId="4" fontId="51" fillId="49" borderId="142" applyNumberFormat="0" applyProtection="0">
      <alignment horizontal="right" vertical="center"/>
    </xf>
    <xf numFmtId="0" fontId="18" fillId="76" borderId="162" applyNumberFormat="0" applyFont="0" applyAlignment="0" applyProtection="0"/>
    <xf numFmtId="0" fontId="18" fillId="34" borderId="142" applyNumberFormat="0" applyProtection="0">
      <alignment horizontal="left" vertical="center" indent="1"/>
    </xf>
    <xf numFmtId="0" fontId="18" fillId="54" borderId="142" applyNumberFormat="0" applyProtection="0">
      <alignment horizontal="left" vertical="top" indent="1"/>
    </xf>
    <xf numFmtId="4" fontId="27" fillId="34" borderId="142" applyNumberFormat="0" applyProtection="0"/>
    <xf numFmtId="0" fontId="26" fillId="0" borderId="150">
      <alignment horizontal="left" vertical="center"/>
    </xf>
    <xf numFmtId="0" fontId="26" fillId="0" borderId="32">
      <alignment horizontal="left" vertical="center"/>
    </xf>
    <xf numFmtId="0" fontId="114" fillId="79" borderId="141" applyNumberFormat="0" applyAlignment="0" applyProtection="0"/>
    <xf numFmtId="4" fontId="27" fillId="38" borderId="142" applyNumberFormat="0" applyProtection="0">
      <alignment horizontal="left" vertical="center" indent="1"/>
    </xf>
    <xf numFmtId="0" fontId="18" fillId="51" borderId="142" applyNumberFormat="0" applyProtection="0">
      <alignment horizontal="left" vertical="top" indent="1"/>
    </xf>
    <xf numFmtId="0" fontId="18" fillId="85" borderId="142" applyNumberFormat="0" applyProtection="0">
      <alignment horizontal="left" vertical="top" indent="1"/>
    </xf>
    <xf numFmtId="0" fontId="18" fillId="49" borderId="142" applyNumberFormat="0" applyProtection="0">
      <alignment horizontal="left" vertical="center" indent="1"/>
    </xf>
    <xf numFmtId="4" fontId="47" fillId="47" borderId="142" applyNumberFormat="0" applyProtection="0">
      <alignment horizontal="right" vertical="center"/>
    </xf>
    <xf numFmtId="0" fontId="110" fillId="77" borderId="149" applyNumberFormat="0" applyAlignment="0" applyProtection="0"/>
    <xf numFmtId="4" fontId="47" fillId="44" borderId="142" applyNumberFormat="0" applyProtection="0">
      <alignment horizontal="right" vertical="center"/>
    </xf>
    <xf numFmtId="0" fontId="18" fillId="51" borderId="142" applyNumberFormat="0" applyProtection="0">
      <alignment horizontal="left" vertical="top" indent="1"/>
    </xf>
    <xf numFmtId="0" fontId="18" fillId="76" borderId="151" applyNumberFormat="0" applyFont="0" applyAlignment="0" applyProtection="0"/>
    <xf numFmtId="4" fontId="47" fillId="39" borderId="142" applyNumberFormat="0" applyProtection="0">
      <alignment horizontal="right" vertical="center"/>
    </xf>
    <xf numFmtId="4" fontId="47" fillId="0" borderId="142" applyNumberFormat="0" applyProtection="0">
      <alignment horizontal="right" vertical="center"/>
    </xf>
    <xf numFmtId="0" fontId="18" fillId="76" borderId="151" applyNumberFormat="0" applyFont="0" applyAlignment="0" applyProtection="0"/>
    <xf numFmtId="4" fontId="47" fillId="0" borderId="142" applyNumberFormat="0" applyProtection="0">
      <alignment horizontal="right" vertical="center"/>
    </xf>
    <xf numFmtId="4" fontId="47" fillId="35" borderId="142" applyNumberFormat="0" applyProtection="0">
      <alignment vertical="center"/>
    </xf>
    <xf numFmtId="4" fontId="47" fillId="39" borderId="142" applyNumberFormat="0" applyProtection="0">
      <alignment horizontal="right" vertical="center"/>
    </xf>
    <xf numFmtId="0" fontId="18" fillId="84" borderId="142" applyNumberFormat="0" applyProtection="0">
      <alignment horizontal="left" vertical="top" indent="1"/>
    </xf>
    <xf numFmtId="0" fontId="105" fillId="0" borderId="146" applyNumberFormat="0" applyFill="0" applyAlignment="0" applyProtection="0"/>
    <xf numFmtId="0" fontId="105" fillId="0" borderId="146" applyNumberFormat="0" applyFill="0" applyAlignment="0" applyProtection="0"/>
    <xf numFmtId="4" fontId="46" fillId="38" borderId="142" applyNumberFormat="0" applyProtection="0">
      <alignment vertical="center"/>
    </xf>
    <xf numFmtId="0" fontId="18" fillId="54" borderId="142" applyNumberFormat="0" applyProtection="0">
      <alignment horizontal="left" vertical="center" indent="1"/>
    </xf>
    <xf numFmtId="0" fontId="18" fillId="85" borderId="142" applyNumberFormat="0" applyProtection="0">
      <alignment horizontal="left" vertical="center" indent="1"/>
    </xf>
    <xf numFmtId="0" fontId="63" fillId="59" borderId="148" applyNumberFormat="0" applyFont="0" applyFill="0" applyAlignment="0" applyProtection="0">
      <protection locked="0"/>
    </xf>
    <xf numFmtId="0" fontId="105" fillId="0" borderId="146" applyNumberFormat="0" applyFill="0" applyAlignment="0" applyProtection="0"/>
    <xf numFmtId="4" fontId="27" fillId="37" borderId="142" applyNumberFormat="0" applyProtection="0">
      <alignment vertical="center"/>
    </xf>
    <xf numFmtId="0" fontId="114" fillId="79" borderId="163" applyNumberFormat="0" applyAlignment="0" applyProtection="0"/>
    <xf numFmtId="0" fontId="114" fillId="79" borderId="163" applyNumberFormat="0" applyAlignment="0" applyProtection="0"/>
    <xf numFmtId="0" fontId="47" fillId="34" borderId="142" applyNumberFormat="0" applyProtection="0">
      <alignment horizontal="left" vertical="top"/>
    </xf>
    <xf numFmtId="0" fontId="47" fillId="34" borderId="142" applyNumberFormat="0" applyProtection="0">
      <alignment horizontal="left" vertical="top"/>
    </xf>
    <xf numFmtId="0" fontId="18" fillId="76" borderId="162" applyNumberFormat="0" applyFont="0" applyAlignment="0" applyProtection="0"/>
    <xf numFmtId="0" fontId="18" fillId="55" borderId="142" applyNumberFormat="0" applyProtection="0">
      <alignment horizontal="left" vertical="top" indent="1"/>
    </xf>
    <xf numFmtId="4" fontId="47" fillId="39" borderId="142" applyNumberFormat="0" applyProtection="0">
      <alignment horizontal="right" vertical="center"/>
    </xf>
    <xf numFmtId="0" fontId="114" fillId="79" borderId="141" applyNumberFormat="0" applyAlignment="0" applyProtection="0"/>
    <xf numFmtId="0" fontId="18" fillId="85" borderId="142" applyNumberFormat="0" applyProtection="0">
      <alignment horizontal="left" vertical="center" indent="1"/>
    </xf>
    <xf numFmtId="0" fontId="18" fillId="34" borderId="142" applyNumberFormat="0" applyProtection="0">
      <alignment horizontal="left" vertical="top" indent="1"/>
    </xf>
    <xf numFmtId="0" fontId="102" fillId="79" borderId="149" applyNumberFormat="0" applyAlignment="0" applyProtection="0"/>
    <xf numFmtId="0" fontId="18" fillId="54" borderId="142" applyNumberFormat="0" applyProtection="0">
      <alignment horizontal="left" vertical="top" indent="1"/>
    </xf>
    <xf numFmtId="0" fontId="18" fillId="51" borderId="142" applyNumberFormat="0" applyProtection="0">
      <alignment horizontal="left" vertical="center" indent="1"/>
    </xf>
    <xf numFmtId="0" fontId="18" fillId="76" borderId="151" applyNumberFormat="0" applyFont="0" applyAlignment="0" applyProtection="0"/>
    <xf numFmtId="0" fontId="102" fillId="79" borderId="149" applyNumberFormat="0" applyAlignment="0" applyProtection="0"/>
    <xf numFmtId="0" fontId="18" fillId="55" borderId="142" applyNumberFormat="0" applyProtection="0">
      <alignment horizontal="left" vertical="top" indent="1"/>
    </xf>
    <xf numFmtId="0" fontId="102" fillId="79" borderId="149" applyNumberFormat="0" applyAlignment="0" applyProtection="0"/>
    <xf numFmtId="4" fontId="27" fillId="37" borderId="142" applyNumberFormat="0" applyProtection="0">
      <alignment vertical="center"/>
    </xf>
    <xf numFmtId="0" fontId="102" fillId="79" borderId="149" applyNumberFormat="0" applyAlignment="0" applyProtection="0"/>
    <xf numFmtId="0" fontId="18" fillId="51" borderId="142" applyNumberFormat="0" applyProtection="0">
      <alignment horizontal="left" vertical="top" indent="1"/>
    </xf>
    <xf numFmtId="0" fontId="105" fillId="0" borderId="146" applyNumberFormat="0" applyFill="0" applyAlignment="0" applyProtection="0"/>
    <xf numFmtId="4" fontId="47" fillId="43" borderId="142" applyNumberFormat="0" applyProtection="0">
      <alignment horizontal="right" vertical="center"/>
    </xf>
    <xf numFmtId="0" fontId="18" fillId="85" borderId="142" applyNumberFormat="0" applyProtection="0">
      <alignment horizontal="left" vertical="top" indent="1"/>
    </xf>
    <xf numFmtId="0" fontId="18" fillId="34" borderId="142" applyNumberFormat="0" applyProtection="0">
      <alignment horizontal="left" vertical="top" indent="1"/>
    </xf>
    <xf numFmtId="0" fontId="18" fillId="50" borderId="142" applyNumberFormat="0" applyProtection="0">
      <alignment horizontal="left" vertical="center" indent="1"/>
    </xf>
    <xf numFmtId="4" fontId="47" fillId="47" borderId="142" applyNumberFormat="0" applyProtection="0">
      <alignment horizontal="right" vertical="center"/>
    </xf>
    <xf numFmtId="0" fontId="18" fillId="55" borderId="142" applyNumberFormat="0" applyProtection="0">
      <alignment horizontal="left" vertical="center" indent="1"/>
    </xf>
    <xf numFmtId="0" fontId="18" fillId="49" borderId="142" applyNumberFormat="0" applyProtection="0">
      <alignment horizontal="left" vertical="center" indent="1"/>
    </xf>
    <xf numFmtId="4" fontId="47" fillId="0" borderId="142" applyNumberFormat="0" applyProtection="0">
      <alignment horizontal="left" vertical="center" indent="1"/>
    </xf>
    <xf numFmtId="0" fontId="18" fillId="54" borderId="142" applyNumberFormat="0" applyProtection="0">
      <alignment horizontal="left" vertical="top" indent="1"/>
    </xf>
    <xf numFmtId="0" fontId="18" fillId="50"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4" borderId="142" applyNumberFormat="0" applyProtection="0">
      <alignment horizontal="left" vertical="center" indent="1"/>
    </xf>
    <xf numFmtId="4" fontId="27" fillId="34" borderId="142" applyNumberFormat="0" applyProtection="0"/>
    <xf numFmtId="0" fontId="114" fillId="79" borderId="163" applyNumberFormat="0" applyAlignment="0" applyProtection="0"/>
    <xf numFmtId="4" fontId="47" fillId="39" borderId="142" applyNumberFormat="0" applyProtection="0">
      <alignment horizontal="right" vertical="center"/>
    </xf>
    <xf numFmtId="0" fontId="18" fillId="34" borderId="142" applyNumberFormat="0" applyProtection="0">
      <alignment horizontal="left" vertical="top" indent="1"/>
    </xf>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top" indent="1"/>
    </xf>
    <xf numFmtId="0" fontId="47" fillId="34" borderId="142" applyNumberFormat="0" applyProtection="0">
      <alignment horizontal="left" vertical="top"/>
    </xf>
    <xf numFmtId="4" fontId="27" fillId="38" borderId="142" applyNumberFormat="0" applyProtection="0">
      <alignment horizontal="left" vertical="center" indent="1"/>
    </xf>
    <xf numFmtId="4" fontId="47" fillId="0" borderId="142" applyNumberFormat="0" applyProtection="0">
      <alignment horizontal="left" vertical="center" indent="1"/>
    </xf>
    <xf numFmtId="0" fontId="18" fillId="55" borderId="142" applyNumberFormat="0" applyProtection="0">
      <alignment horizontal="left" vertical="center" indent="1"/>
    </xf>
    <xf numFmtId="0" fontId="18" fillId="76" borderId="151" applyNumberFormat="0" applyFont="0" applyAlignment="0" applyProtection="0"/>
    <xf numFmtId="0" fontId="18" fillId="55" borderId="142" applyNumberFormat="0" applyProtection="0">
      <alignment horizontal="left" vertical="top" indent="1"/>
    </xf>
    <xf numFmtId="0" fontId="105" fillId="0" borderId="146" applyNumberFormat="0" applyFill="0" applyAlignment="0" applyProtection="0"/>
    <xf numFmtId="0" fontId="18" fillId="55" borderId="142" applyNumberFormat="0" applyProtection="0">
      <alignment horizontal="left" vertical="top" indent="1"/>
    </xf>
    <xf numFmtId="4" fontId="47" fillId="35" borderId="142" applyNumberFormat="0" applyProtection="0">
      <alignment horizontal="left" vertical="center" indent="1"/>
    </xf>
    <xf numFmtId="4" fontId="27" fillId="38" borderId="142" applyNumberFormat="0" applyProtection="0">
      <alignment horizontal="left" vertical="center" indent="1"/>
    </xf>
    <xf numFmtId="0" fontId="114" fillId="79" borderId="141" applyNumberFormat="0" applyAlignment="0" applyProtection="0"/>
    <xf numFmtId="0" fontId="18" fillId="55" borderId="142" applyNumberFormat="0" applyProtection="0">
      <alignment horizontal="left" vertical="center" indent="1"/>
    </xf>
    <xf numFmtId="0" fontId="18" fillId="54" borderId="142" applyNumberFormat="0" applyProtection="0">
      <alignment horizontal="left" vertical="top" indent="1"/>
    </xf>
    <xf numFmtId="4" fontId="51" fillId="35" borderId="142" applyNumberFormat="0" applyProtection="0">
      <alignment vertical="center"/>
    </xf>
    <xf numFmtId="4" fontId="25" fillId="49" borderId="142" applyNumberFormat="0" applyProtection="0">
      <alignment horizontal="right" vertical="center"/>
    </xf>
    <xf numFmtId="0" fontId="27" fillId="38" borderId="142" applyNumberFormat="0" applyProtection="0">
      <alignment horizontal="left" vertical="top" indent="1"/>
    </xf>
    <xf numFmtId="0" fontId="18" fillId="50" borderId="142" applyNumberFormat="0" applyProtection="0">
      <alignment horizontal="left" vertical="center" indent="1"/>
    </xf>
    <xf numFmtId="0" fontId="114" fillId="79" borderId="141" applyNumberFormat="0" applyAlignment="0" applyProtection="0"/>
    <xf numFmtId="4" fontId="47" fillId="0" borderId="142" applyNumberFormat="0" applyProtection="0">
      <alignment horizontal="right" vertical="center"/>
    </xf>
    <xf numFmtId="0" fontId="18" fillId="34" borderId="142" applyNumberFormat="0" applyProtection="0">
      <alignment horizontal="left" vertical="top" indent="1"/>
    </xf>
    <xf numFmtId="0" fontId="18" fillId="84" borderId="142" applyNumberFormat="0" applyProtection="0">
      <alignment horizontal="left" vertical="center" indent="1"/>
    </xf>
    <xf numFmtId="0" fontId="105" fillId="0" borderId="146" applyNumberFormat="0" applyFill="0" applyAlignment="0" applyProtection="0"/>
    <xf numFmtId="0" fontId="18" fillId="50" borderId="142" applyNumberFormat="0" applyProtection="0">
      <alignment horizontal="left" vertical="top" indent="1"/>
    </xf>
    <xf numFmtId="0" fontId="110" fillId="77" borderId="149" applyNumberFormat="0" applyAlignment="0" applyProtection="0"/>
    <xf numFmtId="4" fontId="27" fillId="38" borderId="142" applyNumberFormat="0" applyProtection="0">
      <alignment horizontal="left" vertical="center" indent="1"/>
    </xf>
    <xf numFmtId="4" fontId="47" fillId="0"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5" borderId="142" applyNumberFormat="0" applyProtection="0">
      <alignment horizontal="left" vertical="top" indent="1"/>
    </xf>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top" indent="1"/>
    </xf>
    <xf numFmtId="4" fontId="25" fillId="49" borderId="142" applyNumberFormat="0" applyProtection="0">
      <alignment horizontal="right" vertical="center"/>
    </xf>
    <xf numFmtId="0" fontId="110" fillId="77" borderId="149" applyNumberFormat="0" applyAlignment="0" applyProtection="0"/>
    <xf numFmtId="0" fontId="18" fillId="49" borderId="142" applyNumberFormat="0" applyProtection="0">
      <alignment horizontal="left" vertical="top" indent="1"/>
    </xf>
    <xf numFmtId="0" fontId="18" fillId="84" borderId="142" applyNumberFormat="0" applyProtection="0">
      <alignment horizontal="left" vertical="top" indent="1"/>
    </xf>
    <xf numFmtId="4" fontId="47" fillId="41" borderId="142" applyNumberFormat="0" applyProtection="0">
      <alignment horizontal="right" vertical="center"/>
    </xf>
    <xf numFmtId="4" fontId="47" fillId="0" borderId="142" applyNumberFormat="0" applyProtection="0">
      <alignment horizontal="right" vertical="center"/>
    </xf>
    <xf numFmtId="0" fontId="114" fillId="79" borderId="141" applyNumberFormat="0" applyAlignment="0" applyProtection="0"/>
    <xf numFmtId="0" fontId="105" fillId="0" borderId="146" applyNumberFormat="0" applyFill="0" applyAlignment="0" applyProtection="0"/>
    <xf numFmtId="4" fontId="47" fillId="46" borderId="142" applyNumberFormat="0" applyProtection="0">
      <alignment horizontal="right" vertical="center"/>
    </xf>
    <xf numFmtId="0" fontId="18" fillId="76" borderId="151" applyNumberFormat="0" applyFont="0" applyAlignment="0" applyProtection="0"/>
    <xf numFmtId="0" fontId="47" fillId="34" borderId="142" applyNumberFormat="0" applyProtection="0">
      <alignment horizontal="left" vertical="top"/>
    </xf>
    <xf numFmtId="4" fontId="47" fillId="46" borderId="142" applyNumberFormat="0" applyProtection="0">
      <alignment horizontal="right" vertical="center"/>
    </xf>
    <xf numFmtId="0" fontId="18" fillId="55" borderId="142" applyNumberFormat="0" applyProtection="0">
      <alignment horizontal="left" vertical="top" indent="1"/>
    </xf>
    <xf numFmtId="0" fontId="18" fillId="51" borderId="142" applyNumberFormat="0" applyProtection="0">
      <alignment horizontal="left" vertical="center" indent="1"/>
    </xf>
    <xf numFmtId="4" fontId="27" fillId="34" borderId="142" applyNumberFormat="0" applyProtection="0"/>
    <xf numFmtId="4" fontId="47" fillId="47" borderId="142" applyNumberFormat="0" applyProtection="0">
      <alignment horizontal="right" vertical="center"/>
    </xf>
    <xf numFmtId="0" fontId="27" fillId="38" borderId="142" applyNumberFormat="0" applyProtection="0">
      <alignment horizontal="left" vertical="top" indent="1"/>
    </xf>
    <xf numFmtId="0" fontId="114" fillId="79" borderId="141" applyNumberFormat="0" applyAlignment="0" applyProtection="0"/>
    <xf numFmtId="0" fontId="114" fillId="79" borderId="141" applyNumberFormat="0" applyAlignment="0" applyProtection="0"/>
    <xf numFmtId="0" fontId="47" fillId="34" borderId="142" applyNumberFormat="0" applyProtection="0">
      <alignment horizontal="left" vertical="top"/>
    </xf>
    <xf numFmtId="0" fontId="27" fillId="38" borderId="142" applyNumberFormat="0" applyProtection="0">
      <alignment horizontal="left" vertical="top" indent="1"/>
    </xf>
    <xf numFmtId="0" fontId="114" fillId="79" borderId="141" applyNumberFormat="0" applyAlignment="0" applyProtection="0"/>
    <xf numFmtId="0" fontId="18" fillId="55" borderId="142" applyNumberFormat="0" applyProtection="0">
      <alignment horizontal="left" vertical="center" indent="1"/>
    </xf>
    <xf numFmtId="4" fontId="27" fillId="34" borderId="143" applyNumberFormat="0" applyProtection="0">
      <alignment vertical="center"/>
    </xf>
    <xf numFmtId="4" fontId="47" fillId="0" borderId="142" applyNumberFormat="0" applyProtection="0">
      <alignment horizontal="right" vertical="center"/>
    </xf>
    <xf numFmtId="0" fontId="18" fillId="76" borderId="151" applyNumberFormat="0" applyFont="0" applyAlignment="0" applyProtection="0"/>
    <xf numFmtId="4" fontId="47" fillId="42" borderId="142" applyNumberFormat="0" applyProtection="0">
      <alignment horizontal="right" vertical="center"/>
    </xf>
    <xf numFmtId="0" fontId="18" fillId="84" borderId="142" applyNumberFormat="0" applyProtection="0">
      <alignment horizontal="left" vertical="center" indent="1"/>
    </xf>
    <xf numFmtId="0" fontId="114" fillId="79" borderId="163" applyNumberFormat="0" applyAlignment="0" applyProtection="0"/>
    <xf numFmtId="4" fontId="27" fillId="34" borderId="142" applyNumberForma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top" indent="1"/>
    </xf>
    <xf numFmtId="0" fontId="18" fillId="49" borderId="142" applyNumberFormat="0" applyProtection="0">
      <alignment horizontal="left" vertical="center" indent="1"/>
    </xf>
    <xf numFmtId="4" fontId="47" fillId="0" borderId="142" applyNumberFormat="0" applyProtection="0">
      <alignment horizontal="left" vertical="center" indent="1"/>
    </xf>
    <xf numFmtId="4" fontId="47" fillId="40" borderId="142" applyNumberFormat="0" applyProtection="0">
      <alignment horizontal="right" vertical="center"/>
    </xf>
    <xf numFmtId="4" fontId="46" fillId="38" borderId="142" applyNumberFormat="0" applyProtection="0">
      <alignment vertical="center"/>
    </xf>
    <xf numFmtId="4" fontId="47" fillId="0" borderId="142" applyNumberFormat="0" applyProtection="0">
      <alignment horizontal="left" vertical="center" indent="1"/>
    </xf>
    <xf numFmtId="4" fontId="47" fillId="0" borderId="142" applyNumberFormat="0" applyProtection="0">
      <alignment horizontal="right" vertical="center"/>
    </xf>
    <xf numFmtId="4" fontId="47" fillId="44" borderId="142" applyNumberFormat="0" applyProtection="0">
      <alignment horizontal="right" vertical="center"/>
    </xf>
    <xf numFmtId="0" fontId="18" fillId="49" borderId="142" applyNumberFormat="0" applyProtection="0">
      <alignment horizontal="left" vertical="top" indent="1"/>
    </xf>
    <xf numFmtId="0" fontId="18" fillId="76" borderId="151" applyNumberFormat="0" applyFont="0" applyAlignment="0" applyProtection="0"/>
    <xf numFmtId="0" fontId="18" fillId="34" borderId="142" applyNumberFormat="0" applyProtection="0">
      <alignment horizontal="left" vertical="center" indent="1"/>
    </xf>
    <xf numFmtId="4" fontId="27" fillId="38" borderId="142" applyNumberFormat="0" applyProtection="0">
      <alignment horizontal="left" vertical="center" indent="1"/>
    </xf>
    <xf numFmtId="4" fontId="51" fillId="49" borderId="142" applyNumberFormat="0" applyProtection="0">
      <alignment horizontal="right" vertical="center"/>
    </xf>
    <xf numFmtId="0" fontId="18" fillId="76" borderId="151" applyNumberFormat="0" applyFont="0" applyAlignment="0" applyProtection="0"/>
    <xf numFmtId="0" fontId="18" fillId="34" borderId="142" applyNumberFormat="0" applyProtection="0">
      <alignment horizontal="left" vertical="center" indent="1"/>
    </xf>
    <xf numFmtId="0" fontId="18" fillId="54" borderId="142" applyNumberFormat="0" applyProtection="0">
      <alignment horizontal="left" vertical="center" indent="1"/>
    </xf>
    <xf numFmtId="0" fontId="114" fillId="79" borderId="141" applyNumberFormat="0" applyAlignment="0" applyProtection="0"/>
    <xf numFmtId="0" fontId="18" fillId="49" borderId="142" applyNumberFormat="0" applyProtection="0">
      <alignment horizontal="left" vertical="top" indent="1"/>
    </xf>
    <xf numFmtId="4" fontId="47" fillId="59" borderId="142" applyNumberFormat="0" applyProtection="0">
      <alignment horizontal="left" vertical="center" indent="1"/>
    </xf>
    <xf numFmtId="4" fontId="46" fillId="38" borderId="142" applyNumberFormat="0" applyProtection="0">
      <alignment vertical="center"/>
    </xf>
    <xf numFmtId="0" fontId="102" fillId="79" borderId="149" applyNumberFormat="0" applyAlignment="0" applyProtection="0"/>
    <xf numFmtId="0" fontId="114" fillId="79" borderId="141" applyNumberFormat="0" applyAlignment="0" applyProtection="0"/>
    <xf numFmtId="0" fontId="18" fillId="34" borderId="142" applyNumberFormat="0" applyProtection="0">
      <alignment horizontal="left" vertical="top" indent="1"/>
    </xf>
    <xf numFmtId="4" fontId="47" fillId="42" borderId="142" applyNumberFormat="0" applyProtection="0">
      <alignment horizontal="right" vertical="center"/>
    </xf>
    <xf numFmtId="0" fontId="18" fillId="50" borderId="142" applyNumberFormat="0" applyProtection="0">
      <alignment horizontal="left" vertical="top" indent="1"/>
    </xf>
    <xf numFmtId="4" fontId="47" fillId="0" borderId="142" applyNumberFormat="0" applyProtection="0">
      <alignment horizontal="right" vertical="center"/>
    </xf>
    <xf numFmtId="0" fontId="110" fillId="77" borderId="149" applyNumberFormat="0" applyAlignment="0" applyProtection="0"/>
    <xf numFmtId="0" fontId="24" fillId="59" borderId="148" applyNumberFormat="0" applyFont="0" applyAlignment="0" applyProtection="0">
      <protection locked="0"/>
    </xf>
    <xf numFmtId="0" fontId="18" fillId="34" borderId="142" applyNumberFormat="0" applyProtection="0">
      <alignment horizontal="left" vertical="top" indent="1"/>
    </xf>
    <xf numFmtId="0" fontId="18" fillId="34" borderId="142" applyNumberFormat="0" applyProtection="0">
      <alignment horizontal="left" vertical="center" indent="1"/>
    </xf>
    <xf numFmtId="0" fontId="18" fillId="76" borderId="151" applyNumberFormat="0" applyFont="0" applyAlignment="0" applyProtection="0"/>
    <xf numFmtId="4" fontId="27" fillId="37" borderId="142" applyNumberFormat="0" applyProtection="0">
      <alignment vertical="center"/>
    </xf>
    <xf numFmtId="4" fontId="47" fillId="0" borderId="142" applyNumberFormat="0" applyProtection="0">
      <alignment horizontal="right" vertical="center"/>
    </xf>
    <xf numFmtId="0" fontId="18" fillId="76" borderId="151" applyNumberFormat="0" applyFont="0" applyAlignment="0" applyProtection="0"/>
    <xf numFmtId="0" fontId="114" fillId="79" borderId="163" applyNumberFormat="0" applyAlignment="0" applyProtection="0"/>
    <xf numFmtId="0" fontId="114" fillId="79" borderId="163" applyNumberFormat="0" applyAlignment="0" applyProtection="0"/>
    <xf numFmtId="0" fontId="105" fillId="0" borderId="146" applyNumberFormat="0" applyFill="0" applyAlignment="0" applyProtection="0"/>
    <xf numFmtId="0" fontId="18" fillId="76" borderId="162" applyNumberFormat="0" applyFont="0" applyAlignment="0" applyProtection="0"/>
    <xf numFmtId="0" fontId="18" fillId="76" borderId="162" applyNumberFormat="0" applyFont="0" applyAlignment="0" applyProtection="0"/>
    <xf numFmtId="4" fontId="47" fillId="35" borderId="142" applyNumberFormat="0" applyProtection="0">
      <alignment vertical="center"/>
    </xf>
    <xf numFmtId="0" fontId="18" fillId="50" borderId="142" applyNumberFormat="0" applyProtection="0">
      <alignment horizontal="left" vertical="center" indent="1"/>
    </xf>
    <xf numFmtId="4" fontId="46" fillId="38" borderId="142" applyNumberFormat="0" applyProtection="0">
      <alignment vertical="center"/>
    </xf>
    <xf numFmtId="0" fontId="114" fillId="79" borderId="141" applyNumberFormat="0" applyAlignment="0" applyProtection="0"/>
    <xf numFmtId="0" fontId="114" fillId="79" borderId="141" applyNumberFormat="0" applyAlignment="0" applyProtection="0"/>
    <xf numFmtId="4" fontId="47" fillId="0" borderId="142" applyNumberFormat="0" applyProtection="0">
      <alignment horizontal="left" vertical="center" indent="1"/>
    </xf>
    <xf numFmtId="0" fontId="18" fillId="51" borderId="142" applyNumberFormat="0" applyProtection="0">
      <alignment horizontal="left" vertical="center" indent="1"/>
    </xf>
    <xf numFmtId="0" fontId="18" fillId="49" borderId="142" applyNumberFormat="0" applyProtection="0">
      <alignment horizontal="left" vertical="top" indent="1"/>
    </xf>
    <xf numFmtId="4" fontId="47" fillId="47" borderId="142" applyNumberFormat="0" applyProtection="0">
      <alignment horizontal="right" vertical="center"/>
    </xf>
    <xf numFmtId="4" fontId="47" fillId="45" borderId="142" applyNumberFormat="0" applyProtection="0">
      <alignment horizontal="right" vertical="center"/>
    </xf>
    <xf numFmtId="4" fontId="47" fillId="35" borderId="142" applyNumberFormat="0" applyProtection="0">
      <alignment vertical="center"/>
    </xf>
    <xf numFmtId="0" fontId="105" fillId="0" borderId="146" applyNumberFormat="0" applyFill="0" applyAlignment="0" applyProtection="0"/>
    <xf numFmtId="0" fontId="18" fillId="76" borderId="151" applyNumberFormat="0" applyFont="0" applyAlignment="0" applyProtection="0"/>
    <xf numFmtId="4" fontId="51" fillId="35" borderId="142" applyNumberFormat="0" applyProtection="0">
      <alignment vertical="center"/>
    </xf>
    <xf numFmtId="0" fontId="47" fillId="34" borderId="142" applyNumberFormat="0" applyProtection="0">
      <alignment horizontal="left" vertical="top"/>
    </xf>
    <xf numFmtId="4" fontId="27" fillId="37" borderId="142" applyNumberFormat="0" applyProtection="0">
      <alignment vertical="center"/>
    </xf>
    <xf numFmtId="0" fontId="114" fillId="79" borderId="141" applyNumberFormat="0" applyAlignment="0" applyProtection="0"/>
    <xf numFmtId="0" fontId="105" fillId="0" borderId="146" applyNumberFormat="0" applyFill="0" applyAlignment="0" applyProtection="0"/>
    <xf numFmtId="0" fontId="18" fillId="85" borderId="142" applyNumberFormat="0" applyProtection="0">
      <alignment horizontal="left" vertical="top" indent="1"/>
    </xf>
    <xf numFmtId="0" fontId="18" fillId="49" borderId="142" applyNumberFormat="0" applyProtection="0">
      <alignment horizontal="left" vertical="top" indent="1"/>
    </xf>
    <xf numFmtId="0" fontId="114" fillId="79" borderId="141" applyNumberFormat="0" applyAlignment="0" applyProtection="0"/>
    <xf numFmtId="0" fontId="114" fillId="79" borderId="141" applyNumberFormat="0" applyAlignment="0" applyProtection="0"/>
    <xf numFmtId="0" fontId="18" fillId="51" borderId="142" applyNumberFormat="0" applyProtection="0">
      <alignment horizontal="left" vertical="center" indent="1"/>
    </xf>
    <xf numFmtId="0" fontId="114" fillId="79" borderId="141" applyNumberFormat="0" applyAlignment="0" applyProtection="0"/>
    <xf numFmtId="0" fontId="18" fillId="85" borderId="142" applyNumberFormat="0" applyProtection="0">
      <alignment horizontal="left" vertical="top" indent="1"/>
    </xf>
    <xf numFmtId="4" fontId="47" fillId="0" borderId="142" applyNumberFormat="0" applyProtection="0">
      <alignment horizontal="left" vertical="center" indent="1"/>
    </xf>
    <xf numFmtId="0" fontId="18" fillId="50" borderId="142" applyNumberFormat="0" applyProtection="0">
      <alignment horizontal="left" vertical="top" indent="1"/>
    </xf>
    <xf numFmtId="0" fontId="18" fillId="85" borderId="142" applyNumberFormat="0" applyProtection="0">
      <alignment horizontal="left" vertical="top" indent="1"/>
    </xf>
    <xf numFmtId="0" fontId="105" fillId="0" borderId="146" applyNumberFormat="0" applyFill="0" applyAlignment="0" applyProtection="0"/>
    <xf numFmtId="0" fontId="27" fillId="38" borderId="142" applyNumberFormat="0" applyProtection="0">
      <alignment horizontal="left" vertical="top" indent="1"/>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76" borderId="151" applyNumberFormat="0" applyFont="0" applyAlignment="0" applyProtection="0"/>
    <xf numFmtId="0" fontId="18" fillId="50" borderId="142" applyNumberFormat="0" applyProtection="0">
      <alignment horizontal="left" vertical="top" indent="1"/>
    </xf>
    <xf numFmtId="0" fontId="27" fillId="38" borderId="142" applyNumberFormat="0" applyProtection="0">
      <alignment horizontal="left" vertical="top" indent="1"/>
    </xf>
    <xf numFmtId="0" fontId="18" fillId="55" borderId="142" applyNumberFormat="0" applyProtection="0">
      <alignment horizontal="left" vertical="top" indent="1"/>
    </xf>
    <xf numFmtId="0" fontId="18" fillId="85" borderId="142" applyNumberFormat="0" applyProtection="0">
      <alignment horizontal="left" vertical="top" indent="1"/>
    </xf>
    <xf numFmtId="0" fontId="18" fillId="84" borderId="142" applyNumberFormat="0" applyProtection="0">
      <alignment horizontal="left" vertical="center" indent="1"/>
    </xf>
    <xf numFmtId="4" fontId="47" fillId="41" borderId="142" applyNumberFormat="0" applyProtection="0">
      <alignment horizontal="right" vertical="center"/>
    </xf>
    <xf numFmtId="0" fontId="18" fillId="55" borderId="142" applyNumberFormat="0" applyProtection="0">
      <alignment horizontal="left" vertical="center" indent="1"/>
    </xf>
    <xf numFmtId="0" fontId="18" fillId="84" borderId="142" applyNumberFormat="0" applyProtection="0">
      <alignment horizontal="left" vertical="center" indent="1"/>
    </xf>
    <xf numFmtId="0" fontId="47" fillId="34" borderId="142" applyNumberFormat="0" applyProtection="0">
      <alignment horizontal="left" vertical="top"/>
    </xf>
    <xf numFmtId="0" fontId="102" fillId="79" borderId="149" applyNumberFormat="0" applyAlignment="0" applyProtection="0"/>
    <xf numFmtId="0" fontId="18" fillId="54" borderId="142" applyNumberFormat="0" applyProtection="0">
      <alignment horizontal="left" vertical="top" indent="1"/>
    </xf>
    <xf numFmtId="0" fontId="110" fillId="77" borderId="149" applyNumberFormat="0" applyAlignment="0" applyProtection="0"/>
    <xf numFmtId="0" fontId="18" fillId="55" borderId="142" applyNumberFormat="0" applyProtection="0">
      <alignment horizontal="left" vertical="top" indent="1"/>
    </xf>
    <xf numFmtId="4" fontId="47" fillId="46" borderId="142" applyNumberFormat="0" applyProtection="0">
      <alignment horizontal="right" vertical="center"/>
    </xf>
    <xf numFmtId="4" fontId="51" fillId="35" borderId="142" applyNumberFormat="0" applyProtection="0">
      <alignment vertical="center"/>
    </xf>
    <xf numFmtId="0" fontId="18" fillId="55" borderId="142" applyNumberFormat="0" applyProtection="0">
      <alignment horizontal="left" vertical="center" indent="1"/>
    </xf>
    <xf numFmtId="4" fontId="47" fillId="35" borderId="142" applyNumberFormat="0" applyProtection="0">
      <alignment vertical="center"/>
    </xf>
    <xf numFmtId="0" fontId="18" fillId="55" borderId="142" applyNumberFormat="0" applyProtection="0">
      <alignment horizontal="left" vertical="center" indent="1"/>
    </xf>
    <xf numFmtId="0" fontId="18" fillId="50" borderId="142" applyNumberFormat="0" applyProtection="0">
      <alignment horizontal="left" vertical="top" indent="1"/>
    </xf>
    <xf numFmtId="0" fontId="110" fillId="77" borderId="149" applyNumberFormat="0" applyAlignment="0" applyProtection="0"/>
    <xf numFmtId="4" fontId="47" fillId="42" borderId="142" applyNumberFormat="0" applyProtection="0">
      <alignment horizontal="right" vertical="center"/>
    </xf>
    <xf numFmtId="0" fontId="105" fillId="0" borderId="146" applyNumberFormat="0" applyFill="0" applyAlignment="0" applyProtection="0"/>
    <xf numFmtId="0" fontId="18" fillId="50" borderId="142" applyNumberFormat="0" applyProtection="0">
      <alignment horizontal="left" vertical="center" indent="1"/>
    </xf>
    <xf numFmtId="0" fontId="24" fillId="59" borderId="148" applyNumberFormat="0" applyFont="0" applyAlignment="0" applyProtection="0">
      <protection locked="0"/>
    </xf>
    <xf numFmtId="0" fontId="18" fillId="50" borderId="142" applyNumberFormat="0" applyProtection="0">
      <alignment horizontal="left" vertical="center" indent="1"/>
    </xf>
    <xf numFmtId="0" fontId="18" fillId="34" borderId="142" applyNumberFormat="0" applyProtection="0">
      <alignment horizontal="left" vertical="center" indent="1"/>
    </xf>
    <xf numFmtId="0" fontId="110" fillId="77" borderId="161" applyNumberFormat="0" applyAlignment="0" applyProtection="0"/>
    <xf numFmtId="4" fontId="27" fillId="38" borderId="142" applyNumberFormat="0" applyProtection="0">
      <alignment vertical="center"/>
    </xf>
    <xf numFmtId="0" fontId="18" fillId="55" borderId="142" applyNumberFormat="0" applyProtection="0">
      <alignment horizontal="left" vertical="top" indent="1"/>
    </xf>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0" fontId="102" fillId="79" borderId="161" applyNumberFormat="0" applyAlignment="0" applyProtection="0"/>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36" applyNumberFormat="0" applyProtection="0">
      <alignment vertical="center"/>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0" fontId="110" fillId="77" borderId="161" applyNumberFormat="0" applyAlignment="0" applyProtection="0"/>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0" fontId="105" fillId="0" borderId="146" applyNumberFormat="0" applyFill="0" applyAlignment="0" applyProtection="0"/>
    <xf numFmtId="0" fontId="110" fillId="77" borderId="161" applyNumberFormat="0" applyAlignment="0" applyProtection="0"/>
    <xf numFmtId="4" fontId="27" fillId="38" borderId="142" applyNumberFormat="0" applyProtection="0">
      <alignment vertical="center"/>
    </xf>
    <xf numFmtId="4" fontId="27" fillId="34" borderId="36" applyNumberFormat="0" applyProtection="0">
      <alignment vertical="center"/>
    </xf>
    <xf numFmtId="0" fontId="102" fillId="79" borderId="161" applyNumberFormat="0" applyAlignment="0" applyProtection="0"/>
    <xf numFmtId="4" fontId="27" fillId="34" borderId="36" applyNumberFormat="0" applyProtection="0">
      <alignment vertical="center"/>
    </xf>
    <xf numFmtId="0" fontId="110" fillId="77" borderId="161"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49" borderId="142" applyNumberFormat="0" applyProtection="0">
      <alignment horizontal="left" vertical="center" indent="1"/>
    </xf>
    <xf numFmtId="0" fontId="102" fillId="79" borderId="149" applyNumberFormat="0" applyAlignment="0" applyProtection="0"/>
    <xf numFmtId="0" fontId="18" fillId="76" borderId="162" applyNumberFormat="0" applyFont="0" applyAlignment="0" applyProtection="0"/>
    <xf numFmtId="0" fontId="18" fillId="50" borderId="142" applyNumberFormat="0" applyProtection="0">
      <alignment horizontal="left" vertical="top" indent="1"/>
    </xf>
    <xf numFmtId="0" fontId="18" fillId="76" borderId="151" applyNumberFormat="0" applyFont="0" applyAlignment="0" applyProtection="0"/>
    <xf numFmtId="4" fontId="27" fillId="38" borderId="142" applyNumberFormat="0" applyProtection="0">
      <alignment horizontal="left" vertical="center" indent="1"/>
    </xf>
    <xf numFmtId="0" fontId="110" fillId="77" borderId="149" applyNumberFormat="0" applyAlignment="0" applyProtection="0"/>
    <xf numFmtId="4" fontId="27" fillId="34" borderId="143" applyNumberFormat="0" applyProtection="0">
      <alignment vertical="center"/>
    </xf>
    <xf numFmtId="4" fontId="47" fillId="0" borderId="142" applyNumberFormat="0" applyProtection="0">
      <alignment horizontal="left" vertical="center" indent="1"/>
    </xf>
    <xf numFmtId="0" fontId="114" fillId="79" borderId="141" applyNumberFormat="0" applyAlignment="0" applyProtection="0"/>
    <xf numFmtId="0" fontId="105" fillId="0" borderId="146" applyNumberFormat="0" applyFill="0" applyAlignment="0" applyProtection="0"/>
    <xf numFmtId="4" fontId="47" fillId="51" borderId="142" applyNumberFormat="0" applyProtection="0">
      <alignment horizontal="right" vertical="center"/>
    </xf>
    <xf numFmtId="4" fontId="25" fillId="49" borderId="142" applyNumberFormat="0" applyProtection="0">
      <alignment horizontal="right" vertical="center"/>
    </xf>
    <xf numFmtId="4" fontId="47" fillId="46" borderId="142" applyNumberFormat="0" applyProtection="0">
      <alignment horizontal="right" vertical="center"/>
    </xf>
    <xf numFmtId="0" fontId="102" fillId="79" borderId="149" applyNumberFormat="0" applyAlignment="0" applyProtection="0"/>
    <xf numFmtId="0" fontId="114" fillId="79" borderId="141" applyNumberFormat="0" applyAlignment="0" applyProtection="0"/>
    <xf numFmtId="4" fontId="47" fillId="41" borderId="142" applyNumberFormat="0" applyProtection="0">
      <alignment horizontal="right" vertical="center"/>
    </xf>
    <xf numFmtId="0" fontId="18" fillId="50" borderId="142" applyNumberFormat="0" applyProtection="0">
      <alignment horizontal="left" vertical="center" indent="1"/>
    </xf>
    <xf numFmtId="4" fontId="27" fillId="34" borderId="142" applyNumberFormat="0" applyProtection="0"/>
    <xf numFmtId="0" fontId="18" fillId="76" borderId="151" applyNumberFormat="0" applyFont="0" applyAlignment="0" applyProtection="0"/>
    <xf numFmtId="4" fontId="47" fillId="44" borderId="142" applyNumberFormat="0" applyProtection="0">
      <alignment horizontal="right" vertical="center"/>
    </xf>
    <xf numFmtId="0" fontId="18" fillId="55" borderId="142" applyNumberFormat="0" applyProtection="0">
      <alignment horizontal="left" vertical="center" indent="1"/>
    </xf>
    <xf numFmtId="0" fontId="110" fillId="77" borderId="149" applyNumberFormat="0" applyAlignment="0" applyProtection="0"/>
    <xf numFmtId="0" fontId="18" fillId="85" borderId="142" applyNumberFormat="0" applyProtection="0">
      <alignment horizontal="left" vertical="top" indent="1"/>
    </xf>
    <xf numFmtId="0" fontId="18" fillId="55" borderId="142" applyNumberFormat="0" applyProtection="0">
      <alignment horizontal="left" vertical="center" indent="1"/>
    </xf>
    <xf numFmtId="0" fontId="110" fillId="77" borderId="149" applyNumberFormat="0" applyAlignment="0" applyProtection="0"/>
    <xf numFmtId="4" fontId="47" fillId="0" borderId="142" applyNumberFormat="0" applyProtection="0">
      <alignment horizontal="left" vertical="center" indent="1"/>
    </xf>
    <xf numFmtId="4" fontId="47" fillId="35" borderId="142" applyNumberFormat="0" applyProtection="0">
      <alignment vertical="center"/>
    </xf>
    <xf numFmtId="0" fontId="102" fillId="79" borderId="161" applyNumberFormat="0" applyAlignment="0" applyProtection="0"/>
    <xf numFmtId="0" fontId="110" fillId="77" borderId="161" applyNumberFormat="0" applyAlignment="0" applyProtection="0"/>
    <xf numFmtId="4" fontId="27" fillId="34" borderId="142" applyNumberFormat="0" applyProtection="0"/>
    <xf numFmtId="0" fontId="114" fillId="79" borderId="163" applyNumberFormat="0" applyAlignment="0" applyProtection="0"/>
    <xf numFmtId="4" fontId="47" fillId="42" borderId="142" applyNumberFormat="0" applyProtection="0">
      <alignment horizontal="right" vertical="center"/>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47" fillId="35" borderId="142" applyNumberFormat="0" applyProtection="0">
      <alignment horizontal="left" vertical="top" indent="1"/>
    </xf>
    <xf numFmtId="0" fontId="18" fillId="50" borderId="142" applyNumberFormat="0" applyProtection="0">
      <alignment horizontal="left" vertical="top" indent="1"/>
    </xf>
    <xf numFmtId="0" fontId="110" fillId="77" borderId="149" applyNumberFormat="0" applyAlignment="0" applyProtection="0"/>
    <xf numFmtId="0" fontId="18" fillId="54" borderId="142" applyNumberFormat="0" applyProtection="0">
      <alignment horizontal="left" vertical="center" indent="1"/>
    </xf>
    <xf numFmtId="0" fontId="114" fillId="79" borderId="141" applyNumberFormat="0" applyAlignment="0" applyProtection="0"/>
    <xf numFmtId="0" fontId="18" fillId="85" borderId="142" applyNumberFormat="0" applyProtection="0">
      <alignment horizontal="left" vertical="top" indent="1"/>
    </xf>
    <xf numFmtId="0" fontId="18" fillId="84" borderId="142" applyNumberFormat="0" applyProtection="0">
      <alignment horizontal="left" vertical="center" indent="1"/>
    </xf>
    <xf numFmtId="0" fontId="47" fillId="35" borderId="142" applyNumberFormat="0" applyProtection="0">
      <alignment horizontal="left" vertical="top" indent="1"/>
    </xf>
    <xf numFmtId="0" fontId="26" fillId="0" borderId="150">
      <alignment horizontal="left" vertical="center"/>
    </xf>
    <xf numFmtId="4" fontId="47" fillId="0" borderId="142" applyNumberFormat="0" applyProtection="0">
      <alignment horizontal="left" vertical="center" indent="1"/>
    </xf>
    <xf numFmtId="0" fontId="105" fillId="0" borderId="146" applyNumberFormat="0" applyFill="0" applyAlignment="0" applyProtection="0"/>
    <xf numFmtId="0" fontId="18" fillId="85" borderId="142" applyNumberFormat="0" applyProtection="0">
      <alignment horizontal="left" vertical="center" indent="1"/>
    </xf>
    <xf numFmtId="0" fontId="47" fillId="35" borderId="142" applyNumberFormat="0" applyProtection="0">
      <alignment horizontal="left" vertical="top" indent="1"/>
    </xf>
    <xf numFmtId="4" fontId="47" fillId="43" borderId="142" applyNumberFormat="0" applyProtection="0">
      <alignment horizontal="right" vertical="center"/>
    </xf>
    <xf numFmtId="4" fontId="47" fillId="0" borderId="142" applyNumberFormat="0" applyProtection="0">
      <alignment horizontal="right" vertical="center"/>
    </xf>
    <xf numFmtId="0" fontId="18" fillId="76" borderId="151" applyNumberFormat="0" applyFont="0" applyAlignment="0" applyProtection="0"/>
    <xf numFmtId="0" fontId="18" fillId="51" borderId="142" applyNumberFormat="0" applyProtection="0">
      <alignment horizontal="left" vertical="center" indent="1"/>
    </xf>
    <xf numFmtId="0" fontId="18" fillId="85" borderId="142" applyNumberFormat="0" applyProtection="0">
      <alignment horizontal="left" vertical="center" indent="1"/>
    </xf>
    <xf numFmtId="0" fontId="102" fillId="79" borderId="149" applyNumberFormat="0" applyAlignment="0" applyProtection="0"/>
    <xf numFmtId="4" fontId="47" fillId="43" borderId="142" applyNumberFormat="0" applyProtection="0">
      <alignment horizontal="right" vertical="center"/>
    </xf>
    <xf numFmtId="0" fontId="18" fillId="54" borderId="142" applyNumberFormat="0" applyProtection="0">
      <alignment horizontal="left" vertical="center" indent="1"/>
    </xf>
    <xf numFmtId="0" fontId="18" fillId="49" borderId="142" applyNumberFormat="0" applyProtection="0">
      <alignment horizontal="left" vertical="center" indent="1"/>
    </xf>
    <xf numFmtId="4" fontId="27" fillId="38" borderId="142" applyNumberFormat="0" applyProtection="0">
      <alignment horizontal="left" vertical="center" indent="1"/>
    </xf>
    <xf numFmtId="4" fontId="47" fillId="43" borderId="142" applyNumberFormat="0" applyProtection="0">
      <alignment horizontal="right" vertical="center"/>
    </xf>
    <xf numFmtId="4" fontId="47" fillId="35" borderId="142" applyNumberFormat="0" applyProtection="0">
      <alignment vertical="center"/>
    </xf>
    <xf numFmtId="0" fontId="18" fillId="76" borderId="151" applyNumberFormat="0" applyFont="0" applyAlignment="0" applyProtection="0"/>
    <xf numFmtId="0" fontId="18" fillId="76" borderId="151" applyNumberFormat="0" applyFont="0" applyAlignment="0" applyProtection="0"/>
    <xf numFmtId="4" fontId="46" fillId="38" borderId="142" applyNumberFormat="0" applyProtection="0">
      <alignment vertical="center"/>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47" fillId="35" borderId="142" applyNumberFormat="0" applyProtection="0">
      <alignment horizontal="left" vertical="center" indent="1"/>
    </xf>
    <xf numFmtId="0" fontId="18" fillId="76" borderId="162" applyNumberFormat="0" applyFont="0" applyAlignment="0" applyProtection="0"/>
    <xf numFmtId="4" fontId="25" fillId="49" borderId="142" applyNumberFormat="0" applyProtection="0">
      <alignment horizontal="right" vertical="center"/>
    </xf>
    <xf numFmtId="0" fontId="18" fillId="50" borderId="142" applyNumberFormat="0" applyProtection="0">
      <alignment horizontal="left" vertical="top" indent="1"/>
    </xf>
    <xf numFmtId="4" fontId="47" fillId="39" borderId="142" applyNumberFormat="0" applyProtection="0">
      <alignment horizontal="right" vertical="center"/>
    </xf>
    <xf numFmtId="0" fontId="18" fillId="85" borderId="142" applyNumberFormat="0" applyProtection="0">
      <alignment horizontal="left" vertical="top" indent="1"/>
    </xf>
    <xf numFmtId="0" fontId="63" fillId="59" borderId="148" applyNumberFormat="0" applyFont="0" applyFill="0" applyAlignment="0" applyProtection="0">
      <protection locked="0"/>
    </xf>
    <xf numFmtId="0" fontId="18" fillId="34" borderId="142" applyNumberFormat="0" applyProtection="0">
      <alignment horizontal="left" vertical="center" indent="1"/>
    </xf>
    <xf numFmtId="0" fontId="18" fillId="49" borderId="142" applyNumberFormat="0" applyProtection="0">
      <alignment horizontal="left" vertical="center" indent="1"/>
    </xf>
    <xf numFmtId="0" fontId="114" fillId="79" borderId="141" applyNumberFormat="0" applyAlignment="0" applyProtection="0"/>
    <xf numFmtId="4" fontId="27" fillId="38" borderId="142" applyNumberFormat="0" applyProtection="0">
      <alignment horizontal="left" vertical="center" indent="1"/>
    </xf>
    <xf numFmtId="4" fontId="47" fillId="39" borderId="142" applyNumberFormat="0" applyProtection="0">
      <alignment horizontal="right" vertical="center"/>
    </xf>
    <xf numFmtId="0" fontId="110" fillId="77" borderId="149" applyNumberFormat="0" applyAlignment="0" applyProtection="0"/>
    <xf numFmtId="0" fontId="18" fillId="84" borderId="142" applyNumberFormat="0" applyProtection="0">
      <alignment horizontal="left" vertical="top" indent="1"/>
    </xf>
    <xf numFmtId="0" fontId="18" fillId="85" borderId="142" applyNumberFormat="0" applyProtection="0">
      <alignment horizontal="left" vertical="center" indent="1"/>
    </xf>
    <xf numFmtId="0" fontId="114" fillId="79" borderId="141" applyNumberFormat="0" applyAlignment="0" applyProtection="0"/>
    <xf numFmtId="4" fontId="47" fillId="46" borderId="142" applyNumberFormat="0" applyProtection="0">
      <alignment horizontal="right" vertical="center"/>
    </xf>
    <xf numFmtId="0" fontId="18" fillId="34" borderId="142" applyNumberFormat="0" applyProtection="0">
      <alignment horizontal="left" vertical="center" indent="1"/>
    </xf>
    <xf numFmtId="0" fontId="102" fillId="79" borderId="149" applyNumberFormat="0" applyAlignment="0" applyProtection="0"/>
    <xf numFmtId="0" fontId="18" fillId="84" borderId="142" applyNumberFormat="0" applyProtection="0">
      <alignment horizontal="left" vertical="top" indent="1"/>
    </xf>
    <xf numFmtId="4" fontId="47" fillId="51" borderId="142" applyNumberFormat="0" applyProtection="0">
      <alignment horizontal="right" vertical="center"/>
    </xf>
    <xf numFmtId="0" fontId="18" fillId="49" borderId="142" applyNumberFormat="0" applyProtection="0">
      <alignment horizontal="left" vertical="center" indent="1"/>
    </xf>
    <xf numFmtId="0" fontId="18" fillId="50" borderId="142" applyNumberFormat="0" applyProtection="0">
      <alignment horizontal="left" vertical="center" indent="1"/>
    </xf>
    <xf numFmtId="4" fontId="27" fillId="34" borderId="142" applyNumberFormat="0" applyProtection="0"/>
    <xf numFmtId="0" fontId="18" fillId="55" borderId="142" applyNumberFormat="0" applyProtection="0">
      <alignment horizontal="left" vertical="center" indent="1"/>
    </xf>
    <xf numFmtId="4" fontId="47" fillId="0" borderId="142" applyNumberFormat="0" applyProtection="0">
      <alignment horizontal="left" vertical="center" indent="1"/>
    </xf>
    <xf numFmtId="0" fontId="47" fillId="34" borderId="142" applyNumberFormat="0" applyProtection="0">
      <alignment horizontal="left" vertical="top"/>
    </xf>
    <xf numFmtId="4" fontId="47" fillId="40" borderId="142" applyNumberFormat="0" applyProtection="0">
      <alignment horizontal="right" vertical="center"/>
    </xf>
    <xf numFmtId="0" fontId="47" fillId="35" borderId="142" applyNumberFormat="0" applyProtection="0">
      <alignment horizontal="left" vertical="top" indent="1"/>
    </xf>
    <xf numFmtId="0" fontId="18" fillId="76" borderId="151" applyNumberFormat="0" applyFont="0" applyAlignment="0" applyProtection="0"/>
    <xf numFmtId="4" fontId="47" fillId="40" borderId="142" applyNumberFormat="0" applyProtection="0">
      <alignment horizontal="right" vertical="center"/>
    </xf>
    <xf numFmtId="0" fontId="18" fillId="50" borderId="142" applyNumberFormat="0" applyProtection="0">
      <alignment horizontal="left" vertical="center" indent="1"/>
    </xf>
    <xf numFmtId="0" fontId="18" fillId="76" borderId="151" applyNumberFormat="0" applyFont="0" applyAlignment="0" applyProtection="0"/>
    <xf numFmtId="0" fontId="114" fillId="79" borderId="141" applyNumberFormat="0" applyAlignment="0" applyProtection="0"/>
    <xf numFmtId="4" fontId="47" fillId="51" borderId="142" applyNumberFormat="0" applyProtection="0">
      <alignment horizontal="right" vertical="center"/>
    </xf>
    <xf numFmtId="4" fontId="27" fillId="34" borderId="143" applyNumberFormat="0" applyProtection="0">
      <alignment vertical="center"/>
    </xf>
    <xf numFmtId="0" fontId="18" fillId="55" borderId="142" applyNumberFormat="0" applyProtection="0">
      <alignment horizontal="left" vertical="center" indent="1"/>
    </xf>
    <xf numFmtId="0" fontId="102" fillId="79" borderId="161" applyNumberFormat="0" applyAlignment="0" applyProtection="0"/>
    <xf numFmtId="0" fontId="110" fillId="77" borderId="161" applyNumberFormat="0" applyAlignment="0" applyProtection="0"/>
    <xf numFmtId="0" fontId="114" fillId="79" borderId="163" applyNumberFormat="0" applyAlignment="0" applyProtection="0"/>
    <xf numFmtId="4" fontId="47" fillId="0" borderId="142" applyNumberFormat="0" applyProtection="0">
      <alignment horizontal="right" vertical="center"/>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18" fillId="34" borderId="142" applyNumberFormat="0" applyProtection="0">
      <alignment horizontal="left" vertical="center" indent="1"/>
    </xf>
    <xf numFmtId="0" fontId="18" fillId="55" borderId="142" applyNumberFormat="0" applyProtection="0">
      <alignment horizontal="left" vertical="top" indent="1"/>
    </xf>
    <xf numFmtId="0" fontId="18" fillId="76" borderId="151" applyNumberFormat="0" applyFont="0" applyAlignment="0" applyProtection="0"/>
    <xf numFmtId="0" fontId="105" fillId="0" borderId="146" applyNumberFormat="0" applyFill="0" applyAlignment="0" applyProtection="0"/>
    <xf numFmtId="0" fontId="105" fillId="0" borderId="146" applyNumberFormat="0" applyFill="0" applyAlignment="0" applyProtection="0"/>
    <xf numFmtId="0" fontId="63" fillId="59" borderId="148" applyNumberFormat="0" applyFont="0" applyFill="0" applyAlignment="0" applyProtection="0">
      <protection locked="0"/>
    </xf>
    <xf numFmtId="0" fontId="18" fillId="51" borderId="142" applyNumberFormat="0" applyProtection="0">
      <alignment horizontal="left" vertical="top" indent="1"/>
    </xf>
    <xf numFmtId="0" fontId="105" fillId="0" borderId="146" applyNumberFormat="0" applyFill="0" applyAlignment="0" applyProtection="0"/>
    <xf numFmtId="4" fontId="47" fillId="0" borderId="142" applyNumberFormat="0" applyProtection="0">
      <alignment horizontal="left" vertical="center" indent="1"/>
    </xf>
    <xf numFmtId="0" fontId="102" fillId="79" borderId="149" applyNumberFormat="0" applyAlignment="0" applyProtection="0"/>
    <xf numFmtId="0" fontId="102" fillId="79" borderId="149" applyNumberFormat="0" applyAlignment="0" applyProtection="0"/>
    <xf numFmtId="0" fontId="18" fillId="85" borderId="142" applyNumberFormat="0" applyProtection="0">
      <alignment horizontal="left" vertical="top" indent="1"/>
    </xf>
    <xf numFmtId="4" fontId="51" fillId="49" borderId="142" applyNumberFormat="0" applyProtection="0">
      <alignment horizontal="right" vertical="center"/>
    </xf>
    <xf numFmtId="0" fontId="47" fillId="34" borderId="142" applyNumberFormat="0" applyProtection="0">
      <alignment horizontal="left" vertical="top"/>
    </xf>
    <xf numFmtId="4" fontId="47" fillId="0" borderId="142" applyNumberFormat="0" applyProtection="0">
      <alignment horizontal="left" vertical="center" indent="1"/>
    </xf>
    <xf numFmtId="4" fontId="25" fillId="49" borderId="142" applyNumberFormat="0" applyProtection="0">
      <alignment horizontal="right" vertical="center"/>
    </xf>
    <xf numFmtId="0" fontId="18" fillId="84" borderId="142" applyNumberFormat="0" applyProtection="0">
      <alignment horizontal="left" vertical="top" indent="1"/>
    </xf>
    <xf numFmtId="0" fontId="114" fillId="79" borderId="141" applyNumberFormat="0" applyAlignment="0" applyProtection="0"/>
    <xf numFmtId="0" fontId="18" fillId="54" borderId="142" applyNumberFormat="0" applyProtection="0">
      <alignment horizontal="left" vertical="top" indent="1"/>
    </xf>
    <xf numFmtId="4" fontId="51" fillId="49" borderId="142" applyNumberFormat="0" applyProtection="0">
      <alignment horizontal="right" vertical="center"/>
    </xf>
    <xf numFmtId="0" fontId="105" fillId="0" borderId="146" applyNumberFormat="0" applyFill="0" applyAlignment="0" applyProtection="0"/>
    <xf numFmtId="0" fontId="114" fillId="79" borderId="141" applyNumberFormat="0" applyAlignment="0" applyProtection="0"/>
    <xf numFmtId="0" fontId="18" fillId="54" borderId="142" applyNumberFormat="0" applyProtection="0">
      <alignment horizontal="left" vertical="top" indent="1"/>
    </xf>
    <xf numFmtId="0" fontId="18" fillId="50" borderId="142" applyNumberFormat="0" applyProtection="0">
      <alignment horizontal="left" vertical="top" indent="1"/>
    </xf>
    <xf numFmtId="4" fontId="47" fillId="39" borderId="142" applyNumberFormat="0" applyProtection="0">
      <alignment horizontal="right" vertical="center"/>
    </xf>
    <xf numFmtId="0" fontId="102" fillId="79" borderId="149"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47" fillId="46" borderId="142" applyNumberFormat="0" applyProtection="0">
      <alignment horizontal="right" vertical="center"/>
    </xf>
    <xf numFmtId="0" fontId="114" fillId="79" borderId="141" applyNumberFormat="0" applyAlignment="0" applyProtection="0"/>
    <xf numFmtId="0" fontId="27" fillId="38" borderId="142" applyNumberFormat="0" applyProtection="0">
      <alignment horizontal="left" vertical="top" indent="1"/>
    </xf>
    <xf numFmtId="0" fontId="18" fillId="76" borderId="162" applyNumberFormat="0" applyFont="0" applyAlignment="0" applyProtection="0"/>
    <xf numFmtId="0" fontId="18" fillId="34" borderId="142" applyNumberFormat="0" applyProtection="0">
      <alignment horizontal="left" vertical="center" indent="1"/>
    </xf>
    <xf numFmtId="4" fontId="47" fillId="41" borderId="142" applyNumberFormat="0" applyProtection="0">
      <alignment horizontal="right" vertical="center"/>
    </xf>
    <xf numFmtId="0" fontId="18" fillId="50" borderId="142" applyNumberFormat="0" applyProtection="0">
      <alignment horizontal="left" vertical="center" indent="1"/>
    </xf>
    <xf numFmtId="0" fontId="102" fillId="79" borderId="149" applyNumberFormat="0" applyAlignment="0" applyProtection="0"/>
    <xf numFmtId="0" fontId="110" fillId="77" borderId="149" applyNumberFormat="0" applyAlignment="0" applyProtection="0"/>
    <xf numFmtId="4" fontId="47" fillId="45" borderId="142" applyNumberFormat="0" applyProtection="0">
      <alignment horizontal="right" vertical="center"/>
    </xf>
    <xf numFmtId="4" fontId="51" fillId="35" borderId="142" applyNumberFormat="0" applyProtection="0">
      <alignment vertical="center"/>
    </xf>
    <xf numFmtId="0" fontId="18" fillId="84" borderId="142" applyNumberFormat="0" applyProtection="0">
      <alignment horizontal="left" vertical="center" indent="1"/>
    </xf>
    <xf numFmtId="4" fontId="25" fillId="49" borderId="142" applyNumberFormat="0" applyProtection="0">
      <alignment horizontal="right" vertical="center"/>
    </xf>
    <xf numFmtId="0" fontId="114" fillId="79" borderId="141" applyNumberFormat="0" applyAlignment="0" applyProtection="0"/>
    <xf numFmtId="0" fontId="47" fillId="35" borderId="142" applyNumberFormat="0" applyProtection="0">
      <alignment horizontal="left" vertical="top" indent="1"/>
    </xf>
    <xf numFmtId="0" fontId="105" fillId="0" borderId="146" applyNumberFormat="0" applyFill="0" applyAlignment="0" applyProtection="0"/>
    <xf numFmtId="0" fontId="18" fillId="85" borderId="142" applyNumberFormat="0" applyProtection="0">
      <alignment horizontal="left" vertical="top" indent="1"/>
    </xf>
    <xf numFmtId="0" fontId="114" fillId="79" borderId="141" applyNumberFormat="0" applyAlignment="0" applyProtection="0"/>
    <xf numFmtId="4" fontId="47" fillId="47" borderId="142" applyNumberFormat="0" applyProtection="0">
      <alignment horizontal="right" vertical="center"/>
    </xf>
    <xf numFmtId="0" fontId="47" fillId="34" borderId="142" applyNumberFormat="0" applyProtection="0">
      <alignment horizontal="left" vertical="top"/>
    </xf>
    <xf numFmtId="0" fontId="18" fillId="76" borderId="151" applyNumberFormat="0" applyFont="0" applyAlignment="0" applyProtection="0"/>
    <xf numFmtId="0" fontId="18" fillId="34" borderId="142" applyNumberFormat="0" applyProtection="0">
      <alignment horizontal="left" vertical="top" indent="1"/>
    </xf>
    <xf numFmtId="0" fontId="18" fillId="49" borderId="142" applyNumberFormat="0" applyProtection="0">
      <alignment horizontal="left" vertical="top" indent="1"/>
    </xf>
    <xf numFmtId="4" fontId="27" fillId="38" borderId="142" applyNumberFormat="0" applyProtection="0">
      <alignment horizontal="left" vertical="center" indent="1"/>
    </xf>
    <xf numFmtId="4" fontId="51" fillId="35" borderId="142" applyNumberFormat="0" applyProtection="0">
      <alignment vertical="center"/>
    </xf>
    <xf numFmtId="0" fontId="114" fillId="79" borderId="141" applyNumberFormat="0" applyAlignment="0" applyProtection="0"/>
    <xf numFmtId="0" fontId="18" fillId="85" borderId="142" applyNumberFormat="0" applyProtection="0">
      <alignment horizontal="left" vertical="center" indent="1"/>
    </xf>
    <xf numFmtId="0" fontId="18" fillId="84" borderId="142" applyNumberFormat="0" applyProtection="0">
      <alignment horizontal="left" vertical="top" indent="1"/>
    </xf>
    <xf numFmtId="4" fontId="47" fillId="35" borderId="142" applyNumberFormat="0" applyProtection="0">
      <alignment vertical="center"/>
    </xf>
    <xf numFmtId="4" fontId="47" fillId="0" borderId="142" applyNumberFormat="0" applyProtection="0">
      <alignment horizontal="right" vertical="center"/>
    </xf>
    <xf numFmtId="4" fontId="47" fillId="42" borderId="142" applyNumberFormat="0" applyProtection="0">
      <alignment horizontal="right" vertical="center"/>
    </xf>
    <xf numFmtId="0" fontId="105" fillId="0" borderId="146" applyNumberFormat="0" applyFill="0" applyAlignment="0" applyProtection="0"/>
    <xf numFmtId="0" fontId="47" fillId="34" borderId="142" applyNumberFormat="0" applyProtection="0">
      <alignment horizontal="left" vertical="top"/>
    </xf>
    <xf numFmtId="0" fontId="102" fillId="79" borderId="161" applyNumberFormat="0" applyAlignment="0" applyProtection="0"/>
    <xf numFmtId="0" fontId="114" fillId="79" borderId="163" applyNumberFormat="0" applyAlignment="0" applyProtection="0"/>
    <xf numFmtId="0" fontId="114" fillId="79" borderId="163" applyNumberFormat="0" applyAlignment="0" applyProtection="0"/>
    <xf numFmtId="0" fontId="105" fillId="0" borderId="146" applyNumberFormat="0" applyFill="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102" fillId="79" borderId="149" applyNumberFormat="0" applyAlignment="0" applyProtection="0"/>
    <xf numFmtId="4" fontId="47" fillId="51" borderId="142" applyNumberFormat="0" applyProtection="0">
      <alignment horizontal="left" vertical="center" indent="1"/>
    </xf>
    <xf numFmtId="4" fontId="47" fillId="42" borderId="142" applyNumberFormat="0" applyProtection="0">
      <alignment horizontal="right" vertical="center"/>
    </xf>
    <xf numFmtId="4" fontId="47" fillId="43" borderId="142" applyNumberFormat="0" applyProtection="0">
      <alignment horizontal="right" vertical="center"/>
    </xf>
    <xf numFmtId="0" fontId="65" fillId="0" borderId="49" applyNumberFormat="0" applyFont="0" applyFill="0" applyAlignment="0" applyProtection="0"/>
    <xf numFmtId="4" fontId="47" fillId="51" borderId="142" applyNumberFormat="0" applyProtection="0">
      <alignment horizontal="right" vertical="center"/>
    </xf>
    <xf numFmtId="4" fontId="47" fillId="43" borderId="142" applyNumberFormat="0" applyProtection="0">
      <alignment horizontal="right" vertical="center"/>
    </xf>
    <xf numFmtId="0" fontId="18" fillId="50" borderId="142" applyNumberFormat="0" applyProtection="0">
      <alignment horizontal="left" vertical="top" indent="1"/>
    </xf>
    <xf numFmtId="0" fontId="18" fillId="34" borderId="142" applyNumberFormat="0" applyProtection="0">
      <alignment horizontal="left" vertical="center" indent="1"/>
    </xf>
    <xf numFmtId="4" fontId="27" fillId="38" borderId="142" applyNumberFormat="0" applyProtection="0">
      <alignment horizontal="left" vertical="center" indent="1"/>
    </xf>
    <xf numFmtId="0" fontId="18" fillId="34" borderId="142" applyNumberFormat="0" applyProtection="0">
      <alignment horizontal="left" vertical="center" indent="1"/>
    </xf>
    <xf numFmtId="0" fontId="18" fillId="50" borderId="142" applyNumberFormat="0" applyProtection="0">
      <alignment horizontal="left" vertical="top" indent="1"/>
    </xf>
    <xf numFmtId="0" fontId="18" fillId="51" borderId="142" applyNumberFormat="0" applyProtection="0">
      <alignment horizontal="left" vertical="center" indent="1"/>
    </xf>
    <xf numFmtId="4" fontId="47" fillId="41" borderId="142" applyNumberFormat="0" applyProtection="0">
      <alignment horizontal="right" vertical="center"/>
    </xf>
    <xf numFmtId="4" fontId="47" fillId="51" borderId="142" applyNumberFormat="0" applyProtection="0">
      <alignment horizontal="right" vertical="center"/>
    </xf>
    <xf numFmtId="0" fontId="18" fillId="54" borderId="142" applyNumberFormat="0" applyProtection="0">
      <alignment horizontal="left" vertical="top" indent="1"/>
    </xf>
    <xf numFmtId="0" fontId="18" fillId="55" borderId="142" applyNumberFormat="0" applyProtection="0">
      <alignment horizontal="left" vertical="top" indent="1"/>
    </xf>
    <xf numFmtId="0" fontId="18" fillId="34" borderId="142" applyNumberFormat="0" applyProtection="0">
      <alignment horizontal="left" vertical="center" indent="1"/>
    </xf>
    <xf numFmtId="4" fontId="47" fillId="42" borderId="142" applyNumberFormat="0" applyProtection="0">
      <alignment horizontal="right" vertical="center"/>
    </xf>
    <xf numFmtId="0" fontId="18" fillId="55" borderId="142" applyNumberFormat="0" applyProtection="0">
      <alignment horizontal="left" vertical="top" indent="1"/>
    </xf>
    <xf numFmtId="0" fontId="18" fillId="84" borderId="142" applyNumberFormat="0" applyProtection="0">
      <alignment horizontal="left" vertical="top" indent="1"/>
    </xf>
    <xf numFmtId="4" fontId="51" fillId="35" borderId="142" applyNumberFormat="0" applyProtection="0">
      <alignment vertical="center"/>
    </xf>
    <xf numFmtId="0" fontId="18" fillId="34" borderId="142" applyNumberFormat="0" applyProtection="0">
      <alignment horizontal="left" vertical="top" indent="1"/>
    </xf>
    <xf numFmtId="4" fontId="47" fillId="45" borderId="142"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47" fillId="40" borderId="142" applyNumberFormat="0" applyProtection="0">
      <alignment horizontal="right" vertical="center"/>
    </xf>
    <xf numFmtId="0" fontId="47" fillId="34" borderId="142" applyNumberFormat="0" applyProtection="0">
      <alignment horizontal="left" vertical="top"/>
    </xf>
    <xf numFmtId="0" fontId="114" fillId="79" borderId="163" applyNumberFormat="0" applyAlignment="0" applyProtection="0"/>
    <xf numFmtId="0" fontId="18" fillId="51" borderId="142" applyNumberFormat="0" applyProtection="0">
      <alignment horizontal="left" vertical="center" indent="1"/>
    </xf>
    <xf numFmtId="4" fontId="27" fillId="38" borderId="142" applyNumberFormat="0" applyProtection="0">
      <alignment horizontal="left" vertical="center" indent="1"/>
    </xf>
    <xf numFmtId="0" fontId="18" fillId="34" borderId="142" applyNumberFormat="0" applyProtection="0">
      <alignment horizontal="left" vertical="center" indent="1"/>
    </xf>
    <xf numFmtId="4" fontId="27" fillId="38" borderId="142" applyNumberFormat="0" applyProtection="0">
      <alignment horizontal="left" vertical="center" indent="1"/>
    </xf>
    <xf numFmtId="0" fontId="47" fillId="34" borderId="142" applyNumberFormat="0" applyProtection="0">
      <alignment horizontal="left" vertical="top"/>
    </xf>
    <xf numFmtId="0" fontId="110" fillId="77" borderId="149" applyNumberFormat="0" applyAlignment="0" applyProtection="0"/>
    <xf numFmtId="4" fontId="46" fillId="38" borderId="142" applyNumberFormat="0" applyProtection="0">
      <alignment vertical="center"/>
    </xf>
    <xf numFmtId="0" fontId="18" fillId="34" borderId="142" applyNumberFormat="0" applyProtection="0">
      <alignment horizontal="left" vertical="center" indent="1"/>
    </xf>
    <xf numFmtId="4" fontId="47" fillId="39" borderId="142" applyNumberFormat="0" applyProtection="0">
      <alignment horizontal="right" vertical="center"/>
    </xf>
    <xf numFmtId="0" fontId="18" fillId="50" borderId="142" applyNumberFormat="0" applyProtection="0">
      <alignment horizontal="left" vertical="top" indent="1"/>
    </xf>
    <xf numFmtId="0" fontId="18" fillId="76" borderId="151" applyNumberFormat="0" applyFont="0" applyAlignment="0" applyProtection="0"/>
    <xf numFmtId="4" fontId="47" fillId="51" borderId="142" applyNumberFormat="0" applyProtection="0">
      <alignment horizontal="left" vertical="center" indent="1"/>
    </xf>
    <xf numFmtId="0" fontId="18" fillId="54" borderId="142" applyNumberFormat="0" applyProtection="0">
      <alignment horizontal="left" vertical="center" indent="1"/>
    </xf>
    <xf numFmtId="0" fontId="110" fillId="77" borderId="149" applyNumberFormat="0" applyAlignment="0" applyProtection="0"/>
    <xf numFmtId="0" fontId="105" fillId="0" borderId="146" applyNumberFormat="0" applyFill="0" applyAlignment="0" applyProtection="0"/>
    <xf numFmtId="4" fontId="47" fillId="47" borderId="142" applyNumberFormat="0" applyProtection="0">
      <alignment horizontal="right" vertical="center"/>
    </xf>
    <xf numFmtId="0" fontId="18" fillId="50" borderId="142" applyNumberFormat="0" applyProtection="0">
      <alignment horizontal="left" vertical="center" indent="1"/>
    </xf>
    <xf numFmtId="0" fontId="102" fillId="79" borderId="149" applyNumberFormat="0" applyAlignment="0" applyProtection="0"/>
    <xf numFmtId="0" fontId="47" fillId="34" borderId="142" applyNumberFormat="0" applyProtection="0">
      <alignment horizontal="left" vertical="top"/>
    </xf>
    <xf numFmtId="0" fontId="18" fillId="49"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center" indent="1"/>
    </xf>
    <xf numFmtId="0" fontId="18" fillId="50" borderId="142" applyNumberFormat="0" applyProtection="0">
      <alignment horizontal="left" vertical="top" indent="1"/>
    </xf>
    <xf numFmtId="0" fontId="18" fillId="54" borderId="142" applyNumberFormat="0" applyProtection="0">
      <alignment horizontal="left" vertical="center" indent="1"/>
    </xf>
    <xf numFmtId="4" fontId="47" fillId="41" borderId="142" applyNumberFormat="0" applyProtection="0">
      <alignment horizontal="right" vertical="center"/>
    </xf>
    <xf numFmtId="0" fontId="18" fillId="49" borderId="142" applyNumberFormat="0" applyProtection="0">
      <alignment horizontal="left" vertical="top" indent="1"/>
    </xf>
    <xf numFmtId="0" fontId="18" fillId="84" borderId="142" applyNumberFormat="0" applyProtection="0">
      <alignment horizontal="left" vertical="center" indent="1"/>
    </xf>
    <xf numFmtId="0" fontId="18" fillId="76" borderId="151" applyNumberFormat="0" applyFont="0" applyAlignment="0" applyProtection="0"/>
    <xf numFmtId="0" fontId="105" fillId="0" borderId="146" applyNumberFormat="0" applyFill="0" applyAlignment="0" applyProtection="0"/>
    <xf numFmtId="4" fontId="27" fillId="38" borderId="142" applyNumberFormat="0" applyProtection="0">
      <alignment horizontal="left" vertical="center" indent="1"/>
    </xf>
    <xf numFmtId="0" fontId="18" fillId="84" borderId="142" applyNumberFormat="0" applyProtection="0">
      <alignment horizontal="left" vertical="top" indent="1"/>
    </xf>
    <xf numFmtId="0" fontId="114" fillId="79" borderId="163" applyNumberFormat="0" applyAlignment="0" applyProtection="0"/>
    <xf numFmtId="0" fontId="114" fillId="79" borderId="163" applyNumberFormat="0" applyAlignment="0" applyProtection="0"/>
    <xf numFmtId="0" fontId="47" fillId="34" borderId="142" applyNumberFormat="0" applyProtection="0">
      <alignment horizontal="left" vertical="top"/>
    </xf>
    <xf numFmtId="0" fontId="18" fillId="76" borderId="162" applyNumberFormat="0" applyFont="0" applyAlignment="0" applyProtection="0"/>
    <xf numFmtId="0" fontId="18" fillId="55" borderId="142" applyNumberFormat="0" applyProtection="0">
      <alignment horizontal="left" vertical="top" indent="1"/>
    </xf>
    <xf numFmtId="0" fontId="18" fillId="51" borderId="142" applyNumberFormat="0" applyProtection="0">
      <alignment horizontal="left" vertical="top" indent="1"/>
    </xf>
    <xf numFmtId="0" fontId="105" fillId="0" borderId="146" applyNumberFormat="0" applyFill="0" applyAlignment="0" applyProtection="0"/>
    <xf numFmtId="0" fontId="105" fillId="0" borderId="146" applyNumberFormat="0" applyFill="0" applyAlignment="0" applyProtection="0"/>
    <xf numFmtId="4" fontId="51" fillId="35" borderId="142" applyNumberFormat="0" applyProtection="0">
      <alignment vertical="center"/>
    </xf>
    <xf numFmtId="4" fontId="47" fillId="0" borderId="142" applyNumberFormat="0" applyProtection="0">
      <alignment horizontal="left" vertical="center" indent="1"/>
    </xf>
    <xf numFmtId="0" fontId="18" fillId="76" borderId="151" applyNumberFormat="0" applyFont="0" applyAlignment="0" applyProtection="0"/>
    <xf numFmtId="0" fontId="47" fillId="34" borderId="142" applyNumberFormat="0" applyProtection="0">
      <alignment horizontal="left" vertical="top"/>
    </xf>
    <xf numFmtId="0" fontId="105" fillId="0" borderId="146" applyNumberFormat="0" applyFill="0" applyAlignment="0" applyProtection="0"/>
    <xf numFmtId="0" fontId="18" fillId="49" borderId="142" applyNumberFormat="0" applyProtection="0">
      <alignment horizontal="left" vertical="center" indent="1"/>
    </xf>
    <xf numFmtId="4" fontId="46" fillId="38" borderId="142" applyNumberFormat="0" applyProtection="0">
      <alignment vertical="center"/>
    </xf>
    <xf numFmtId="0" fontId="110" fillId="77" borderId="149" applyNumberFormat="0" applyAlignment="0" applyProtection="0"/>
    <xf numFmtId="0" fontId="102" fillId="79" borderId="149" applyNumberFormat="0" applyAlignment="0" applyProtection="0"/>
    <xf numFmtId="0" fontId="105" fillId="0" borderId="146" applyNumberFormat="0" applyFill="0" applyAlignment="0" applyProtection="0"/>
    <xf numFmtId="0" fontId="26" fillId="0" borderId="32">
      <alignment horizontal="left" vertical="center"/>
    </xf>
    <xf numFmtId="0" fontId="26" fillId="0" borderId="150">
      <alignment horizontal="left" vertical="center"/>
    </xf>
    <xf numFmtId="0" fontId="110" fillId="77" borderId="149" applyNumberFormat="0" applyAlignment="0" applyProtection="0"/>
    <xf numFmtId="0" fontId="18" fillId="85" borderId="142" applyNumberFormat="0" applyProtection="0">
      <alignment horizontal="left" vertical="top" indent="1"/>
    </xf>
    <xf numFmtId="4" fontId="47" fillId="0" borderId="142" applyNumberFormat="0" applyProtection="0">
      <alignment horizontal="left" vertical="center" indent="1"/>
    </xf>
    <xf numFmtId="0" fontId="114" fillId="79" borderId="141" applyNumberFormat="0" applyAlignment="0" applyProtection="0"/>
    <xf numFmtId="0" fontId="18" fillId="49" borderId="142" applyNumberFormat="0" applyProtection="0">
      <alignment horizontal="left" vertical="center" indent="1"/>
    </xf>
    <xf numFmtId="0" fontId="102" fillId="79" borderId="149" applyNumberFormat="0" applyAlignment="0" applyProtection="0"/>
    <xf numFmtId="0" fontId="114" fillId="79" borderId="163" applyNumberFormat="0" applyAlignment="0" applyProtection="0"/>
    <xf numFmtId="0" fontId="114" fillId="79" borderId="163" applyNumberFormat="0" applyAlignment="0" applyProtection="0"/>
    <xf numFmtId="4" fontId="27" fillId="34" borderId="142" applyNumberFormat="0" applyProtection="0"/>
    <xf numFmtId="0" fontId="105" fillId="0" borderId="146" applyNumberFormat="0" applyFill="0" applyAlignment="0" applyProtection="0"/>
    <xf numFmtId="0" fontId="47" fillId="35" borderId="142" applyNumberFormat="0" applyProtection="0">
      <alignment horizontal="left" vertical="top" indent="1"/>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top" indent="1"/>
    </xf>
    <xf numFmtId="4" fontId="47" fillId="51" borderId="142" applyNumberFormat="0" applyProtection="0">
      <alignment horizontal="right" vertical="center"/>
    </xf>
    <xf numFmtId="0" fontId="18" fillId="76" borderId="151" applyNumberFormat="0" applyFont="0" applyAlignment="0" applyProtection="0"/>
    <xf numFmtId="0" fontId="18" fillId="34" borderId="142" applyNumberFormat="0" applyProtection="0">
      <alignment horizontal="left" vertical="top" indent="1"/>
    </xf>
    <xf numFmtId="0" fontId="18" fillId="34" borderId="142" applyNumberFormat="0" applyProtection="0">
      <alignment horizontal="left" vertical="top" indent="1"/>
    </xf>
    <xf numFmtId="0" fontId="114" fillId="79" borderId="141" applyNumberFormat="0" applyAlignment="0" applyProtection="0"/>
    <xf numFmtId="0" fontId="110" fillId="77" borderId="149" applyNumberFormat="0" applyAlignment="0" applyProtection="0"/>
    <xf numFmtId="0" fontId="114" fillId="79" borderId="141" applyNumberFormat="0" applyAlignment="0" applyProtection="0"/>
    <xf numFmtId="0" fontId="18" fillId="34" borderId="142" applyNumberFormat="0" applyProtection="0">
      <alignment horizontal="left" vertical="top" indent="1"/>
    </xf>
    <xf numFmtId="0" fontId="114" fillId="79" borderId="141" applyNumberFormat="0" applyAlignment="0" applyProtection="0"/>
    <xf numFmtId="0" fontId="18" fillId="34" borderId="142" applyNumberFormat="0" applyProtection="0">
      <alignment horizontal="left" vertical="top" indent="1"/>
    </xf>
    <xf numFmtId="4" fontId="47" fillId="0" borderId="142" applyNumberFormat="0" applyProtection="0">
      <alignment horizontal="left" vertical="center" indent="1"/>
    </xf>
    <xf numFmtId="0" fontId="18" fillId="84" borderId="142" applyNumberFormat="0" applyProtection="0">
      <alignment horizontal="left" vertical="center" indent="1"/>
    </xf>
    <xf numFmtId="4" fontId="27" fillId="38" borderId="142" applyNumberFormat="0" applyProtection="0">
      <alignment horizontal="left" vertical="center" indent="1"/>
    </xf>
    <xf numFmtId="0" fontId="18" fillId="84" borderId="142" applyNumberFormat="0" applyProtection="0">
      <alignment horizontal="left" vertical="top" indent="1"/>
    </xf>
    <xf numFmtId="0" fontId="47" fillId="34" borderId="142" applyNumberFormat="0" applyProtection="0">
      <alignment horizontal="center" vertical="top"/>
    </xf>
    <xf numFmtId="0" fontId="110" fillId="77" borderId="149" applyNumberFormat="0" applyAlignment="0" applyProtection="0"/>
    <xf numFmtId="4" fontId="51" fillId="49" borderId="142" applyNumberFormat="0" applyProtection="0">
      <alignment horizontal="right" vertical="center"/>
    </xf>
    <xf numFmtId="0" fontId="114" fillId="79" borderId="141" applyNumberFormat="0" applyAlignment="0" applyProtection="0"/>
    <xf numFmtId="0" fontId="18" fillId="85" borderId="142" applyNumberFormat="0" applyProtection="0">
      <alignment horizontal="left" vertical="center" indent="1"/>
    </xf>
    <xf numFmtId="0" fontId="18" fillId="55" borderId="142" applyNumberFormat="0" applyProtection="0">
      <alignment horizontal="left" vertical="top" indent="1"/>
    </xf>
    <xf numFmtId="0" fontId="18" fillId="49" borderId="142" applyNumberFormat="0" applyProtection="0">
      <alignment horizontal="left" vertical="center" indent="1"/>
    </xf>
    <xf numFmtId="4" fontId="47" fillId="0"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05" fillId="0" borderId="146" applyNumberFormat="0" applyFill="0" applyAlignment="0" applyProtection="0"/>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top" indent="1"/>
    </xf>
    <xf numFmtId="0" fontId="18" fillId="50" borderId="142" applyNumberFormat="0" applyProtection="0">
      <alignment horizontal="left" vertical="center" indent="1"/>
    </xf>
    <xf numFmtId="4" fontId="27" fillId="37" borderId="142" applyNumberFormat="0" applyProtection="0">
      <alignment vertical="center"/>
    </xf>
    <xf numFmtId="0" fontId="18" fillId="51" borderId="142" applyNumberFormat="0" applyProtection="0">
      <alignment horizontal="left" vertical="center" indent="1"/>
    </xf>
    <xf numFmtId="0" fontId="18" fillId="84" borderId="142" applyNumberFormat="0" applyProtection="0">
      <alignment horizontal="left" vertical="center" indent="1"/>
    </xf>
    <xf numFmtId="4" fontId="27" fillId="37" borderId="142" applyNumberFormat="0" applyProtection="0">
      <alignment vertical="center"/>
    </xf>
    <xf numFmtId="0" fontId="18" fillId="54" borderId="142" applyNumberFormat="0" applyProtection="0">
      <alignment horizontal="left" vertical="center" indent="1"/>
    </xf>
    <xf numFmtId="0" fontId="110" fillId="77" borderId="149" applyNumberFormat="0" applyAlignment="0" applyProtection="0"/>
    <xf numFmtId="0" fontId="18" fillId="84" borderId="142" applyNumberFormat="0" applyProtection="0">
      <alignment horizontal="left" vertical="center" indent="1"/>
    </xf>
    <xf numFmtId="0" fontId="18" fillId="85" borderId="142" applyNumberFormat="0" applyProtection="0">
      <alignment horizontal="left" vertical="top" indent="1"/>
    </xf>
    <xf numFmtId="0" fontId="18" fillId="55" borderId="142" applyNumberFormat="0" applyProtection="0">
      <alignment horizontal="left" vertical="center" indent="1"/>
    </xf>
    <xf numFmtId="0" fontId="18" fillId="54" borderId="142" applyNumberFormat="0" applyProtection="0">
      <alignment horizontal="left" vertical="top"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55" borderId="142" applyNumberFormat="0" applyProtection="0">
      <alignment horizontal="left" vertical="center" indent="1"/>
    </xf>
    <xf numFmtId="0" fontId="18" fillId="50" borderId="142" applyNumberFormat="0" applyProtection="0">
      <alignment horizontal="left" vertical="center" indent="1"/>
    </xf>
    <xf numFmtId="4" fontId="51" fillId="49" borderId="142" applyNumberFormat="0" applyProtection="0">
      <alignment horizontal="right" vertical="center"/>
    </xf>
    <xf numFmtId="4" fontId="47" fillId="0" borderId="142" applyNumberFormat="0" applyProtection="0">
      <alignment horizontal="right" vertical="center"/>
    </xf>
    <xf numFmtId="4" fontId="47" fillId="59" borderId="142" applyNumberFormat="0" applyProtection="0">
      <alignment horizontal="left" vertical="center" indent="1"/>
    </xf>
    <xf numFmtId="0" fontId="18" fillId="84" borderId="142" applyNumberFormat="0" applyProtection="0">
      <alignment horizontal="left" vertical="top" indent="1"/>
    </xf>
    <xf numFmtId="0" fontId="18" fillId="51" borderId="142" applyNumberFormat="0" applyProtection="0">
      <alignment horizontal="left" vertical="top" indent="1"/>
    </xf>
    <xf numFmtId="0" fontId="63" fillId="59" borderId="148" applyNumberFormat="0" applyFont="0" applyFill="0" applyAlignment="0" applyProtection="0">
      <protection locked="0"/>
    </xf>
    <xf numFmtId="0" fontId="47" fillId="34" borderId="142" applyNumberFormat="0" applyProtection="0">
      <alignment horizontal="center" vertical="top"/>
    </xf>
    <xf numFmtId="0" fontId="114" fillId="79" borderId="141" applyNumberFormat="0" applyAlignment="0" applyProtection="0"/>
    <xf numFmtId="0" fontId="18" fillId="84" borderId="142" applyNumberFormat="0" applyProtection="0">
      <alignment horizontal="left" vertical="center" indent="1"/>
    </xf>
    <xf numFmtId="0" fontId="18" fillId="76" borderId="151" applyNumberFormat="0" applyFont="0" applyAlignment="0" applyProtection="0"/>
    <xf numFmtId="0" fontId="102" fillId="79" borderId="149" applyNumberFormat="0" applyAlignment="0" applyProtection="0"/>
    <xf numFmtId="4" fontId="47" fillId="45" borderId="142" applyNumberFormat="0" applyProtection="0">
      <alignment horizontal="right" vertical="center"/>
    </xf>
    <xf numFmtId="0" fontId="18" fillId="54" borderId="142" applyNumberFormat="0" applyProtection="0">
      <alignment horizontal="left" vertical="center" indent="1"/>
    </xf>
    <xf numFmtId="0" fontId="24" fillId="59" borderId="148" applyNumberFormat="0" applyFont="0" applyAlignment="0" applyProtection="0">
      <protection locked="0"/>
    </xf>
    <xf numFmtId="0" fontId="110" fillId="77" borderId="149" applyNumberFormat="0" applyAlignment="0" applyProtection="0"/>
    <xf numFmtId="0" fontId="18" fillId="51" borderId="142" applyNumberFormat="0" applyProtection="0">
      <alignment horizontal="left" vertical="top" indent="1"/>
    </xf>
    <xf numFmtId="0" fontId="63" fillId="59" borderId="165" applyNumberFormat="0" applyFont="0" applyFill="0" applyAlignment="0" applyProtection="0">
      <protection locked="0"/>
    </xf>
    <xf numFmtId="0" fontId="18" fillId="55" borderId="142" applyNumberFormat="0" applyProtection="0">
      <alignment horizontal="left" vertical="center" indent="1"/>
    </xf>
    <xf numFmtId="4" fontId="47" fillId="35" borderId="142" applyNumberFormat="0" applyProtection="0">
      <alignment horizontal="left" vertical="center" indent="1"/>
    </xf>
    <xf numFmtId="0" fontId="105" fillId="0" borderId="146" applyNumberFormat="0" applyFill="0" applyAlignment="0" applyProtection="0"/>
    <xf numFmtId="0" fontId="18" fillId="0" borderId="139"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4" fontId="47" fillId="47" borderId="142" applyNumberFormat="0" applyProtection="0">
      <alignment horizontal="right" vertical="center"/>
    </xf>
    <xf numFmtId="0" fontId="18" fillId="49" borderId="142" applyNumberFormat="0" applyProtection="0">
      <alignment horizontal="left" vertical="top" indent="1"/>
    </xf>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4" fontId="47" fillId="44" borderId="142" applyNumberFormat="0" applyProtection="0">
      <alignment horizontal="right" vertical="center"/>
    </xf>
    <xf numFmtId="0" fontId="102" fillId="79" borderId="149" applyNumberFormat="0" applyAlignment="0" applyProtection="0"/>
    <xf numFmtId="0" fontId="18" fillId="54" borderId="142" applyNumberFormat="0" applyProtection="0">
      <alignment horizontal="left" vertical="top" indent="1"/>
    </xf>
    <xf numFmtId="0" fontId="18" fillId="51" borderId="142" applyNumberFormat="0" applyProtection="0">
      <alignment horizontal="left" vertical="center" indent="1"/>
    </xf>
    <xf numFmtId="0" fontId="18" fillId="49" borderId="142" applyNumberFormat="0" applyProtection="0">
      <alignment horizontal="left" vertical="top" indent="1"/>
    </xf>
    <xf numFmtId="0" fontId="114" fillId="79" borderId="141" applyNumberFormat="0" applyAlignment="0" applyProtection="0"/>
    <xf numFmtId="0" fontId="18" fillId="51" borderId="142" applyNumberFormat="0" applyProtection="0">
      <alignment horizontal="left" vertical="top" indent="1"/>
    </xf>
    <xf numFmtId="0" fontId="114" fillId="79" borderId="14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50" borderId="142" applyNumberFormat="0" applyProtection="0">
      <alignment horizontal="left" vertical="top" indent="1"/>
    </xf>
    <xf numFmtId="0" fontId="102" fillId="79" borderId="161" applyNumberFormat="0" applyAlignment="0" applyProtection="0"/>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10" fillId="77" borderId="161" applyNumberFormat="0" applyAlignment="0" applyProtection="0"/>
    <xf numFmtId="0" fontId="18" fillId="50" borderId="142" applyNumberFormat="0" applyProtection="0">
      <alignment horizontal="left" vertical="center" indent="1"/>
    </xf>
    <xf numFmtId="0" fontId="18" fillId="85" borderId="142" applyNumberFormat="0" applyProtection="0">
      <alignment horizontal="left" vertical="center" indent="1"/>
    </xf>
    <xf numFmtId="4" fontId="47" fillId="40" borderId="142" applyNumberFormat="0" applyProtection="0">
      <alignment horizontal="right" vertical="center"/>
    </xf>
    <xf numFmtId="0" fontId="102" fillId="79" borderId="149" applyNumberFormat="0" applyAlignment="0" applyProtection="0"/>
    <xf numFmtId="0" fontId="110" fillId="77" borderId="149" applyNumberFormat="0" applyAlignment="0" applyProtection="0"/>
    <xf numFmtId="4" fontId="27" fillId="38" borderId="142" applyNumberFormat="0" applyProtection="0">
      <alignment horizontal="left" vertical="center" indent="1"/>
    </xf>
    <xf numFmtId="0" fontId="18" fillId="49" borderId="142" applyNumberFormat="0" applyProtection="0">
      <alignment horizontal="left" vertical="top" indent="1"/>
    </xf>
    <xf numFmtId="4" fontId="27" fillId="34" borderId="142" applyNumberForma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4" fontId="27" fillId="34" borderId="142" applyNumberFormat="0" applyProtection="0"/>
    <xf numFmtId="4" fontId="47" fillId="43" borderId="142"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5" fillId="49" borderId="160" applyNumberFormat="0" applyProtection="0">
      <alignment horizontal="right" vertical="center"/>
    </xf>
    <xf numFmtId="0" fontId="47" fillId="34" borderId="160" applyNumberFormat="0" applyProtection="0">
      <alignment horizontal="left" vertical="top"/>
    </xf>
    <xf numFmtId="4" fontId="47" fillId="0" borderId="160" applyNumberFormat="0" applyProtection="0">
      <alignment horizontal="left" vertical="center" indent="1"/>
    </xf>
    <xf numFmtId="4" fontId="51" fillId="49" borderId="160" applyNumberFormat="0" applyProtection="0">
      <alignment horizontal="right" vertical="center"/>
    </xf>
    <xf numFmtId="4" fontId="47" fillId="0" borderId="160" applyNumberFormat="0" applyProtection="0">
      <alignment horizontal="right" vertical="center"/>
    </xf>
    <xf numFmtId="0" fontId="47" fillId="35" borderId="160" applyNumberFormat="0" applyProtection="0">
      <alignment horizontal="left" vertical="top" indent="1"/>
    </xf>
    <xf numFmtId="4" fontId="47" fillId="35" borderId="160" applyNumberFormat="0" applyProtection="0">
      <alignment horizontal="left" vertical="center" indent="1"/>
    </xf>
    <xf numFmtId="4" fontId="51" fillId="35" borderId="160" applyNumberFormat="0" applyProtection="0">
      <alignment vertical="center"/>
    </xf>
    <xf numFmtId="4" fontId="47" fillId="35" borderId="160" applyNumberFormat="0" applyProtection="0">
      <alignment vertical="center"/>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4" fontId="47" fillId="51" borderId="160" applyNumberFormat="0" applyProtection="0">
      <alignment horizontal="right" vertical="center"/>
    </xf>
    <xf numFmtId="4" fontId="47" fillId="47" borderId="160" applyNumberFormat="0" applyProtection="0">
      <alignment horizontal="right" vertical="center"/>
    </xf>
    <xf numFmtId="4" fontId="47" fillId="46" borderId="160" applyNumberFormat="0" applyProtection="0">
      <alignment horizontal="right" vertical="center"/>
    </xf>
    <xf numFmtId="4" fontId="47" fillId="45" borderId="160" applyNumberFormat="0" applyProtection="0">
      <alignment horizontal="right" vertical="center"/>
    </xf>
    <xf numFmtId="4" fontId="47" fillId="44" borderId="160" applyNumberFormat="0" applyProtection="0">
      <alignment horizontal="right" vertical="center"/>
    </xf>
    <xf numFmtId="4" fontId="47" fillId="43" borderId="160" applyNumberFormat="0" applyProtection="0">
      <alignment horizontal="right" vertical="center"/>
    </xf>
    <xf numFmtId="4" fontId="47" fillId="42" borderId="160" applyNumberFormat="0" applyProtection="0">
      <alignment horizontal="right" vertical="center"/>
    </xf>
    <xf numFmtId="4" fontId="47" fillId="41" borderId="160" applyNumberFormat="0" applyProtection="0">
      <alignment horizontal="right" vertical="center"/>
    </xf>
    <xf numFmtId="4" fontId="47" fillId="40" borderId="160" applyNumberFormat="0" applyProtection="0">
      <alignment horizontal="right" vertical="center"/>
    </xf>
    <xf numFmtId="4" fontId="47" fillId="39" borderId="160" applyNumberFormat="0" applyProtection="0">
      <alignment horizontal="right" vertical="center"/>
    </xf>
    <xf numFmtId="0" fontId="27" fillId="38" borderId="160" applyNumberFormat="0" applyProtection="0">
      <alignment horizontal="left" vertical="top" indent="1"/>
    </xf>
    <xf numFmtId="4" fontId="27" fillId="38" borderId="160" applyNumberFormat="0" applyProtection="0">
      <alignment horizontal="left" vertical="center" indent="1"/>
    </xf>
    <xf numFmtId="4" fontId="46" fillId="38" borderId="160" applyNumberFormat="0" applyProtection="0">
      <alignment vertical="center"/>
    </xf>
    <xf numFmtId="4" fontId="27" fillId="37" borderId="160" applyNumberFormat="0" applyProtection="0">
      <alignment vertical="center"/>
    </xf>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4" fontId="47" fillId="46" borderId="142" applyNumberFormat="0" applyProtection="0">
      <alignment horizontal="right" vertical="center"/>
    </xf>
    <xf numFmtId="4" fontId="51" fillId="49" borderId="142" applyNumberFormat="0" applyProtection="0">
      <alignment horizontal="right" vertical="center"/>
    </xf>
    <xf numFmtId="0" fontId="105" fillId="0" borderId="146" applyNumberFormat="0" applyFill="0" applyAlignment="0" applyProtection="0"/>
    <xf numFmtId="0" fontId="114" fillId="79" borderId="141" applyNumberFormat="0" applyAlignment="0" applyProtection="0"/>
    <xf numFmtId="4" fontId="47" fillId="0" borderId="142" applyNumberFormat="0" applyProtection="0">
      <alignment horizontal="right" vertical="center"/>
    </xf>
    <xf numFmtId="4" fontId="25" fillId="49" borderId="142" applyNumberFormat="0" applyProtection="0">
      <alignment horizontal="right" vertical="center"/>
    </xf>
    <xf numFmtId="0" fontId="102" fillId="79" borderId="149" applyNumberFormat="0" applyAlignment="0" applyProtection="0"/>
    <xf numFmtId="0" fontId="24" fillId="59" borderId="165" applyNumberFormat="0" applyFont="0" applyAlignment="0" applyProtection="0">
      <protection locked="0"/>
    </xf>
    <xf numFmtId="0" fontId="24" fillId="59" borderId="165" applyNumberFormat="0" applyFont="0" applyAlignment="0" applyProtection="0">
      <protection locked="0"/>
    </xf>
    <xf numFmtId="4" fontId="47" fillId="41" borderId="142" applyNumberFormat="0" applyProtection="0">
      <alignment horizontal="right" vertical="center"/>
    </xf>
    <xf numFmtId="0" fontId="26" fillId="0" borderId="32">
      <alignment horizontal="left" vertical="center"/>
    </xf>
    <xf numFmtId="0" fontId="102" fillId="79" borderId="149" applyNumberFormat="0" applyAlignment="0" applyProtection="0"/>
    <xf numFmtId="0" fontId="102" fillId="79" borderId="149" applyNumberFormat="0" applyAlignment="0" applyProtection="0"/>
    <xf numFmtId="0" fontId="18" fillId="54" borderId="142" applyNumberFormat="0" applyProtection="0">
      <alignment horizontal="left" vertical="top" indent="1"/>
    </xf>
    <xf numFmtId="0" fontId="24" fillId="59" borderId="148" applyNumberFormat="0" applyFont="0" applyAlignment="0" applyProtection="0">
      <protection locked="0"/>
    </xf>
    <xf numFmtId="0" fontId="102" fillId="79" borderId="149" applyNumberFormat="0" applyAlignment="0" applyProtection="0"/>
    <xf numFmtId="0" fontId="110" fillId="77" borderId="149" applyNumberFormat="0" applyAlignment="0" applyProtection="0"/>
    <xf numFmtId="0" fontId="105" fillId="0" borderId="164" applyNumberFormat="0" applyFill="0" applyAlignment="0" applyProtection="0"/>
    <xf numFmtId="0" fontId="105" fillId="0" borderId="164" applyNumberFormat="0" applyFill="0" applyAlignment="0" applyProtection="0"/>
    <xf numFmtId="0" fontId="18" fillId="54" borderId="142" applyNumberFormat="0" applyProtection="0">
      <alignment horizontal="left" vertical="top" indent="1"/>
    </xf>
    <xf numFmtId="0" fontId="18" fillId="49" borderId="142" applyNumberFormat="0" applyProtection="0">
      <alignment horizontal="left" vertical="top" indent="1"/>
    </xf>
    <xf numFmtId="0" fontId="18" fillId="54" borderId="142" applyNumberFormat="0" applyProtection="0">
      <alignment horizontal="left" vertical="center"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85" borderId="142" applyNumberFormat="0" applyProtection="0">
      <alignment horizontal="left" vertical="top" indent="1"/>
    </xf>
    <xf numFmtId="0" fontId="18" fillId="51" borderId="142" applyNumberFormat="0" applyProtection="0">
      <alignment horizontal="left" vertical="center" indent="1"/>
    </xf>
    <xf numFmtId="0" fontId="47" fillId="35" borderId="142" applyNumberFormat="0" applyProtection="0">
      <alignment horizontal="left" vertical="top" indent="1"/>
    </xf>
    <xf numFmtId="0" fontId="18" fillId="51" borderId="142" applyNumberFormat="0" applyProtection="0">
      <alignment horizontal="left" vertical="center" indent="1"/>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10" fillId="77" borderId="149" applyNumberFormat="0" applyAlignment="0" applyProtection="0"/>
    <xf numFmtId="0" fontId="114" fillId="79" borderId="141" applyNumberFormat="0" applyAlignment="0" applyProtection="0"/>
    <xf numFmtId="4" fontId="47" fillId="51" borderId="142" applyNumberFormat="0" applyProtection="0">
      <alignment horizontal="right" vertical="center"/>
    </xf>
    <xf numFmtId="4" fontId="47" fillId="42" borderId="142" applyNumberFormat="0" applyProtection="0">
      <alignment horizontal="right" vertical="center"/>
    </xf>
    <xf numFmtId="0" fontId="26" fillId="0" borderId="32">
      <alignment horizontal="left" vertical="center"/>
    </xf>
    <xf numFmtId="4" fontId="27" fillId="34" borderId="36" applyNumberFormat="0" applyProtection="0">
      <alignment vertical="center"/>
    </xf>
    <xf numFmtId="4" fontId="47" fillId="0" borderId="160" applyNumberFormat="0" applyProtection="0">
      <alignment horizontal="right" vertical="center"/>
    </xf>
    <xf numFmtId="0" fontId="18" fillId="51" borderId="160" applyNumberFormat="0" applyProtection="0">
      <alignment horizontal="left" vertical="center" indent="1"/>
    </xf>
    <xf numFmtId="4" fontId="27" fillId="37" borderId="160" applyNumberFormat="0" applyProtection="0">
      <alignment vertical="center"/>
    </xf>
    <xf numFmtId="0" fontId="110" fillId="77" borderId="161" applyNumberFormat="0" applyAlignment="0" applyProtection="0"/>
    <xf numFmtId="0" fontId="24" fillId="59" borderId="165" applyNumberFormat="0" applyFont="0" applyAlignment="0" applyProtection="0">
      <protection locked="0"/>
    </xf>
    <xf numFmtId="0" fontId="102" fillId="79" borderId="161" applyNumberFormat="0" applyAlignment="0" applyProtection="0"/>
    <xf numFmtId="4" fontId="47" fillId="42" borderId="160" applyNumberFormat="0" applyProtection="0">
      <alignment horizontal="right" vertical="center"/>
    </xf>
    <xf numFmtId="0" fontId="18" fillId="51" borderId="160" applyNumberFormat="0" applyProtection="0">
      <alignment horizontal="left" vertical="top" indent="1"/>
    </xf>
    <xf numFmtId="4" fontId="25" fillId="49" borderId="160" applyNumberFormat="0" applyProtection="0">
      <alignment horizontal="right" vertical="center"/>
    </xf>
    <xf numFmtId="0" fontId="114" fillId="79" borderId="163" applyNumberFormat="0" applyAlignment="0" applyProtection="0"/>
    <xf numFmtId="0" fontId="47" fillId="35" borderId="160" applyNumberFormat="0" applyProtection="0">
      <alignment horizontal="left" vertical="top" indent="1"/>
    </xf>
    <xf numFmtId="0" fontId="18" fillId="34" borderId="160" applyNumberFormat="0" applyProtection="0">
      <alignment horizontal="left" vertical="center" indent="1"/>
    </xf>
    <xf numFmtId="0" fontId="102" fillId="79" borderId="161" applyNumberFormat="0" applyAlignment="0" applyProtection="0"/>
    <xf numFmtId="4" fontId="47" fillId="43" borderId="160" applyNumberFormat="0" applyProtection="0">
      <alignment horizontal="right" vertical="center"/>
    </xf>
    <xf numFmtId="0" fontId="18" fillId="54" borderId="160" applyNumberFormat="0" applyProtection="0">
      <alignment horizontal="left" vertical="center" indent="1"/>
    </xf>
    <xf numFmtId="0" fontId="114" fillId="79" borderId="163" applyNumberFormat="0" applyAlignment="0" applyProtection="0"/>
    <xf numFmtId="4" fontId="25" fillId="49" borderId="160" applyNumberFormat="0" applyProtection="0">
      <alignment horizontal="right" vertical="center"/>
    </xf>
    <xf numFmtId="0" fontId="18" fillId="51" borderId="160" applyNumberFormat="0" applyProtection="0">
      <alignment horizontal="left" vertical="top" indent="1"/>
    </xf>
    <xf numFmtId="4" fontId="47" fillId="39" borderId="160" applyNumberFormat="0" applyProtection="0">
      <alignment horizontal="right" vertical="center"/>
    </xf>
    <xf numFmtId="0" fontId="18" fillId="76" borderId="162" applyNumberFormat="0" applyFont="0" applyAlignment="0" applyProtection="0"/>
    <xf numFmtId="0" fontId="105" fillId="0" borderId="164" applyNumberFormat="0" applyFill="0" applyAlignment="0" applyProtection="0"/>
    <xf numFmtId="0" fontId="27" fillId="38" borderId="160" applyNumberFormat="0" applyProtection="0">
      <alignment horizontal="left" vertical="top" indent="1"/>
    </xf>
    <xf numFmtId="0" fontId="18" fillId="51" borderId="160" applyNumberFormat="0" applyProtection="0">
      <alignment horizontal="left" vertical="center" indent="1"/>
    </xf>
    <xf numFmtId="4" fontId="47" fillId="0" borderId="160" applyNumberFormat="0" applyProtection="0">
      <alignment horizontal="righ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center" indent="1"/>
    </xf>
    <xf numFmtId="4" fontId="47" fillId="51" borderId="160"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8" fillId="49" borderId="160" applyNumberFormat="0" applyProtection="0">
      <alignment horizontal="left" vertical="center" indent="1"/>
    </xf>
    <xf numFmtId="0" fontId="105" fillId="0" borderId="164" applyNumberFormat="0" applyFill="0" applyAlignment="0" applyProtection="0"/>
    <xf numFmtId="0" fontId="18" fillId="85" borderId="160" applyNumberFormat="0" applyProtection="0">
      <alignment horizontal="left" vertical="center" indent="1"/>
    </xf>
    <xf numFmtId="4" fontId="47" fillId="41" borderId="160" applyNumberFormat="0" applyProtection="0">
      <alignment horizontal="right" vertical="center"/>
    </xf>
    <xf numFmtId="0" fontId="18" fillId="76" borderId="162" applyNumberFormat="0" applyFont="0" applyAlignment="0" applyProtection="0"/>
    <xf numFmtId="4" fontId="46" fillId="38" borderId="160" applyNumberFormat="0" applyProtection="0">
      <alignment vertical="center"/>
    </xf>
    <xf numFmtId="0" fontId="18" fillId="84" borderId="160" applyNumberFormat="0" applyProtection="0">
      <alignment horizontal="left" vertical="top" indent="1"/>
    </xf>
    <xf numFmtId="4" fontId="47" fillId="35" borderId="160" applyNumberFormat="0" applyProtection="0">
      <alignment horizontal="left" vertical="center" indent="1"/>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51"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24" fillId="59" borderId="165" applyNumberFormat="0" applyFont="0" applyAlignment="0" applyProtection="0">
      <protection locked="0"/>
    </xf>
    <xf numFmtId="4" fontId="47" fillId="43" borderId="160" applyNumberFormat="0" applyProtection="0">
      <alignment horizontal="right" vertical="center"/>
    </xf>
    <xf numFmtId="0" fontId="18" fillId="54" borderId="160" applyNumberFormat="0" applyProtection="0">
      <alignment horizontal="left" vertical="top" indent="1"/>
    </xf>
    <xf numFmtId="0" fontId="18" fillId="76" borderId="162" applyNumberFormat="0" applyFont="0" applyAlignment="0" applyProtection="0"/>
    <xf numFmtId="0" fontId="105" fillId="0" borderId="164" applyNumberFormat="0" applyFill="0" applyAlignment="0" applyProtection="0"/>
    <xf numFmtId="0" fontId="18" fillId="50" borderId="160" applyNumberFormat="0" applyProtection="0">
      <alignment horizontal="left" vertical="top" indent="1"/>
    </xf>
    <xf numFmtId="4" fontId="47"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4" fontId="47" fillId="35" borderId="160" applyNumberFormat="0" applyProtection="0">
      <alignment vertical="center"/>
    </xf>
    <xf numFmtId="0" fontId="18" fillId="50"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6" borderId="160" applyNumberFormat="0" applyProtection="0">
      <alignment horizontal="right" vertical="center"/>
    </xf>
    <xf numFmtId="0" fontId="18" fillId="54" borderId="160" applyNumberFormat="0" applyProtection="0">
      <alignment horizontal="left" vertical="top" indent="1"/>
    </xf>
    <xf numFmtId="0" fontId="105" fillId="0" borderId="164" applyNumberFormat="0" applyFill="0" applyAlignment="0" applyProtection="0"/>
    <xf numFmtId="0" fontId="63" fillId="59" borderId="165" applyNumberFormat="0" applyFont="0" applyFill="0" applyAlignment="0" applyProtection="0">
      <protection locked="0"/>
    </xf>
    <xf numFmtId="0" fontId="105" fillId="0" borderId="164" applyNumberFormat="0" applyFill="0" applyAlignment="0" applyProtection="0"/>
    <xf numFmtId="0" fontId="18" fillId="85" borderId="160" applyNumberFormat="0" applyProtection="0">
      <alignment horizontal="left" vertical="top" indent="1"/>
    </xf>
    <xf numFmtId="4" fontId="47" fillId="45" borderId="160" applyNumberFormat="0" applyProtection="0">
      <alignment horizontal="right" vertical="center"/>
    </xf>
    <xf numFmtId="0" fontId="110" fillId="77" borderId="161" applyNumberFormat="0" applyAlignment="0" applyProtection="0"/>
    <xf numFmtId="0" fontId="18" fillId="84" borderId="160" applyNumberFormat="0" applyProtection="0">
      <alignment horizontal="left" vertical="center" indent="1"/>
    </xf>
    <xf numFmtId="0" fontId="18" fillId="49" borderId="160" applyNumberFormat="0" applyProtection="0">
      <alignment horizontal="left" vertical="top" indent="1"/>
    </xf>
    <xf numFmtId="4" fontId="47" fillId="35" borderId="160" applyNumberFormat="0" applyProtection="0">
      <alignment horizontal="left" vertical="center" indent="1"/>
    </xf>
    <xf numFmtId="0" fontId="18" fillId="84" borderId="160" applyNumberFormat="0" applyProtection="0">
      <alignment horizontal="left" vertical="top" indent="1"/>
    </xf>
    <xf numFmtId="0" fontId="102" fillId="79" borderId="161" applyNumberFormat="0" applyAlignment="0" applyProtection="0"/>
    <xf numFmtId="4" fontId="47" fillId="44" borderId="160" applyNumberFormat="0" applyProtection="0">
      <alignment horizontal="right" vertical="center"/>
    </xf>
    <xf numFmtId="0" fontId="18" fillId="85" borderId="160" applyNumberFormat="0" applyProtection="0">
      <alignment horizontal="left" vertical="center" indent="1"/>
    </xf>
    <xf numFmtId="0" fontId="114" fillId="79" borderId="163" applyNumberFormat="0" applyAlignment="0" applyProtection="0"/>
    <xf numFmtId="4" fontId="51" fillId="49" borderId="160" applyNumberFormat="0" applyProtection="0">
      <alignment horizontal="right" vertical="center"/>
    </xf>
    <xf numFmtId="0" fontId="18" fillId="51" borderId="160" applyNumberFormat="0" applyProtection="0">
      <alignment horizontal="left" vertical="center" indent="1"/>
    </xf>
    <xf numFmtId="4" fontId="46" fillId="38" borderId="160" applyNumberFormat="0" applyProtection="0">
      <alignment vertical="center"/>
    </xf>
    <xf numFmtId="0" fontId="110" fillId="77" borderId="161" applyNumberFormat="0" applyAlignment="0" applyProtection="0"/>
    <xf numFmtId="0" fontId="102" fillId="79" borderId="161" applyNumberFormat="0" applyAlignment="0" applyProtection="0"/>
    <xf numFmtId="4" fontId="47" fillId="41" borderId="160" applyNumberFormat="0" applyProtection="0">
      <alignment horizontal="right" vertical="center"/>
    </xf>
    <xf numFmtId="0" fontId="18" fillId="51" borderId="160" applyNumberFormat="0" applyProtection="0">
      <alignment horizontal="left" vertical="top" indent="1"/>
    </xf>
    <xf numFmtId="0" fontId="47" fillId="34" borderId="160" applyNumberFormat="0" applyProtection="0">
      <alignment horizontal="left" vertical="top"/>
    </xf>
    <xf numFmtId="0" fontId="114" fillId="79" borderId="163" applyNumberFormat="0" applyAlignment="0" applyProtection="0"/>
    <xf numFmtId="0" fontId="26" fillId="0" borderId="32">
      <alignment horizontal="left" vertical="center"/>
    </xf>
    <xf numFmtId="4" fontId="27" fillId="34" borderId="36" applyNumberFormat="0" applyProtection="0">
      <alignment vertical="center"/>
    </xf>
    <xf numFmtId="0" fontId="26" fillId="0" borderId="32">
      <alignment horizontal="left" vertical="center"/>
    </xf>
    <xf numFmtId="4" fontId="27" fillId="34" borderId="36" applyNumberFormat="0" applyProtection="0">
      <alignment vertical="center"/>
    </xf>
    <xf numFmtId="4" fontId="27" fillId="34" borderId="36" applyNumberFormat="0" applyProtection="0">
      <alignment vertical="center"/>
    </xf>
    <xf numFmtId="4" fontId="47" fillId="0" borderId="160" applyNumberFormat="0" applyProtection="0">
      <alignment horizontal="left" vertical="center" indent="1"/>
    </xf>
    <xf numFmtId="0" fontId="18" fillId="34" borderId="160" applyNumberFormat="0" applyProtection="0">
      <alignment horizontal="left" vertical="top" indent="1"/>
    </xf>
    <xf numFmtId="4" fontId="27" fillId="38" borderId="160" applyNumberFormat="0" applyProtection="0">
      <alignment horizontal="left" vertical="center" indent="1"/>
    </xf>
    <xf numFmtId="0" fontId="110" fillId="77" borderId="161" applyNumberFormat="0" applyAlignment="0" applyProtection="0"/>
    <xf numFmtId="4" fontId="47" fillId="40" borderId="160" applyNumberFormat="0" applyProtection="0">
      <alignment horizontal="right" vertical="center"/>
    </xf>
    <xf numFmtId="0" fontId="18" fillId="34" borderId="160" applyNumberFormat="0" applyProtection="0">
      <alignment horizontal="left" vertical="top" indent="1"/>
    </xf>
    <xf numFmtId="4" fontId="47" fillId="0" borderId="160" applyNumberFormat="0" applyProtection="0">
      <alignment horizontal="left" vertical="center" indent="1"/>
    </xf>
    <xf numFmtId="0" fontId="114" fillId="79" borderId="163" applyNumberFormat="0" applyAlignment="0" applyProtection="0"/>
    <xf numFmtId="0" fontId="105" fillId="0" borderId="164" applyNumberFormat="0" applyFill="0" applyAlignment="0" applyProtection="0"/>
    <xf numFmtId="0" fontId="18" fillId="55" borderId="160" applyNumberFormat="0" applyProtection="0">
      <alignment horizontal="left" vertical="center" indent="1"/>
    </xf>
    <xf numFmtId="4" fontId="47" fillId="46" borderId="160" applyNumberFormat="0" applyProtection="0">
      <alignment horizontal="right" vertical="center"/>
    </xf>
    <xf numFmtId="0" fontId="110" fillId="77" borderId="161" applyNumberFormat="0" applyAlignment="0" applyProtection="0"/>
    <xf numFmtId="0" fontId="18" fillId="50" borderId="160" applyNumberFormat="0" applyProtection="0">
      <alignment horizontal="left" vertical="center" indent="1"/>
    </xf>
    <xf numFmtId="0" fontId="18" fillId="55" borderId="160" applyNumberFormat="0" applyProtection="0">
      <alignment horizontal="left" vertical="top" indent="1"/>
    </xf>
    <xf numFmtId="0" fontId="47" fillId="34" borderId="160" applyNumberFormat="0" applyProtection="0">
      <alignment horizontal="left" vertical="top"/>
    </xf>
    <xf numFmtId="0" fontId="18" fillId="51" borderId="160" applyNumberFormat="0" applyProtection="0">
      <alignment horizontal="left" vertical="top" indent="1"/>
    </xf>
    <xf numFmtId="0" fontId="27" fillId="38" borderId="160" applyNumberFormat="0" applyProtection="0">
      <alignment horizontal="left" vertical="top" indent="1"/>
    </xf>
    <xf numFmtId="0" fontId="18" fillId="76" borderId="162" applyNumberFormat="0" applyFont="0" applyAlignment="0" applyProtection="0"/>
    <xf numFmtId="0" fontId="110" fillId="77" borderId="161" applyNumberFormat="0" applyAlignment="0" applyProtection="0"/>
    <xf numFmtId="0" fontId="105" fillId="0" borderId="164" applyNumberFormat="0" applyFill="0" applyAlignment="0" applyProtection="0"/>
    <xf numFmtId="4" fontId="47" fillId="39" borderId="160" applyNumberFormat="0" applyProtection="0">
      <alignment horizontal="right" vertical="center"/>
    </xf>
    <xf numFmtId="0" fontId="18" fillId="51" borderId="160" applyNumberFormat="0" applyProtection="0">
      <alignment horizontal="left" vertical="center" indent="1"/>
    </xf>
    <xf numFmtId="4" fontId="51" fillId="49" borderId="160" applyNumberFormat="0" applyProtection="0">
      <alignment horizontal="right" vertical="center"/>
    </xf>
    <xf numFmtId="0" fontId="18" fillId="49" borderId="160" applyNumberFormat="0" applyProtection="0">
      <alignment horizontal="left" vertical="center" indent="1"/>
    </xf>
    <xf numFmtId="4" fontId="47" fillId="47" borderId="160" applyNumberFormat="0" applyProtection="0">
      <alignment horizontal="right" vertical="center"/>
    </xf>
    <xf numFmtId="0" fontId="110" fillId="77" borderId="161" applyNumberFormat="0" applyAlignment="0" applyProtection="0"/>
    <xf numFmtId="0" fontId="18" fillId="49" borderId="160" applyNumberFormat="0" applyProtection="0">
      <alignment horizontal="left" vertical="center" indent="1"/>
    </xf>
    <xf numFmtId="0" fontId="18" fillId="54" borderId="160" applyNumberFormat="0" applyProtection="0">
      <alignment horizontal="left" vertical="center" indent="1"/>
    </xf>
    <xf numFmtId="4" fontId="47" fillId="40" borderId="160" applyNumberFormat="0" applyProtection="0">
      <alignment horizontal="right" vertical="center"/>
    </xf>
    <xf numFmtId="0" fontId="18" fillId="76" borderId="162" applyNumberFormat="0" applyFont="0" applyAlignment="0" applyProtection="0"/>
    <xf numFmtId="4" fontId="27" fillId="38" borderId="160" applyNumberFormat="0" applyProtection="0">
      <alignment horizontal="left" vertical="center" indent="1"/>
    </xf>
    <xf numFmtId="0" fontId="18" fillId="34" borderId="160" applyNumberFormat="0" applyProtection="0">
      <alignment horizontal="left" vertical="center" indent="1"/>
    </xf>
    <xf numFmtId="0" fontId="47" fillId="35"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0" fontId="18" fillId="55" borderId="160" applyNumberFormat="0" applyProtection="0">
      <alignment horizontal="left" vertical="top" indent="1"/>
    </xf>
    <xf numFmtId="0" fontId="18" fillId="50" borderId="160"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5" borderId="160" applyNumberFormat="0" applyProtection="0">
      <alignment horizontal="left" vertical="center" indent="1"/>
    </xf>
    <xf numFmtId="4" fontId="47" fillId="42" borderId="160" applyNumberFormat="0" applyProtection="0">
      <alignment horizontal="right" vertical="center"/>
    </xf>
    <xf numFmtId="0" fontId="18" fillId="85" borderId="160" applyNumberFormat="0" applyProtection="0">
      <alignment horizontal="left" vertical="center" indent="1"/>
    </xf>
    <xf numFmtId="0" fontId="18" fillId="76" borderId="162" applyNumberFormat="0" applyFont="0" applyAlignment="0" applyProtection="0"/>
    <xf numFmtId="0" fontId="105" fillId="0" borderId="164" applyNumberFormat="0" applyFill="0" applyAlignment="0" applyProtection="0"/>
    <xf numFmtId="4" fontId="27" fillId="37" borderId="160" applyNumberFormat="0" applyProtection="0">
      <alignment vertical="center"/>
    </xf>
    <xf numFmtId="0" fontId="18" fillId="84" borderId="160" applyNumberFormat="0" applyProtection="0">
      <alignment horizontal="left" vertical="top" indent="1"/>
    </xf>
    <xf numFmtId="4" fontId="51"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7"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8" fillId="85" borderId="160" applyNumberFormat="0" applyProtection="0">
      <alignment horizontal="left" vertical="top" indent="1"/>
    </xf>
    <xf numFmtId="4" fontId="47" fillId="44" borderId="160" applyNumberFormat="0" applyProtection="0">
      <alignment horizontal="right" vertical="center"/>
    </xf>
    <xf numFmtId="0" fontId="110" fillId="77" borderId="161" applyNumberFormat="0" applyAlignment="0" applyProtection="0"/>
    <xf numFmtId="0" fontId="63" fillId="59" borderId="165" applyNumberFormat="0" applyFont="0" applyFill="0" applyAlignment="0" applyProtection="0">
      <protection locked="0"/>
    </xf>
    <xf numFmtId="0" fontId="18" fillId="84" borderId="160" applyNumberFormat="0" applyProtection="0">
      <alignment horizontal="left" vertical="center" indent="1"/>
    </xf>
    <xf numFmtId="0" fontId="18" fillId="49"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4" fontId="51" fillId="35" borderId="160" applyNumberFormat="0" applyProtection="0">
      <alignment vertical="center"/>
    </xf>
    <xf numFmtId="0" fontId="18" fillId="84"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5" borderId="160" applyNumberFormat="0" applyProtection="0">
      <alignment horizontal="right" vertical="center"/>
    </xf>
    <xf numFmtId="0" fontId="18" fillId="85" borderId="160" applyNumberFormat="0" applyProtection="0">
      <alignment horizontal="left" vertical="center" indent="1"/>
    </xf>
    <xf numFmtId="0" fontId="105" fillId="0" borderId="164" applyNumberFormat="0" applyFill="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5" fillId="49" borderId="160" applyNumberFormat="0" applyProtection="0">
      <alignment horizontal="right" vertical="center"/>
    </xf>
    <xf numFmtId="0" fontId="47" fillId="34" borderId="160" applyNumberFormat="0" applyProtection="0">
      <alignment horizontal="left" vertical="top"/>
    </xf>
    <xf numFmtId="4" fontId="47" fillId="0" borderId="160" applyNumberFormat="0" applyProtection="0">
      <alignment horizontal="left" vertical="center" indent="1"/>
    </xf>
    <xf numFmtId="4" fontId="51" fillId="49" borderId="160" applyNumberFormat="0" applyProtection="0">
      <alignment horizontal="right" vertical="center"/>
    </xf>
    <xf numFmtId="4" fontId="47" fillId="0" borderId="160" applyNumberFormat="0" applyProtection="0">
      <alignment horizontal="right" vertical="center"/>
    </xf>
    <xf numFmtId="0" fontId="47" fillId="35" borderId="160" applyNumberFormat="0" applyProtection="0">
      <alignment horizontal="left" vertical="top" indent="1"/>
    </xf>
    <xf numFmtId="4" fontId="47" fillId="35" borderId="160" applyNumberFormat="0" applyProtection="0">
      <alignment horizontal="left" vertical="center" indent="1"/>
    </xf>
    <xf numFmtId="4" fontId="51" fillId="35" borderId="160" applyNumberFormat="0" applyProtection="0">
      <alignment vertical="center"/>
    </xf>
    <xf numFmtId="4" fontId="47" fillId="35" borderId="160" applyNumberFormat="0" applyProtection="0">
      <alignment vertical="center"/>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4" fontId="47" fillId="51" borderId="160" applyNumberFormat="0" applyProtection="0">
      <alignment horizontal="right" vertical="center"/>
    </xf>
    <xf numFmtId="4" fontId="47" fillId="47" borderId="160" applyNumberFormat="0" applyProtection="0">
      <alignment horizontal="right" vertical="center"/>
    </xf>
    <xf numFmtId="4" fontId="47" fillId="46" borderId="160" applyNumberFormat="0" applyProtection="0">
      <alignment horizontal="right" vertical="center"/>
    </xf>
    <xf numFmtId="4" fontId="47" fillId="45" borderId="160" applyNumberFormat="0" applyProtection="0">
      <alignment horizontal="right" vertical="center"/>
    </xf>
    <xf numFmtId="4" fontId="47" fillId="44" borderId="160" applyNumberFormat="0" applyProtection="0">
      <alignment horizontal="right" vertical="center"/>
    </xf>
    <xf numFmtId="4" fontId="47" fillId="43" borderId="160" applyNumberFormat="0" applyProtection="0">
      <alignment horizontal="right" vertical="center"/>
    </xf>
    <xf numFmtId="4" fontId="47" fillId="42" borderId="160" applyNumberFormat="0" applyProtection="0">
      <alignment horizontal="right" vertical="center"/>
    </xf>
    <xf numFmtId="4" fontId="47" fillId="41" borderId="160" applyNumberFormat="0" applyProtection="0">
      <alignment horizontal="right" vertical="center"/>
    </xf>
    <xf numFmtId="4" fontId="47" fillId="40" borderId="160" applyNumberFormat="0" applyProtection="0">
      <alignment horizontal="right" vertical="center"/>
    </xf>
    <xf numFmtId="4" fontId="47" fillId="39" borderId="160" applyNumberFormat="0" applyProtection="0">
      <alignment horizontal="right" vertical="center"/>
    </xf>
    <xf numFmtId="0" fontId="27" fillId="38" borderId="160" applyNumberFormat="0" applyProtection="0">
      <alignment horizontal="left" vertical="top" indent="1"/>
    </xf>
    <xf numFmtId="4" fontId="27" fillId="38" borderId="160" applyNumberFormat="0" applyProtection="0">
      <alignment horizontal="left" vertical="center" indent="1"/>
    </xf>
    <xf numFmtId="4" fontId="46" fillId="38" borderId="160" applyNumberFormat="0" applyProtection="0">
      <alignment vertical="center"/>
    </xf>
    <xf numFmtId="4" fontId="27" fillId="37" borderId="160" applyNumberFormat="0" applyProtection="0">
      <alignment vertical="center"/>
    </xf>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12" fontId="26" fillId="36" borderId="49">
      <alignment horizontal="left"/>
    </xf>
    <xf numFmtId="0" fontId="18" fillId="54" borderId="142" applyNumberFormat="0" applyProtection="0">
      <alignment horizontal="left" vertical="top" indent="1"/>
    </xf>
    <xf numFmtId="0" fontId="18" fillId="55" borderId="142" applyNumberFormat="0" applyProtection="0">
      <alignment horizontal="left" vertical="center" indent="1"/>
    </xf>
    <xf numFmtId="0" fontId="18" fillId="55" borderId="142" applyNumberFormat="0" applyProtection="0">
      <alignment horizontal="left" vertical="top" indent="1"/>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left" vertical="center" indent="1"/>
    </xf>
    <xf numFmtId="0" fontId="47" fillId="34" borderId="142" applyNumberFormat="0" applyProtection="0">
      <alignment horizontal="left" vertical="top"/>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8" borderId="160" applyNumberFormat="0" applyProtection="0">
      <alignment vertical="center"/>
    </xf>
    <xf numFmtId="4" fontId="27"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4" fontId="27" fillId="34" borderId="160" applyNumberFormat="0" applyProtection="0"/>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4" fontId="47" fillId="59" borderId="160" applyNumberFormat="0" applyProtection="0">
      <alignment horizontal="left" vertical="center" indent="1"/>
    </xf>
    <xf numFmtId="4" fontId="47" fillId="59"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1" borderId="160" applyNumberFormat="0" applyProtection="0">
      <alignment horizontal="left" vertical="center" indent="1"/>
    </xf>
    <xf numFmtId="4" fontId="47" fillId="51" borderId="160" applyNumberFormat="0" applyProtection="0">
      <alignment horizontal="left" vertical="center" indent="1"/>
    </xf>
    <xf numFmtId="4" fontId="47" fillId="51"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0" fontId="47" fillId="34" borderId="160" applyNumberFormat="0" applyProtection="0">
      <alignment horizontal="center" vertical="top"/>
    </xf>
    <xf numFmtId="0" fontId="47" fillId="34" borderId="160" applyNumberFormat="0" applyProtection="0">
      <alignment horizontal="center"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176" fontId="18" fillId="0" borderId="145">
      <alignment horizontal="justify" vertical="top" wrapText="1"/>
    </xf>
    <xf numFmtId="4" fontId="47" fillId="42" borderId="142" applyNumberFormat="0" applyProtection="0">
      <alignment horizontal="right" vertical="center"/>
    </xf>
    <xf numFmtId="4" fontId="47" fillId="43" borderId="142" applyNumberFormat="0" applyProtection="0">
      <alignment horizontal="right" vertical="center"/>
    </xf>
    <xf numFmtId="4" fontId="47" fillId="44" borderId="142" applyNumberFormat="0" applyProtection="0">
      <alignment horizontal="right" vertical="center"/>
    </xf>
    <xf numFmtId="4" fontId="47" fillId="47" borderId="142" applyNumberFormat="0" applyProtection="0">
      <alignment horizontal="right" vertical="center"/>
    </xf>
    <xf numFmtId="4" fontId="27" fillId="38" borderId="142" applyNumberFormat="0" applyProtection="0">
      <alignment horizontal="left" vertical="center"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8" fillId="54" borderId="142" applyNumberFormat="0" applyProtection="0">
      <alignment horizontal="left" vertical="center" indent="1"/>
    </xf>
    <xf numFmtId="4" fontId="47" fillId="0" borderId="142" applyNumberFormat="0" applyProtection="0">
      <alignment horizontal="right" vertical="center"/>
    </xf>
    <xf numFmtId="4" fontId="47" fillId="0" borderId="142"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7" fillId="38" borderId="142" applyNumberFormat="0" applyProtection="0">
      <alignment horizontal="left" vertical="center" indent="1"/>
    </xf>
    <xf numFmtId="4" fontId="47" fillId="0" borderId="142" applyNumberFormat="0" applyProtection="0">
      <alignment horizontal="right" vertical="center"/>
    </xf>
    <xf numFmtId="0" fontId="18" fillId="54" borderId="142" applyNumberFormat="0" applyProtection="0">
      <alignment horizontal="left" vertical="center" indent="1"/>
    </xf>
    <xf numFmtId="0" fontId="47" fillId="35" borderId="142" applyNumberFormat="0" applyProtection="0">
      <alignment horizontal="left" vertical="top" indent="1"/>
    </xf>
    <xf numFmtId="4" fontId="47" fillId="51" borderId="142" applyNumberFormat="0" applyProtection="0">
      <alignment horizontal="right" vertical="center"/>
    </xf>
    <xf numFmtId="0" fontId="26" fillId="0" borderId="32">
      <alignment horizontal="left" vertical="center"/>
    </xf>
    <xf numFmtId="0" fontId="110" fillId="77" borderId="161" applyNumberFormat="0" applyAlignment="0" applyProtection="0"/>
    <xf numFmtId="0" fontId="24" fillId="59" borderId="165" applyNumberFormat="0" applyFont="0" applyAlignment="0" applyProtection="0">
      <protection locked="0"/>
    </xf>
    <xf numFmtId="0" fontId="102" fillId="79" borderId="161" applyNumberFormat="0" applyAlignment="0" applyProtection="0"/>
    <xf numFmtId="0" fontId="18" fillId="50" borderId="142" applyNumberFormat="0" applyProtection="0">
      <alignment horizontal="left" vertical="center" indent="1"/>
    </xf>
    <xf numFmtId="0" fontId="102" fillId="79" borderId="161" applyNumberFormat="0" applyAlignment="0" applyProtection="0"/>
    <xf numFmtId="0" fontId="18" fillId="54" borderId="142" applyNumberFormat="0" applyProtection="0">
      <alignment horizontal="left" vertical="center" indent="1"/>
    </xf>
    <xf numFmtId="0" fontId="102" fillId="79" borderId="161" applyNumberFormat="0" applyAlignment="0" applyProtection="0"/>
    <xf numFmtId="0" fontId="24" fillId="59" borderId="165" applyNumberFormat="0" applyFont="0" applyAlignment="0" applyProtection="0">
      <protection locked="0"/>
    </xf>
    <xf numFmtId="0" fontId="47" fillId="34" borderId="142" applyNumberFormat="0" applyProtection="0">
      <alignment horizontal="left" vertical="top"/>
    </xf>
    <xf numFmtId="0" fontId="102" fillId="79" borderId="161" applyNumberFormat="0" applyAlignment="0" applyProtection="0"/>
    <xf numFmtId="0" fontId="63" fillId="59" borderId="165" applyNumberFormat="0" applyFont="0" applyFill="0" applyAlignment="0" applyProtection="0">
      <protection locked="0"/>
    </xf>
    <xf numFmtId="4" fontId="47" fillId="0" borderId="142" applyNumberFormat="0" applyProtection="0">
      <alignment horizontal="right" vertical="center"/>
    </xf>
    <xf numFmtId="0" fontId="110" fillId="77" borderId="161" applyNumberFormat="0" applyAlignment="0" applyProtection="0"/>
    <xf numFmtId="0" fontId="102" fillId="79" borderId="161" applyNumberFormat="0" applyAlignment="0" applyProtection="0"/>
    <xf numFmtId="0" fontId="110" fillId="77" borderId="161" applyNumberFormat="0" applyAlignment="0" applyProtection="0"/>
    <xf numFmtId="0" fontId="102" fillId="79" borderId="161" applyNumberFormat="0" applyAlignment="0" applyProtection="0"/>
    <xf numFmtId="0" fontId="26" fillId="0" borderId="32">
      <alignment horizontal="left" vertical="center"/>
    </xf>
    <xf numFmtId="0" fontId="26" fillId="0" borderId="32">
      <alignment horizontal="left" vertical="center"/>
    </xf>
    <xf numFmtId="0" fontId="110" fillId="77" borderId="161" applyNumberFormat="0" applyAlignment="0" applyProtection="0"/>
    <xf numFmtId="0" fontId="18" fillId="54" borderId="142" applyNumberFormat="0" applyProtection="0">
      <alignment horizontal="left" vertical="center" indent="1"/>
    </xf>
    <xf numFmtId="0" fontId="110" fillId="77" borderId="161" applyNumberFormat="0" applyAlignment="0" applyProtection="0"/>
    <xf numFmtId="0" fontId="110" fillId="77" borderId="161" applyNumberFormat="0" applyAlignment="0" applyProtection="0"/>
    <xf numFmtId="4" fontId="47" fillId="0" borderId="142" applyNumberFormat="0" applyProtection="0">
      <alignment horizontal="left" vertical="center" indent="1"/>
    </xf>
    <xf numFmtId="0" fontId="110" fillId="77" borderId="161" applyNumberFormat="0" applyAlignment="0" applyProtection="0"/>
    <xf numFmtId="0" fontId="102" fillId="79" borderId="161" applyNumberFormat="0" applyAlignment="0" applyProtection="0"/>
    <xf numFmtId="0" fontId="110" fillId="77" borderId="161" applyNumberFormat="0" applyAlignment="0" applyProtection="0"/>
    <xf numFmtId="0" fontId="63" fillId="59" borderId="165" applyNumberFormat="0" applyFont="0" applyFill="0" applyAlignment="0" applyProtection="0">
      <protection locked="0"/>
    </xf>
    <xf numFmtId="0" fontId="18" fillId="54" borderId="142" applyNumberFormat="0" applyProtection="0">
      <alignment horizontal="left" vertical="top" indent="1"/>
    </xf>
    <xf numFmtId="0" fontId="102" fillId="79" borderId="161" applyNumberFormat="0" applyAlignment="0" applyProtection="0"/>
    <xf numFmtId="4" fontId="47" fillId="0" borderId="142" applyNumberFormat="0" applyProtection="0">
      <alignment horizontal="right" vertical="center"/>
    </xf>
    <xf numFmtId="4" fontId="47" fillId="0" borderId="142" applyNumberFormat="0" applyProtection="0">
      <alignment horizontal="left" vertical="center" indent="1"/>
    </xf>
    <xf numFmtId="0" fontId="18" fillId="34" borderId="142" applyNumberFormat="0" applyProtection="0">
      <alignment horizontal="left" vertical="center" indent="1"/>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4" fontId="47" fillId="0" borderId="142" applyNumberFormat="0" applyProtection="0">
      <alignment horizontal="left" vertical="center"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47" fillId="34" borderId="142" applyNumberFormat="0" applyProtection="0">
      <alignment horizontal="left" vertical="top"/>
    </xf>
    <xf numFmtId="0" fontId="18" fillId="54" borderId="142" applyNumberFormat="0" applyProtection="0">
      <alignment horizontal="left" vertical="top" indent="1"/>
    </xf>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63" fillId="59" borderId="165" applyNumberFormat="0" applyFont="0" applyFill="0" applyAlignment="0" applyProtection="0">
      <protection locked="0"/>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4" fontId="51" fillId="49" borderId="142" applyNumberFormat="0" applyProtection="0">
      <alignment horizontal="right" vertical="center"/>
    </xf>
    <xf numFmtId="0" fontId="18" fillId="54" borderId="142" applyNumberFormat="0" applyProtection="0">
      <alignment horizontal="left" vertical="center"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47" fillId="35" borderId="142" applyNumberFormat="0" applyProtection="0">
      <alignment horizontal="left" vertical="top" indent="1"/>
    </xf>
    <xf numFmtId="0" fontId="18" fillId="34" borderId="142" applyNumberFormat="0" applyProtection="0">
      <alignment horizontal="left" vertical="top" indent="1"/>
    </xf>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8" fillId="0" borderId="167" applyNumberFormat="0" applyFill="0" applyAlignment="0" applyProtection="0"/>
    <xf numFmtId="0" fontId="18" fillId="0" borderId="167" applyNumberFormat="0" applyFill="0" applyAlignment="0" applyProtection="0"/>
    <xf numFmtId="0" fontId="26" fillId="0" borderId="150">
      <alignment horizontal="left" vertical="center"/>
    </xf>
    <xf numFmtId="0" fontId="21" fillId="35" borderId="168" applyNumberFormat="0" applyFont="0" applyAlignment="0" applyProtection="0">
      <alignment horizontal="center"/>
      <protection locked="0"/>
    </xf>
    <xf numFmtId="0" fontId="21" fillId="35" borderId="168" applyNumberFormat="0" applyFont="0" applyAlignment="0" applyProtection="0">
      <alignment horizontal="center"/>
      <protection locked="0"/>
    </xf>
    <xf numFmtId="0" fontId="21" fillId="35" borderId="168" applyNumberFormat="0" applyFont="0" applyAlignment="0" applyProtection="0">
      <alignment horizontal="center"/>
      <protection locked="0"/>
    </xf>
    <xf numFmtId="0" fontId="21" fillId="35" borderId="168" applyNumberFormat="0" applyFont="0" applyAlignment="0" applyProtection="0">
      <alignment horizontal="center"/>
      <protection locked="0"/>
    </xf>
    <xf numFmtId="176" fontId="18" fillId="0" borderId="169">
      <alignment horizontal="justify" vertical="top" wrapText="1"/>
    </xf>
    <xf numFmtId="0" fontId="35" fillId="0" borderId="170"/>
    <xf numFmtId="0" fontId="151" fillId="0" borderId="0"/>
    <xf numFmtId="0" fontId="159" fillId="0" borderId="0" applyNumberFormat="0" applyFill="0" applyBorder="0" applyAlignment="0" applyProtection="0"/>
    <xf numFmtId="0" fontId="17" fillId="0" borderId="0"/>
    <xf numFmtId="0" fontId="161" fillId="0" borderId="0" applyNumberFormat="0" applyFill="0" applyAlignment="0" applyProtection="0"/>
    <xf numFmtId="0" fontId="162" fillId="0" borderId="0" applyNumberFormat="0" applyFill="0" applyBorder="0" applyAlignment="0" applyProtection="0">
      <alignment vertical="top"/>
      <protection locked="0"/>
    </xf>
    <xf numFmtId="0" fontId="161" fillId="0" borderId="0" applyNumberFormat="0" applyFill="0" applyProtection="0">
      <alignment vertical="top"/>
    </xf>
    <xf numFmtId="0" fontId="1" fillId="0" borderId="0" applyNumberFormat="0" applyFill="0" applyProtection="0">
      <alignment horizontal="right" indent="1"/>
    </xf>
    <xf numFmtId="206" fontId="1" fillId="0" borderId="181">
      <alignment horizontal="center" vertical="center"/>
    </xf>
    <xf numFmtId="0" fontId="1" fillId="0" borderId="182" applyFill="0">
      <alignment horizontal="center" vertical="center"/>
    </xf>
    <xf numFmtId="0" fontId="1" fillId="0" borderId="182" applyFill="0">
      <alignment horizontal="left" vertical="center" indent="2"/>
    </xf>
    <xf numFmtId="207" fontId="1" fillId="0" borderId="182" applyFill="0">
      <alignment horizontal="center" vertical="center"/>
    </xf>
    <xf numFmtId="0" fontId="57" fillId="0" borderId="0"/>
    <xf numFmtId="0" fontId="177" fillId="0" borderId="0" applyNumberFormat="0" applyFill="0" applyBorder="0" applyAlignment="0" applyProtection="0"/>
    <xf numFmtId="0" fontId="1" fillId="10" borderId="0" applyNumberFormat="0" applyBorder="0" applyAlignment="0" applyProtection="0"/>
    <xf numFmtId="0" fontId="32" fillId="0" borderId="0"/>
    <xf numFmtId="0" fontId="181" fillId="0" borderId="0"/>
    <xf numFmtId="190" fontId="182" fillId="59" borderId="0">
      <alignment horizontal="left" vertical="center"/>
    </xf>
    <xf numFmtId="0" fontId="20" fillId="59" borderId="0">
      <alignment horizontal="left" wrapText="1"/>
    </xf>
    <xf numFmtId="0" fontId="20" fillId="59" borderId="204" applyNumberFormat="0">
      <alignment horizontal="center" vertical="center" wrapText="1"/>
    </xf>
    <xf numFmtId="42" fontId="18" fillId="59" borderId="0"/>
    <xf numFmtId="42" fontId="18" fillId="59" borderId="80">
      <alignment vertical="center"/>
    </xf>
    <xf numFmtId="42" fontId="18" fillId="59" borderId="205">
      <alignment horizontal="left"/>
    </xf>
    <xf numFmtId="0" fontId="183" fillId="0" borderId="0">
      <alignment horizontal="left" vertical="center"/>
    </xf>
    <xf numFmtId="41" fontId="18" fillId="59" borderId="0"/>
    <xf numFmtId="221" fontId="18" fillId="59" borderId="0"/>
    <xf numFmtId="0" fontId="18" fillId="0" borderId="0"/>
    <xf numFmtId="0" fontId="18" fillId="0" borderId="0"/>
    <xf numFmtId="0" fontId="192" fillId="0" borderId="0"/>
    <xf numFmtId="43" fontId="192" fillId="0" borderId="0" applyFont="0" applyFill="0" applyBorder="0" applyAlignment="0" applyProtection="0"/>
    <xf numFmtId="44" fontId="192" fillId="0" borderId="0" applyFont="0" applyFill="0" applyBorder="0" applyAlignment="0" applyProtection="0"/>
    <xf numFmtId="9" fontId="192" fillId="0" borderId="0" applyFont="0" applyFill="0" applyBorder="0" applyAlignment="0" applyProtection="0"/>
  </cellStyleXfs>
  <cellXfs count="1960">
    <xf numFmtId="0" fontId="0" fillId="0" borderId="0" xfId="0"/>
    <xf numFmtId="0" fontId="0" fillId="0" borderId="0" xfId="0" applyBorder="1"/>
    <xf numFmtId="0" fontId="121" fillId="0" borderId="0" xfId="24690" applyFont="1" applyFill="1" applyBorder="1" applyAlignment="1"/>
    <xf numFmtId="0" fontId="122" fillId="0" borderId="0" xfId="0" applyFont="1"/>
    <xf numFmtId="49" fontId="121" fillId="0" borderId="0" xfId="24690" applyNumberFormat="1" applyFont="1" applyFill="1" applyBorder="1" applyAlignment="1"/>
    <xf numFmtId="0" fontId="122" fillId="0" borderId="0" xfId="0" applyFont="1" applyAlignment="1">
      <alignment horizontal="center"/>
    </xf>
    <xf numFmtId="0" fontId="122" fillId="0" borderId="0" xfId="0" applyFont="1" applyAlignment="1">
      <alignment vertical="center" wrapText="1"/>
    </xf>
    <xf numFmtId="0" fontId="122" fillId="0" borderId="0" xfId="0" applyFont="1" applyAlignment="1">
      <alignment wrapText="1"/>
    </xf>
    <xf numFmtId="0" fontId="122" fillId="0" borderId="0" xfId="0" applyFont="1" applyFill="1" applyAlignment="1">
      <alignment vertical="center" wrapText="1"/>
    </xf>
    <xf numFmtId="0" fontId="123" fillId="0" borderId="0" xfId="0" applyFont="1" applyAlignment="1">
      <alignment horizontal="center"/>
    </xf>
    <xf numFmtId="0" fontId="122" fillId="0" borderId="0" xfId="0" applyFont="1" applyAlignment="1">
      <alignment horizontal="center" vertical="center"/>
    </xf>
    <xf numFmtId="49" fontId="121" fillId="0" borderId="0" xfId="24690" applyNumberFormat="1" applyFont="1" applyFill="1" applyBorder="1" applyAlignment="1">
      <alignment horizontal="center"/>
    </xf>
    <xf numFmtId="0" fontId="122" fillId="0" borderId="0" xfId="0" applyFont="1" applyBorder="1" applyAlignment="1">
      <alignment horizontal="center"/>
    </xf>
    <xf numFmtId="0" fontId="122" fillId="0" borderId="0" xfId="0" applyFont="1" applyBorder="1"/>
    <xf numFmtId="0" fontId="122" fillId="0" borderId="0" xfId="0" applyFont="1" applyFill="1"/>
    <xf numFmtId="0" fontId="122" fillId="0" borderId="0" xfId="0" applyFont="1" applyFill="1" applyAlignment="1">
      <alignment horizontal="center"/>
    </xf>
    <xf numFmtId="0" fontId="124" fillId="0" borderId="0" xfId="0" applyFont="1" applyAlignment="1">
      <alignment horizontal="center"/>
    </xf>
    <xf numFmtId="0" fontId="122" fillId="0" borderId="0" xfId="0" applyFont="1" applyAlignment="1"/>
    <xf numFmtId="0" fontId="121" fillId="0" borderId="0" xfId="24690" applyFont="1" applyFill="1" applyBorder="1" applyAlignment="1">
      <alignment horizontal="center"/>
    </xf>
    <xf numFmtId="0" fontId="121" fillId="0" borderId="0" xfId="1" applyFont="1" applyBorder="1"/>
    <xf numFmtId="0" fontId="32" fillId="0" borderId="0" xfId="1" applyFont="1" applyBorder="1"/>
    <xf numFmtId="0" fontId="32" fillId="0" borderId="0" xfId="1" applyFont="1"/>
    <xf numFmtId="0" fontId="32" fillId="0" borderId="33" xfId="1" applyFont="1" applyBorder="1"/>
    <xf numFmtId="0" fontId="32" fillId="0" borderId="34" xfId="1" applyFont="1" applyBorder="1"/>
    <xf numFmtId="0" fontId="32" fillId="0" borderId="11" xfId="1" applyFont="1" applyBorder="1"/>
    <xf numFmtId="0" fontId="32" fillId="0" borderId="0" xfId="1" applyFont="1" applyBorder="1" applyAlignment="1">
      <alignment horizontal="center"/>
    </xf>
    <xf numFmtId="0" fontId="32" fillId="0" borderId="11" xfId="1" applyFont="1" applyBorder="1" applyAlignment="1"/>
    <xf numFmtId="0" fontId="32" fillId="0" borderId="0" xfId="1" applyFont="1" applyBorder="1" applyAlignment="1"/>
    <xf numFmtId="0" fontId="32" fillId="0" borderId="0" xfId="1" quotePrefix="1" applyFont="1" applyBorder="1" applyAlignment="1">
      <alignment horizontal="center"/>
    </xf>
    <xf numFmtId="0" fontId="32" fillId="0" borderId="11" xfId="1" quotePrefix="1" applyFont="1" applyBorder="1" applyAlignment="1">
      <alignment horizontal="center"/>
    </xf>
    <xf numFmtId="0" fontId="32" fillId="0" borderId="11" xfId="1" applyFont="1" applyBorder="1" applyAlignment="1">
      <alignment horizontal="center"/>
    </xf>
    <xf numFmtId="49" fontId="32" fillId="0" borderId="0" xfId="1" applyNumberFormat="1" applyFont="1" applyBorder="1" applyAlignment="1">
      <alignment horizontal="center"/>
    </xf>
    <xf numFmtId="49" fontId="32" fillId="0" borderId="11" xfId="1" applyNumberFormat="1" applyFont="1" applyBorder="1" applyAlignment="1">
      <alignment horizontal="center"/>
    </xf>
    <xf numFmtId="0" fontId="32" fillId="0" borderId="0" xfId="1" applyFont="1" applyFill="1" applyBorder="1" applyProtection="1"/>
    <xf numFmtId="0" fontId="32" fillId="0" borderId="11" xfId="1" applyFont="1" applyFill="1" applyBorder="1"/>
    <xf numFmtId="38" fontId="32" fillId="0" borderId="11" xfId="1" applyNumberFormat="1" applyFont="1" applyBorder="1"/>
    <xf numFmtId="38" fontId="32" fillId="0" borderId="0" xfId="2" applyNumberFormat="1" applyFont="1" applyBorder="1"/>
    <xf numFmtId="38" fontId="32" fillId="0" borderId="0" xfId="2" applyNumberFormat="1" applyFont="1" applyFill="1" applyBorder="1" applyProtection="1"/>
    <xf numFmtId="0" fontId="32" fillId="0" borderId="0" xfId="1" applyFont="1" applyFill="1" applyBorder="1"/>
    <xf numFmtId="0" fontId="121" fillId="0" borderId="0" xfId="1" applyFont="1" applyFill="1" applyBorder="1" applyProtection="1"/>
    <xf numFmtId="38" fontId="32" fillId="0" borderId="11" xfId="2" applyNumberFormat="1" applyFont="1" applyFill="1" applyBorder="1" applyProtection="1"/>
    <xf numFmtId="0" fontId="32" fillId="0" borderId="0" xfId="24545" applyFont="1" applyFill="1" applyBorder="1" applyAlignment="1">
      <alignment horizontal="left" indent="1"/>
    </xf>
    <xf numFmtId="38" fontId="122" fillId="0" borderId="0" xfId="0" applyNumberFormat="1" applyFont="1"/>
    <xf numFmtId="43" fontId="122" fillId="0" borderId="0" xfId="0" applyNumberFormat="1" applyFont="1"/>
    <xf numFmtId="38" fontId="32" fillId="0" borderId="0" xfId="2" applyNumberFormat="1" applyFont="1" applyFill="1" applyBorder="1"/>
    <xf numFmtId="0" fontId="121" fillId="0" borderId="0" xfId="1" applyFont="1" applyFill="1" applyBorder="1"/>
    <xf numFmtId="0" fontId="122" fillId="0" borderId="0" xfId="0" applyFont="1" applyFill="1" applyBorder="1"/>
    <xf numFmtId="38" fontId="32" fillId="0" borderId="11" xfId="2" applyNumberFormat="1" applyFont="1" applyBorder="1"/>
    <xf numFmtId="10" fontId="32" fillId="0" borderId="11" xfId="4" applyNumberFormat="1" applyFont="1" applyFill="1" applyBorder="1"/>
    <xf numFmtId="5" fontId="122" fillId="0" borderId="0" xfId="0" applyNumberFormat="1" applyFont="1"/>
    <xf numFmtId="0" fontId="32" fillId="0" borderId="0" xfId="25455" applyFont="1"/>
    <xf numFmtId="0" fontId="32" fillId="0" borderId="0" xfId="25455" applyFont="1" applyFill="1" applyBorder="1"/>
    <xf numFmtId="10" fontId="122" fillId="0" borderId="55" xfId="0" applyNumberFormat="1" applyFont="1" applyFill="1" applyBorder="1"/>
    <xf numFmtId="0" fontId="32" fillId="0" borderId="35" xfId="25276" applyFont="1" applyBorder="1"/>
    <xf numFmtId="0" fontId="32" fillId="0" borderId="0" xfId="25276" applyFont="1" applyBorder="1"/>
    <xf numFmtId="184" fontId="32" fillId="0" borderId="11" xfId="25276" applyNumberFormat="1" applyFont="1" applyFill="1" applyBorder="1"/>
    <xf numFmtId="0" fontId="32" fillId="0" borderId="35" xfId="25276" quotePrefix="1" applyFont="1" applyBorder="1" applyAlignment="1">
      <alignment horizontal="left" indent="1"/>
    </xf>
    <xf numFmtId="0" fontId="32" fillId="0" borderId="35" xfId="25276" quotePrefix="1" applyFont="1" applyBorder="1" applyAlignment="1">
      <alignment horizontal="left" indent="2"/>
    </xf>
    <xf numFmtId="184" fontId="122" fillId="0" borderId="0" xfId="0" applyNumberFormat="1" applyFont="1"/>
    <xf numFmtId="184" fontId="32" fillId="0" borderId="13" xfId="25276" applyNumberFormat="1" applyFont="1" applyFill="1" applyBorder="1"/>
    <xf numFmtId="184" fontId="32" fillId="0" borderId="52" xfId="25276" applyNumberFormat="1" applyFont="1" applyFill="1" applyBorder="1"/>
    <xf numFmtId="0" fontId="32" fillId="0" borderId="35" xfId="25276" applyFont="1" applyBorder="1" applyAlignment="1">
      <alignment horizontal="left" indent="1"/>
    </xf>
    <xf numFmtId="184" fontId="32" fillId="0" borderId="21" xfId="25276" applyNumberFormat="1" applyFont="1" applyFill="1" applyBorder="1"/>
    <xf numFmtId="184" fontId="121" fillId="0" borderId="51" xfId="25276" applyNumberFormat="1" applyFont="1" applyFill="1" applyBorder="1"/>
    <xf numFmtId="0" fontId="32" fillId="0" borderId="0" xfId="0" applyFont="1" applyBorder="1"/>
    <xf numFmtId="187" fontId="32" fillId="0" borderId="11" xfId="0" applyNumberFormat="1" applyFont="1" applyFill="1" applyBorder="1" applyProtection="1"/>
    <xf numFmtId="0" fontId="32" fillId="0" borderId="35" xfId="0" applyFont="1" applyBorder="1"/>
    <xf numFmtId="0" fontId="32" fillId="0" borderId="11" xfId="0" applyFont="1" applyFill="1" applyBorder="1"/>
    <xf numFmtId="0" fontId="32" fillId="0" borderId="54" xfId="0" applyFont="1" applyBorder="1" applyAlignment="1" applyProtection="1">
      <alignment horizontal="left"/>
    </xf>
    <xf numFmtId="0" fontId="32" fillId="0" borderId="55" xfId="0" applyFont="1" applyBorder="1"/>
    <xf numFmtId="0" fontId="32" fillId="0" borderId="56" xfId="0" applyFont="1" applyFill="1" applyBorder="1"/>
    <xf numFmtId="0" fontId="127" fillId="0" borderId="0" xfId="0" applyFont="1"/>
    <xf numFmtId="37" fontId="32" fillId="0" borderId="0" xfId="25455" applyNumberFormat="1" applyFont="1"/>
    <xf numFmtId="37" fontId="122" fillId="0" borderId="0" xfId="0" applyNumberFormat="1" applyFont="1"/>
    <xf numFmtId="0" fontId="32" fillId="0" borderId="0" xfId="25455" quotePrefix="1" applyFont="1" applyFill="1" applyBorder="1" applyAlignment="1"/>
    <xf numFmtId="0" fontId="32" fillId="88" borderId="0" xfId="25455" quotePrefix="1" applyFont="1" applyFill="1" applyAlignment="1"/>
    <xf numFmtId="0" fontId="32" fillId="0" borderId="0" xfId="25455" applyFont="1" applyBorder="1" applyAlignment="1">
      <alignment horizontal="center"/>
    </xf>
    <xf numFmtId="0" fontId="32" fillId="0" borderId="11" xfId="25455" applyFont="1" applyBorder="1"/>
    <xf numFmtId="0" fontId="32" fillId="0" borderId="77" xfId="25455" applyFont="1" applyBorder="1"/>
    <xf numFmtId="164" fontId="32" fillId="0" borderId="76" xfId="25455" applyNumberFormat="1" applyFont="1" applyBorder="1" applyAlignment="1"/>
    <xf numFmtId="0" fontId="32" fillId="0" borderId="78" xfId="25455" applyFont="1" applyBorder="1"/>
    <xf numFmtId="0" fontId="32" fillId="0" borderId="0" xfId="25455" applyFont="1" applyBorder="1"/>
    <xf numFmtId="0" fontId="32" fillId="0" borderId="75" xfId="25455" applyFont="1" applyFill="1" applyBorder="1" applyAlignment="1">
      <alignment horizontal="center"/>
    </xf>
    <xf numFmtId="0" fontId="32" fillId="0" borderId="35" xfId="25455" applyFont="1" applyBorder="1"/>
    <xf numFmtId="165" fontId="32" fillId="0" borderId="0" xfId="25455" applyNumberFormat="1" applyFont="1" applyBorder="1" applyAlignment="1"/>
    <xf numFmtId="0" fontId="32" fillId="0" borderId="11" xfId="25455" applyFont="1" applyFill="1" applyBorder="1" applyAlignment="1">
      <alignment horizontal="center"/>
    </xf>
    <xf numFmtId="0" fontId="32" fillId="0" borderId="15" xfId="25455" applyFont="1" applyFill="1" applyBorder="1" applyAlignment="1">
      <alignment horizontal="center"/>
    </xf>
    <xf numFmtId="0" fontId="32" fillId="0" borderId="15" xfId="25455" applyFont="1" applyBorder="1" applyAlignment="1">
      <alignment horizontal="center"/>
    </xf>
    <xf numFmtId="0" fontId="32" fillId="0" borderId="54" xfId="25455" applyFont="1" applyBorder="1"/>
    <xf numFmtId="0" fontId="121" fillId="0" borderId="55" xfId="25455" quotePrefix="1" applyFont="1" applyBorder="1"/>
    <xf numFmtId="0" fontId="32" fillId="0" borderId="56" xfId="25455" applyFont="1" applyBorder="1"/>
    <xf numFmtId="49" fontId="32" fillId="0" borderId="16" xfId="25455" applyNumberFormat="1" applyFont="1" applyFill="1" applyBorder="1" applyAlignment="1">
      <alignment horizontal="center"/>
    </xf>
    <xf numFmtId="0" fontId="32" fillId="0" borderId="55" xfId="25455" applyFont="1" applyBorder="1"/>
    <xf numFmtId="0" fontId="32" fillId="0" borderId="16" xfId="25455" applyFont="1" applyBorder="1"/>
    <xf numFmtId="0" fontId="32" fillId="0" borderId="85" xfId="25455" applyFont="1" applyFill="1" applyBorder="1"/>
    <xf numFmtId="0" fontId="32" fillId="0" borderId="14" xfId="25455" applyFont="1" applyBorder="1"/>
    <xf numFmtId="0" fontId="32" fillId="0" borderId="11" xfId="25455" applyFont="1" applyFill="1" applyBorder="1"/>
    <xf numFmtId="0" fontId="32" fillId="0" borderId="0" xfId="25455" applyFont="1" applyFill="1"/>
    <xf numFmtId="5" fontId="32" fillId="0" borderId="14" xfId="25457" applyNumberFormat="1" applyFont="1" applyFill="1" applyBorder="1">
      <alignment horizontal="right"/>
    </xf>
    <xf numFmtId="37" fontId="32" fillId="0" borderId="16" xfId="25456" applyNumberFormat="1" applyFont="1" applyFill="1" applyBorder="1"/>
    <xf numFmtId="37" fontId="32" fillId="0" borderId="14" xfId="25456" applyNumberFormat="1" applyFont="1" applyFill="1" applyBorder="1"/>
    <xf numFmtId="0" fontId="121" fillId="0" borderId="0" xfId="25455" applyFont="1" applyBorder="1"/>
    <xf numFmtId="0" fontId="121" fillId="0" borderId="11" xfId="25455" applyFont="1" applyBorder="1"/>
    <xf numFmtId="0" fontId="121" fillId="0" borderId="0" xfId="25455" applyFont="1"/>
    <xf numFmtId="5" fontId="121" fillId="0" borderId="51" xfId="25457" applyNumberFormat="1" applyFont="1" applyFill="1" applyBorder="1">
      <alignment horizontal="right"/>
    </xf>
    <xf numFmtId="5" fontId="121" fillId="0" borderId="75" xfId="25457" applyNumberFormat="1" applyFont="1" applyFill="1" applyBorder="1">
      <alignment horizontal="right"/>
    </xf>
    <xf numFmtId="5" fontId="121" fillId="0" borderId="64" xfId="25457" applyNumberFormat="1" applyFont="1" applyFill="1" applyBorder="1">
      <alignment horizontal="right"/>
    </xf>
    <xf numFmtId="5" fontId="121" fillId="0" borderId="35" xfId="25457" applyNumberFormat="1" applyFont="1" applyFill="1" applyBorder="1">
      <alignment horizontal="right"/>
    </xf>
    <xf numFmtId="166" fontId="32" fillId="0" borderId="16" xfId="25456" applyNumberFormat="1" applyFont="1" applyFill="1" applyBorder="1"/>
    <xf numFmtId="5" fontId="32" fillId="0" borderId="51" xfId="25456" applyNumberFormat="1" applyFont="1" applyFill="1" applyBorder="1"/>
    <xf numFmtId="0" fontId="121" fillId="0" borderId="0" xfId="25455" applyFont="1" applyFill="1" applyBorder="1"/>
    <xf numFmtId="182" fontId="121" fillId="0" borderId="51" xfId="25457" applyNumberFormat="1" applyFont="1" applyFill="1" applyBorder="1">
      <alignment horizontal="right"/>
    </xf>
    <xf numFmtId="0" fontId="121" fillId="0" borderId="0" xfId="25455" applyFont="1" applyFill="1"/>
    <xf numFmtId="0" fontId="121" fillId="0" borderId="55" xfId="25455" applyFont="1" applyBorder="1"/>
    <xf numFmtId="0" fontId="121" fillId="0" borderId="56" xfId="25455" applyFont="1" applyBorder="1"/>
    <xf numFmtId="5" fontId="121" fillId="0" borderId="16" xfId="25455" applyNumberFormat="1" applyFont="1" applyFill="1" applyBorder="1"/>
    <xf numFmtId="5" fontId="121" fillId="0" borderId="0" xfId="25455" applyNumberFormat="1" applyFont="1" applyFill="1"/>
    <xf numFmtId="6" fontId="32" fillId="0" borderId="0" xfId="25455" applyNumberFormat="1" applyFont="1"/>
    <xf numFmtId="6" fontId="122" fillId="0" borderId="0" xfId="0" applyNumberFormat="1" applyFont="1"/>
    <xf numFmtId="6" fontId="32" fillId="0" borderId="0" xfId="25455" applyNumberFormat="1" applyFont="1" applyFill="1" applyBorder="1"/>
    <xf numFmtId="37" fontId="32" fillId="0" borderId="0" xfId="25455" applyNumberFormat="1" applyFont="1" applyFill="1" applyBorder="1"/>
    <xf numFmtId="2" fontId="32" fillId="0" borderId="0" xfId="25455" applyNumberFormat="1" applyFont="1" applyFill="1" applyBorder="1"/>
    <xf numFmtId="43" fontId="32" fillId="0" borderId="0" xfId="25455" applyNumberFormat="1" applyFont="1" applyFill="1" applyBorder="1"/>
    <xf numFmtId="37" fontId="32" fillId="0" borderId="0" xfId="25455" applyNumberFormat="1" applyFont="1" applyFill="1" applyBorder="1" applyAlignment="1">
      <alignment wrapText="1"/>
    </xf>
    <xf numFmtId="43" fontId="32" fillId="0" borderId="0" xfId="25742" applyFont="1" applyFill="1"/>
    <xf numFmtId="39" fontId="32" fillId="0" borderId="0" xfId="25794" applyNumberFormat="1" applyFont="1" applyFill="1"/>
    <xf numFmtId="0" fontId="32" fillId="0" borderId="0" xfId="25794" applyFont="1" applyFill="1"/>
    <xf numFmtId="43" fontId="32" fillId="0" borderId="0" xfId="25742" applyFont="1" applyFill="1" applyBorder="1"/>
    <xf numFmtId="43" fontId="32" fillId="0" borderId="96" xfId="25742" applyFont="1" applyFill="1" applyBorder="1"/>
    <xf numFmtId="43" fontId="32" fillId="0" borderId="76" xfId="25742" applyFont="1" applyFill="1" applyBorder="1"/>
    <xf numFmtId="43" fontId="32" fillId="0" borderId="75" xfId="25455" applyNumberFormat="1" applyFont="1" applyFill="1" applyBorder="1" applyAlignment="1">
      <alignment horizontal="center"/>
    </xf>
    <xf numFmtId="43" fontId="32" fillId="0" borderId="75" xfId="25745" applyNumberFormat="1" applyFont="1" applyFill="1" applyBorder="1" applyAlignment="1">
      <alignment horizontal="center"/>
    </xf>
    <xf numFmtId="0" fontId="32" fillId="0" borderId="0" xfId="25455" applyFont="1" applyFill="1" applyBorder="1" applyAlignment="1">
      <alignment horizontal="center"/>
    </xf>
    <xf numFmtId="0" fontId="124" fillId="0" borderId="0" xfId="0" applyFont="1" applyFill="1" applyBorder="1" applyAlignment="1">
      <alignment horizontal="center"/>
    </xf>
    <xf numFmtId="43" fontId="32" fillId="0" borderId="15" xfId="25455" applyNumberFormat="1" applyFont="1" applyFill="1" applyBorder="1" applyAlignment="1">
      <alignment horizontal="center"/>
    </xf>
    <xf numFmtId="43" fontId="32" fillId="0" borderId="15" xfId="25745" applyNumberFormat="1" applyFont="1" applyFill="1" applyBorder="1" applyAlignment="1">
      <alignment horizontal="center"/>
    </xf>
    <xf numFmtId="4" fontId="122" fillId="0" borderId="0" xfId="0" applyNumberFormat="1" applyFont="1"/>
    <xf numFmtId="8" fontId="122" fillId="0" borderId="0" xfId="0" applyNumberFormat="1" applyFont="1"/>
    <xf numFmtId="39" fontId="32" fillId="0" borderId="35" xfId="25743" applyFont="1" applyFill="1" applyBorder="1"/>
    <xf numFmtId="39" fontId="32" fillId="0" borderId="11" xfId="25743" applyFont="1" applyFill="1" applyBorder="1"/>
    <xf numFmtId="39" fontId="32" fillId="0" borderId="35" xfId="25743" applyFont="1" applyFill="1" applyBorder="1" applyAlignment="1" applyProtection="1">
      <alignment horizontal="center"/>
    </xf>
    <xf numFmtId="39" fontId="32" fillId="0" borderId="11" xfId="25743" applyFont="1" applyFill="1" applyBorder="1" applyAlignment="1" applyProtection="1">
      <alignment horizontal="left"/>
    </xf>
    <xf numFmtId="39" fontId="121" fillId="0" borderId="35" xfId="25743" applyFont="1" applyFill="1" applyBorder="1" applyAlignment="1" applyProtection="1">
      <alignment horizontal="left"/>
    </xf>
    <xf numFmtId="6" fontId="122" fillId="0" borderId="0" xfId="0" applyNumberFormat="1" applyFont="1" applyFill="1"/>
    <xf numFmtId="43" fontId="128" fillId="0" borderId="80" xfId="0" applyNumberFormat="1" applyFont="1" applyFill="1" applyBorder="1"/>
    <xf numFmtId="49" fontId="122" fillId="0" borderId="91" xfId="0" applyNumberFormat="1" applyFont="1" applyBorder="1" applyAlignment="1">
      <alignment horizontal="center"/>
    </xf>
    <xf numFmtId="49" fontId="122" fillId="0" borderId="92" xfId="0" applyNumberFormat="1" applyFont="1" applyBorder="1" applyAlignment="1">
      <alignment horizontal="center"/>
    </xf>
    <xf numFmtId="49" fontId="122" fillId="0" borderId="93" xfId="0" applyNumberFormat="1" applyFont="1" applyBorder="1" applyAlignment="1">
      <alignment horizontal="center"/>
    </xf>
    <xf numFmtId="49" fontId="122" fillId="0" borderId="0" xfId="0" applyNumberFormat="1" applyFont="1" applyFill="1" applyBorder="1" applyAlignment="1">
      <alignment horizontal="center"/>
    </xf>
    <xf numFmtId="49" fontId="122" fillId="0" borderId="88" xfId="0" applyNumberFormat="1" applyFont="1" applyBorder="1" applyAlignment="1">
      <alignment horizontal="center"/>
    </xf>
    <xf numFmtId="49" fontId="122" fillId="0" borderId="0" xfId="0" applyNumberFormat="1" applyFont="1" applyBorder="1" applyAlignment="1">
      <alignment horizontal="center"/>
    </xf>
    <xf numFmtId="49" fontId="122" fillId="0" borderId="89" xfId="0" applyNumberFormat="1" applyFont="1" applyBorder="1" applyAlignment="1">
      <alignment horizontal="center"/>
    </xf>
    <xf numFmtId="0" fontId="122" fillId="89" borderId="88" xfId="0" applyFont="1" applyFill="1" applyBorder="1"/>
    <xf numFmtId="0" fontId="122" fillId="89" borderId="0" xfId="0" applyFont="1" applyFill="1" applyBorder="1"/>
    <xf numFmtId="0" fontId="122" fillId="89" borderId="89" xfId="0" applyFont="1" applyFill="1" applyBorder="1"/>
    <xf numFmtId="0" fontId="122" fillId="0" borderId="88" xfId="0" applyFont="1" applyBorder="1"/>
    <xf numFmtId="0" fontId="122" fillId="0" borderId="88" xfId="0" applyFont="1" applyBorder="1" applyAlignment="1">
      <alignment wrapText="1"/>
    </xf>
    <xf numFmtId="0" fontId="124" fillId="0" borderId="85" xfId="0" applyFont="1" applyBorder="1" applyAlignment="1">
      <alignment horizontal="center" wrapText="1"/>
    </xf>
    <xf numFmtId="0" fontId="124" fillId="0" borderId="100" xfId="0" applyFont="1" applyBorder="1" applyAlignment="1">
      <alignment horizontal="center" wrapText="1"/>
    </xf>
    <xf numFmtId="0" fontId="122" fillId="0" borderId="0" xfId="0" applyFont="1" applyBorder="1" applyAlignment="1">
      <alignment wrapText="1"/>
    </xf>
    <xf numFmtId="0" fontId="122" fillId="0" borderId="89" xfId="0" applyFont="1" applyBorder="1" applyAlignment="1">
      <alignment wrapText="1"/>
    </xf>
    <xf numFmtId="166" fontId="122" fillId="0" borderId="88" xfId="25742" applyNumberFormat="1" applyFont="1" applyBorder="1"/>
    <xf numFmtId="166" fontId="122" fillId="0" borderId="0" xfId="25742" applyNumberFormat="1" applyFont="1" applyBorder="1"/>
    <xf numFmtId="166" fontId="122" fillId="0" borderId="89" xfId="25742" applyNumberFormat="1" applyFont="1" applyBorder="1"/>
    <xf numFmtId="166" fontId="122" fillId="0" borderId="0" xfId="25742" applyNumberFormat="1" applyFont="1" applyFill="1" applyBorder="1"/>
    <xf numFmtId="166" fontId="122" fillId="91" borderId="88" xfId="25742" applyNumberFormat="1" applyFont="1" applyFill="1" applyBorder="1"/>
    <xf numFmtId="166" fontId="122" fillId="91" borderId="0" xfId="25742" applyNumberFormat="1" applyFont="1" applyFill="1" applyBorder="1"/>
    <xf numFmtId="166" fontId="122" fillId="91" borderId="89" xfId="25742" applyNumberFormat="1" applyFont="1" applyFill="1" applyBorder="1"/>
    <xf numFmtId="6" fontId="122" fillId="0" borderId="94" xfId="0" applyNumberFormat="1" applyFont="1" applyBorder="1"/>
    <xf numFmtId="166" fontId="124" fillId="0" borderId="101" xfId="25742" applyNumberFormat="1" applyFont="1" applyBorder="1"/>
    <xf numFmtId="166" fontId="124" fillId="0" borderId="80" xfId="25742" applyNumberFormat="1" applyFont="1" applyBorder="1"/>
    <xf numFmtId="166" fontId="124" fillId="0" borderId="102" xfId="25742" applyNumberFormat="1" applyFont="1" applyBorder="1"/>
    <xf numFmtId="6" fontId="122" fillId="0" borderId="103" xfId="0" applyNumberFormat="1" applyFont="1" applyBorder="1"/>
    <xf numFmtId="6" fontId="122" fillId="0" borderId="90" xfId="0" applyNumberFormat="1" applyFont="1" applyBorder="1"/>
    <xf numFmtId="41" fontId="122" fillId="0" borderId="0" xfId="0" applyNumberFormat="1" applyFont="1"/>
    <xf numFmtId="166" fontId="122" fillId="93" borderId="88" xfId="25742" applyNumberFormat="1" applyFont="1" applyFill="1" applyBorder="1"/>
    <xf numFmtId="166" fontId="122" fillId="93" borderId="0" xfId="25742" applyNumberFormat="1" applyFont="1" applyFill="1" applyBorder="1"/>
    <xf numFmtId="166" fontId="122" fillId="93" borderId="89" xfId="25742" applyNumberFormat="1" applyFont="1" applyFill="1" applyBorder="1"/>
    <xf numFmtId="0" fontId="122" fillId="93" borderId="88" xfId="0" applyFont="1" applyFill="1" applyBorder="1"/>
    <xf numFmtId="49" fontId="122" fillId="93" borderId="0" xfId="0" applyNumberFormat="1" applyFont="1" applyFill="1" applyBorder="1" applyAlignment="1">
      <alignment horizontal="center"/>
    </xf>
    <xf numFmtId="49" fontId="122" fillId="93" borderId="89" xfId="0" applyNumberFormat="1" applyFont="1" applyFill="1" applyBorder="1" applyAlignment="1">
      <alignment horizontal="center"/>
    </xf>
    <xf numFmtId="166" fontId="122" fillId="87" borderId="88" xfId="25742" applyNumberFormat="1" applyFont="1" applyFill="1" applyBorder="1"/>
    <xf numFmtId="166" fontId="122" fillId="87" borderId="89" xfId="25742" applyNumberFormat="1" applyFont="1" applyFill="1" applyBorder="1"/>
    <xf numFmtId="166" fontId="122" fillId="92" borderId="89" xfId="25742" applyNumberFormat="1" applyFont="1" applyFill="1" applyBorder="1"/>
    <xf numFmtId="3" fontId="122" fillId="0" borderId="0" xfId="0" applyNumberFormat="1" applyFont="1"/>
    <xf numFmtId="0" fontId="122" fillId="0" borderId="35" xfId="0" applyFont="1" applyBorder="1" applyAlignment="1">
      <alignment horizontal="center"/>
    </xf>
    <xf numFmtId="0" fontId="32" fillId="0" borderId="0" xfId="25295" applyFont="1"/>
    <xf numFmtId="0" fontId="32" fillId="0" borderId="0" xfId="25295" applyFont="1" applyFill="1" applyBorder="1"/>
    <xf numFmtId="164" fontId="32" fillId="0" borderId="0" xfId="25295" applyNumberFormat="1" applyFont="1" applyFill="1" applyBorder="1" applyAlignment="1"/>
    <xf numFmtId="0" fontId="121" fillId="0" borderId="0" xfId="25295" applyFont="1" applyFill="1" applyBorder="1" applyAlignment="1"/>
    <xf numFmtId="0" fontId="32" fillId="0" borderId="0" xfId="25295" applyFont="1" applyFill="1" applyBorder="1" applyAlignment="1"/>
    <xf numFmtId="49" fontId="32" fillId="0" borderId="0" xfId="25293" applyNumberFormat="1" applyFont="1" applyFill="1" applyBorder="1" applyAlignment="1"/>
    <xf numFmtId="0" fontId="32" fillId="0" borderId="0" xfId="25295" applyFont="1" applyFill="1"/>
    <xf numFmtId="0" fontId="121" fillId="0" borderId="0" xfId="25295" applyFont="1" applyAlignment="1">
      <alignment horizontal="center"/>
    </xf>
    <xf numFmtId="0" fontId="32" fillId="0" borderId="0" xfId="25295" applyFont="1" applyFill="1" applyAlignment="1">
      <alignment horizontal="center"/>
    </xf>
    <xf numFmtId="0" fontId="32" fillId="0" borderId="0" xfId="25295" applyFont="1" applyAlignment="1">
      <alignment horizontal="center"/>
    </xf>
    <xf numFmtId="0" fontId="126" fillId="0" borderId="0" xfId="25295" applyFont="1" applyFill="1" applyAlignment="1">
      <alignment horizontal="center"/>
    </xf>
    <xf numFmtId="0" fontId="123" fillId="0" borderId="77" xfId="0" applyFont="1" applyBorder="1" applyAlignment="1">
      <alignment horizontal="center"/>
    </xf>
    <xf numFmtId="0" fontId="121" fillId="33" borderId="76" xfId="25295" applyFont="1" applyFill="1" applyBorder="1"/>
    <xf numFmtId="0" fontId="32" fillId="0" borderId="61" xfId="25295" applyFont="1" applyBorder="1"/>
    <xf numFmtId="0" fontId="32" fillId="0" borderId="61" xfId="25295" applyFont="1" applyBorder="1" applyAlignment="1">
      <alignment horizontal="center"/>
    </xf>
    <xf numFmtId="0" fontId="32" fillId="0" borderId="78" xfId="25295" applyFont="1" applyBorder="1" applyAlignment="1">
      <alignment horizontal="center"/>
    </xf>
    <xf numFmtId="0" fontId="32" fillId="0" borderId="0" xfId="25295" applyFont="1" applyBorder="1"/>
    <xf numFmtId="0" fontId="32" fillId="0" borderId="11" xfId="25295" applyFont="1" applyBorder="1" applyAlignment="1">
      <alignment horizontal="center"/>
    </xf>
    <xf numFmtId="0" fontId="32" fillId="0" borderId="0" xfId="25295" applyFont="1" applyBorder="1" applyAlignment="1">
      <alignment horizontal="left"/>
    </xf>
    <xf numFmtId="10" fontId="32" fillId="86" borderId="0" xfId="25292" applyNumberFormat="1" applyFont="1" applyFill="1" applyBorder="1" applyAlignment="1">
      <alignment horizontal="center"/>
    </xf>
    <xf numFmtId="167" fontId="32" fillId="0" borderId="0" xfId="25292" applyNumberFormat="1" applyFont="1" applyBorder="1" applyAlignment="1">
      <alignment horizontal="center"/>
    </xf>
    <xf numFmtId="167" fontId="32" fillId="86" borderId="0" xfId="25292" applyNumberFormat="1" applyFont="1" applyFill="1" applyBorder="1" applyAlignment="1">
      <alignment horizontal="center"/>
    </xf>
    <xf numFmtId="167" fontId="32" fillId="0" borderId="0" xfId="25292" applyNumberFormat="1" applyFont="1" applyBorder="1"/>
    <xf numFmtId="167" fontId="32" fillId="0" borderId="0" xfId="25295" applyNumberFormat="1" applyFont="1" applyFill="1" applyBorder="1" applyAlignment="1">
      <alignment horizontal="center"/>
    </xf>
    <xf numFmtId="190" fontId="122" fillId="0" borderId="0" xfId="0" applyNumberFormat="1" applyFont="1"/>
    <xf numFmtId="10" fontId="32" fillId="0" borderId="19" xfId="25292" applyNumberFormat="1" applyFont="1" applyBorder="1" applyAlignment="1">
      <alignment horizontal="center"/>
    </xf>
    <xf numFmtId="0" fontId="32" fillId="0" borderId="54" xfId="25295" applyFont="1" applyBorder="1" applyAlignment="1">
      <alignment horizontal="center"/>
    </xf>
    <xf numFmtId="0" fontId="32" fillId="0" borderId="55" xfId="25295" applyFont="1" applyBorder="1"/>
    <xf numFmtId="0" fontId="32" fillId="0" borderId="56" xfId="25295" applyFont="1" applyBorder="1"/>
    <xf numFmtId="0" fontId="32" fillId="0" borderId="0" xfId="0" applyFont="1" applyFill="1" applyAlignment="1">
      <alignment horizontal="center"/>
    </xf>
    <xf numFmtId="0" fontId="32" fillId="0" borderId="0" xfId="0" applyFont="1" applyFill="1"/>
    <xf numFmtId="0" fontId="122" fillId="0" borderId="14" xfId="0" applyFont="1" applyFill="1" applyBorder="1"/>
    <xf numFmtId="0" fontId="122" fillId="0" borderId="0" xfId="0" applyFont="1" applyFill="1" applyBorder="1" applyAlignment="1">
      <alignment horizontal="center"/>
    </xf>
    <xf numFmtId="37" fontId="32" fillId="0" borderId="0" xfId="25741" applyFont="1"/>
    <xf numFmtId="0" fontId="127" fillId="0" borderId="0" xfId="0" applyFont="1" applyAlignment="1">
      <alignment horizontal="center"/>
    </xf>
    <xf numFmtId="37" fontId="32" fillId="0" borderId="0" xfId="25741" applyFont="1" applyAlignment="1">
      <alignment horizontal="center"/>
    </xf>
    <xf numFmtId="37" fontId="121" fillId="0" borderId="0" xfId="25741" applyFont="1" applyFill="1" applyAlignment="1">
      <alignment horizontal="center"/>
    </xf>
    <xf numFmtId="37" fontId="32" fillId="0" borderId="0" xfId="25741" applyFont="1" applyFill="1" applyAlignment="1">
      <alignment horizontal="center"/>
    </xf>
    <xf numFmtId="37" fontId="32" fillId="0" borderId="0" xfId="25741" applyFont="1" applyFill="1" applyAlignment="1">
      <alignment horizontal="left"/>
    </xf>
    <xf numFmtId="187" fontId="32" fillId="0" borderId="0" xfId="25741" applyNumberFormat="1" applyFont="1" applyFill="1" applyAlignment="1">
      <alignment horizontal="center"/>
    </xf>
    <xf numFmtId="37" fontId="32" fillId="0" borderId="0" xfId="25741" applyFont="1" applyFill="1"/>
    <xf numFmtId="168" fontId="32" fillId="0" borderId="0" xfId="25741" applyNumberFormat="1" applyFont="1"/>
    <xf numFmtId="0" fontId="121" fillId="0" borderId="0" xfId="25295" quotePrefix="1" applyFont="1" applyFill="1" applyBorder="1" applyAlignment="1"/>
    <xf numFmtId="49" fontId="121" fillId="0" borderId="0" xfId="25293" applyNumberFormat="1" applyFont="1" applyFill="1" applyBorder="1" applyAlignment="1"/>
    <xf numFmtId="0" fontId="121" fillId="0" borderId="0" xfId="25295" applyFont="1" applyFill="1" applyBorder="1" applyAlignment="1">
      <alignment horizontal="center"/>
    </xf>
    <xf numFmtId="0" fontId="32" fillId="0" borderId="0" xfId="25295" applyFont="1" applyFill="1" applyBorder="1" applyAlignment="1">
      <alignment horizontal="center"/>
    </xf>
    <xf numFmtId="10" fontId="122" fillId="0" borderId="0" xfId="0" applyNumberFormat="1" applyFont="1" applyFill="1"/>
    <xf numFmtId="4" fontId="122" fillId="0" borderId="33" xfId="0" applyNumberFormat="1" applyFont="1" applyBorder="1"/>
    <xf numFmtId="0" fontId="130" fillId="0" borderId="0" xfId="0" applyFont="1" applyAlignment="1">
      <alignment horizontal="center"/>
    </xf>
    <xf numFmtId="0" fontId="122" fillId="0" borderId="76" xfId="0" applyFont="1" applyFill="1" applyBorder="1"/>
    <xf numFmtId="0" fontId="122" fillId="0" borderId="85" xfId="0" applyFont="1" applyFill="1" applyBorder="1"/>
    <xf numFmtId="43" fontId="122" fillId="0" borderId="14" xfId="25742" applyFont="1" applyFill="1" applyBorder="1"/>
    <xf numFmtId="0" fontId="121" fillId="0" borderId="0" xfId="0" applyFont="1" applyFill="1" applyAlignment="1">
      <alignment horizontal="center"/>
    </xf>
    <xf numFmtId="43" fontId="32" fillId="0" borderId="0" xfId="0" applyNumberFormat="1" applyFont="1" applyFill="1"/>
    <xf numFmtId="39" fontId="122" fillId="0" borderId="0" xfId="0" applyNumberFormat="1" applyFont="1" applyFill="1"/>
    <xf numFmtId="39" fontId="32" fillId="0" borderId="82" xfId="0" applyNumberFormat="1" applyFont="1" applyFill="1" applyBorder="1"/>
    <xf numFmtId="37" fontId="18" fillId="0" borderId="0" xfId="25795" applyFont="1"/>
    <xf numFmtId="37" fontId="18" fillId="0" borderId="0" xfId="25795" applyFont="1" applyFill="1"/>
    <xf numFmtId="193" fontId="18" fillId="0" borderId="0" xfId="25795" applyNumberFormat="1" applyFont="1" applyFill="1"/>
    <xf numFmtId="10" fontId="18" fillId="0" borderId="0" xfId="25748" applyNumberFormat="1" applyFont="1" applyFill="1"/>
    <xf numFmtId="37" fontId="18" fillId="0" borderId="95" xfId="25795" applyFont="1" applyFill="1" applyBorder="1"/>
    <xf numFmtId="37" fontId="18" fillId="0" borderId="49" xfId="25795" applyFont="1" applyFill="1" applyBorder="1"/>
    <xf numFmtId="37" fontId="18" fillId="0" borderId="94" xfId="25795" applyFont="1" applyFill="1" applyBorder="1"/>
    <xf numFmtId="10" fontId="23" fillId="0" borderId="49" xfId="25795" applyNumberFormat="1" applyFont="1" applyFill="1" applyBorder="1" applyProtection="1">
      <protection locked="0"/>
    </xf>
    <xf numFmtId="37" fontId="18" fillId="0" borderId="89" xfId="25795" applyFont="1" applyFill="1" applyBorder="1"/>
    <xf numFmtId="37" fontId="18" fillId="0" borderId="0" xfId="25795" applyFont="1" applyFill="1" applyBorder="1"/>
    <xf numFmtId="37" fontId="18" fillId="0" borderId="88" xfId="25795" applyFont="1" applyFill="1" applyBorder="1"/>
    <xf numFmtId="10" fontId="18" fillId="0" borderId="0" xfId="25795" applyNumberFormat="1" applyFont="1" applyFill="1" applyBorder="1" applyAlignment="1" applyProtection="1">
      <alignment horizontal="left"/>
    </xf>
    <xf numFmtId="10" fontId="18" fillId="0" borderId="89" xfId="25795" applyNumberFormat="1" applyFont="1" applyFill="1" applyBorder="1" applyAlignment="1" applyProtection="1">
      <alignment horizontal="fill"/>
    </xf>
    <xf numFmtId="10" fontId="18" fillId="0" borderId="0" xfId="25795" applyNumberFormat="1" applyFont="1" applyFill="1" applyBorder="1" applyAlignment="1" applyProtection="1">
      <alignment horizontal="fill"/>
    </xf>
    <xf numFmtId="166" fontId="18" fillId="0" borderId="89" xfId="25766" applyNumberFormat="1" applyFont="1" applyFill="1" applyBorder="1"/>
    <xf numFmtId="166" fontId="18" fillId="0" borderId="0" xfId="25766" applyNumberFormat="1" applyFont="1" applyFill="1" applyBorder="1"/>
    <xf numFmtId="166" fontId="18" fillId="0" borderId="0" xfId="25766" applyNumberFormat="1" applyFont="1" applyFill="1" applyBorder="1" applyAlignment="1" applyProtection="1">
      <alignment horizontal="fill"/>
    </xf>
    <xf numFmtId="10" fontId="18" fillId="0" borderId="88" xfId="25795" applyNumberFormat="1" applyFont="1" applyFill="1" applyBorder="1" applyAlignment="1" applyProtection="1">
      <alignment horizontal="left"/>
    </xf>
    <xf numFmtId="10" fontId="18" fillId="0" borderId="0" xfId="25748" applyNumberFormat="1" applyFont="1" applyFill="1" applyBorder="1"/>
    <xf numFmtId="39" fontId="18" fillId="0" borderId="0" xfId="25795" applyNumberFormat="1" applyFont="1"/>
    <xf numFmtId="10" fontId="18" fillId="0" borderId="100" xfId="25795" applyNumberFormat="1" applyFont="1" applyFill="1" applyBorder="1" applyAlignment="1" applyProtection="1">
      <alignment horizontal="center"/>
    </xf>
    <xf numFmtId="10" fontId="18" fillId="0" borderId="85" xfId="25795" applyNumberFormat="1" applyFont="1" applyFill="1" applyBorder="1" applyAlignment="1" applyProtection="1">
      <alignment horizontal="center"/>
    </xf>
    <xf numFmtId="10" fontId="18" fillId="0" borderId="89" xfId="25795" applyNumberFormat="1" applyFont="1" applyFill="1" applyBorder="1" applyAlignment="1" applyProtection="1">
      <alignment horizontal="center"/>
    </xf>
    <xf numFmtId="10" fontId="18" fillId="0" borderId="0" xfId="25795" applyNumberFormat="1" applyFont="1" applyFill="1" applyBorder="1" applyAlignment="1" applyProtection="1">
      <alignment horizontal="center"/>
    </xf>
    <xf numFmtId="37" fontId="18" fillId="0" borderId="89" xfId="25795" applyFont="1" applyFill="1" applyBorder="1" applyAlignment="1">
      <alignment horizontal="center"/>
    </xf>
    <xf numFmtId="195" fontId="18" fillId="0" borderId="0" xfId="25795" applyNumberFormat="1" applyFont="1" applyFill="1" applyBorder="1" applyAlignment="1" applyProtection="1">
      <alignment horizontal="center"/>
    </xf>
    <xf numFmtId="166" fontId="18" fillId="0" borderId="85" xfId="25766" applyNumberFormat="1" applyFont="1" applyFill="1" applyBorder="1" applyAlignment="1" applyProtection="1">
      <alignment horizontal="center"/>
    </xf>
    <xf numFmtId="166" fontId="18" fillId="0" borderId="0" xfId="25766" applyNumberFormat="1" applyFont="1" applyFill="1" applyBorder="1" applyAlignment="1" applyProtection="1">
      <alignment horizontal="center"/>
    </xf>
    <xf numFmtId="37" fontId="18" fillId="0" borderId="0" xfId="25795" applyFont="1" applyFill="1" applyBorder="1" applyAlignment="1">
      <alignment horizontal="center"/>
    </xf>
    <xf numFmtId="37" fontId="18" fillId="0" borderId="89" xfId="25795" applyFont="1" applyFill="1" applyBorder="1" applyAlignment="1">
      <alignment horizontal="centerContinuous"/>
    </xf>
    <xf numFmtId="37" fontId="18" fillId="0" borderId="0" xfId="25795" applyFont="1" applyFill="1" applyBorder="1" applyAlignment="1">
      <alignment horizontal="centerContinuous"/>
    </xf>
    <xf numFmtId="166" fontId="18" fillId="0" borderId="89" xfId="25766" applyNumberFormat="1" applyFont="1" applyFill="1" applyBorder="1" applyAlignment="1">
      <alignment horizontal="centerContinuous"/>
    </xf>
    <xf numFmtId="166" fontId="18" fillId="0" borderId="0" xfId="25766" applyNumberFormat="1" applyFont="1" applyFill="1" applyBorder="1" applyAlignment="1">
      <alignment horizontal="centerContinuous"/>
    </xf>
    <xf numFmtId="10" fontId="18" fillId="0" borderId="88" xfId="25795" applyNumberFormat="1" applyFont="1" applyFill="1" applyBorder="1" applyAlignment="1" applyProtection="1">
      <alignment horizontal="centerContinuous"/>
    </xf>
    <xf numFmtId="10" fontId="18" fillId="0" borderId="0" xfId="25795" applyNumberFormat="1" applyFont="1" applyFill="1" applyBorder="1" applyAlignment="1" applyProtection="1">
      <alignment horizontal="centerContinuous"/>
    </xf>
    <xf numFmtId="37" fontId="18" fillId="0" borderId="93" xfId="25795" applyFont="1" applyFill="1" applyBorder="1"/>
    <xf numFmtId="37" fontId="18" fillId="0" borderId="92" xfId="25795" applyFont="1" applyFill="1" applyBorder="1"/>
    <xf numFmtId="37" fontId="18" fillId="0" borderId="91" xfId="25795" applyFont="1" applyFill="1" applyBorder="1"/>
    <xf numFmtId="166" fontId="18" fillId="0" borderId="93" xfId="25766" applyNumberFormat="1" applyFont="1" applyFill="1" applyBorder="1"/>
    <xf numFmtId="166" fontId="18" fillId="0" borderId="92" xfId="25766" applyNumberFormat="1" applyFont="1" applyFill="1" applyBorder="1"/>
    <xf numFmtId="0" fontId="32" fillId="0" borderId="0" xfId="25794" applyFont="1" applyFill="1" applyAlignment="1">
      <alignment horizontal="center"/>
    </xf>
    <xf numFmtId="49" fontId="121" fillId="33" borderId="54" xfId="24690" applyNumberFormat="1" applyFont="1" applyFill="1" applyBorder="1" applyAlignment="1"/>
    <xf numFmtId="49" fontId="121" fillId="33" borderId="55" xfId="24690" applyNumberFormat="1" applyFont="1" applyFill="1" applyBorder="1" applyAlignment="1"/>
    <xf numFmtId="49" fontId="121" fillId="33" borderId="56" xfId="24690" applyNumberFormat="1" applyFont="1" applyFill="1" applyBorder="1" applyAlignment="1"/>
    <xf numFmtId="37" fontId="18" fillId="0" borderId="0" xfId="25795" applyFont="1" applyAlignment="1">
      <alignment horizontal="center"/>
    </xf>
    <xf numFmtId="0" fontId="32" fillId="0" borderId="0" xfId="24690" applyFont="1" applyFill="1" applyBorder="1" applyAlignment="1">
      <alignment horizontal="center"/>
    </xf>
    <xf numFmtId="184" fontId="32" fillId="0" borderId="11" xfId="24767" applyNumberFormat="1" applyFont="1" applyFill="1" applyBorder="1"/>
    <xf numFmtId="6" fontId="32" fillId="0" borderId="0" xfId="25455" applyNumberFormat="1" applyFont="1" applyFill="1"/>
    <xf numFmtId="49" fontId="121" fillId="0" borderId="0" xfId="25764" applyNumberFormat="1" applyFont="1" applyFill="1"/>
    <xf numFmtId="49" fontId="18" fillId="0" borderId="0" xfId="27901" applyNumberFormat="1" applyFont="1" applyFill="1" applyAlignment="1">
      <alignment horizontal="right"/>
    </xf>
    <xf numFmtId="49" fontId="20" fillId="0" borderId="85" xfId="27901" quotePrefix="1" applyNumberFormat="1" applyFont="1" applyFill="1" applyBorder="1" applyAlignment="1">
      <alignment horizontal="center"/>
    </xf>
    <xf numFmtId="166" fontId="20" fillId="0" borderId="85" xfId="25742" applyNumberFormat="1" applyFont="1" applyFill="1" applyBorder="1" applyAlignment="1">
      <alignment horizontal="center"/>
    </xf>
    <xf numFmtId="166" fontId="18" fillId="0" borderId="0" xfId="25742" applyNumberFormat="1" applyFont="1" applyFill="1"/>
    <xf numFmtId="43" fontId="18" fillId="0" borderId="128" xfId="27903" applyFont="1" applyFill="1" applyBorder="1"/>
    <xf numFmtId="49" fontId="18" fillId="0" borderId="0" xfId="166" applyNumberFormat="1" applyFont="1" applyFill="1"/>
    <xf numFmtId="49" fontId="18" fillId="0" borderId="0" xfId="52" applyNumberFormat="1" applyFont="1" applyFill="1"/>
    <xf numFmtId="49" fontId="57" fillId="0" borderId="0" xfId="370" applyNumberFormat="1" applyFont="1" applyFill="1"/>
    <xf numFmtId="49" fontId="18" fillId="0" borderId="0" xfId="27904" applyNumberFormat="1" applyFont="1" applyFill="1"/>
    <xf numFmtId="49" fontId="18" fillId="0" borderId="0" xfId="27905" applyNumberFormat="1" applyFont="1" applyFill="1"/>
    <xf numFmtId="49" fontId="57" fillId="0" borderId="0" xfId="0" applyNumberFormat="1" applyFont="1" applyFill="1"/>
    <xf numFmtId="49" fontId="18" fillId="0" borderId="0" xfId="27906" applyNumberFormat="1" applyFont="1" applyFill="1"/>
    <xf numFmtId="43" fontId="18" fillId="0" borderId="85" xfId="27903" applyFont="1" applyFill="1" applyBorder="1"/>
    <xf numFmtId="43" fontId="18" fillId="0" borderId="0" xfId="27908" applyFont="1" applyFill="1"/>
    <xf numFmtId="43" fontId="18" fillId="0" borderId="0" xfId="27909" applyFont="1" applyFill="1"/>
    <xf numFmtId="43" fontId="18" fillId="0" borderId="0" xfId="27910" applyFont="1" applyFill="1"/>
    <xf numFmtId="43" fontId="18" fillId="0" borderId="0" xfId="27911" applyFont="1" applyFill="1"/>
    <xf numFmtId="43" fontId="18" fillId="0" borderId="0" xfId="27912" applyFont="1" applyFill="1"/>
    <xf numFmtId="43" fontId="18" fillId="0" borderId="0" xfId="27913" applyFont="1" applyFill="1"/>
    <xf numFmtId="43" fontId="18" fillId="0" borderId="0" xfId="27914" applyFont="1" applyFill="1"/>
    <xf numFmtId="43" fontId="18" fillId="0" borderId="0" xfId="27915" applyFont="1" applyFill="1"/>
    <xf numFmtId="43" fontId="18" fillId="0" borderId="0" xfId="27916" applyFont="1" applyFill="1"/>
    <xf numFmtId="43" fontId="57" fillId="0" borderId="0" xfId="25766" applyFont="1" applyFill="1" applyBorder="1"/>
    <xf numFmtId="43" fontId="18" fillId="0" borderId="0" xfId="27917" applyFont="1" applyFill="1"/>
    <xf numFmtId="43" fontId="18" fillId="0" borderId="0" xfId="27918" applyFont="1" applyFill="1"/>
    <xf numFmtId="0" fontId="57" fillId="0" borderId="0" xfId="0" quotePrefix="1" applyFont="1" applyFill="1"/>
    <xf numFmtId="166" fontId="57" fillId="0" borderId="0" xfId="25742" applyNumberFormat="1" applyFont="1" applyFill="1"/>
    <xf numFmtId="43" fontId="57" fillId="0" borderId="0" xfId="0" applyNumberFormat="1" applyFont="1" applyFill="1"/>
    <xf numFmtId="43" fontId="18" fillId="0" borderId="0" xfId="27922" applyFont="1" applyFill="1"/>
    <xf numFmtId="49" fontId="57" fillId="0" borderId="0" xfId="3265" applyNumberFormat="1" applyFont="1" applyFill="1"/>
    <xf numFmtId="49" fontId="57" fillId="0" borderId="0" xfId="3262" applyNumberFormat="1" applyFont="1" applyFill="1"/>
    <xf numFmtId="43" fontId="20" fillId="0" borderId="79" xfId="27903" applyFont="1" applyFill="1" applyBorder="1"/>
    <xf numFmtId="43" fontId="18" fillId="0" borderId="0" xfId="27917" applyFont="1" applyFill="1" applyBorder="1"/>
    <xf numFmtId="43" fontId="18" fillId="0" borderId="0" xfId="27909" applyFont="1" applyFill="1" applyBorder="1"/>
    <xf numFmtId="43" fontId="18" fillId="0" borderId="0" xfId="27910" applyFont="1" applyFill="1" applyBorder="1"/>
    <xf numFmtId="43" fontId="18" fillId="0" borderId="0" xfId="27911" applyFont="1" applyFill="1" applyBorder="1"/>
    <xf numFmtId="43" fontId="18" fillId="0" borderId="0" xfId="27912" applyFont="1" applyFill="1" applyBorder="1"/>
    <xf numFmtId="43" fontId="18" fillId="0" borderId="0" xfId="27913" applyFont="1" applyFill="1" applyBorder="1"/>
    <xf numFmtId="43" fontId="18" fillId="0" borderId="0" xfId="27914" applyFont="1" applyFill="1" applyBorder="1"/>
    <xf numFmtId="43" fontId="18" fillId="0" borderId="0" xfId="27915" applyFont="1" applyFill="1" applyBorder="1"/>
    <xf numFmtId="43" fontId="18" fillId="0" borderId="0" xfId="27918" applyFont="1" applyFill="1" applyBorder="1"/>
    <xf numFmtId="49" fontId="20" fillId="0" borderId="0" xfId="27901" quotePrefix="1" applyNumberFormat="1" applyFont="1" applyFill="1" applyBorder="1" applyAlignment="1">
      <alignment horizontal="center"/>
    </xf>
    <xf numFmtId="166" fontId="20" fillId="0" borderId="0" xfId="25742" applyNumberFormat="1" applyFont="1" applyFill="1" applyBorder="1" applyAlignment="1">
      <alignment horizontal="center"/>
    </xf>
    <xf numFmtId="166" fontId="138" fillId="0" borderId="0" xfId="25742" applyNumberFormat="1" applyFont="1" applyFill="1"/>
    <xf numFmtId="0" fontId="32" fillId="0" borderId="35" xfId="25276" applyFont="1" applyFill="1" applyBorder="1" applyAlignment="1">
      <alignment horizontal="left" indent="1"/>
    </xf>
    <xf numFmtId="0" fontId="32" fillId="0" borderId="0" xfId="25276" applyFont="1" applyFill="1" applyBorder="1"/>
    <xf numFmtId="0" fontId="32" fillId="0" borderId="17" xfId="25276" applyFont="1" applyFill="1" applyBorder="1"/>
    <xf numFmtId="0" fontId="32" fillId="0" borderId="12" xfId="25276" applyFont="1" applyFill="1" applyBorder="1"/>
    <xf numFmtId="0" fontId="32" fillId="0" borderId="35" xfId="25276" applyFont="1" applyFill="1" applyBorder="1"/>
    <xf numFmtId="0" fontId="32" fillId="0" borderId="35" xfId="0" applyFont="1" applyFill="1" applyBorder="1" applyAlignment="1" applyProtection="1">
      <alignment horizontal="left"/>
    </xf>
    <xf numFmtId="0" fontId="32" fillId="0" borderId="0" xfId="0" applyFont="1" applyFill="1" applyBorder="1"/>
    <xf numFmtId="0" fontId="32" fillId="0" borderId="131" xfId="25455" applyFont="1" applyFill="1" applyBorder="1" applyAlignment="1">
      <alignment horizontal="center"/>
    </xf>
    <xf numFmtId="5" fontId="32" fillId="0" borderId="51" xfId="25457" applyNumberFormat="1" applyFont="1" applyFill="1" applyBorder="1">
      <alignment horizontal="right"/>
    </xf>
    <xf numFmtId="14" fontId="122" fillId="0" borderId="0" xfId="0" applyNumberFormat="1" applyFont="1" applyFill="1"/>
    <xf numFmtId="10" fontId="32" fillId="0" borderId="0" xfId="25794" applyNumberFormat="1" applyFont="1" applyFill="1"/>
    <xf numFmtId="0" fontId="32" fillId="0" borderId="0" xfId="25750" applyFont="1" applyFill="1"/>
    <xf numFmtId="0" fontId="121" fillId="0" borderId="0" xfId="25750" applyFont="1" applyFill="1" applyAlignment="1">
      <alignment horizontal="right"/>
    </xf>
    <xf numFmtId="43" fontId="32" fillId="0" borderId="97" xfId="25742" applyFont="1" applyFill="1" applyBorder="1"/>
    <xf numFmtId="39" fontId="32" fillId="0" borderId="97" xfId="25742" applyNumberFormat="1" applyFont="1" applyFill="1" applyBorder="1"/>
    <xf numFmtId="0" fontId="32" fillId="0" borderId="0" xfId="25750" applyFont="1" applyFill="1" applyAlignment="1">
      <alignment horizontal="center"/>
    </xf>
    <xf numFmtId="39" fontId="32" fillId="0" borderId="0" xfId="25750" applyNumberFormat="1" applyFont="1" applyFill="1"/>
    <xf numFmtId="43" fontId="32" fillId="0" borderId="0" xfId="25794" applyNumberFormat="1" applyFont="1" applyFill="1"/>
    <xf numFmtId="39" fontId="32" fillId="0" borderId="96" xfId="25742" applyNumberFormat="1" applyFont="1" applyFill="1" applyBorder="1"/>
    <xf numFmtId="39" fontId="121" fillId="0" borderId="97" xfId="25742" applyNumberFormat="1" applyFont="1" applyFill="1" applyBorder="1"/>
    <xf numFmtId="39" fontId="121" fillId="0" borderId="98" xfId="25742" applyNumberFormat="1" applyFont="1" applyFill="1" applyBorder="1"/>
    <xf numFmtId="0" fontId="32" fillId="0" borderId="0" xfId="25794" applyFont="1" applyFill="1" applyAlignment="1">
      <alignment horizontal="right"/>
    </xf>
    <xf numFmtId="8" fontId="122" fillId="0" borderId="0" xfId="0" applyNumberFormat="1" applyFont="1" applyFill="1"/>
    <xf numFmtId="190" fontId="122" fillId="0" borderId="0" xfId="0" applyNumberFormat="1" applyFont="1" applyFill="1"/>
    <xf numFmtId="8" fontId="122" fillId="0" borderId="49" xfId="0" applyNumberFormat="1" applyFont="1" applyFill="1" applyBorder="1"/>
    <xf numFmtId="10" fontId="122" fillId="0" borderId="49" xfId="0" applyNumberFormat="1" applyFont="1" applyFill="1" applyBorder="1"/>
    <xf numFmtId="190" fontId="122" fillId="0" borderId="49" xfId="0" applyNumberFormat="1" applyFont="1" applyFill="1" applyBorder="1"/>
    <xf numFmtId="8" fontId="125" fillId="0" borderId="0" xfId="0" applyNumberFormat="1" applyFont="1" applyFill="1"/>
    <xf numFmtId="8" fontId="124" fillId="0" borderId="79" xfId="0" applyNumberFormat="1" applyFont="1" applyFill="1" applyBorder="1"/>
    <xf numFmtId="8" fontId="124" fillId="0" borderId="0" xfId="0" applyNumberFormat="1" applyFont="1" applyFill="1" applyBorder="1"/>
    <xf numFmtId="43" fontId="122" fillId="0" borderId="0" xfId="0" applyNumberFormat="1" applyFont="1" applyFill="1"/>
    <xf numFmtId="40" fontId="122" fillId="0" borderId="0" xfId="0" applyNumberFormat="1" applyFont="1" applyFill="1"/>
    <xf numFmtId="43" fontId="32" fillId="0" borderId="85" xfId="0" applyNumberFormat="1" applyFont="1" applyFill="1" applyBorder="1"/>
    <xf numFmtId="8" fontId="122" fillId="0" borderId="85" xfId="0" applyNumberFormat="1" applyFont="1" applyFill="1" applyBorder="1"/>
    <xf numFmtId="190" fontId="122" fillId="0" borderId="85" xfId="0" applyNumberFormat="1" applyFont="1" applyFill="1" applyBorder="1"/>
    <xf numFmtId="4" fontId="122" fillId="0" borderId="0" xfId="0" applyNumberFormat="1" applyFont="1" applyFill="1"/>
    <xf numFmtId="4" fontId="122" fillId="0" borderId="33" xfId="0" applyNumberFormat="1" applyFont="1" applyFill="1" applyBorder="1"/>
    <xf numFmtId="0" fontId="122" fillId="0" borderId="0" xfId="0" applyFont="1" applyFill="1" applyAlignment="1">
      <alignment horizontal="left" vertical="top"/>
    </xf>
    <xf numFmtId="6" fontId="122" fillId="0" borderId="88" xfId="0" applyNumberFormat="1" applyFont="1" applyBorder="1"/>
    <xf numFmtId="6" fontId="122" fillId="0" borderId="0" xfId="0" applyNumberFormat="1" applyFont="1" applyBorder="1"/>
    <xf numFmtId="166" fontId="122" fillId="94" borderId="88" xfId="25742" applyNumberFormat="1" applyFont="1" applyFill="1" applyBorder="1"/>
    <xf numFmtId="166" fontId="122" fillId="94" borderId="89" xfId="25742" applyNumberFormat="1" applyFont="1" applyFill="1" applyBorder="1"/>
    <xf numFmtId="166" fontId="122" fillId="92" borderId="88" xfId="25742" applyNumberFormat="1" applyFont="1" applyFill="1" applyBorder="1"/>
    <xf numFmtId="6" fontId="122" fillId="0" borderId="134" xfId="0" applyNumberFormat="1" applyFont="1" applyBorder="1"/>
    <xf numFmtId="6" fontId="122" fillId="0" borderId="79" xfId="0" applyNumberFormat="1" applyFont="1" applyBorder="1"/>
    <xf numFmtId="0" fontId="124" fillId="0" borderId="0" xfId="0" applyFont="1" applyFill="1" applyAlignment="1">
      <alignment horizontal="center"/>
    </xf>
    <xf numFmtId="0" fontId="121" fillId="0" borderId="53" xfId="0" applyFont="1" applyFill="1" applyBorder="1"/>
    <xf numFmtId="0" fontId="121" fillId="0" borderId="0" xfId="0" applyFont="1" applyFill="1"/>
    <xf numFmtId="0" fontId="121" fillId="0" borderId="0" xfId="0" applyFont="1" applyFill="1" applyBorder="1"/>
    <xf numFmtId="0" fontId="0" fillId="0" borderId="0" xfId="0" applyFill="1"/>
    <xf numFmtId="49" fontId="122" fillId="0" borderId="0" xfId="0" applyNumberFormat="1" applyFont="1" applyFill="1"/>
    <xf numFmtId="43" fontId="122" fillId="0" borderId="0" xfId="25766" applyFont="1" applyFill="1"/>
    <xf numFmtId="0" fontId="128" fillId="0" borderId="53" xfId="0" applyFont="1" applyFill="1" applyBorder="1"/>
    <xf numFmtId="0" fontId="128" fillId="0" borderId="53" xfId="0" applyFont="1" applyFill="1" applyBorder="1" applyAlignment="1">
      <alignment horizontal="center"/>
    </xf>
    <xf numFmtId="43" fontId="128" fillId="0" borderId="53" xfId="25766" applyFont="1" applyFill="1" applyBorder="1"/>
    <xf numFmtId="0" fontId="128" fillId="0" borderId="0" xfId="0" applyFont="1" applyFill="1" applyBorder="1"/>
    <xf numFmtId="43" fontId="128" fillId="0" borderId="0" xfId="25766" applyFont="1" applyFill="1" applyBorder="1"/>
    <xf numFmtId="0" fontId="128" fillId="0" borderId="80" xfId="0" applyFont="1" applyFill="1" applyBorder="1"/>
    <xf numFmtId="0" fontId="128" fillId="0" borderId="80" xfId="0" applyFont="1" applyFill="1" applyBorder="1" applyAlignment="1">
      <alignment horizontal="center"/>
    </xf>
    <xf numFmtId="0" fontId="32" fillId="0" borderId="0" xfId="0" applyFont="1" applyFill="1" applyAlignment="1">
      <alignment horizontal="left"/>
    </xf>
    <xf numFmtId="0" fontId="136" fillId="0" borderId="0" xfId="0" applyFont="1" applyFill="1" applyAlignment="1"/>
    <xf numFmtId="0" fontId="122" fillId="0" borderId="0" xfId="0" applyFont="1" applyFill="1" applyAlignment="1">
      <alignment wrapText="1"/>
    </xf>
    <xf numFmtId="0" fontId="32" fillId="0" borderId="0" xfId="0" applyFont="1" applyFill="1" applyAlignment="1">
      <alignment horizontal="right"/>
    </xf>
    <xf numFmtId="43" fontId="122" fillId="0" borderId="0" xfId="25742" applyFont="1" applyFill="1"/>
    <xf numFmtId="7" fontId="122" fillId="0" borderId="0" xfId="0" applyNumberFormat="1" applyFont="1"/>
    <xf numFmtId="43" fontId="122" fillId="0" borderId="85" xfId="0" applyNumberFormat="1" applyFont="1" applyFill="1" applyBorder="1"/>
    <xf numFmtId="44" fontId="0" fillId="0" borderId="0" xfId="25745" applyFont="1"/>
    <xf numFmtId="44" fontId="0" fillId="0" borderId="80" xfId="25745" applyFont="1" applyBorder="1"/>
    <xf numFmtId="44" fontId="0" fillId="0" borderId="80" xfId="0" applyNumberFormat="1" applyBorder="1"/>
    <xf numFmtId="44" fontId="0" fillId="0" borderId="0" xfId="0" applyNumberFormat="1"/>
    <xf numFmtId="37" fontId="18" fillId="0" borderId="0" xfId="25795" applyFont="1" applyFill="1" applyAlignment="1">
      <alignment horizontal="center"/>
    </xf>
    <xf numFmtId="37" fontId="26" fillId="0" borderId="0" xfId="25795" applyFont="1" applyFill="1"/>
    <xf numFmtId="37" fontId="134" fillId="0" borderId="0" xfId="25795" applyFont="1" applyFill="1"/>
    <xf numFmtId="37" fontId="60" fillId="0" borderId="0" xfId="25795" applyFont="1" applyFill="1" applyAlignment="1">
      <alignment horizontal="center"/>
    </xf>
    <xf numFmtId="195" fontId="23" fillId="0" borderId="88" xfId="25795" applyNumberFormat="1" applyFont="1" applyFill="1" applyBorder="1" applyAlignment="1" applyProtection="1">
      <alignment horizontal="centerContinuous"/>
      <protection locked="0"/>
    </xf>
    <xf numFmtId="195" fontId="18" fillId="0" borderId="0" xfId="25795" applyNumberFormat="1" applyFont="1" applyFill="1" applyBorder="1" applyAlignment="1" applyProtection="1">
      <alignment horizontal="centerContinuous"/>
    </xf>
    <xf numFmtId="195" fontId="18" fillId="0" borderId="88" xfId="25795" applyNumberFormat="1" applyFont="1" applyFill="1" applyBorder="1" applyAlignment="1" applyProtection="1">
      <alignment horizontal="centerContinuous"/>
    </xf>
    <xf numFmtId="10" fontId="18" fillId="0" borderId="0" xfId="25795" applyNumberFormat="1" applyFont="1" applyFill="1" applyBorder="1" applyProtection="1"/>
    <xf numFmtId="10" fontId="18" fillId="0" borderId="89" xfId="25795" applyNumberFormat="1" applyFont="1" applyFill="1" applyBorder="1" applyProtection="1"/>
    <xf numFmtId="194" fontId="18" fillId="0" borderId="0" xfId="25795" applyNumberFormat="1" applyFont="1" applyFill="1" applyBorder="1" applyProtection="1"/>
    <xf numFmtId="166" fontId="23" fillId="0" borderId="0" xfId="25766" applyNumberFormat="1" applyFont="1" applyFill="1" applyBorder="1" applyProtection="1">
      <protection locked="0"/>
    </xf>
    <xf numFmtId="10" fontId="18" fillId="0" borderId="85" xfId="25795" applyNumberFormat="1" applyFont="1" applyFill="1" applyBorder="1" applyProtection="1"/>
    <xf numFmtId="10" fontId="18" fillId="0" borderId="100" xfId="25795" applyNumberFormat="1" applyFont="1" applyFill="1" applyBorder="1" applyProtection="1"/>
    <xf numFmtId="166" fontId="18" fillId="0" borderId="89" xfId="25766" applyNumberFormat="1" applyFont="1" applyFill="1" applyBorder="1" applyProtection="1"/>
    <xf numFmtId="166" fontId="23" fillId="0" borderId="85" xfId="25766" applyNumberFormat="1" applyFont="1" applyFill="1" applyBorder="1" applyProtection="1">
      <protection locked="0"/>
    </xf>
    <xf numFmtId="166" fontId="18" fillId="0" borderId="89" xfId="25766" applyNumberFormat="1" applyFont="1" applyFill="1" applyBorder="1" applyAlignment="1" applyProtection="1">
      <alignment horizontal="fill"/>
    </xf>
    <xf numFmtId="166" fontId="18" fillId="0" borderId="85" xfId="25766" applyNumberFormat="1" applyFont="1" applyFill="1" applyBorder="1" applyProtection="1"/>
    <xf numFmtId="196" fontId="18" fillId="0" borderId="0" xfId="25795" applyNumberFormat="1" applyFont="1" applyFill="1" applyBorder="1"/>
    <xf numFmtId="166" fontId="18" fillId="0" borderId="0" xfId="25766" applyNumberFormat="1" applyFont="1" applyFill="1" applyBorder="1" applyProtection="1"/>
    <xf numFmtId="10" fontId="23" fillId="0" borderId="0" xfId="25795" applyNumberFormat="1" applyFont="1" applyFill="1" applyBorder="1" applyProtection="1">
      <protection locked="0"/>
    </xf>
    <xf numFmtId="166" fontId="18" fillId="0" borderId="100" xfId="25766" applyNumberFormat="1" applyFont="1" applyFill="1" applyBorder="1" applyProtection="1"/>
    <xf numFmtId="0" fontId="18" fillId="0" borderId="0" xfId="25766" applyNumberFormat="1" applyFont="1" applyFill="1" applyAlignment="1">
      <alignment horizontal="left"/>
    </xf>
    <xf numFmtId="37" fontId="18" fillId="0" borderId="85" xfId="25795" applyFont="1" applyFill="1" applyBorder="1"/>
    <xf numFmtId="0" fontId="122" fillId="0" borderId="0" xfId="0" applyFont="1" applyFill="1" applyAlignment="1"/>
    <xf numFmtId="0" fontId="123" fillId="0" borderId="0" xfId="0" applyFont="1" applyFill="1" applyAlignment="1">
      <alignment horizontal="center"/>
    </xf>
    <xf numFmtId="44" fontId="122" fillId="0" borderId="0" xfId="0" applyNumberFormat="1" applyFont="1" applyFill="1"/>
    <xf numFmtId="192" fontId="122" fillId="0" borderId="0" xfId="0" applyNumberFormat="1" applyFont="1" applyFill="1" applyBorder="1"/>
    <xf numFmtId="188" fontId="122" fillId="0" borderId="0" xfId="0" applyNumberFormat="1" applyFont="1" applyFill="1"/>
    <xf numFmtId="0" fontId="122" fillId="0" borderId="77" xfId="0" applyFont="1" applyFill="1" applyBorder="1" applyAlignment="1">
      <alignment horizontal="center"/>
    </xf>
    <xf numFmtId="39" fontId="122" fillId="0" borderId="78" xfId="25745" applyNumberFormat="1" applyFont="1" applyFill="1" applyBorder="1" applyAlignment="1"/>
    <xf numFmtId="0" fontId="122" fillId="0" borderId="35" xfId="0" applyFont="1" applyFill="1" applyBorder="1" applyAlignment="1">
      <alignment horizontal="center"/>
    </xf>
    <xf numFmtId="4" fontId="122" fillId="0" borderId="56" xfId="0" applyNumberFormat="1" applyFont="1" applyFill="1" applyBorder="1" applyAlignment="1"/>
    <xf numFmtId="0" fontId="122" fillId="0" borderId="54" xfId="0" applyFont="1" applyFill="1" applyBorder="1" applyAlignment="1">
      <alignment horizontal="center"/>
    </xf>
    <xf numFmtId="197" fontId="122" fillId="0" borderId="56" xfId="0" applyNumberFormat="1" applyFont="1" applyFill="1" applyBorder="1" applyAlignment="1"/>
    <xf numFmtId="0" fontId="121" fillId="0" borderId="0" xfId="24690" applyFont="1" applyFill="1" applyBorder="1" applyAlignment="1">
      <alignment horizontal="center"/>
    </xf>
    <xf numFmtId="3" fontId="127" fillId="0" borderId="0" xfId="0" applyNumberFormat="1" applyFont="1" applyFill="1" applyBorder="1"/>
    <xf numFmtId="0" fontId="32" fillId="0" borderId="0" xfId="0" applyFont="1" applyFill="1" applyAlignment="1">
      <alignment horizontal="centerContinuous"/>
    </xf>
    <xf numFmtId="0" fontId="127" fillId="0" borderId="0" xfId="0" applyFont="1" applyFill="1" applyAlignment="1">
      <alignment horizontal="center"/>
    </xf>
    <xf numFmtId="0" fontId="127" fillId="0" borderId="0" xfId="0" applyFont="1" applyFill="1"/>
    <xf numFmtId="37" fontId="32" fillId="0" borderId="0" xfId="25741" applyFont="1" applyFill="1" applyAlignment="1" applyProtection="1">
      <alignment horizontal="left"/>
    </xf>
    <xf numFmtId="37" fontId="42" fillId="0" borderId="0" xfId="25741" applyFont="1" applyFill="1"/>
    <xf numFmtId="14" fontId="32" fillId="0" borderId="0" xfId="25741" applyNumberFormat="1" applyFont="1" applyFill="1" applyAlignment="1">
      <alignment horizontal="left"/>
    </xf>
    <xf numFmtId="186" fontId="32" fillId="0" borderId="0" xfId="23895" applyNumberFormat="1" applyFont="1" applyFill="1" applyAlignment="1">
      <alignment horizontal="center"/>
    </xf>
    <xf numFmtId="10" fontId="32" fillId="0" borderId="0" xfId="24219" applyNumberFormat="1" applyFont="1" applyFill="1" applyAlignment="1">
      <alignment horizontal="center"/>
    </xf>
    <xf numFmtId="185" fontId="32" fillId="0" borderId="0" xfId="24219" applyNumberFormat="1" applyFont="1" applyFill="1"/>
    <xf numFmtId="0" fontId="32" fillId="0" borderId="133" xfId="25455" applyFont="1" applyFill="1" applyBorder="1" applyAlignment="1">
      <alignment horizontal="center"/>
    </xf>
    <xf numFmtId="38" fontId="129" fillId="0" borderId="0" xfId="0" applyNumberFormat="1" applyFont="1" applyFill="1"/>
    <xf numFmtId="38" fontId="122" fillId="0" borderId="0" xfId="0" applyNumberFormat="1" applyFont="1" applyFill="1"/>
    <xf numFmtId="1" fontId="122" fillId="0" borderId="0" xfId="0" applyNumberFormat="1" applyFont="1" applyFill="1" applyAlignment="1">
      <alignment horizontal="left"/>
    </xf>
    <xf numFmtId="38" fontId="122" fillId="0" borderId="91" xfId="0" applyNumberFormat="1" applyFont="1" applyFill="1" applyBorder="1"/>
    <xf numFmtId="38" fontId="122" fillId="0" borderId="92" xfId="0" applyNumberFormat="1" applyFont="1" applyFill="1" applyBorder="1"/>
    <xf numFmtId="38" fontId="122" fillId="0" borderId="93" xfId="0" applyNumberFormat="1" applyFont="1" applyFill="1" applyBorder="1"/>
    <xf numFmtId="6" fontId="122" fillId="0" borderId="93" xfId="0" applyNumberFormat="1" applyFont="1" applyFill="1" applyBorder="1"/>
    <xf numFmtId="38" fontId="122" fillId="0" borderId="88" xfId="0" applyNumberFormat="1" applyFont="1" applyFill="1" applyBorder="1"/>
    <xf numFmtId="38" fontId="122" fillId="0" borderId="0" xfId="0" applyNumberFormat="1" applyFont="1" applyFill="1" applyBorder="1"/>
    <xf numFmtId="38" fontId="122" fillId="0" borderId="89" xfId="0" applyNumberFormat="1" applyFont="1" applyFill="1" applyBorder="1"/>
    <xf numFmtId="6" fontId="122" fillId="0" borderId="89" xfId="0" applyNumberFormat="1" applyFont="1" applyFill="1" applyBorder="1"/>
    <xf numFmtId="38" fontId="122" fillId="0" borderId="104" xfId="0" applyNumberFormat="1" applyFont="1" applyFill="1" applyBorder="1"/>
    <xf numFmtId="6" fontId="122" fillId="0" borderId="138" xfId="0" applyNumberFormat="1" applyFont="1" applyFill="1" applyBorder="1"/>
    <xf numFmtId="6" fontId="122" fillId="0" borderId="100" xfId="0" applyNumberFormat="1" applyFont="1" applyFill="1" applyBorder="1"/>
    <xf numFmtId="38" fontId="122" fillId="0" borderId="128" xfId="0" applyNumberFormat="1" applyFont="1" applyFill="1" applyBorder="1"/>
    <xf numFmtId="38" fontId="122" fillId="0" borderId="135" xfId="0" applyNumberFormat="1" applyFont="1" applyFill="1" applyBorder="1"/>
    <xf numFmtId="6" fontId="122" fillId="0" borderId="135" xfId="0" applyNumberFormat="1" applyFont="1" applyFill="1" applyBorder="1"/>
    <xf numFmtId="38" fontId="122" fillId="0" borderId="136" xfId="0" applyNumberFormat="1" applyFont="1" applyFill="1" applyBorder="1"/>
    <xf numFmtId="40" fontId="122" fillId="0" borderId="136" xfId="0" applyNumberFormat="1" applyFont="1" applyFill="1" applyBorder="1"/>
    <xf numFmtId="40" fontId="122" fillId="0" borderId="0" xfId="0" applyNumberFormat="1" applyFont="1" applyFill="1" applyBorder="1"/>
    <xf numFmtId="38" fontId="122" fillId="0" borderId="85" xfId="0" applyNumberFormat="1" applyFont="1" applyFill="1" applyBorder="1"/>
    <xf numFmtId="38" fontId="122" fillId="0" borderId="137" xfId="0" applyNumberFormat="1" applyFont="1" applyFill="1" applyBorder="1"/>
    <xf numFmtId="38" fontId="122" fillId="0" borderId="49" xfId="0" applyNumberFormat="1" applyFont="1" applyFill="1" applyBorder="1"/>
    <xf numFmtId="49" fontId="32" fillId="0" borderId="56" xfId="25455" applyNumberFormat="1" applyFont="1" applyFill="1" applyBorder="1" applyAlignment="1">
      <alignment horizontal="center"/>
    </xf>
    <xf numFmtId="6" fontId="122" fillId="90" borderId="0" xfId="0" applyNumberFormat="1" applyFont="1" applyFill="1" applyBorder="1"/>
    <xf numFmtId="0" fontId="32" fillId="0" borderId="11" xfId="25455" applyFont="1" applyBorder="1" applyAlignment="1">
      <alignment horizontal="center"/>
    </xf>
    <xf numFmtId="49" fontId="32" fillId="0" borderId="56" xfId="25455" applyNumberFormat="1" applyFont="1" applyBorder="1" applyAlignment="1">
      <alignment horizontal="center"/>
    </xf>
    <xf numFmtId="49" fontId="32" fillId="0" borderId="99" xfId="25455" applyNumberFormat="1" applyFont="1" applyBorder="1" applyAlignment="1">
      <alignment horizontal="center"/>
    </xf>
    <xf numFmtId="49" fontId="32" fillId="0" borderId="99" xfId="25455" applyNumberFormat="1" applyFont="1" applyFill="1" applyBorder="1" applyAlignment="1">
      <alignment horizontal="center"/>
    </xf>
    <xf numFmtId="0" fontId="121" fillId="0" borderId="131" xfId="25455" applyFont="1" applyBorder="1" applyAlignment="1">
      <alignment horizontal="center"/>
    </xf>
    <xf numFmtId="0" fontId="121" fillId="0" borderId="15" xfId="25455" applyFont="1" applyBorder="1" applyAlignment="1">
      <alignment horizontal="center"/>
    </xf>
    <xf numFmtId="0" fontId="32" fillId="0" borderId="99" xfId="25455" applyFont="1" applyBorder="1"/>
    <xf numFmtId="0" fontId="32" fillId="0" borderId="14" xfId="25455" applyFont="1" applyFill="1" applyBorder="1"/>
    <xf numFmtId="43" fontId="18" fillId="0" borderId="0" xfId="25742" applyNumberFormat="1" applyFont="1" applyFill="1"/>
    <xf numFmtId="43" fontId="18" fillId="0" borderId="85" xfId="25742" applyNumberFormat="1" applyFont="1" applyFill="1" applyBorder="1"/>
    <xf numFmtId="43" fontId="18" fillId="0" borderId="128" xfId="25742" applyNumberFormat="1" applyFont="1" applyFill="1" applyBorder="1"/>
    <xf numFmtId="43" fontId="18" fillId="0" borderId="0" xfId="25742" applyNumberFormat="1" applyFont="1" applyFill="1" applyBorder="1"/>
    <xf numFmtId="49" fontId="18" fillId="0" borderId="0" xfId="27901" applyNumberFormat="1" applyFont="1" applyFill="1" applyAlignment="1">
      <alignment horizontal="center"/>
    </xf>
    <xf numFmtId="49" fontId="137" fillId="0" borderId="0" xfId="27901" applyNumberFormat="1" applyFont="1" applyFill="1" applyAlignment="1">
      <alignment horizontal="center"/>
    </xf>
    <xf numFmtId="0" fontId="57" fillId="0" borderId="0" xfId="0" applyFont="1" applyFill="1" applyAlignment="1">
      <alignment horizontal="left"/>
    </xf>
    <xf numFmtId="0" fontId="57" fillId="0" borderId="0" xfId="0" applyFont="1" applyFill="1" applyAlignment="1">
      <alignment vertical="center"/>
    </xf>
    <xf numFmtId="17" fontId="138" fillId="0" borderId="85" xfId="0" quotePrefix="1" applyNumberFormat="1" applyFont="1" applyFill="1" applyBorder="1"/>
    <xf numFmtId="17" fontId="138" fillId="0" borderId="0" xfId="0" quotePrefix="1" applyNumberFormat="1" applyFont="1" applyFill="1" applyBorder="1"/>
    <xf numFmtId="49" fontId="57" fillId="0" borderId="0" xfId="3264" applyNumberFormat="1" applyFont="1" applyFill="1"/>
    <xf numFmtId="49" fontId="18" fillId="0" borderId="0" xfId="27907" applyNumberFormat="1" applyFont="1" applyFill="1"/>
    <xf numFmtId="43" fontId="18" fillId="0" borderId="0" xfId="27903" applyNumberFormat="1" applyFont="1" applyFill="1"/>
    <xf numFmtId="43" fontId="18" fillId="0" borderId="129" xfId="27903" applyNumberFormat="1" applyFont="1" applyFill="1" applyBorder="1"/>
    <xf numFmtId="43" fontId="18" fillId="0" borderId="129" xfId="25742" applyNumberFormat="1" applyFont="1" applyFill="1" applyBorder="1"/>
    <xf numFmtId="43" fontId="18" fillId="0" borderId="85" xfId="27903" applyNumberFormat="1" applyFont="1" applyFill="1" applyBorder="1"/>
    <xf numFmtId="0" fontId="18" fillId="0" borderId="0" xfId="166" applyNumberFormat="1" applyFont="1" applyFill="1"/>
    <xf numFmtId="0" fontId="57" fillId="0" borderId="0" xfId="3264" applyFont="1" applyFill="1"/>
    <xf numFmtId="0" fontId="57" fillId="0" borderId="0" xfId="451" applyNumberFormat="1" applyFont="1" applyFill="1"/>
    <xf numFmtId="0" fontId="18" fillId="0" borderId="0" xfId="52" applyNumberFormat="1" applyFont="1" applyFill="1"/>
    <xf numFmtId="0" fontId="57" fillId="0" borderId="0" xfId="419" applyNumberFormat="1" applyFont="1" applyFill="1"/>
    <xf numFmtId="0" fontId="57" fillId="0" borderId="0" xfId="370" applyNumberFormat="1" applyFont="1" applyFill="1"/>
    <xf numFmtId="0" fontId="18" fillId="0" borderId="0" xfId="27904" applyNumberFormat="1" applyFont="1" applyFill="1"/>
    <xf numFmtId="0" fontId="18" fillId="0" borderId="0" xfId="27905" applyNumberFormat="1" applyFont="1" applyFill="1"/>
    <xf numFmtId="0" fontId="57" fillId="0" borderId="0" xfId="0" applyNumberFormat="1" applyFont="1" applyFill="1"/>
    <xf numFmtId="0" fontId="18" fillId="0" borderId="0" xfId="27906" applyNumberFormat="1" applyFont="1" applyFill="1"/>
    <xf numFmtId="0" fontId="18" fillId="0" borderId="0" xfId="27907" applyNumberFormat="1" applyFont="1" applyFill="1"/>
    <xf numFmtId="43" fontId="18" fillId="0" borderId="0" xfId="166" applyNumberFormat="1" applyFont="1" applyFill="1"/>
    <xf numFmtId="43" fontId="18" fillId="0" borderId="128" xfId="27908" applyFont="1" applyFill="1" applyBorder="1"/>
    <xf numFmtId="43" fontId="18" fillId="0" borderId="128" xfId="27909" applyFont="1" applyFill="1" applyBorder="1"/>
    <xf numFmtId="43" fontId="18" fillId="0" borderId="128" xfId="27910" applyFont="1" applyFill="1" applyBorder="1"/>
    <xf numFmtId="43" fontId="18" fillId="0" borderId="128" xfId="27911" applyFont="1" applyFill="1" applyBorder="1"/>
    <xf numFmtId="43" fontId="18" fillId="0" borderId="128" xfId="27912" applyFont="1" applyFill="1" applyBorder="1"/>
    <xf numFmtId="43" fontId="18" fillId="0" borderId="128" xfId="27913" applyFont="1" applyFill="1" applyBorder="1"/>
    <xf numFmtId="43" fontId="18" fillId="0" borderId="128" xfId="27914" applyFont="1" applyFill="1" applyBorder="1"/>
    <xf numFmtId="43" fontId="57" fillId="0" borderId="128" xfId="25766" applyFont="1" applyFill="1" applyBorder="1"/>
    <xf numFmtId="43" fontId="18" fillId="0" borderId="128" xfId="27915" applyFont="1" applyFill="1" applyBorder="1"/>
    <xf numFmtId="43" fontId="18" fillId="0" borderId="128" xfId="27916" applyFont="1" applyFill="1" applyBorder="1"/>
    <xf numFmtId="0" fontId="18" fillId="0" borderId="0" xfId="0" quotePrefix="1" applyFont="1" applyFill="1"/>
    <xf numFmtId="43" fontId="18" fillId="0" borderId="0" xfId="25766" applyFont="1" applyFill="1"/>
    <xf numFmtId="49" fontId="18" fillId="0" borderId="0" xfId="27920" applyNumberFormat="1" applyFont="1" applyFill="1"/>
    <xf numFmtId="49" fontId="18" fillId="0" borderId="0" xfId="27921" applyNumberFormat="1" applyFont="1" applyFill="1"/>
    <xf numFmtId="49" fontId="18" fillId="0" borderId="0" xfId="27921" applyNumberFormat="1" applyFill="1"/>
    <xf numFmtId="0" fontId="138" fillId="0" borderId="0" xfId="0" applyFont="1" applyFill="1"/>
    <xf numFmtId="2" fontId="18" fillId="0" borderId="0" xfId="25764" applyNumberFormat="1" applyFont="1" applyFill="1" applyAlignment="1">
      <alignment wrapText="1"/>
    </xf>
    <xf numFmtId="39" fontId="32" fillId="0" borderId="0" xfId="25794" applyNumberFormat="1" applyFont="1" applyFill="1" applyBorder="1"/>
    <xf numFmtId="183" fontId="32" fillId="0" borderId="0" xfId="3" applyNumberFormat="1" applyFont="1" applyFill="1" applyBorder="1">
      <alignment horizontal="right"/>
    </xf>
    <xf numFmtId="38" fontId="32" fillId="0" borderId="11" xfId="1" applyNumberFormat="1" applyFont="1" applyFill="1" applyBorder="1"/>
    <xf numFmtId="38" fontId="32" fillId="0" borderId="0" xfId="3" applyNumberFormat="1" applyFont="1" applyFill="1" applyBorder="1">
      <alignment horizontal="right"/>
    </xf>
    <xf numFmtId="0" fontId="32" fillId="0" borderId="55" xfId="25455" applyFont="1" applyFill="1" applyBorder="1"/>
    <xf numFmtId="43" fontId="122" fillId="0" borderId="0" xfId="25745" applyNumberFormat="1" applyFont="1" applyFill="1"/>
    <xf numFmtId="0" fontId="121" fillId="0" borderId="77" xfId="0" applyFont="1" applyFill="1" applyBorder="1"/>
    <xf numFmtId="0" fontId="32" fillId="0" borderId="76" xfId="0" applyFont="1" applyFill="1" applyBorder="1"/>
    <xf numFmtId="0" fontId="32" fillId="0" borderId="76" xfId="0" applyFont="1" applyFill="1" applyBorder="1" applyAlignment="1">
      <alignment wrapText="1"/>
    </xf>
    <xf numFmtId="0" fontId="121" fillId="0" borderId="76" xfId="0" applyFont="1" applyFill="1" applyBorder="1" applyAlignment="1">
      <alignment horizontal="center" wrapText="1"/>
    </xf>
    <xf numFmtId="0" fontId="32" fillId="0" borderId="35" xfId="0" applyFont="1" applyFill="1" applyBorder="1"/>
    <xf numFmtId="39" fontId="121" fillId="0" borderId="85" xfId="25743" applyFont="1" applyFill="1" applyBorder="1" applyAlignment="1" applyProtection="1">
      <alignment horizontal="center" wrapText="1"/>
    </xf>
    <xf numFmtId="189" fontId="121" fillId="0" borderId="54" xfId="25743" applyNumberFormat="1" applyFont="1" applyFill="1" applyBorder="1" applyAlignment="1" applyProtection="1">
      <alignment horizontal="center" wrapText="1"/>
    </xf>
    <xf numFmtId="39" fontId="121" fillId="0" borderId="56" xfId="25743" applyFont="1" applyFill="1" applyBorder="1" applyAlignment="1" applyProtection="1">
      <alignment horizontal="center" wrapText="1"/>
    </xf>
    <xf numFmtId="43" fontId="121" fillId="0" borderId="0" xfId="25743" applyNumberFormat="1" applyFont="1" applyFill="1" applyBorder="1" applyAlignment="1" applyProtection="1">
      <alignment horizontal="center" wrapText="1"/>
    </xf>
    <xf numFmtId="43" fontId="121" fillId="0" borderId="0" xfId="25745" applyNumberFormat="1" applyFont="1" applyFill="1" applyBorder="1" applyAlignment="1" applyProtection="1">
      <alignment horizontal="center" wrapText="1"/>
    </xf>
    <xf numFmtId="39" fontId="121" fillId="0" borderId="0" xfId="25743" applyFont="1" applyFill="1" applyBorder="1" applyAlignment="1" applyProtection="1">
      <alignment horizontal="center" wrapText="1"/>
    </xf>
    <xf numFmtId="43" fontId="32" fillId="0" borderId="0" xfId="0" applyNumberFormat="1" applyFont="1" applyFill="1" applyBorder="1"/>
    <xf numFmtId="43" fontId="32" fillId="0" borderId="35" xfId="0" applyNumberFormat="1" applyFont="1" applyFill="1" applyBorder="1"/>
    <xf numFmtId="39" fontId="32" fillId="0" borderId="0" xfId="0" applyNumberFormat="1" applyFont="1" applyFill="1" applyBorder="1"/>
    <xf numFmtId="43" fontId="32" fillId="0" borderId="11" xfId="0" applyNumberFormat="1" applyFont="1" applyFill="1" applyBorder="1"/>
    <xf numFmtId="43" fontId="32" fillId="0" borderId="53" xfId="0" applyNumberFormat="1" applyFont="1" applyFill="1" applyBorder="1"/>
    <xf numFmtId="39" fontId="32" fillId="0" borderId="53" xfId="0" applyNumberFormat="1" applyFont="1" applyFill="1" applyBorder="1"/>
    <xf numFmtId="43" fontId="32" fillId="0" borderId="82" xfId="0" applyNumberFormat="1" applyFont="1" applyFill="1" applyBorder="1"/>
    <xf numFmtId="43" fontId="32" fillId="0" borderId="82" xfId="25745" applyNumberFormat="1" applyFont="1" applyFill="1" applyBorder="1"/>
    <xf numFmtId="39" fontId="32" fillId="0" borderId="35" xfId="25743" applyFont="1" applyFill="1" applyBorder="1" applyAlignment="1" applyProtection="1">
      <alignment horizontal="left"/>
    </xf>
    <xf numFmtId="39" fontId="32" fillId="0" borderId="35" xfId="25743" quotePrefix="1" applyFont="1" applyFill="1" applyBorder="1" applyAlignment="1" applyProtection="1">
      <alignment horizontal="center"/>
    </xf>
    <xf numFmtId="39" fontId="32" fillId="0" borderId="35" xfId="0" applyNumberFormat="1" applyFont="1" applyFill="1" applyBorder="1"/>
    <xf numFmtId="39" fontId="32" fillId="0" borderId="11" xfId="0" applyNumberFormat="1" applyFont="1" applyFill="1" applyBorder="1"/>
    <xf numFmtId="199" fontId="32" fillId="0" borderId="35" xfId="25742" applyNumberFormat="1" applyFont="1" applyFill="1" applyBorder="1" applyAlignment="1" applyProtection="1">
      <alignment horizontal="center"/>
    </xf>
    <xf numFmtId="43" fontId="32" fillId="0" borderId="79" xfId="0" applyNumberFormat="1" applyFont="1" applyFill="1" applyBorder="1"/>
    <xf numFmtId="43" fontId="32" fillId="0" borderId="83" xfId="0" applyNumberFormat="1" applyFont="1" applyFill="1" applyBorder="1"/>
    <xf numFmtId="43" fontId="32" fillId="0" borderId="83" xfId="25745" applyNumberFormat="1" applyFont="1" applyFill="1" applyBorder="1"/>
    <xf numFmtId="181" fontId="32" fillId="0" borderId="35" xfId="0" applyNumberFormat="1" applyFont="1" applyFill="1" applyBorder="1"/>
    <xf numFmtId="39" fontId="121" fillId="0" borderId="11" xfId="25743" applyFont="1" applyFill="1" applyBorder="1"/>
    <xf numFmtId="39" fontId="32" fillId="0" borderId="81" xfId="0" applyNumberFormat="1" applyFont="1" applyFill="1" applyBorder="1"/>
    <xf numFmtId="43" fontId="32" fillId="0" borderId="11" xfId="25745" applyNumberFormat="1" applyFont="1" applyFill="1" applyBorder="1"/>
    <xf numFmtId="43" fontId="32" fillId="0" borderId="56" xfId="0" applyNumberFormat="1" applyFont="1" applyFill="1" applyBorder="1"/>
    <xf numFmtId="43" fontId="32" fillId="0" borderId="56" xfId="25745" applyNumberFormat="1" applyFont="1" applyFill="1" applyBorder="1"/>
    <xf numFmtId="49" fontId="32" fillId="0" borderId="35" xfId="25743" applyNumberFormat="1" applyFont="1" applyFill="1" applyBorder="1" applyAlignment="1" applyProtection="1">
      <alignment horizontal="center"/>
    </xf>
    <xf numFmtId="39" fontId="121" fillId="0" borderId="11" xfId="25743" applyFont="1" applyFill="1" applyBorder="1" applyAlignment="1">
      <alignment horizontal="left" indent="2"/>
    </xf>
    <xf numFmtId="39" fontId="121" fillId="0" borderId="35" xfId="25743" applyFont="1" applyFill="1" applyBorder="1" applyAlignment="1" applyProtection="1">
      <alignment horizontal="center"/>
    </xf>
    <xf numFmtId="37" fontId="122" fillId="0" borderId="0" xfId="0" applyNumberFormat="1" applyFont="1" applyFill="1"/>
    <xf numFmtId="43" fontId="32" fillId="0" borderId="80" xfId="0" applyNumberFormat="1" applyFont="1" applyFill="1" applyBorder="1"/>
    <xf numFmtId="43" fontId="32" fillId="0" borderId="87" xfId="0" applyNumberFormat="1" applyFont="1" applyFill="1" applyBorder="1"/>
    <xf numFmtId="191" fontId="122" fillId="0" borderId="0" xfId="0" applyNumberFormat="1" applyFont="1" applyFill="1"/>
    <xf numFmtId="181" fontId="32" fillId="0" borderId="35" xfId="25743" applyNumberFormat="1" applyFont="1" applyFill="1" applyBorder="1" applyAlignment="1" applyProtection="1">
      <alignment horizontal="center"/>
    </xf>
    <xf numFmtId="39" fontId="121" fillId="0" borderId="54" xfId="25743" applyFont="1" applyFill="1" applyBorder="1" applyAlignment="1" applyProtection="1">
      <alignment horizontal="left"/>
    </xf>
    <xf numFmtId="39" fontId="32" fillId="0" borderId="56" xfId="25743" applyFont="1" applyFill="1" applyBorder="1"/>
    <xf numFmtId="37" fontId="32" fillId="0" borderId="75" xfId="25455" applyNumberFormat="1" applyFont="1" applyFill="1" applyBorder="1" applyAlignment="1">
      <alignment horizontal="center"/>
    </xf>
    <xf numFmtId="37" fontId="32" fillId="0" borderId="15" xfId="25455" applyNumberFormat="1" applyFont="1" applyFill="1" applyBorder="1" applyAlignment="1">
      <alignment horizontal="center"/>
    </xf>
    <xf numFmtId="37" fontId="32" fillId="0" borderId="16" xfId="25455" applyNumberFormat="1" applyFont="1" applyFill="1" applyBorder="1" applyAlignment="1">
      <alignment horizontal="center"/>
    </xf>
    <xf numFmtId="37" fontId="32" fillId="0" borderId="16" xfId="25455" applyNumberFormat="1" applyFont="1" applyFill="1" applyBorder="1"/>
    <xf numFmtId="0" fontId="32" fillId="0" borderId="16" xfId="25455" applyFont="1" applyFill="1" applyBorder="1"/>
    <xf numFmtId="0" fontId="0" fillId="0" borderId="0" xfId="0" applyAlignment="1">
      <alignment horizontal="center"/>
    </xf>
    <xf numFmtId="0" fontId="0" fillId="0" borderId="0" xfId="0" applyFill="1" applyAlignment="1">
      <alignment horizontal="center"/>
    </xf>
    <xf numFmtId="43" fontId="18" fillId="0" borderId="0" xfId="25742" applyFont="1" applyFill="1" applyAlignment="1">
      <alignment horizontal="center"/>
    </xf>
    <xf numFmtId="43" fontId="18" fillId="0" borderId="0" xfId="25742" applyFont="1" applyFill="1"/>
    <xf numFmtId="43" fontId="0" fillId="0" borderId="0" xfId="0" applyNumberFormat="1" applyFill="1"/>
    <xf numFmtId="44" fontId="0" fillId="0" borderId="0" xfId="25745" applyFont="1" applyFill="1" applyAlignment="1">
      <alignment horizontal="center"/>
    </xf>
    <xf numFmtId="49" fontId="57" fillId="0" borderId="0" xfId="409" applyNumberFormat="1" applyFont="1" applyFill="1"/>
    <xf numFmtId="43" fontId="57" fillId="0" borderId="0" xfId="25766" applyFont="1" applyFill="1"/>
    <xf numFmtId="49" fontId="18" fillId="0" borderId="0" xfId="409" applyNumberFormat="1" applyFont="1" applyFill="1"/>
    <xf numFmtId="43" fontId="18" fillId="0" borderId="0" xfId="183" applyFont="1" applyFill="1"/>
    <xf numFmtId="2" fontId="57" fillId="0" borderId="0" xfId="409" applyNumberFormat="1" applyFont="1" applyFill="1" applyAlignment="1">
      <alignment wrapText="1"/>
    </xf>
    <xf numFmtId="49" fontId="57" fillId="0" borderId="0" xfId="451" applyNumberFormat="1" applyFont="1" applyFill="1"/>
    <xf numFmtId="49" fontId="18" fillId="0" borderId="0" xfId="25764" applyNumberFormat="1" applyFont="1" applyFill="1"/>
    <xf numFmtId="49" fontId="138" fillId="0" borderId="0" xfId="409" applyNumberFormat="1" applyFont="1" applyFill="1"/>
    <xf numFmtId="43" fontId="20" fillId="0" borderId="0" xfId="27902" applyFont="1" applyFill="1"/>
    <xf numFmtId="49" fontId="57" fillId="0" borderId="0" xfId="419" applyNumberFormat="1" applyFont="1" applyFill="1"/>
    <xf numFmtId="43" fontId="18" fillId="0" borderId="0" xfId="27900" applyFont="1" applyFill="1"/>
    <xf numFmtId="49" fontId="18" fillId="0" borderId="0" xfId="27919" applyNumberFormat="1" applyFont="1" applyFill="1"/>
    <xf numFmtId="43" fontId="18" fillId="0" borderId="0" xfId="27903" applyFont="1" applyFill="1" applyBorder="1"/>
    <xf numFmtId="43" fontId="18" fillId="0" borderId="0" xfId="27902" applyFont="1" applyFill="1"/>
    <xf numFmtId="43" fontId="18" fillId="0" borderId="0" xfId="27903" applyFont="1" applyFill="1"/>
    <xf numFmtId="0" fontId="57" fillId="0" borderId="0" xfId="0" applyFont="1" applyFill="1"/>
    <xf numFmtId="0" fontId="32" fillId="0" borderId="130" xfId="25455" applyFont="1" applyFill="1" applyBorder="1" applyAlignment="1">
      <alignment horizontal="center"/>
    </xf>
    <xf numFmtId="0" fontId="32" fillId="0" borderId="132" xfId="25455" applyFont="1" applyFill="1" applyBorder="1" applyAlignment="1">
      <alignment horizontal="center"/>
    </xf>
    <xf numFmtId="49" fontId="32" fillId="0" borderId="17" xfId="25455" applyNumberFormat="1" applyFont="1" applyFill="1" applyBorder="1" applyAlignment="1">
      <alignment horizontal="center"/>
    </xf>
    <xf numFmtId="0" fontId="139" fillId="0" borderId="0" xfId="0" applyNumberFormat="1" applyFont="1" applyFill="1" applyAlignment="1">
      <alignment horizontal="center"/>
    </xf>
    <xf numFmtId="0" fontId="121" fillId="88" borderId="0" xfId="24690" applyFont="1" applyFill="1" applyBorder="1" applyAlignment="1"/>
    <xf numFmtId="6" fontId="122" fillId="0" borderId="85" xfId="0" applyNumberFormat="1" applyFont="1" applyFill="1" applyBorder="1"/>
    <xf numFmtId="6" fontId="124" fillId="0" borderId="53" xfId="0" applyNumberFormat="1" applyFont="1" applyFill="1" applyBorder="1"/>
    <xf numFmtId="0" fontId="121" fillId="0" borderId="0" xfId="27280" applyFont="1" applyFill="1" applyBorder="1" applyAlignment="1"/>
    <xf numFmtId="0" fontId="0" fillId="0" borderId="0" xfId="0"/>
    <xf numFmtId="43" fontId="32" fillId="0" borderId="145" xfId="25455" applyNumberFormat="1" applyFont="1" applyFill="1" applyBorder="1" applyAlignment="1">
      <alignment horizontal="center"/>
    </xf>
    <xf numFmtId="43" fontId="32" fillId="0" borderId="145" xfId="25745" applyNumberFormat="1" applyFont="1" applyFill="1" applyBorder="1" applyAlignment="1">
      <alignment horizontal="center"/>
    </xf>
    <xf numFmtId="39" fontId="32" fillId="0" borderId="75" xfId="25455" applyNumberFormat="1" applyFont="1" applyFill="1" applyBorder="1" applyAlignment="1">
      <alignment horizontal="center"/>
    </xf>
    <xf numFmtId="43" fontId="32" fillId="0" borderId="131" xfId="25455" applyNumberFormat="1" applyFont="1" applyFill="1" applyBorder="1" applyAlignment="1">
      <alignment horizontal="center"/>
    </xf>
    <xf numFmtId="39" fontId="32" fillId="0" borderId="15" xfId="25455" applyNumberFormat="1" applyFont="1" applyFill="1" applyBorder="1" applyAlignment="1">
      <alignment horizontal="center"/>
    </xf>
    <xf numFmtId="39" fontId="32" fillId="0" borderId="145" xfId="25455" applyNumberFormat="1" applyFont="1" applyFill="1" applyBorder="1" applyAlignment="1">
      <alignment horizontal="center"/>
    </xf>
    <xf numFmtId="0" fontId="32" fillId="0" borderId="145" xfId="25455" applyFont="1" applyFill="1" applyBorder="1" applyAlignment="1">
      <alignment horizontal="center"/>
    </xf>
    <xf numFmtId="0" fontId="32" fillId="0" borderId="152" xfId="25455" applyFont="1" applyFill="1" applyBorder="1" applyAlignment="1">
      <alignment horizontal="center"/>
    </xf>
    <xf numFmtId="39" fontId="121" fillId="0" borderId="0" xfId="25743" applyNumberFormat="1" applyFont="1" applyFill="1" applyBorder="1" applyAlignment="1" applyProtection="1">
      <alignment horizontal="center" wrapText="1"/>
    </xf>
    <xf numFmtId="39" fontId="32" fillId="0" borderId="83" xfId="0" applyNumberFormat="1" applyFont="1" applyFill="1" applyBorder="1"/>
    <xf numFmtId="39" fontId="32" fillId="0" borderId="56" xfId="0" applyNumberFormat="1" applyFont="1" applyFill="1" applyBorder="1"/>
    <xf numFmtId="5" fontId="32" fillId="0" borderId="0" xfId="0" applyNumberFormat="1" applyFont="1" applyFill="1"/>
    <xf numFmtId="8" fontId="32" fillId="0" borderId="11" xfId="0" applyNumberFormat="1" applyFont="1" applyFill="1" applyBorder="1"/>
    <xf numFmtId="39" fontId="32" fillId="0" borderId="87" xfId="0" applyNumberFormat="1" applyFont="1" applyFill="1" applyBorder="1"/>
    <xf numFmtId="37" fontId="121" fillId="0" borderId="79" xfId="25741" applyFont="1" applyFill="1" applyBorder="1" applyAlignment="1">
      <alignment horizontal="center"/>
    </xf>
    <xf numFmtId="4" fontId="122" fillId="0" borderId="153" xfId="0" applyNumberFormat="1" applyFont="1" applyFill="1" applyBorder="1"/>
    <xf numFmtId="4" fontId="122" fillId="0" borderId="140" xfId="0" applyNumberFormat="1" applyFont="1" applyFill="1" applyBorder="1"/>
    <xf numFmtId="200" fontId="122" fillId="0" borderId="0" xfId="0" applyNumberFormat="1" applyFont="1" applyFill="1"/>
    <xf numFmtId="166" fontId="32" fillId="0" borderId="14" xfId="25457" applyNumberFormat="1" applyFont="1" applyFill="1" applyBorder="1">
      <alignment horizontal="right"/>
    </xf>
    <xf numFmtId="0" fontId="121" fillId="0" borderId="0" xfId="24690" applyFont="1" applyFill="1" applyBorder="1" applyAlignment="1">
      <alignment horizontal="center"/>
    </xf>
    <xf numFmtId="43" fontId="124" fillId="0" borderId="140" xfId="0" applyNumberFormat="1" applyFont="1" applyFill="1" applyBorder="1" applyAlignment="1">
      <alignment horizontal="center"/>
    </xf>
    <xf numFmtId="39" fontId="124" fillId="0" borderId="140" xfId="0" applyNumberFormat="1" applyFont="1" applyFill="1" applyBorder="1" applyAlignment="1">
      <alignment horizontal="center"/>
    </xf>
    <xf numFmtId="0" fontId="124" fillId="0" borderId="140" xfId="0" applyFont="1" applyFill="1" applyBorder="1" applyAlignment="1">
      <alignment horizontal="center"/>
    </xf>
    <xf numFmtId="0" fontId="0" fillId="0" borderId="0" xfId="0" applyBorder="1" applyAlignment="1">
      <alignment vertical="center"/>
    </xf>
    <xf numFmtId="0" fontId="32" fillId="0" borderId="0" xfId="0" applyFont="1" applyAlignment="1">
      <alignment horizontal="left"/>
    </xf>
    <xf numFmtId="0" fontId="32" fillId="0" borderId="0" xfId="0" applyFont="1" applyBorder="1" applyAlignment="1">
      <alignment horizontal="left"/>
    </xf>
    <xf numFmtId="44" fontId="0" fillId="0" borderId="0" xfId="25745" applyFont="1" applyBorder="1"/>
    <xf numFmtId="10" fontId="57" fillId="0" borderId="0" xfId="25793" applyNumberFormat="1" applyFont="1" applyFill="1"/>
    <xf numFmtId="166" fontId="57" fillId="0" borderId="0" xfId="25742" applyNumberFormat="1" applyFont="1" applyFill="1" applyBorder="1"/>
    <xf numFmtId="0" fontId="57" fillId="0" borderId="0" xfId="0" applyFont="1" applyFill="1" applyBorder="1"/>
    <xf numFmtId="43" fontId="57" fillId="0" borderId="0" xfId="0" applyNumberFormat="1" applyFont="1" applyFill="1" applyBorder="1"/>
    <xf numFmtId="166" fontId="57" fillId="0" borderId="0" xfId="0" applyNumberFormat="1" applyFont="1" applyFill="1" applyBorder="1"/>
    <xf numFmtId="166" fontId="18" fillId="0" borderId="0" xfId="25742" applyNumberFormat="1" applyFont="1" applyFill="1" applyBorder="1"/>
    <xf numFmtId="166" fontId="138" fillId="0" borderId="0" xfId="25742" applyNumberFormat="1" applyFont="1" applyFill="1" applyBorder="1"/>
    <xf numFmtId="0" fontId="138" fillId="0" borderId="0" xfId="0" applyFont="1" applyFill="1" applyBorder="1"/>
    <xf numFmtId="0" fontId="0" fillId="0" borderId="0" xfId="0" applyFill="1" applyBorder="1"/>
    <xf numFmtId="43" fontId="0" fillId="0" borderId="0" xfId="0" applyNumberFormat="1" applyFill="1" applyBorder="1"/>
    <xf numFmtId="10" fontId="57" fillId="0" borderId="0" xfId="25793" applyNumberFormat="1" applyFont="1" applyFill="1" applyBorder="1"/>
    <xf numFmtId="0" fontId="32" fillId="0" borderId="36" xfId="1" applyFont="1" applyBorder="1"/>
    <xf numFmtId="0" fontId="32" fillId="0" borderId="132" xfId="1" applyFont="1" applyBorder="1"/>
    <xf numFmtId="0" fontId="32" fillId="0" borderId="153" xfId="1" applyFont="1" applyBorder="1"/>
    <xf numFmtId="14" fontId="32" fillId="0" borderId="36" xfId="1" applyNumberFormat="1" applyFont="1" applyFill="1" applyBorder="1" applyAlignment="1">
      <alignment horizontal="center"/>
    </xf>
    <xf numFmtId="0" fontId="32" fillId="0" borderId="33" xfId="1" applyFont="1" applyBorder="1" applyAlignment="1">
      <alignment horizontal="center"/>
    </xf>
    <xf numFmtId="0" fontId="32" fillId="0" borderId="34" xfId="1" applyFont="1" applyBorder="1" applyAlignment="1">
      <alignment horizontal="center"/>
    </xf>
    <xf numFmtId="0" fontId="32" fillId="0" borderId="152" xfId="1" applyFont="1" applyBorder="1"/>
    <xf numFmtId="0" fontId="32" fillId="0" borderId="140" xfId="1" applyFont="1" applyBorder="1"/>
    <xf numFmtId="0" fontId="32" fillId="0" borderId="132" xfId="1" applyFont="1" applyFill="1" applyBorder="1"/>
    <xf numFmtId="38" fontId="32" fillId="0" borderId="132" xfId="3" applyNumberFormat="1" applyFont="1" applyFill="1" applyBorder="1" applyProtection="1">
      <alignment horizontal="right"/>
    </xf>
    <xf numFmtId="38" fontId="32" fillId="0" borderId="132" xfId="2" applyNumberFormat="1" applyFont="1" applyFill="1" applyBorder="1" applyProtection="1"/>
    <xf numFmtId="38" fontId="32" fillId="0" borderId="153" xfId="2" applyNumberFormat="1" applyFont="1" applyFill="1" applyBorder="1" applyProtection="1"/>
    <xf numFmtId="38" fontId="122" fillId="0" borderId="132" xfId="0" applyNumberFormat="1" applyFont="1" applyFill="1" applyBorder="1"/>
    <xf numFmtId="38" fontId="32" fillId="0" borderId="132" xfId="2" applyNumberFormat="1" applyFont="1" applyFill="1" applyBorder="1"/>
    <xf numFmtId="0" fontId="121" fillId="0" borderId="140" xfId="1" applyFont="1" applyFill="1" applyBorder="1"/>
    <xf numFmtId="0" fontId="32" fillId="0" borderId="152" xfId="1" applyFont="1" applyFill="1" applyBorder="1"/>
    <xf numFmtId="10" fontId="32" fillId="0" borderId="153" xfId="4" applyNumberFormat="1" applyFont="1" applyFill="1" applyBorder="1"/>
    <xf numFmtId="10" fontId="32" fillId="0" borderId="140" xfId="4" applyNumberFormat="1" applyFont="1" applyFill="1" applyBorder="1"/>
    <xf numFmtId="10" fontId="32" fillId="0" borderId="145" xfId="4" applyNumberFormat="1" applyFont="1" applyFill="1" applyBorder="1"/>
    <xf numFmtId="0" fontId="32" fillId="0" borderId="132" xfId="1" applyFont="1" applyFill="1" applyBorder="1" applyAlignment="1">
      <alignment horizontal="center"/>
    </xf>
    <xf numFmtId="49" fontId="32" fillId="0" borderId="132" xfId="1" applyNumberFormat="1" applyFont="1" applyBorder="1" applyAlignment="1">
      <alignment horizontal="center"/>
    </xf>
    <xf numFmtId="166" fontId="122" fillId="87" borderId="0" xfId="25742" applyNumberFormat="1" applyFont="1" applyFill="1"/>
    <xf numFmtId="166" fontId="122" fillId="94" borderId="0" xfId="25742" applyNumberFormat="1" applyFont="1" applyFill="1"/>
    <xf numFmtId="166" fontId="122" fillId="92" borderId="0" xfId="25742" applyNumberFormat="1" applyFont="1" applyFill="1"/>
    <xf numFmtId="0" fontId="57" fillId="0" borderId="0" xfId="0" quotePrefix="1" applyFont="1" applyFill="1" applyAlignment="1">
      <alignment horizontal="left"/>
    </xf>
    <xf numFmtId="166" fontId="0" fillId="0" borderId="0" xfId="0" applyNumberFormat="1" applyFill="1"/>
    <xf numFmtId="43" fontId="57" fillId="0" borderId="0" xfId="25793" applyNumberFormat="1" applyFont="1" applyFill="1"/>
    <xf numFmtId="43" fontId="57" fillId="0" borderId="0" xfId="25742" applyNumberFormat="1" applyFont="1" applyFill="1" applyBorder="1"/>
    <xf numFmtId="43" fontId="138" fillId="0" borderId="0" xfId="25742" applyNumberFormat="1" applyFont="1" applyFill="1" applyBorder="1"/>
    <xf numFmtId="43" fontId="138" fillId="0" borderId="0" xfId="25742" applyNumberFormat="1" applyFont="1" applyFill="1"/>
    <xf numFmtId="49" fontId="122" fillId="0" borderId="0" xfId="0" applyNumberFormat="1" applyFont="1" applyFill="1" applyBorder="1" applyAlignment="1">
      <alignment horizontal="center"/>
    </xf>
    <xf numFmtId="0" fontId="124" fillId="0" borderId="0" xfId="0" applyFont="1" applyFill="1" applyBorder="1" applyAlignment="1">
      <alignment horizontal="center"/>
    </xf>
    <xf numFmtId="38" fontId="122" fillId="90" borderId="137" xfId="0" applyNumberFormat="1" applyFont="1" applyFill="1" applyBorder="1"/>
    <xf numFmtId="38" fontId="122" fillId="0" borderId="156" xfId="0" applyNumberFormat="1" applyFont="1" applyFill="1" applyBorder="1"/>
    <xf numFmtId="38" fontId="122" fillId="0" borderId="154" xfId="0" applyNumberFormat="1" applyFont="1" applyFill="1" applyBorder="1"/>
    <xf numFmtId="38" fontId="122" fillId="0" borderId="155" xfId="0" applyNumberFormat="1" applyFont="1" applyFill="1" applyBorder="1"/>
    <xf numFmtId="38" fontId="122" fillId="0" borderId="95" xfId="0" applyNumberFormat="1" applyFont="1" applyFill="1" applyBorder="1"/>
    <xf numFmtId="38" fontId="122" fillId="0" borderId="157" xfId="0" applyNumberFormat="1" applyFont="1" applyFill="1" applyBorder="1"/>
    <xf numFmtId="38" fontId="122" fillId="0" borderId="158" xfId="0" applyNumberFormat="1" applyFont="1" applyFill="1" applyBorder="1"/>
    <xf numFmtId="49" fontId="122" fillId="0" borderId="88" xfId="0" applyNumberFormat="1" applyFont="1" applyFill="1" applyBorder="1" applyAlignment="1">
      <alignment horizontal="center"/>
    </xf>
    <xf numFmtId="49" fontId="122" fillId="0" borderId="89" xfId="0" applyNumberFormat="1" applyFont="1" applyFill="1" applyBorder="1" applyAlignment="1">
      <alignment horizontal="center"/>
    </xf>
    <xf numFmtId="0" fontId="121" fillId="0" borderId="0" xfId="0" applyFont="1" applyFill="1" applyAlignment="1">
      <alignment horizontal="center"/>
    </xf>
    <xf numFmtId="43" fontId="57" fillId="0" borderId="0" xfId="25742" applyNumberFormat="1" applyFont="1" applyFill="1"/>
    <xf numFmtId="43" fontId="138" fillId="0" borderId="85" xfId="25742" applyNumberFormat="1" applyFont="1" applyFill="1" applyBorder="1"/>
    <xf numFmtId="43" fontId="57" fillId="0" borderId="85" xfId="25742" applyNumberFormat="1" applyFont="1" applyFill="1" applyBorder="1"/>
    <xf numFmtId="166" fontId="57" fillId="0" borderId="85" xfId="25742" applyNumberFormat="1" applyFont="1" applyFill="1" applyBorder="1"/>
    <xf numFmtId="166" fontId="138" fillId="0" borderId="0" xfId="25742" applyNumberFormat="1" applyFont="1" applyFill="1" applyAlignment="1">
      <alignment horizontal="center"/>
    </xf>
    <xf numFmtId="43" fontId="138" fillId="0" borderId="0" xfId="25742" applyNumberFormat="1" applyFont="1" applyFill="1" applyAlignment="1">
      <alignment horizontal="center"/>
    </xf>
    <xf numFmtId="166" fontId="138" fillId="0" borderId="0" xfId="25742" applyNumberFormat="1" applyFont="1" applyFill="1" applyBorder="1" applyAlignment="1">
      <alignment horizontal="center"/>
    </xf>
    <xf numFmtId="43" fontId="138" fillId="0" borderId="0" xfId="25742" applyNumberFormat="1" applyFont="1" applyFill="1" applyBorder="1" applyAlignment="1">
      <alignment horizontal="center"/>
    </xf>
    <xf numFmtId="43" fontId="57" fillId="0" borderId="11" xfId="25742" applyNumberFormat="1" applyFont="1" applyFill="1" applyBorder="1"/>
    <xf numFmtId="43" fontId="18" fillId="0" borderId="0" xfId="27909" applyFill="1"/>
    <xf numFmtId="43" fontId="18" fillId="0" borderId="140" xfId="27903" applyFont="1" applyFill="1" applyBorder="1"/>
    <xf numFmtId="43" fontId="138" fillId="0" borderId="11" xfId="25742" applyNumberFormat="1" applyFont="1" applyFill="1" applyBorder="1"/>
    <xf numFmtId="43" fontId="18" fillId="0" borderId="140" xfId="25742" applyNumberFormat="1" applyFont="1" applyFill="1" applyBorder="1"/>
    <xf numFmtId="43" fontId="57" fillId="0" borderId="132" xfId="25742" applyNumberFormat="1" applyFont="1" applyFill="1" applyBorder="1"/>
    <xf numFmtId="166" fontId="57" fillId="0" borderId="140" xfId="25742" applyNumberFormat="1" applyFont="1" applyFill="1" applyBorder="1"/>
    <xf numFmtId="43" fontId="57" fillId="0" borderId="140" xfId="25742" applyNumberFormat="1" applyFont="1" applyFill="1" applyBorder="1"/>
    <xf numFmtId="0" fontId="57" fillId="0" borderId="140" xfId="0" applyFont="1" applyFill="1" applyBorder="1"/>
    <xf numFmtId="43" fontId="138" fillId="0" borderId="0" xfId="0" applyNumberFormat="1" applyFont="1" applyFill="1"/>
    <xf numFmtId="43" fontId="57" fillId="0" borderId="14" xfId="25742" applyNumberFormat="1" applyFont="1" applyFill="1" applyBorder="1"/>
    <xf numFmtId="3" fontId="127" fillId="0" borderId="0" xfId="0" applyNumberFormat="1" applyFont="1" applyFill="1"/>
    <xf numFmtId="3" fontId="127" fillId="0" borderId="85" xfId="0" applyNumberFormat="1" applyFont="1" applyFill="1" applyBorder="1"/>
    <xf numFmtId="188" fontId="127" fillId="0" borderId="80" xfId="0" applyNumberFormat="1" applyFont="1" applyFill="1" applyBorder="1"/>
    <xf numFmtId="188" fontId="127" fillId="0" borderId="0" xfId="0" applyNumberFormat="1" applyFont="1" applyFill="1"/>
    <xf numFmtId="6" fontId="122" fillId="0" borderId="90" xfId="0" applyNumberFormat="1" applyFont="1" applyFill="1" applyBorder="1"/>
    <xf numFmtId="201" fontId="122" fillId="0" borderId="0" xfId="0" applyNumberFormat="1" applyFont="1" applyFill="1"/>
    <xf numFmtId="8" fontId="32" fillId="0" borderId="82" xfId="0" applyNumberFormat="1" applyFont="1" applyFill="1" applyBorder="1"/>
    <xf numFmtId="0" fontId="122" fillId="0" borderId="0" xfId="0" quotePrefix="1" applyFont="1" applyFill="1"/>
    <xf numFmtId="0" fontId="122" fillId="0" borderId="49" xfId="0" applyFont="1" applyFill="1" applyBorder="1"/>
    <xf numFmtId="0" fontId="122" fillId="0" borderId="0" xfId="0" applyFont="1" applyFill="1" applyAlignment="1">
      <alignment horizontal="left" indent="1"/>
    </xf>
    <xf numFmtId="43" fontId="122" fillId="0" borderId="0" xfId="0" applyNumberFormat="1" applyFont="1" applyFill="1" applyBorder="1"/>
    <xf numFmtId="0" fontId="122" fillId="0" borderId="0" xfId="0" applyFont="1" applyFill="1" applyAlignment="1">
      <alignment horizontal="left"/>
    </xf>
    <xf numFmtId="44" fontId="122" fillId="0" borderId="0" xfId="25751" applyFont="1" applyFill="1"/>
    <xf numFmtId="0" fontId="121" fillId="0" borderId="76" xfId="0" applyFont="1" applyFill="1" applyBorder="1" applyAlignment="1">
      <alignment horizontal="center"/>
    </xf>
    <xf numFmtId="0" fontId="139" fillId="0" borderId="0" xfId="0" applyFont="1" applyFill="1"/>
    <xf numFmtId="0" fontId="139" fillId="0" borderId="0" xfId="0" applyFont="1" applyFill="1" applyAlignment="1">
      <alignment horizontal="center"/>
    </xf>
    <xf numFmtId="0" fontId="20" fillId="0" borderId="0" xfId="28781" applyFont="1" applyFill="1"/>
    <xf numFmtId="43" fontId="20" fillId="0" borderId="0" xfId="25742" applyFont="1" applyFill="1" applyAlignment="1">
      <alignment horizontal="center"/>
    </xf>
    <xf numFmtId="0" fontId="20" fillId="0" borderId="0" xfId="28781" applyFont="1" applyFill="1" applyAlignment="1">
      <alignment horizontal="center"/>
    </xf>
    <xf numFmtId="14" fontId="20" fillId="0" borderId="0" xfId="25742" applyNumberFormat="1" applyFont="1" applyFill="1" applyAlignment="1">
      <alignment horizontal="center"/>
    </xf>
    <xf numFmtId="0" fontId="20" fillId="0" borderId="140" xfId="28781" applyFont="1" applyFill="1" applyBorder="1" applyAlignment="1">
      <alignment horizontal="center"/>
    </xf>
    <xf numFmtId="43" fontId="20" fillId="0" borderId="140" xfId="25742" applyFont="1" applyFill="1" applyBorder="1" applyAlignment="1">
      <alignment horizontal="center"/>
    </xf>
    <xf numFmtId="0" fontId="18" fillId="0" borderId="0" xfId="25771" applyFill="1"/>
    <xf numFmtId="43" fontId="0" fillId="0" borderId="0" xfId="25742" applyFont="1" applyFill="1"/>
    <xf numFmtId="10" fontId="142" fillId="0" borderId="0" xfId="25793" applyNumberFormat="1" applyFont="1" applyFill="1"/>
    <xf numFmtId="43" fontId="142" fillId="0" borderId="0" xfId="25742" applyFont="1" applyFill="1"/>
    <xf numFmtId="43" fontId="139" fillId="0" borderId="0" xfId="25742" applyFont="1" applyFill="1" applyAlignment="1">
      <alignment horizontal="center"/>
    </xf>
    <xf numFmtId="43" fontId="143" fillId="0" borderId="0" xfId="0" applyNumberFormat="1" applyFont="1" applyFill="1"/>
    <xf numFmtId="0" fontId="0" fillId="0" borderId="0" xfId="0" applyFill="1" applyAlignment="1">
      <alignment horizontal="left"/>
    </xf>
    <xf numFmtId="43" fontId="16" fillId="0" borderId="150" xfId="25766" applyFont="1" applyFill="1" applyBorder="1"/>
    <xf numFmtId="43" fontId="144" fillId="0" borderId="150" xfId="25766" applyFont="1" applyFill="1" applyBorder="1"/>
    <xf numFmtId="43" fontId="142" fillId="0" borderId="150" xfId="25742" applyFont="1" applyFill="1" applyBorder="1"/>
    <xf numFmtId="0" fontId="18" fillId="0" borderId="0" xfId="28781" applyFill="1"/>
    <xf numFmtId="44" fontId="139" fillId="0" borderId="0" xfId="25745" applyFont="1" applyFill="1"/>
    <xf numFmtId="44" fontId="0" fillId="0" borderId="0" xfId="25745" applyFont="1" applyFill="1"/>
    <xf numFmtId="44" fontId="139" fillId="0" borderId="0" xfId="0" applyNumberFormat="1" applyFont="1" applyFill="1"/>
    <xf numFmtId="0" fontId="121" fillId="0" borderId="0" xfId="0" applyFont="1" applyFill="1" applyBorder="1" applyAlignment="1">
      <alignment horizontal="right"/>
    </xf>
    <xf numFmtId="10" fontId="32" fillId="0" borderId="0" xfId="25758" applyNumberFormat="1" applyFont="1" applyFill="1" applyBorder="1" applyAlignment="1" applyProtection="1">
      <alignment horizontal="center"/>
    </xf>
    <xf numFmtId="10" fontId="32" fillId="0" borderId="0" xfId="25758" applyNumberFormat="1" applyFont="1" applyFill="1" applyBorder="1" applyAlignment="1">
      <alignment horizontal="center"/>
    </xf>
    <xf numFmtId="43" fontId="32" fillId="0" borderId="81" xfId="0" applyNumberFormat="1" applyFont="1" applyFill="1" applyBorder="1"/>
    <xf numFmtId="39" fontId="32" fillId="0" borderId="132" xfId="0" applyNumberFormat="1" applyFont="1" applyFill="1" applyBorder="1"/>
    <xf numFmtId="43" fontId="32" fillId="0" borderId="84" xfId="0" applyNumberFormat="1" applyFont="1" applyFill="1" applyBorder="1"/>
    <xf numFmtId="43" fontId="32" fillId="0" borderId="54" xfId="0" applyNumberFormat="1" applyFont="1" applyFill="1" applyBorder="1"/>
    <xf numFmtId="39" fontId="32" fillId="0" borderId="85" xfId="0" applyNumberFormat="1" applyFont="1" applyFill="1" applyBorder="1"/>
    <xf numFmtId="39" fontId="32" fillId="0" borderId="79" xfId="0" applyNumberFormat="1" applyFont="1" applyFill="1" applyBorder="1"/>
    <xf numFmtId="43" fontId="32" fillId="0" borderId="86" xfId="0" applyNumberFormat="1" applyFont="1" applyFill="1" applyBorder="1"/>
    <xf numFmtId="0" fontId="122" fillId="0" borderId="0" xfId="0" applyFont="1" applyFill="1" applyAlignment="1">
      <alignment horizontal="center" vertical="center"/>
    </xf>
    <xf numFmtId="0" fontId="122" fillId="0" borderId="0" xfId="0" applyFont="1" applyFill="1" applyAlignment="1">
      <alignment vertical="center"/>
    </xf>
    <xf numFmtId="0" fontId="122" fillId="0" borderId="0" xfId="0" applyFont="1" applyFill="1" applyAlignment="1">
      <alignment vertical="top" wrapText="1"/>
    </xf>
    <xf numFmtId="0" fontId="122" fillId="0" borderId="0" xfId="0" applyFont="1" applyFill="1" applyBorder="1" applyAlignment="1">
      <alignment vertical="center" wrapText="1"/>
    </xf>
    <xf numFmtId="39" fontId="122" fillId="0" borderId="0" xfId="25745" applyNumberFormat="1" applyFont="1"/>
    <xf numFmtId="39" fontId="122" fillId="0" borderId="0" xfId="0" applyNumberFormat="1" applyFont="1"/>
    <xf numFmtId="39" fontId="122" fillId="0" borderId="49" xfId="0" applyNumberFormat="1" applyFont="1" applyBorder="1"/>
    <xf numFmtId="14" fontId="32" fillId="0" borderId="0" xfId="25742" applyNumberFormat="1" applyFont="1" applyFill="1" applyBorder="1"/>
    <xf numFmtId="14" fontId="32" fillId="0" borderId="0" xfId="25750" applyNumberFormat="1" applyFont="1" applyFill="1" applyBorder="1"/>
    <xf numFmtId="14" fontId="32" fillId="0" borderId="0" xfId="25750" applyNumberFormat="1" applyFont="1" applyFill="1"/>
    <xf numFmtId="14" fontId="32" fillId="0" borderId="0" xfId="25794" applyNumberFormat="1" applyFont="1" applyFill="1"/>
    <xf numFmtId="14" fontId="32" fillId="0" borderId="0" xfId="25794" applyNumberFormat="1" applyFont="1" applyFill="1" applyAlignment="1">
      <alignment horizontal="center"/>
    </xf>
    <xf numFmtId="14" fontId="122" fillId="0" borderId="0" xfId="0" applyNumberFormat="1" applyFont="1" applyFill="1" applyAlignment="1">
      <alignment horizontal="center"/>
    </xf>
    <xf numFmtId="10" fontId="32" fillId="0" borderId="0" xfId="25750" applyNumberFormat="1" applyFont="1" applyFill="1"/>
    <xf numFmtId="10" fontId="32" fillId="0" borderId="0" xfId="25793" applyNumberFormat="1" applyFont="1" applyFill="1"/>
    <xf numFmtId="43" fontId="32" fillId="0" borderId="159" xfId="25742" applyFont="1" applyFill="1" applyBorder="1"/>
    <xf numFmtId="4" fontId="32" fillId="0" borderId="0" xfId="25794" applyNumberFormat="1" applyFont="1" applyFill="1"/>
    <xf numFmtId="0" fontId="122" fillId="0" borderId="0" xfId="0" applyFont="1" applyFill="1" applyAlignment="1">
      <alignment wrapText="1"/>
    </xf>
    <xf numFmtId="0" fontId="0" fillId="0" borderId="0" xfId="0" applyAlignment="1">
      <alignment horizontal="left"/>
    </xf>
    <xf numFmtId="39" fontId="122" fillId="0" borderId="0" xfId="0" applyNumberFormat="1" applyFont="1" applyFill="1" applyBorder="1"/>
    <xf numFmtId="10" fontId="0" fillId="0" borderId="0" xfId="25793" applyNumberFormat="1" applyFont="1" applyFill="1"/>
    <xf numFmtId="0" fontId="20" fillId="0" borderId="0" xfId="28781" applyFont="1" applyFill="1" applyBorder="1" applyAlignment="1">
      <alignment horizontal="center"/>
    </xf>
    <xf numFmtId="5" fontId="121" fillId="0" borderId="15" xfId="25457" applyNumberFormat="1" applyFont="1" applyFill="1" applyBorder="1">
      <alignment horizontal="right"/>
    </xf>
    <xf numFmtId="5" fontId="32" fillId="0" borderId="14" xfId="25456" applyNumberFormat="1" applyFont="1" applyFill="1" applyBorder="1"/>
    <xf numFmtId="5" fontId="121" fillId="0" borderId="51" xfId="25456" applyNumberFormat="1" applyFont="1" applyFill="1" applyBorder="1"/>
    <xf numFmtId="5" fontId="121" fillId="0" borderId="64" xfId="25456" applyNumberFormat="1" applyFont="1" applyFill="1" applyBorder="1"/>
    <xf numFmtId="5" fontId="32" fillId="0" borderId="16" xfId="25456" applyNumberFormat="1" applyFont="1" applyFill="1" applyBorder="1"/>
    <xf numFmtId="38" fontId="32" fillId="0" borderId="11" xfId="3" applyNumberFormat="1" applyFont="1" applyFill="1" applyBorder="1">
      <alignment horizontal="right"/>
    </xf>
    <xf numFmtId="38" fontId="32" fillId="0" borderId="18" xfId="3" applyNumberFormat="1" applyFont="1" applyFill="1" applyBorder="1">
      <alignment horizontal="right"/>
    </xf>
    <xf numFmtId="38" fontId="32" fillId="0" borderId="132" xfId="3" applyNumberFormat="1" applyFont="1" applyFill="1" applyBorder="1">
      <alignment horizontal="right"/>
    </xf>
    <xf numFmtId="10" fontId="32" fillId="0" borderId="132" xfId="4" applyNumberFormat="1" applyFont="1" applyFill="1" applyBorder="1"/>
    <xf numFmtId="10" fontId="32" fillId="0" borderId="0" xfId="4" applyNumberFormat="1" applyFont="1" applyFill="1" applyBorder="1"/>
    <xf numFmtId="167" fontId="32" fillId="0" borderId="0" xfId="4" applyNumberFormat="1" applyFont="1" applyFill="1" applyBorder="1"/>
    <xf numFmtId="38" fontId="32" fillId="0" borderId="33" xfId="2" applyNumberFormat="1" applyFont="1" applyFill="1" applyBorder="1" applyProtection="1"/>
    <xf numFmtId="38" fontId="32" fillId="0" borderId="34" xfId="2" applyNumberFormat="1" applyFont="1" applyFill="1" applyBorder="1" applyProtection="1"/>
    <xf numFmtId="38" fontId="32" fillId="0" borderId="15" xfId="3" applyNumberFormat="1" applyFont="1" applyFill="1" applyBorder="1">
      <alignment horizontal="right"/>
    </xf>
    <xf numFmtId="38" fontId="32" fillId="0" borderId="84" xfId="3" applyNumberFormat="1" applyFont="1" applyFill="1" applyBorder="1">
      <alignment horizontal="right"/>
    </xf>
    <xf numFmtId="38" fontId="32" fillId="0" borderId="79" xfId="3" applyNumberFormat="1" applyFont="1" applyFill="1" applyBorder="1">
      <alignment horizontal="right"/>
    </xf>
    <xf numFmtId="38" fontId="32" fillId="0" borderId="83" xfId="3" applyNumberFormat="1" applyFont="1" applyFill="1" applyBorder="1">
      <alignment horizontal="right"/>
    </xf>
    <xf numFmtId="5" fontId="122" fillId="0" borderId="0" xfId="0" applyNumberFormat="1" applyFont="1" applyFill="1"/>
    <xf numFmtId="188" fontId="122" fillId="0" borderId="55" xfId="0" applyNumberFormat="1" applyFont="1" applyFill="1" applyBorder="1"/>
    <xf numFmtId="184" fontId="122" fillId="0" borderId="55" xfId="0" applyNumberFormat="1" applyFont="1" applyFill="1" applyBorder="1"/>
    <xf numFmtId="188" fontId="124" fillId="0" borderId="79" xfId="0" applyNumberFormat="1" applyFont="1" applyFill="1" applyBorder="1"/>
    <xf numFmtId="167" fontId="124" fillId="0" borderId="0" xfId="0" applyNumberFormat="1" applyFont="1" applyFill="1"/>
    <xf numFmtId="202" fontId="32" fillId="0" borderId="0" xfId="25745" applyNumberFormat="1" applyFont="1" applyFill="1" applyAlignment="1"/>
    <xf numFmtId="202" fontId="121" fillId="0" borderId="80" xfId="25745" applyNumberFormat="1" applyFont="1" applyFill="1" applyBorder="1" applyAlignment="1"/>
    <xf numFmtId="39" fontId="122" fillId="0" borderId="49" xfId="0" applyNumberFormat="1" applyFont="1" applyFill="1" applyBorder="1"/>
    <xf numFmtId="39" fontId="122" fillId="0" borderId="79" xfId="25745" applyNumberFormat="1" applyFont="1" applyFill="1" applyBorder="1"/>
    <xf numFmtId="44" fontId="0" fillId="0" borderId="79" xfId="25745" applyNumberFormat="1" applyFont="1" applyFill="1" applyBorder="1"/>
    <xf numFmtId="10" fontId="0" fillId="0" borderId="0" xfId="0" applyNumberFormat="1" applyFill="1"/>
    <xf numFmtId="10" fontId="122" fillId="0" borderId="0" xfId="25793" applyNumberFormat="1" applyFont="1" applyFill="1"/>
    <xf numFmtId="0" fontId="126" fillId="95" borderId="0" xfId="0" quotePrefix="1" applyFont="1" applyFill="1"/>
    <xf numFmtId="0" fontId="126" fillId="95" borderId="0" xfId="0" applyFont="1" applyFill="1"/>
    <xf numFmtId="43" fontId="126" fillId="95" borderId="0" xfId="25742" applyFont="1" applyFill="1"/>
    <xf numFmtId="0" fontId="127" fillId="0" borderId="168" xfId="0" applyFont="1" applyFill="1" applyBorder="1"/>
    <xf numFmtId="0" fontId="127" fillId="0" borderId="168" xfId="0" applyFont="1" applyFill="1" applyBorder="1" applyAlignment="1">
      <alignment horizontal="center"/>
    </xf>
    <xf numFmtId="188" fontId="127" fillId="0" borderId="0" xfId="0" applyNumberFormat="1" applyFont="1" applyFill="1" applyBorder="1"/>
    <xf numFmtId="10" fontId="126" fillId="95" borderId="0" xfId="0" applyNumberFormat="1" applyFont="1" applyFill="1"/>
    <xf numFmtId="10" fontId="126" fillId="95" borderId="49" xfId="0" applyNumberFormat="1" applyFont="1" applyFill="1" applyBorder="1"/>
    <xf numFmtId="167" fontId="145" fillId="98" borderId="0" xfId="25292" applyNumberFormat="1" applyFont="1" applyFill="1" applyBorder="1" applyAlignment="1">
      <alignment horizontal="center"/>
    </xf>
    <xf numFmtId="0" fontId="0" fillId="0" borderId="0" xfId="0" applyAlignment="1">
      <alignment horizontal="left"/>
    </xf>
    <xf numFmtId="0" fontId="16" fillId="0" borderId="0" xfId="0" applyFont="1"/>
    <xf numFmtId="0" fontId="147" fillId="0" borderId="88" xfId="0" applyFont="1" applyBorder="1"/>
    <xf numFmtId="0" fontId="0" fillId="0" borderId="89" xfId="0" applyBorder="1" applyAlignment="1">
      <alignment horizontal="center"/>
    </xf>
    <xf numFmtId="0" fontId="0" fillId="0" borderId="95" xfId="0" applyBorder="1"/>
    <xf numFmtId="0" fontId="0" fillId="0" borderId="0" xfId="0" applyAlignment="1">
      <alignment horizontal="right"/>
    </xf>
    <xf numFmtId="0" fontId="14" fillId="0" borderId="0" xfId="0" applyFont="1"/>
    <xf numFmtId="166" fontId="0" fillId="0" borderId="0" xfId="0" applyNumberFormat="1"/>
    <xf numFmtId="202" fontId="139" fillId="0" borderId="0" xfId="25745" applyNumberFormat="1" applyFont="1"/>
    <xf numFmtId="43" fontId="0" fillId="0" borderId="0" xfId="0" applyNumberFormat="1"/>
    <xf numFmtId="0" fontId="139" fillId="0" borderId="88" xfId="0" applyFont="1" applyBorder="1"/>
    <xf numFmtId="0" fontId="139" fillId="0" borderId="0" xfId="0" applyFont="1"/>
    <xf numFmtId="0" fontId="139" fillId="0" borderId="91" xfId="0" applyFont="1" applyBorder="1"/>
    <xf numFmtId="0" fontId="139" fillId="0" borderId="92" xfId="0" applyFont="1" applyBorder="1"/>
    <xf numFmtId="0" fontId="139" fillId="0" borderId="178" xfId="0" applyFont="1" applyBorder="1"/>
    <xf numFmtId="166" fontId="139" fillId="0" borderId="0" xfId="0" applyNumberFormat="1" applyFont="1"/>
    <xf numFmtId="0" fontId="139" fillId="0" borderId="11" xfId="0" applyFont="1" applyBorder="1"/>
    <xf numFmtId="10" fontId="139" fillId="0" borderId="0" xfId="25793" applyNumberFormat="1" applyFont="1"/>
    <xf numFmtId="0" fontId="139" fillId="0" borderId="0" xfId="0" applyFont="1" applyAlignment="1">
      <alignment horizontal="left" indent="1"/>
    </xf>
    <xf numFmtId="204" fontId="139" fillId="0" borderId="0" xfId="0" applyNumberFormat="1" applyFont="1"/>
    <xf numFmtId="203" fontId="139" fillId="0" borderId="0" xfId="25793" applyNumberFormat="1" applyFont="1"/>
    <xf numFmtId="0" fontId="139" fillId="0" borderId="88" xfId="0" applyFont="1" applyBorder="1" applyAlignment="1">
      <alignment horizontal="left" indent="1"/>
    </xf>
    <xf numFmtId="10" fontId="139" fillId="0" borderId="0" xfId="0" applyNumberFormat="1" applyFont="1"/>
    <xf numFmtId="43" fontId="1" fillId="0" borderId="0" xfId="25742"/>
    <xf numFmtId="202" fontId="144" fillId="0" borderId="86" xfId="25745" applyNumberFormat="1" applyFont="1" applyBorder="1"/>
    <xf numFmtId="202" fontId="150" fillId="0" borderId="49" xfId="25745" applyNumberFormat="1" applyFont="1" applyBorder="1"/>
    <xf numFmtId="202" fontId="150" fillId="0" borderId="21" xfId="25745" applyNumberFormat="1" applyFont="1" applyBorder="1"/>
    <xf numFmtId="0" fontId="20" fillId="0" borderId="0" xfId="33354" applyFont="1"/>
    <xf numFmtId="0" fontId="144" fillId="0" borderId="0" xfId="0" applyFont="1" applyAlignment="1">
      <alignment horizontal="right"/>
    </xf>
    <xf numFmtId="3" fontId="139" fillId="0" borderId="0" xfId="0" applyNumberFormat="1" applyFont="1"/>
    <xf numFmtId="0" fontId="144" fillId="0" borderId="0" xfId="0" applyFont="1"/>
    <xf numFmtId="0" fontId="139" fillId="0" borderId="0" xfId="0" applyFont="1" applyAlignment="1">
      <alignment horizontal="right"/>
    </xf>
    <xf numFmtId="0" fontId="153" fillId="0" borderId="0" xfId="0" applyFont="1"/>
    <xf numFmtId="0" fontId="139" fillId="0" borderId="0" xfId="0" applyFont="1" applyAlignment="1">
      <alignment horizontal="center"/>
    </xf>
    <xf numFmtId="0" fontId="154" fillId="0" borderId="0" xfId="0" applyFont="1" applyAlignment="1">
      <alignment horizontal="center"/>
    </xf>
    <xf numFmtId="0" fontId="139" fillId="0" borderId="143" xfId="0" applyFont="1" applyBorder="1"/>
    <xf numFmtId="0" fontId="139" fillId="0" borderId="165" xfId="0" applyFont="1" applyBorder="1" applyAlignment="1">
      <alignment horizontal="center"/>
    </xf>
    <xf numFmtId="0" fontId="139" fillId="0" borderId="133" xfId="0" applyFont="1" applyBorder="1" applyAlignment="1">
      <alignment horizontal="center"/>
    </xf>
    <xf numFmtId="0" fontId="139" fillId="0" borderId="132" xfId="0" applyFont="1" applyBorder="1"/>
    <xf numFmtId="0" fontId="154" fillId="0" borderId="11" xfId="0" applyFont="1" applyBorder="1" applyAlignment="1">
      <alignment horizontal="center"/>
    </xf>
    <xf numFmtId="190" fontId="139" fillId="0" borderId="0" xfId="0" applyNumberFormat="1" applyFont="1"/>
    <xf numFmtId="0" fontId="139" fillId="0" borderId="171" xfId="0" applyFont="1" applyBorder="1"/>
    <xf numFmtId="0" fontId="154" fillId="0" borderId="0" xfId="0" applyFont="1" applyAlignment="1">
      <alignment horizontal="centerContinuous"/>
    </xf>
    <xf numFmtId="190" fontId="139" fillId="0" borderId="0" xfId="25745" applyNumberFormat="1" applyFont="1" applyAlignment="1">
      <alignment horizontal="center"/>
    </xf>
    <xf numFmtId="10" fontId="139" fillId="0" borderId="0" xfId="25793" applyNumberFormat="1" applyFont="1" applyAlignment="1">
      <alignment horizontal="center"/>
    </xf>
    <xf numFmtId="190" fontId="139" fillId="0" borderId="0" xfId="25745" applyNumberFormat="1" applyFont="1"/>
    <xf numFmtId="204" fontId="139" fillId="95" borderId="168" xfId="0" applyNumberFormat="1" applyFont="1" applyFill="1" applyBorder="1"/>
    <xf numFmtId="204" fontId="139" fillId="0" borderId="172" xfId="0" applyNumberFormat="1" applyFont="1" applyBorder="1"/>
    <xf numFmtId="3" fontId="139" fillId="0" borderId="0" xfId="0" applyNumberFormat="1" applyFont="1" applyAlignment="1">
      <alignment horizontal="center"/>
    </xf>
    <xf numFmtId="0" fontId="139" fillId="0" borderId="132" xfId="0" applyFont="1" applyBorder="1" applyAlignment="1">
      <alignment horizontal="left" indent="1"/>
    </xf>
    <xf numFmtId="204" fontId="139" fillId="0" borderId="168" xfId="0" applyNumberFormat="1" applyFont="1" applyBorder="1"/>
    <xf numFmtId="3" fontId="144" fillId="0" borderId="0" xfId="0" applyNumberFormat="1" applyFont="1" applyAlignment="1">
      <alignment horizontal="center"/>
    </xf>
    <xf numFmtId="0" fontId="144" fillId="0" borderId="0" xfId="0" applyFont="1" applyAlignment="1">
      <alignment horizontal="center"/>
    </xf>
    <xf numFmtId="190" fontId="139" fillId="0" borderId="11" xfId="0" applyNumberFormat="1" applyFont="1" applyBorder="1"/>
    <xf numFmtId="0" fontId="17" fillId="0" borderId="0" xfId="0" applyFont="1"/>
    <xf numFmtId="0" fontId="155" fillId="0" borderId="0" xfId="0" applyFont="1"/>
    <xf numFmtId="0" fontId="0" fillId="0" borderId="168" xfId="0" applyBorder="1" applyAlignment="1">
      <alignment horizontal="center" wrapText="1"/>
    </xf>
    <xf numFmtId="0" fontId="0" fillId="0" borderId="168" xfId="0" applyBorder="1" applyAlignment="1">
      <alignment horizontal="center"/>
    </xf>
    <xf numFmtId="0" fontId="0" fillId="0" borderId="0" xfId="0" applyAlignment="1">
      <alignment horizontal="center" wrapText="1"/>
    </xf>
    <xf numFmtId="0" fontId="0" fillId="101" borderId="0" xfId="0" applyFill="1"/>
    <xf numFmtId="0" fontId="156" fillId="0" borderId="0" xfId="0" applyFont="1"/>
    <xf numFmtId="0" fontId="0" fillId="102" borderId="0" xfId="0" applyFill="1"/>
    <xf numFmtId="0" fontId="0" fillId="103" borderId="0" xfId="0" applyFill="1"/>
    <xf numFmtId="0" fontId="0" fillId="104" borderId="0" xfId="0" applyFill="1"/>
    <xf numFmtId="0" fontId="0" fillId="91" borderId="0" xfId="0" applyFill="1"/>
    <xf numFmtId="0" fontId="0" fillId="105" borderId="0" xfId="0" applyFill="1"/>
    <xf numFmtId="0" fontId="0" fillId="106" borderId="0" xfId="0" applyFill="1"/>
    <xf numFmtId="0" fontId="139" fillId="0" borderId="165" xfId="0" quotePrefix="1" applyFont="1" applyBorder="1" applyAlignment="1">
      <alignment horizontal="center"/>
    </xf>
    <xf numFmtId="0" fontId="139" fillId="0" borderId="11" xfId="0" applyFont="1" applyBorder="1" applyAlignment="1">
      <alignment horizontal="center"/>
    </xf>
    <xf numFmtId="0" fontId="139" fillId="0" borderId="168" xfId="0" applyFont="1" applyBorder="1" applyAlignment="1">
      <alignment horizontal="center"/>
    </xf>
    <xf numFmtId="0" fontId="139" fillId="0" borderId="172" xfId="0" applyFont="1" applyBorder="1" applyAlignment="1">
      <alignment horizontal="center"/>
    </xf>
    <xf numFmtId="0" fontId="139" fillId="0" borderId="0" xfId="0" applyFont="1" applyAlignment="1">
      <alignment horizontal="left"/>
    </xf>
    <xf numFmtId="0" fontId="157" fillId="0" borderId="0" xfId="0" applyFont="1"/>
    <xf numFmtId="190" fontId="139" fillId="0" borderId="0" xfId="0" applyNumberFormat="1" applyFont="1" applyAlignment="1">
      <alignment horizontal="right"/>
    </xf>
    <xf numFmtId="44" fontId="139" fillId="0" borderId="0" xfId="0" applyNumberFormat="1" applyFont="1"/>
    <xf numFmtId="0" fontId="139" fillId="0" borderId="0" xfId="28781" applyFont="1"/>
    <xf numFmtId="0" fontId="18" fillId="0" borderId="0" xfId="0" applyFont="1" applyAlignment="1">
      <alignment vertical="top"/>
    </xf>
    <xf numFmtId="0" fontId="139" fillId="0" borderId="0" xfId="30158" applyFont="1"/>
    <xf numFmtId="37" fontId="139" fillId="0" borderId="0" xfId="0" applyNumberFormat="1" applyFont="1"/>
    <xf numFmtId="44" fontId="139" fillId="0" borderId="0" xfId="25745" applyFont="1"/>
    <xf numFmtId="166" fontId="139" fillId="0" borderId="0" xfId="25742" applyNumberFormat="1" applyFont="1"/>
    <xf numFmtId="0" fontId="18" fillId="0" borderId="0" xfId="0" applyFont="1" applyAlignment="1">
      <alignment horizontal="left" vertical="center" wrapText="1"/>
    </xf>
    <xf numFmtId="0" fontId="1" fillId="0" borderId="0" xfId="30158" applyFont="1"/>
    <xf numFmtId="205" fontId="139" fillId="0" borderId="0" xfId="25745" applyNumberFormat="1" applyFont="1"/>
    <xf numFmtId="0" fontId="0" fillId="0" borderId="0" xfId="30158" applyFont="1"/>
    <xf numFmtId="0" fontId="0" fillId="0" borderId="88" xfId="0" applyBorder="1" applyAlignment="1">
      <alignment horizontal="center"/>
    </xf>
    <xf numFmtId="166" fontId="0" fillId="0" borderId="0" xfId="25742" applyNumberFormat="1" applyFont="1"/>
    <xf numFmtId="0" fontId="0" fillId="0" borderId="49" xfId="0" applyBorder="1"/>
    <xf numFmtId="0" fontId="0" fillId="95" borderId="0" xfId="0" applyFill="1"/>
    <xf numFmtId="14" fontId="0" fillId="0" borderId="0" xfId="0" applyNumberFormat="1"/>
    <xf numFmtId="166" fontId="0" fillId="95" borderId="0" xfId="25742" applyNumberFormat="1" applyFont="1" applyFill="1"/>
    <xf numFmtId="0" fontId="139" fillId="0" borderId="0" xfId="25986" applyFont="1"/>
    <xf numFmtId="0" fontId="144" fillId="0" borderId="0" xfId="25986" applyFont="1"/>
    <xf numFmtId="0" fontId="139" fillId="0" borderId="14" xfId="25986" applyFont="1" applyBorder="1"/>
    <xf numFmtId="166" fontId="164" fillId="0" borderId="150" xfId="25742" applyNumberFormat="1" applyFont="1" applyBorder="1" applyAlignment="1">
      <alignment wrapText="1"/>
    </xf>
    <xf numFmtId="17" fontId="139" fillId="0" borderId="82" xfId="25745" applyNumberFormat="1" applyFont="1" applyBorder="1"/>
    <xf numFmtId="166" fontId="164" fillId="0" borderId="81" xfId="25742" applyNumberFormat="1" applyFont="1" applyBorder="1" applyAlignment="1">
      <alignment wrapText="1"/>
    </xf>
    <xf numFmtId="17" fontId="139" fillId="0" borderId="150" xfId="25745" applyNumberFormat="1" applyFont="1" applyBorder="1"/>
    <xf numFmtId="44" fontId="139" fillId="0" borderId="0" xfId="25745" applyFont="1" applyAlignment="1">
      <alignment horizontal="center"/>
    </xf>
    <xf numFmtId="0" fontId="20" fillId="0" borderId="0" xfId="30157" applyFont="1">
      <alignment vertical="top"/>
    </xf>
    <xf numFmtId="166" fontId="60" fillId="0" borderId="0" xfId="25742" applyNumberFormat="1" applyFont="1"/>
    <xf numFmtId="44" fontId="60" fillId="0" borderId="0" xfId="25745" applyFont="1"/>
    <xf numFmtId="39" fontId="18" fillId="0" borderId="0" xfId="30157" applyNumberFormat="1" applyFont="1">
      <alignment vertical="top"/>
    </xf>
    <xf numFmtId="44" fontId="18" fillId="0" borderId="0" xfId="25745" applyFont="1" applyAlignment="1">
      <alignment vertical="top"/>
    </xf>
    <xf numFmtId="44" fontId="18" fillId="0" borderId="0" xfId="25745" applyFont="1" applyAlignment="1">
      <alignment horizontal="right" vertical="center" wrapText="1"/>
    </xf>
    <xf numFmtId="166" fontId="18" fillId="0" borderId="0" xfId="25742" applyNumberFormat="1" applyFont="1" applyAlignment="1">
      <alignment vertical="top"/>
    </xf>
    <xf numFmtId="166" fontId="18" fillId="0" borderId="0" xfId="25742" applyNumberFormat="1" applyFont="1" applyAlignment="1">
      <alignment horizontal="right" vertical="center" wrapText="1"/>
    </xf>
    <xf numFmtId="43" fontId="18" fillId="0" borderId="0" xfId="25742" applyFont="1" applyAlignment="1">
      <alignment vertical="top"/>
    </xf>
    <xf numFmtId="4" fontId="139" fillId="0" borderId="0" xfId="25986" applyNumberFormat="1" applyFont="1"/>
    <xf numFmtId="43" fontId="139" fillId="0" borderId="0" xfId="25742" applyFont="1"/>
    <xf numFmtId="43" fontId="60" fillId="0" borderId="0" xfId="25742" applyFont="1"/>
    <xf numFmtId="166" fontId="18" fillId="0" borderId="0" xfId="25742" applyNumberFormat="1" applyFont="1"/>
    <xf numFmtId="43" fontId="18" fillId="0" borderId="0" xfId="25742" applyFont="1"/>
    <xf numFmtId="43" fontId="144" fillId="0" borderId="0" xfId="25742" applyFont="1"/>
    <xf numFmtId="166" fontId="14" fillId="108" borderId="0" xfId="25742" applyNumberFormat="1" applyFont="1" applyFill="1"/>
    <xf numFmtId="184" fontId="139" fillId="0" borderId="0" xfId="25986" applyNumberFormat="1" applyFont="1"/>
    <xf numFmtId="166" fontId="139" fillId="0" borderId="0" xfId="25745" applyNumberFormat="1" applyFont="1"/>
    <xf numFmtId="39" fontId="139" fillId="0" borderId="0" xfId="25745" applyNumberFormat="1" applyFont="1"/>
    <xf numFmtId="37" fontId="18" fillId="0" borderId="0" xfId="30157" applyNumberFormat="1" applyFont="1">
      <alignment vertical="top"/>
    </xf>
    <xf numFmtId="44" fontId="18" fillId="0" borderId="0" xfId="25745" applyFont="1"/>
    <xf numFmtId="44" fontId="139" fillId="0" borderId="0" xfId="25986" applyNumberFormat="1" applyFont="1"/>
    <xf numFmtId="166" fontId="18" fillId="0" borderId="0" xfId="30157" applyNumberFormat="1" applyFont="1">
      <alignment vertical="top"/>
    </xf>
    <xf numFmtId="166" fontId="139" fillId="95" borderId="0" xfId="25742" applyNumberFormat="1" applyFont="1" applyFill="1"/>
    <xf numFmtId="0" fontId="18" fillId="0" borderId="0" xfId="30157" applyFont="1">
      <alignment vertical="top"/>
    </xf>
    <xf numFmtId="2" fontId="139" fillId="0" borderId="0" xfId="25986" applyNumberFormat="1" applyFont="1"/>
    <xf numFmtId="216" fontId="139" fillId="0" borderId="0" xfId="25986" applyNumberFormat="1" applyFont="1"/>
    <xf numFmtId="217" fontId="139" fillId="0" borderId="0" xfId="25986" applyNumberFormat="1" applyFont="1"/>
    <xf numFmtId="202" fontId="18" fillId="0" borderId="0" xfId="25745" applyNumberFormat="1" applyFont="1" applyAlignment="1">
      <alignment vertical="top"/>
    </xf>
    <xf numFmtId="41" fontId="18" fillId="0" borderId="0" xfId="25745" applyNumberFormat="1" applyFont="1" applyAlignment="1">
      <alignment vertical="top"/>
    </xf>
    <xf numFmtId="37" fontId="18" fillId="0" borderId="0" xfId="25745" applyNumberFormat="1" applyFont="1" applyAlignment="1">
      <alignment vertical="top"/>
    </xf>
    <xf numFmtId="37" fontId="18" fillId="0" borderId="0" xfId="0" applyNumberFormat="1" applyFont="1" applyAlignment="1">
      <alignment vertical="top"/>
    </xf>
    <xf numFmtId="44" fontId="47" fillId="0" borderId="0" xfId="25745" applyFont="1" applyAlignment="1">
      <alignment vertical="top"/>
    </xf>
    <xf numFmtId="0" fontId="139" fillId="0" borderId="0" xfId="0" applyFont="1" applyAlignment="1">
      <alignment vertical="top"/>
    </xf>
    <xf numFmtId="166" fontId="139" fillId="0" borderId="0" xfId="25742" applyNumberFormat="1" applyFont="1" applyAlignment="1">
      <alignment wrapText="1"/>
    </xf>
    <xf numFmtId="5" fontId="139" fillId="0" borderId="0" xfId="0" applyNumberFormat="1" applyFont="1"/>
    <xf numFmtId="0" fontId="170" fillId="0" borderId="0" xfId="30157" applyFont="1">
      <alignment vertical="top"/>
    </xf>
    <xf numFmtId="44" fontId="166" fillId="0" borderId="0" xfId="25745" applyFont="1" applyAlignment="1">
      <alignment vertical="top"/>
    </xf>
    <xf numFmtId="0" fontId="149" fillId="0" borderId="0" xfId="30158" applyFont="1" applyAlignment="1">
      <alignment horizontal="center"/>
    </xf>
    <xf numFmtId="0" fontId="149" fillId="0" borderId="0" xfId="30158" quotePrefix="1" applyFont="1" applyAlignment="1">
      <alignment horizontal="left"/>
    </xf>
    <xf numFmtId="17" fontId="139" fillId="0" borderId="0" xfId="30158" applyNumberFormat="1" applyFont="1"/>
    <xf numFmtId="0" fontId="139" fillId="0" borderId="0" xfId="30158" applyFont="1" applyAlignment="1">
      <alignment horizontal="center"/>
    </xf>
    <xf numFmtId="0" fontId="16" fillId="0" borderId="0" xfId="30158" applyFont="1"/>
    <xf numFmtId="0" fontId="1" fillId="0" borderId="0" xfId="30158" applyFont="1" applyAlignment="1">
      <alignment horizontal="center"/>
    </xf>
    <xf numFmtId="166" fontId="1" fillId="0" borderId="0" xfId="30158" applyNumberFormat="1" applyFont="1"/>
    <xf numFmtId="166" fontId="1" fillId="0" borderId="0" xfId="30159" applyNumberFormat="1" applyFont="1"/>
    <xf numFmtId="0" fontId="163" fillId="0" borderId="0" xfId="30158" applyFont="1" applyAlignment="1">
      <alignment horizontal="left" indent="1"/>
    </xf>
    <xf numFmtId="43" fontId="1" fillId="0" borderId="0" xfId="30159" applyFont="1"/>
    <xf numFmtId="166" fontId="139" fillId="0" borderId="0" xfId="30159" applyNumberFormat="1" applyFont="1"/>
    <xf numFmtId="43" fontId="160" fillId="0" borderId="0" xfId="28916" applyFont="1" applyAlignment="1">
      <alignment horizontal="center"/>
    </xf>
    <xf numFmtId="0" fontId="163" fillId="0" borderId="0" xfId="30158" applyFont="1"/>
    <xf numFmtId="199" fontId="1" fillId="0" borderId="0" xfId="25742" applyNumberFormat="1"/>
    <xf numFmtId="0" fontId="163" fillId="0" borderId="0" xfId="30158" applyFont="1" applyAlignment="1">
      <alignment horizontal="left"/>
    </xf>
    <xf numFmtId="0" fontId="1" fillId="0" borderId="0" xfId="30158" applyFont="1" applyAlignment="1">
      <alignment horizontal="left" indent="1"/>
    </xf>
    <xf numFmtId="0" fontId="1" fillId="0" borderId="0" xfId="30158" applyFont="1" applyAlignment="1">
      <alignment horizontal="right"/>
    </xf>
    <xf numFmtId="37" fontId="1" fillId="0" borderId="0" xfId="30158" applyNumberFormat="1" applyFont="1"/>
    <xf numFmtId="199" fontId="1" fillId="0" borderId="0" xfId="30158" applyNumberFormat="1" applyFont="1"/>
    <xf numFmtId="43" fontId="1" fillId="0" borderId="0" xfId="30158" applyNumberFormat="1" applyFont="1"/>
    <xf numFmtId="43" fontId="163" fillId="0" borderId="0" xfId="30158" applyNumberFormat="1" applyFont="1" applyAlignment="1">
      <alignment horizontal="left" indent="1"/>
    </xf>
    <xf numFmtId="0" fontId="139" fillId="100" borderId="14" xfId="0" applyFont="1" applyFill="1" applyBorder="1" applyAlignment="1">
      <alignment horizontal="center"/>
    </xf>
    <xf numFmtId="0" fontId="139" fillId="100" borderId="186" xfId="0" applyFont="1" applyFill="1" applyBorder="1" applyAlignment="1">
      <alignment horizontal="center"/>
    </xf>
    <xf numFmtId="0" fontId="139" fillId="0" borderId="14" xfId="0" applyFont="1" applyBorder="1" applyAlignment="1">
      <alignment horizontal="left"/>
    </xf>
    <xf numFmtId="166" fontId="139" fillId="0" borderId="14" xfId="25742" applyNumberFormat="1" applyFont="1" applyBorder="1"/>
    <xf numFmtId="166" fontId="139" fillId="0" borderId="186" xfId="25742" applyNumberFormat="1" applyFont="1" applyBorder="1"/>
    <xf numFmtId="0" fontId="144" fillId="0" borderId="14" xfId="0" applyFont="1" applyBorder="1" applyAlignment="1">
      <alignment horizontal="left"/>
    </xf>
    <xf numFmtId="43" fontId="144" fillId="0" borderId="14" xfId="25742" applyFont="1" applyBorder="1"/>
    <xf numFmtId="43" fontId="144" fillId="0" borderId="186" xfId="25742" applyFont="1" applyBorder="1"/>
    <xf numFmtId="0" fontId="0" fillId="95" borderId="91" xfId="0" applyFill="1" applyBorder="1"/>
    <xf numFmtId="0" fontId="0" fillId="95" borderId="93" xfId="0" applyFill="1" applyBorder="1"/>
    <xf numFmtId="0" fontId="139" fillId="101" borderId="14" xfId="0" applyFont="1" applyFill="1" applyBorder="1" applyAlignment="1">
      <alignment horizontal="left"/>
    </xf>
    <xf numFmtId="166" fontId="139" fillId="101" borderId="14" xfId="25742" applyNumberFormat="1" applyFont="1" applyFill="1" applyBorder="1"/>
    <xf numFmtId="166" fontId="139" fillId="101" borderId="186" xfId="25742" applyNumberFormat="1" applyFont="1" applyFill="1" applyBorder="1"/>
    <xf numFmtId="0" fontId="16" fillId="95" borderId="88" xfId="0" applyFont="1" applyFill="1" applyBorder="1"/>
    <xf numFmtId="0" fontId="0" fillId="95" borderId="89" xfId="0" applyFill="1" applyBorder="1"/>
    <xf numFmtId="0" fontId="144" fillId="97" borderId="14" xfId="0" applyFont="1" applyFill="1" applyBorder="1" applyAlignment="1">
      <alignment horizontal="left"/>
    </xf>
    <xf numFmtId="43" fontId="144" fillId="97" borderId="14" xfId="25742" applyFont="1" applyFill="1" applyBorder="1"/>
    <xf numFmtId="43" fontId="144" fillId="97" borderId="186" xfId="25742" applyFont="1" applyFill="1" applyBorder="1"/>
    <xf numFmtId="17" fontId="16" fillId="95" borderId="88" xfId="0" applyNumberFormat="1" applyFont="1" applyFill="1" applyBorder="1"/>
    <xf numFmtId="0" fontId="0" fillId="95" borderId="88" xfId="0" applyFill="1" applyBorder="1"/>
    <xf numFmtId="166" fontId="0" fillId="95" borderId="89" xfId="25742" applyNumberFormat="1" applyFont="1" applyFill="1" applyBorder="1"/>
    <xf numFmtId="0" fontId="139" fillId="0" borderId="14" xfId="0" applyFont="1" applyBorder="1"/>
    <xf numFmtId="166" fontId="0" fillId="95" borderId="187" xfId="25742" applyNumberFormat="1" applyFont="1" applyFill="1" applyBorder="1"/>
    <xf numFmtId="49" fontId="139" fillId="0" borderId="14" xfId="25742" applyNumberFormat="1" applyFont="1" applyBorder="1"/>
    <xf numFmtId="166" fontId="139" fillId="0" borderId="81" xfId="25742" applyNumberFormat="1" applyFont="1" applyBorder="1"/>
    <xf numFmtId="0" fontId="0" fillId="95" borderId="94" xfId="0" applyFill="1" applyBorder="1"/>
    <xf numFmtId="0" fontId="0" fillId="95" borderId="95" xfId="0" applyFill="1" applyBorder="1"/>
    <xf numFmtId="166" fontId="144" fillId="0" borderId="14" xfId="25742" applyNumberFormat="1" applyFont="1" applyBorder="1"/>
    <xf numFmtId="166" fontId="144" fillId="0" borderId="81" xfId="25742" applyNumberFormat="1" applyFont="1" applyBorder="1"/>
    <xf numFmtId="0" fontId="167" fillId="0" borderId="0" xfId="0" applyFont="1"/>
    <xf numFmtId="0" fontId="171" fillId="0" borderId="0" xfId="0" applyFont="1"/>
    <xf numFmtId="0" fontId="163" fillId="0" borderId="0" xfId="0" applyFont="1"/>
    <xf numFmtId="0" fontId="144" fillId="101" borderId="14" xfId="0" applyFont="1" applyFill="1" applyBorder="1" applyAlignment="1">
      <alignment horizontal="left"/>
    </xf>
    <xf numFmtId="166" fontId="139" fillId="101" borderId="81" xfId="25742" applyNumberFormat="1" applyFont="1" applyFill="1" applyBorder="1"/>
    <xf numFmtId="166" fontId="14" fillId="0" borderId="0" xfId="0" applyNumberFormat="1" applyFont="1"/>
    <xf numFmtId="17" fontId="0" fillId="95" borderId="0" xfId="0" applyNumberFormat="1" applyFill="1"/>
    <xf numFmtId="43" fontId="139" fillId="101" borderId="14" xfId="25742" applyFont="1" applyFill="1" applyBorder="1"/>
    <xf numFmtId="43" fontId="139" fillId="95" borderId="14" xfId="25742" applyFont="1" applyFill="1" applyBorder="1"/>
    <xf numFmtId="43" fontId="144" fillId="101" borderId="14" xfId="25742" applyFont="1" applyFill="1" applyBorder="1"/>
    <xf numFmtId="43" fontId="144" fillId="95" borderId="14" xfId="25742" applyFont="1" applyFill="1" applyBorder="1"/>
    <xf numFmtId="43" fontId="148" fillId="101" borderId="14" xfId="25742" applyFont="1" applyFill="1" applyBorder="1"/>
    <xf numFmtId="43" fontId="144" fillId="95" borderId="186" xfId="25742" applyFont="1" applyFill="1" applyBorder="1"/>
    <xf numFmtId="166" fontId="139" fillId="0" borderId="131" xfId="25742" applyNumberFormat="1" applyFont="1" applyBorder="1"/>
    <xf numFmtId="166" fontId="139" fillId="0" borderId="189" xfId="25742" applyNumberFormat="1" applyFont="1" applyBorder="1"/>
    <xf numFmtId="43" fontId="144" fillId="0" borderId="131" xfId="25742" applyFont="1" applyBorder="1"/>
    <xf numFmtId="43" fontId="144" fillId="0" borderId="189" xfId="25742" applyFont="1" applyBorder="1"/>
    <xf numFmtId="166" fontId="144" fillId="101" borderId="131" xfId="25742" applyNumberFormat="1" applyFont="1" applyFill="1" applyBorder="1"/>
    <xf numFmtId="166" fontId="144" fillId="101" borderId="143" xfId="25742" applyNumberFormat="1" applyFont="1" applyFill="1" applyBorder="1"/>
    <xf numFmtId="166" fontId="139" fillId="101" borderId="131" xfId="25742" applyNumberFormat="1" applyFont="1" applyFill="1" applyBorder="1"/>
    <xf numFmtId="166" fontId="139" fillId="101" borderId="143" xfId="25742" applyNumberFormat="1" applyFont="1" applyFill="1" applyBorder="1"/>
    <xf numFmtId="166" fontId="139" fillId="95" borderId="0" xfId="0" applyNumberFormat="1" applyFont="1" applyFill="1"/>
    <xf numFmtId="166" fontId="163" fillId="0" borderId="0" xfId="0" applyNumberFormat="1" applyFont="1"/>
    <xf numFmtId="166" fontId="139" fillId="101" borderId="14" xfId="0" applyNumberFormat="1" applyFont="1" applyFill="1" applyBorder="1"/>
    <xf numFmtId="166" fontId="139" fillId="101" borderId="81" xfId="0" applyNumberFormat="1" applyFont="1" applyFill="1" applyBorder="1"/>
    <xf numFmtId="43" fontId="144" fillId="101" borderId="81" xfId="25742" applyFont="1" applyFill="1" applyBorder="1"/>
    <xf numFmtId="43" fontId="144" fillId="95" borderId="81" xfId="25742" applyFont="1" applyFill="1" applyBorder="1"/>
    <xf numFmtId="43" fontId="144" fillId="95" borderId="82" xfId="25742" applyFont="1" applyFill="1" applyBorder="1"/>
    <xf numFmtId="0" fontId="144" fillId="0" borderId="15" xfId="0" applyFont="1" applyBorder="1" applyAlignment="1">
      <alignment horizontal="left"/>
    </xf>
    <xf numFmtId="2" fontId="139" fillId="0" borderId="14" xfId="0" applyNumberFormat="1" applyFont="1" applyBorder="1"/>
    <xf numFmtId="2" fontId="139" fillId="0" borderId="14" xfId="25742" applyNumberFormat="1" applyFont="1" applyBorder="1"/>
    <xf numFmtId="2" fontId="139" fillId="0" borderId="133" xfId="25742" applyNumberFormat="1" applyFont="1" applyBorder="1"/>
    <xf numFmtId="2" fontId="139" fillId="0" borderId="131" xfId="25742" applyNumberFormat="1" applyFont="1" applyBorder="1"/>
    <xf numFmtId="2" fontId="139" fillId="0" borderId="131" xfId="0" applyNumberFormat="1" applyFont="1" applyBorder="1"/>
    <xf numFmtId="2" fontId="139" fillId="0" borderId="143" xfId="25742" applyNumberFormat="1" applyFont="1" applyBorder="1"/>
    <xf numFmtId="2" fontId="139" fillId="0" borderId="189" xfId="0" applyNumberFormat="1" applyFont="1" applyBorder="1"/>
    <xf numFmtId="1" fontId="139" fillId="0" borderId="14" xfId="0" applyNumberFormat="1" applyFont="1" applyBorder="1"/>
    <xf numFmtId="1" fontId="139" fillId="0" borderId="186" xfId="0" applyNumberFormat="1" applyFont="1" applyBorder="1"/>
    <xf numFmtId="166" fontId="139" fillId="0" borderId="133" xfId="25742" applyNumberFormat="1" applyFont="1" applyBorder="1"/>
    <xf numFmtId="166" fontId="139" fillId="0" borderId="143" xfId="25742" applyNumberFormat="1" applyFont="1" applyBorder="1"/>
    <xf numFmtId="0" fontId="0" fillId="0" borderId="14" xfId="0" applyBorder="1" applyAlignment="1">
      <alignment horizontal="left"/>
    </xf>
    <xf numFmtId="166" fontId="0" fillId="0" borderId="14" xfId="25742" applyNumberFormat="1" applyFont="1" applyBorder="1"/>
    <xf numFmtId="166" fontId="0" fillId="0" borderId="186" xfId="25742" applyNumberFormat="1" applyFont="1" applyBorder="1"/>
    <xf numFmtId="0" fontId="16" fillId="0" borderId="14" xfId="0" applyFont="1" applyBorder="1" applyAlignment="1">
      <alignment horizontal="left"/>
    </xf>
    <xf numFmtId="166" fontId="16" fillId="0" borderId="14" xfId="25742" applyNumberFormat="1" applyFont="1" applyBorder="1"/>
    <xf numFmtId="166" fontId="16" fillId="0" borderId="186" xfId="25742" applyNumberFormat="1" applyFont="1" applyBorder="1"/>
    <xf numFmtId="2" fontId="0" fillId="0" borderId="14" xfId="0" applyNumberFormat="1" applyBorder="1"/>
    <xf numFmtId="2" fontId="0" fillId="0" borderId="186" xfId="0" applyNumberFormat="1" applyBorder="1"/>
    <xf numFmtId="0" fontId="0" fillId="95" borderId="14" xfId="0" applyFill="1" applyBorder="1" applyAlignment="1">
      <alignment horizontal="left"/>
    </xf>
    <xf numFmtId="166" fontId="0" fillId="95" borderId="14" xfId="25742" applyNumberFormat="1" applyFont="1" applyFill="1" applyBorder="1"/>
    <xf numFmtId="166" fontId="0" fillId="95" borderId="186" xfId="25742" applyNumberFormat="1" applyFont="1" applyFill="1" applyBorder="1"/>
    <xf numFmtId="166" fontId="1" fillId="0" borderId="14" xfId="25742" applyNumberFormat="1" applyBorder="1"/>
    <xf numFmtId="166" fontId="1" fillId="0" borderId="186" xfId="25742" applyNumberFormat="1" applyBorder="1"/>
    <xf numFmtId="166" fontId="16" fillId="0" borderId="81" xfId="25742" applyNumberFormat="1" applyFont="1" applyBorder="1"/>
    <xf numFmtId="166" fontId="144" fillId="95" borderId="14" xfId="25742" applyNumberFormat="1" applyFont="1" applyFill="1" applyBorder="1"/>
    <xf numFmtId="166" fontId="144" fillId="95" borderId="81" xfId="25742" applyNumberFormat="1" applyFont="1" applyFill="1" applyBorder="1"/>
    <xf numFmtId="0" fontId="16" fillId="95" borderId="14" xfId="0" applyFont="1" applyFill="1" applyBorder="1" applyAlignment="1">
      <alignment horizontal="left"/>
    </xf>
    <xf numFmtId="166" fontId="16" fillId="95" borderId="14" xfId="25742" applyNumberFormat="1" applyFont="1" applyFill="1" applyBorder="1"/>
    <xf numFmtId="166" fontId="16" fillId="95" borderId="81" xfId="25742" applyNumberFormat="1" applyFont="1" applyFill="1" applyBorder="1"/>
    <xf numFmtId="0" fontId="0" fillId="0" borderId="51" xfId="0" applyBorder="1" applyAlignment="1">
      <alignment horizontal="left"/>
    </xf>
    <xf numFmtId="2" fontId="0" fillId="0" borderId="51" xfId="0" applyNumberFormat="1" applyBorder="1"/>
    <xf numFmtId="2" fontId="0" fillId="0" borderId="52" xfId="0" applyNumberFormat="1" applyBorder="1"/>
    <xf numFmtId="2" fontId="0" fillId="0" borderId="190" xfId="0" applyNumberFormat="1" applyBorder="1"/>
    <xf numFmtId="0" fontId="0" fillId="100" borderId="14" xfId="0" applyFill="1" applyBorder="1" applyAlignment="1">
      <alignment horizontal="center"/>
    </xf>
    <xf numFmtId="0" fontId="0" fillId="100" borderId="186" xfId="0" applyFill="1" applyBorder="1" applyAlignment="1">
      <alignment horizontal="center"/>
    </xf>
    <xf numFmtId="0" fontId="0" fillId="100" borderId="168" xfId="0" applyFill="1" applyBorder="1" applyAlignment="1">
      <alignment horizontal="center"/>
    </xf>
    <xf numFmtId="0" fontId="0" fillId="100" borderId="0" xfId="0" applyFill="1" applyAlignment="1">
      <alignment horizontal="center" wrapText="1"/>
    </xf>
    <xf numFmtId="166" fontId="16" fillId="0" borderId="0" xfId="0" applyNumberFormat="1" applyFont="1"/>
    <xf numFmtId="166" fontId="16" fillId="0" borderId="0" xfId="25742" applyNumberFormat="1" applyFont="1"/>
    <xf numFmtId="41" fontId="16" fillId="0" borderId="0" xfId="0" applyNumberFormat="1" applyFont="1"/>
    <xf numFmtId="0" fontId="0" fillId="101" borderId="131" xfId="0" applyFill="1" applyBorder="1" applyAlignment="1">
      <alignment horizontal="left"/>
    </xf>
    <xf numFmtId="166" fontId="0" fillId="97" borderId="131" xfId="25742" applyNumberFormat="1" applyFont="1" applyFill="1" applyBorder="1"/>
    <xf numFmtId="166" fontId="0" fillId="97" borderId="189" xfId="25742" applyNumberFormat="1" applyFont="1" applyFill="1" applyBorder="1"/>
    <xf numFmtId="166" fontId="16" fillId="0" borderId="0" xfId="25742" applyNumberFormat="1" applyFont="1" applyAlignment="1">
      <alignment horizontal="center"/>
    </xf>
    <xf numFmtId="166" fontId="16" fillId="0" borderId="168" xfId="0" applyNumberFormat="1" applyFont="1" applyBorder="1"/>
    <xf numFmtId="0" fontId="0" fillId="101" borderId="169" xfId="0" applyFill="1" applyBorder="1" applyAlignment="1">
      <alignment horizontal="left"/>
    </xf>
    <xf numFmtId="166" fontId="0" fillId="97" borderId="169" xfId="25742" applyNumberFormat="1" applyFont="1" applyFill="1" applyBorder="1"/>
    <xf numFmtId="166" fontId="0" fillId="97" borderId="15" xfId="25742" applyNumberFormat="1" applyFont="1" applyFill="1" applyBorder="1"/>
    <xf numFmtId="166" fontId="0" fillId="97" borderId="191" xfId="25742" applyNumberFormat="1" applyFont="1" applyFill="1" applyBorder="1"/>
    <xf numFmtId="0" fontId="0" fillId="101" borderId="14" xfId="0" applyFill="1" applyBorder="1" applyAlignment="1">
      <alignment horizontal="left"/>
    </xf>
    <xf numFmtId="166" fontId="0" fillId="97" borderId="14" xfId="25742" applyNumberFormat="1" applyFont="1" applyFill="1" applyBorder="1"/>
    <xf numFmtId="166" fontId="0" fillId="97" borderId="81" xfId="25742" applyNumberFormat="1" applyFont="1" applyFill="1" applyBorder="1"/>
    <xf numFmtId="166" fontId="0" fillId="95" borderId="173" xfId="25742" applyNumberFormat="1" applyFont="1" applyFill="1" applyBorder="1"/>
    <xf numFmtId="166" fontId="0" fillId="95" borderId="174" xfId="25742" applyNumberFormat="1" applyFont="1" applyFill="1" applyBorder="1"/>
    <xf numFmtId="166" fontId="16" fillId="95" borderId="93" xfId="0" applyNumberFormat="1" applyFont="1" applyFill="1" applyBorder="1"/>
    <xf numFmtId="166" fontId="144" fillId="95" borderId="0" xfId="25742" applyNumberFormat="1" applyFont="1" applyFill="1" applyAlignment="1">
      <alignment horizontal="center"/>
    </xf>
    <xf numFmtId="1" fontId="144" fillId="95" borderId="0" xfId="0" applyNumberFormat="1" applyFont="1" applyFill="1"/>
    <xf numFmtId="166" fontId="144" fillId="95" borderId="0" xfId="25742" applyNumberFormat="1" applyFont="1" applyFill="1"/>
    <xf numFmtId="166" fontId="0" fillId="97" borderId="171" xfId="25742" applyNumberFormat="1" applyFont="1" applyFill="1" applyBorder="1"/>
    <xf numFmtId="166" fontId="0" fillId="95" borderId="192" xfId="25742" applyNumberFormat="1" applyFont="1" applyFill="1" applyBorder="1"/>
    <xf numFmtId="166" fontId="0" fillId="95" borderId="169" xfId="25742" applyNumberFormat="1" applyFont="1" applyFill="1" applyBorder="1"/>
    <xf numFmtId="166" fontId="16" fillId="95" borderId="89" xfId="0" applyNumberFormat="1" applyFont="1" applyFill="1" applyBorder="1"/>
    <xf numFmtId="166" fontId="1" fillId="0" borderId="0" xfId="25742" applyNumberFormat="1" applyAlignment="1">
      <alignment horizontal="center"/>
    </xf>
    <xf numFmtId="166" fontId="0" fillId="95" borderId="193" xfId="25742" applyNumberFormat="1" applyFont="1" applyFill="1" applyBorder="1"/>
    <xf numFmtId="166" fontId="0" fillId="95" borderId="194" xfId="25742" applyNumberFormat="1" applyFont="1" applyFill="1" applyBorder="1"/>
    <xf numFmtId="166" fontId="0" fillId="95" borderId="195" xfId="25742" applyNumberFormat="1" applyFont="1" applyFill="1" applyBorder="1"/>
    <xf numFmtId="166" fontId="16" fillId="95" borderId="95" xfId="0" applyNumberFormat="1" applyFont="1" applyFill="1" applyBorder="1"/>
    <xf numFmtId="0" fontId="0" fillId="0" borderId="15" xfId="0" applyBorder="1" applyAlignment="1">
      <alignment horizontal="left"/>
    </xf>
    <xf numFmtId="166" fontId="0" fillId="0" borderId="15" xfId="25742" applyNumberFormat="1" applyFont="1" applyBorder="1"/>
    <xf numFmtId="166" fontId="0" fillId="0" borderId="191" xfId="25742" applyNumberFormat="1" applyFont="1" applyBorder="1"/>
    <xf numFmtId="1" fontId="16" fillId="0" borderId="0" xfId="0" applyNumberFormat="1" applyFont="1"/>
    <xf numFmtId="166" fontId="0" fillId="0" borderId="169" xfId="25742" applyNumberFormat="1" applyFont="1" applyBorder="1"/>
    <xf numFmtId="166" fontId="0" fillId="0" borderId="196" xfId="25742" applyNumberFormat="1" applyFont="1" applyBorder="1"/>
    <xf numFmtId="0" fontId="139" fillId="101" borderId="15" xfId="0" applyFont="1" applyFill="1" applyBorder="1"/>
    <xf numFmtId="166" fontId="139" fillId="101" borderId="15" xfId="25742" applyNumberFormat="1" applyFont="1" applyFill="1" applyBorder="1"/>
    <xf numFmtId="166" fontId="139" fillId="101" borderId="191" xfId="25742" applyNumberFormat="1" applyFont="1" applyFill="1" applyBorder="1"/>
    <xf numFmtId="0" fontId="0" fillId="95" borderId="0" xfId="0" applyFill="1" applyAlignment="1">
      <alignment horizontal="right"/>
    </xf>
    <xf numFmtId="0" fontId="139" fillId="101" borderId="14" xfId="0" applyFont="1" applyFill="1" applyBorder="1"/>
    <xf numFmtId="166" fontId="16" fillId="95" borderId="0" xfId="25742" applyNumberFormat="1" applyFont="1" applyFill="1" applyAlignment="1">
      <alignment horizontal="center"/>
    </xf>
    <xf numFmtId="0" fontId="139" fillId="95" borderId="0" xfId="0" applyFont="1" applyFill="1"/>
    <xf numFmtId="166" fontId="139" fillId="101" borderId="169" xfId="25742" applyNumberFormat="1" applyFont="1" applyFill="1" applyBorder="1"/>
    <xf numFmtId="0" fontId="139" fillId="95" borderId="14" xfId="0" applyFont="1" applyFill="1" applyBorder="1"/>
    <xf numFmtId="166" fontId="139" fillId="95" borderId="169" xfId="25742" applyNumberFormat="1" applyFont="1" applyFill="1" applyBorder="1"/>
    <xf numFmtId="0" fontId="0" fillId="0" borderId="172" xfId="0" applyBorder="1"/>
    <xf numFmtId="0" fontId="0" fillId="100" borderId="197" xfId="0" applyFill="1" applyBorder="1" applyAlignment="1">
      <alignment horizontal="center"/>
    </xf>
    <xf numFmtId="0" fontId="0" fillId="0" borderId="197" xfId="0" applyBorder="1" applyAlignment="1">
      <alignment horizontal="left"/>
    </xf>
    <xf numFmtId="0" fontId="0" fillId="101" borderId="198" xfId="0" applyFill="1" applyBorder="1" applyAlignment="1">
      <alignment horizontal="left"/>
    </xf>
    <xf numFmtId="0" fontId="0" fillId="101" borderId="192" xfId="0" applyFill="1" applyBorder="1" applyAlignment="1">
      <alignment horizontal="left"/>
    </xf>
    <xf numFmtId="0" fontId="0" fillId="101" borderId="197" xfId="0" applyFill="1" applyBorder="1" applyAlignment="1">
      <alignment horizontal="left"/>
    </xf>
    <xf numFmtId="166" fontId="0" fillId="95" borderId="175" xfId="25742" applyNumberFormat="1" applyFont="1" applyFill="1" applyBorder="1"/>
    <xf numFmtId="166" fontId="0" fillId="95" borderId="197" xfId="25742" applyNumberFormat="1" applyFont="1" applyFill="1" applyBorder="1"/>
    <xf numFmtId="0" fontId="0" fillId="0" borderId="199" xfId="0" applyBorder="1" applyAlignment="1">
      <alignment horizontal="left"/>
    </xf>
    <xf numFmtId="0" fontId="139" fillId="0" borderId="197" xfId="0" applyFont="1" applyBorder="1"/>
    <xf numFmtId="0" fontId="0" fillId="0" borderId="193" xfId="0" applyBorder="1" applyAlignment="1">
      <alignment horizontal="left"/>
    </xf>
    <xf numFmtId="166" fontId="0" fillId="0" borderId="49" xfId="25742" applyNumberFormat="1" applyFont="1" applyBorder="1"/>
    <xf numFmtId="166" fontId="0" fillId="0" borderId="95" xfId="25742" applyNumberFormat="1" applyFont="1" applyBorder="1"/>
    <xf numFmtId="0" fontId="0" fillId="0" borderId="11" xfId="0" applyBorder="1" applyAlignment="1">
      <alignment horizontal="left"/>
    </xf>
    <xf numFmtId="0" fontId="0" fillId="95" borderId="88" xfId="0" applyFill="1" applyBorder="1" applyAlignment="1">
      <alignment horizontal="center"/>
    </xf>
    <xf numFmtId="166" fontId="16" fillId="95" borderId="0" xfId="0" applyNumberFormat="1" applyFont="1" applyFill="1"/>
    <xf numFmtId="0" fontId="139" fillId="95" borderId="15" xfId="0" applyFont="1" applyFill="1" applyBorder="1"/>
    <xf numFmtId="166" fontId="139" fillId="95" borderId="14" xfId="25742" applyNumberFormat="1" applyFont="1" applyFill="1" applyBorder="1"/>
    <xf numFmtId="0" fontId="139" fillId="95" borderId="14" xfId="0" applyFont="1" applyFill="1" applyBorder="1" applyAlignment="1">
      <alignment horizontal="left"/>
    </xf>
    <xf numFmtId="166" fontId="0" fillId="95" borderId="0" xfId="0" applyNumberFormat="1" applyFill="1"/>
    <xf numFmtId="0" fontId="139" fillId="0" borderId="0" xfId="28781" applyFont="1" applyAlignment="1">
      <alignment horizontal="left"/>
    </xf>
    <xf numFmtId="0" fontId="1" fillId="0" borderId="0" xfId="28781" applyFont="1"/>
    <xf numFmtId="0" fontId="1" fillId="0" borderId="0" xfId="28781" applyFont="1" applyAlignment="1">
      <alignment horizontal="center"/>
    </xf>
    <xf numFmtId="0" fontId="149" fillId="0" borderId="0" xfId="28781" quotePrefix="1" applyFont="1"/>
    <xf numFmtId="16" fontId="0" fillId="0" borderId="0" xfId="0" applyNumberFormat="1" applyAlignment="1">
      <alignment horizontal="center"/>
    </xf>
    <xf numFmtId="17" fontId="139" fillId="0" borderId="0" xfId="28781" applyNumberFormat="1" applyFont="1"/>
    <xf numFmtId="0" fontId="139" fillId="0" borderId="0" xfId="28781" applyFont="1" applyAlignment="1">
      <alignment horizontal="center"/>
    </xf>
    <xf numFmtId="166" fontId="1" fillId="0" borderId="0" xfId="25766" applyNumberFormat="1" applyFont="1"/>
    <xf numFmtId="43" fontId="172" fillId="0" borderId="11" xfId="28781" applyNumberFormat="1" applyFont="1" applyBorder="1"/>
    <xf numFmtId="43" fontId="172" fillId="0" borderId="11" xfId="0" applyNumberFormat="1" applyFont="1" applyBorder="1"/>
    <xf numFmtId="43" fontId="139" fillId="0" borderId="0" xfId="28781" applyNumberFormat="1" applyFont="1"/>
    <xf numFmtId="43" fontId="172" fillId="0" borderId="82" xfId="28781" applyNumberFormat="1" applyFont="1" applyBorder="1"/>
    <xf numFmtId="43" fontId="172" fillId="0" borderId="11" xfId="25742" applyFont="1" applyBorder="1"/>
    <xf numFmtId="39" fontId="172" fillId="0" borderId="11" xfId="28781" applyNumberFormat="1" applyFont="1" applyBorder="1"/>
    <xf numFmtId="43" fontId="172" fillId="0" borderId="83" xfId="28781" applyNumberFormat="1" applyFont="1" applyBorder="1"/>
    <xf numFmtId="218" fontId="139" fillId="0" borderId="0" xfId="28781" applyNumberFormat="1" applyFont="1"/>
    <xf numFmtId="0" fontId="0" fillId="0" borderId="0" xfId="28781" applyFont="1"/>
    <xf numFmtId="43" fontId="139" fillId="0" borderId="168" xfId="28781" applyNumberFormat="1" applyFont="1" applyBorder="1"/>
    <xf numFmtId="4" fontId="139" fillId="0" borderId="0" xfId="28781" applyNumberFormat="1" applyFont="1"/>
    <xf numFmtId="166" fontId="0" fillId="0" borderId="168" xfId="25742" applyNumberFormat="1" applyFont="1" applyBorder="1"/>
    <xf numFmtId="166" fontId="0" fillId="0" borderId="168" xfId="0" applyNumberFormat="1" applyBorder="1"/>
    <xf numFmtId="49" fontId="0" fillId="0" borderId="0" xfId="0" applyNumberFormat="1"/>
    <xf numFmtId="0" fontId="144" fillId="0" borderId="89" xfId="0" applyFont="1" applyBorder="1" applyAlignment="1">
      <alignment horizontal="center"/>
    </xf>
    <xf numFmtId="0" fontId="144" fillId="0" borderId="0" xfId="28781" applyFont="1" applyAlignment="1">
      <alignment horizontal="center"/>
    </xf>
    <xf numFmtId="0" fontId="139" fillId="0" borderId="49" xfId="0" applyFont="1" applyBorder="1"/>
    <xf numFmtId="0" fontId="176" fillId="0" borderId="188" xfId="0" applyFont="1" applyBorder="1" applyAlignment="1">
      <alignment horizontal="center"/>
    </xf>
    <xf numFmtId="0" fontId="176" fillId="0" borderId="168" xfId="0" applyFont="1" applyBorder="1"/>
    <xf numFmtId="219" fontId="176" fillId="0" borderId="169" xfId="0" applyNumberFormat="1" applyFont="1" applyBorder="1"/>
    <xf numFmtId="219" fontId="176" fillId="0" borderId="196" xfId="0" applyNumberFormat="1" applyFont="1" applyBorder="1"/>
    <xf numFmtId="0" fontId="144" fillId="0" borderId="135" xfId="0" applyFont="1" applyBorder="1" applyAlignment="1">
      <alignment horizontal="center"/>
    </xf>
    <xf numFmtId="0" fontId="144" fillId="0" borderId="88" xfId="0" applyFont="1" applyBorder="1" applyAlignment="1">
      <alignment horizontal="center"/>
    </xf>
    <xf numFmtId="10" fontId="139" fillId="0" borderId="14" xfId="25793" applyNumberFormat="1" applyFont="1" applyBorder="1"/>
    <xf numFmtId="10" fontId="139" fillId="0" borderId="81" xfId="25793" applyNumberFormat="1" applyFont="1" applyBorder="1"/>
    <xf numFmtId="0" fontId="139" fillId="0" borderId="136" xfId="0" applyFont="1" applyBorder="1"/>
    <xf numFmtId="0" fontId="144" fillId="0" borderId="200" xfId="0" applyFont="1" applyBorder="1" applyAlignment="1">
      <alignment horizontal="center"/>
    </xf>
    <xf numFmtId="0" fontId="158" fillId="0" borderId="0" xfId="33366" applyFont="1"/>
    <xf numFmtId="0" fontId="176" fillId="0" borderId="88" xfId="0" applyFont="1" applyBorder="1" applyAlignment="1">
      <alignment horizontal="center"/>
    </xf>
    <xf numFmtId="166" fontId="139" fillId="0" borderId="201" xfId="25742" applyNumberFormat="1" applyFont="1" applyBorder="1"/>
    <xf numFmtId="0" fontId="144" fillId="0" borderId="136" xfId="0" applyFont="1" applyBorder="1" applyAlignment="1">
      <alignment horizontal="center"/>
    </xf>
    <xf numFmtId="0" fontId="144" fillId="0" borderId="88" xfId="0" applyFont="1" applyBorder="1"/>
    <xf numFmtId="0" fontId="144" fillId="0" borderId="0" xfId="0" applyFont="1" applyAlignment="1">
      <alignment horizontal="left"/>
    </xf>
    <xf numFmtId="0" fontId="139" fillId="0" borderId="89" xfId="0" applyFont="1" applyBorder="1"/>
    <xf numFmtId="0" fontId="139" fillId="0" borderId="88" xfId="0" applyFont="1" applyBorder="1" applyAlignment="1">
      <alignment horizontal="left"/>
    </xf>
    <xf numFmtId="43" fontId="139" fillId="0" borderId="89" xfId="25742" applyFont="1" applyBorder="1"/>
    <xf numFmtId="43" fontId="139" fillId="0" borderId="168" xfId="25742" applyFont="1" applyBorder="1"/>
    <xf numFmtId="43" fontId="139" fillId="0" borderId="187" xfId="25742" applyFont="1" applyBorder="1"/>
    <xf numFmtId="220" fontId="139" fillId="0" borderId="0" xfId="0" applyNumberFormat="1" applyFont="1"/>
    <xf numFmtId="0" fontId="144" fillId="0" borderId="0" xfId="0" applyFont="1" applyAlignment="1">
      <alignment wrapText="1"/>
    </xf>
    <xf numFmtId="43" fontId="139" fillId="0" borderId="136" xfId="0" applyNumberFormat="1" applyFont="1" applyBorder="1"/>
    <xf numFmtId="43" fontId="139" fillId="0" borderId="185" xfId="0" applyNumberFormat="1" applyFont="1" applyBorder="1"/>
    <xf numFmtId="218" fontId="139" fillId="0" borderId="168" xfId="25742" applyNumberFormat="1" applyFont="1" applyBorder="1"/>
    <xf numFmtId="43" fontId="139" fillId="0" borderId="200" xfId="0" applyNumberFormat="1" applyFont="1" applyBorder="1"/>
    <xf numFmtId="43" fontId="139" fillId="0" borderId="201" xfId="25742" applyFont="1" applyBorder="1"/>
    <xf numFmtId="218" fontId="139" fillId="0" borderId="0" xfId="25742" applyNumberFormat="1" applyFont="1"/>
    <xf numFmtId="220" fontId="139" fillId="0" borderId="0" xfId="25742" applyNumberFormat="1" applyFont="1"/>
    <xf numFmtId="220" fontId="139" fillId="0" borderId="89" xfId="25742" applyNumberFormat="1" applyFont="1" applyBorder="1"/>
    <xf numFmtId="166" fontId="139" fillId="0" borderId="136" xfId="0" applyNumberFormat="1" applyFont="1" applyBorder="1"/>
    <xf numFmtId="166" fontId="139" fillId="0" borderId="89" xfId="25742" applyNumberFormat="1" applyFont="1" applyBorder="1"/>
    <xf numFmtId="166" fontId="176" fillId="0" borderId="0" xfId="25742" applyNumberFormat="1" applyFont="1"/>
    <xf numFmtId="43" fontId="139" fillId="0" borderId="136" xfId="25742" applyFont="1" applyBorder="1"/>
    <xf numFmtId="43" fontId="176" fillId="0" borderId="0" xfId="25742" applyFont="1"/>
    <xf numFmtId="43" fontId="139" fillId="0" borderId="0" xfId="0" applyNumberFormat="1" applyFont="1"/>
    <xf numFmtId="184" fontId="139" fillId="0" borderId="0" xfId="0" applyNumberFormat="1" applyFont="1"/>
    <xf numFmtId="0" fontId="139" fillId="0" borderId="49" xfId="0" applyFont="1" applyBorder="1" applyAlignment="1">
      <alignment horizontal="right"/>
    </xf>
    <xf numFmtId="43" fontId="139" fillId="0" borderId="202" xfId="25742" applyFont="1" applyBorder="1"/>
    <xf numFmtId="43" fontId="139" fillId="0" borderId="165" xfId="25742" applyFont="1" applyBorder="1"/>
    <xf numFmtId="0" fontId="139" fillId="0" borderId="92" xfId="0" applyFont="1" applyBorder="1" applyAlignment="1">
      <alignment horizontal="left"/>
    </xf>
    <xf numFmtId="166" fontId="139" fillId="0" borderId="92" xfId="25742" applyNumberFormat="1" applyFont="1" applyBorder="1"/>
    <xf numFmtId="0" fontId="139" fillId="0" borderId="105" xfId="0" applyFont="1" applyBorder="1"/>
    <xf numFmtId="43" fontId="139" fillId="0" borderId="92" xfId="25742" applyFont="1" applyBorder="1"/>
    <xf numFmtId="166" fontId="139" fillId="0" borderId="93" xfId="25742" applyNumberFormat="1" applyFont="1" applyBorder="1"/>
    <xf numFmtId="0" fontId="139" fillId="0" borderId="135" xfId="0" applyFont="1" applyBorder="1"/>
    <xf numFmtId="0" fontId="139" fillId="0" borderId="49" xfId="0" applyFont="1" applyBorder="1" applyAlignment="1">
      <alignment horizontal="left"/>
    </xf>
    <xf numFmtId="0" fontId="178" fillId="0" borderId="0" xfId="0" applyFont="1"/>
    <xf numFmtId="0" fontId="139" fillId="0" borderId="94" xfId="0" applyFont="1" applyBorder="1" applyAlignment="1">
      <alignment horizontal="left"/>
    </xf>
    <xf numFmtId="0" fontId="139" fillId="0" borderId="105" xfId="0" applyFont="1" applyBorder="1" applyAlignment="1">
      <alignment horizontal="left"/>
    </xf>
    <xf numFmtId="166" fontId="139" fillId="0" borderId="105" xfId="25742" applyNumberFormat="1" applyFont="1" applyBorder="1"/>
    <xf numFmtId="0" fontId="139" fillId="0" borderId="0" xfId="33367" applyFont="1" applyFill="1"/>
    <xf numFmtId="0" fontId="139" fillId="0" borderId="88" xfId="0" applyFont="1" applyBorder="1" applyAlignment="1">
      <alignment horizontal="center"/>
    </xf>
    <xf numFmtId="0" fontId="139" fillId="0" borderId="94" xfId="0" applyFont="1" applyBorder="1" applyAlignment="1">
      <alignment horizontal="center"/>
    </xf>
    <xf numFmtId="43" fontId="139" fillId="0" borderId="49" xfId="0" applyNumberFormat="1" applyFont="1" applyBorder="1"/>
    <xf numFmtId="0" fontId="139" fillId="0" borderId="95" xfId="0" applyFont="1" applyBorder="1"/>
    <xf numFmtId="0" fontId="139" fillId="0" borderId="137" xfId="0" applyFont="1" applyBorder="1"/>
    <xf numFmtId="0" fontId="139" fillId="0" borderId="14" xfId="0" applyFont="1" applyBorder="1" applyAlignment="1">
      <alignment wrapText="1"/>
    </xf>
    <xf numFmtId="0" fontId="179" fillId="0" borderId="0" xfId="33368" applyFont="1"/>
    <xf numFmtId="0" fontId="160" fillId="0" borderId="0" xfId="33368" applyFont="1"/>
    <xf numFmtId="219" fontId="180" fillId="0" borderId="171" xfId="0" applyNumberFormat="1" applyFont="1" applyBorder="1" applyAlignment="1">
      <alignment horizontal="center"/>
    </xf>
    <xf numFmtId="219" fontId="180" fillId="0" borderId="168" xfId="0" applyNumberFormat="1" applyFont="1" applyBorder="1" applyAlignment="1">
      <alignment horizontal="center"/>
    </xf>
    <xf numFmtId="219" fontId="180" fillId="0" borderId="174" xfId="0" applyNumberFormat="1" applyFont="1" applyBorder="1"/>
    <xf numFmtId="0" fontId="180" fillId="0" borderId="143" xfId="33368" applyFont="1" applyBorder="1"/>
    <xf numFmtId="0" fontId="180" fillId="0" borderId="165" xfId="33368" applyFont="1" applyBorder="1"/>
    <xf numFmtId="43" fontId="139" fillId="0" borderId="15" xfId="0" applyNumberFormat="1" applyFont="1" applyBorder="1"/>
    <xf numFmtId="0" fontId="180" fillId="0" borderId="132" xfId="33368" applyFont="1" applyBorder="1"/>
    <xf numFmtId="0" fontId="180" fillId="0" borderId="0" xfId="33368" applyFont="1"/>
    <xf numFmtId="0" fontId="180" fillId="0" borderId="171" xfId="33368" applyFont="1" applyBorder="1"/>
    <xf numFmtId="0" fontId="180" fillId="0" borderId="168" xfId="33368" applyFont="1" applyBorder="1"/>
    <xf numFmtId="43" fontId="139" fillId="0" borderId="169" xfId="0" applyNumberFormat="1" applyFont="1" applyBorder="1"/>
    <xf numFmtId="219" fontId="180" fillId="0" borderId="175" xfId="0" applyNumberFormat="1" applyFont="1" applyBorder="1"/>
    <xf numFmtId="17" fontId="0" fillId="0" borderId="0" xfId="0" applyNumberFormat="1"/>
    <xf numFmtId="1" fontId="0" fillId="0" borderId="0" xfId="0" applyNumberFormat="1"/>
    <xf numFmtId="186" fontId="139" fillId="0" borderId="0" xfId="0" applyNumberFormat="1" applyFont="1"/>
    <xf numFmtId="166" fontId="0" fillId="95" borderId="168" xfId="25742" applyNumberFormat="1" applyFont="1" applyFill="1" applyBorder="1"/>
    <xf numFmtId="204" fontId="139" fillId="0" borderId="11" xfId="0" applyNumberFormat="1" applyFont="1" applyBorder="1"/>
    <xf numFmtId="3" fontId="139" fillId="97" borderId="131" xfId="25742" applyNumberFormat="1" applyFont="1" applyFill="1" applyBorder="1"/>
    <xf numFmtId="3" fontId="139" fillId="97" borderId="15" xfId="25742" applyNumberFormat="1" applyFont="1" applyFill="1" applyBorder="1"/>
    <xf numFmtId="3" fontId="139" fillId="97" borderId="169" xfId="25742" applyNumberFormat="1" applyFont="1" applyFill="1" applyBorder="1"/>
    <xf numFmtId="204" fontId="139" fillId="0" borderId="172" xfId="0" applyNumberFormat="1" applyFont="1" applyFill="1" applyBorder="1"/>
    <xf numFmtId="0" fontId="0" fillId="0" borderId="143" xfId="0" applyFill="1" applyBorder="1"/>
    <xf numFmtId="0" fontId="0" fillId="0" borderId="165" xfId="0" applyFill="1" applyBorder="1"/>
    <xf numFmtId="0" fontId="0" fillId="0" borderId="133" xfId="0" applyFill="1" applyBorder="1" applyAlignment="1">
      <alignment horizontal="center"/>
    </xf>
    <xf numFmtId="0" fontId="0" fillId="0" borderId="132" xfId="0" applyFill="1" applyBorder="1" applyAlignment="1">
      <alignment vertical="center" wrapText="1"/>
    </xf>
    <xf numFmtId="5" fontId="0" fillId="0" borderId="11" xfId="25745" applyNumberFormat="1" applyFont="1" applyFill="1" applyBorder="1" applyAlignment="1">
      <alignment horizontal="center" vertical="center"/>
    </xf>
    <xf numFmtId="0" fontId="146" fillId="0" borderId="132" xfId="0" applyFont="1" applyFill="1" applyBorder="1" applyAlignment="1">
      <alignment vertical="center" wrapText="1"/>
    </xf>
    <xf numFmtId="0" fontId="0" fillId="0" borderId="11" xfId="0" applyFill="1" applyBorder="1" applyAlignment="1">
      <alignment horizontal="center"/>
    </xf>
    <xf numFmtId="44" fontId="0" fillId="0" borderId="11" xfId="25745" applyFont="1" applyFill="1" applyBorder="1" applyAlignment="1">
      <alignment horizontal="center" vertical="center"/>
    </xf>
    <xf numFmtId="5" fontId="0" fillId="0" borderId="11" xfId="0" applyNumberFormat="1" applyFill="1" applyBorder="1" applyAlignment="1">
      <alignment horizontal="center"/>
    </xf>
    <xf numFmtId="5" fontId="16" fillId="0" borderId="11" xfId="25745" applyNumberFormat="1" applyFont="1" applyFill="1" applyBorder="1" applyAlignment="1">
      <alignment horizontal="center" vertical="center"/>
    </xf>
    <xf numFmtId="0" fontId="146" fillId="0" borderId="132" xfId="0" applyFont="1" applyFill="1" applyBorder="1" applyAlignment="1">
      <alignment horizontal="left"/>
    </xf>
    <xf numFmtId="0" fontId="0" fillId="0" borderId="132" xfId="0" applyFill="1" applyBorder="1"/>
    <xf numFmtId="0" fontId="16" fillId="0" borderId="132" xfId="0" applyFont="1" applyFill="1" applyBorder="1" applyAlignment="1">
      <alignment vertical="center" wrapText="1"/>
    </xf>
    <xf numFmtId="5" fontId="16" fillId="0" borderId="11" xfId="0" applyNumberFormat="1" applyFont="1" applyFill="1" applyBorder="1" applyAlignment="1">
      <alignment horizontal="center"/>
    </xf>
    <xf numFmtId="0" fontId="146" fillId="0" borderId="132" xfId="0" applyFont="1" applyFill="1" applyBorder="1" applyAlignment="1">
      <alignment horizontal="left" vertical="center"/>
    </xf>
    <xf numFmtId="0" fontId="0" fillId="0" borderId="143" xfId="0" applyFill="1" applyBorder="1" applyAlignment="1">
      <alignment vertical="center" wrapText="1"/>
    </xf>
    <xf numFmtId="44" fontId="0" fillId="0" borderId="133" xfId="25745" applyFont="1" applyFill="1" applyBorder="1" applyAlignment="1">
      <alignment horizontal="center" vertical="center"/>
    </xf>
    <xf numFmtId="5" fontId="1" fillId="0" borderId="11" xfId="25745" applyNumberFormat="1" applyFill="1" applyBorder="1" applyAlignment="1">
      <alignment horizontal="center" vertical="center"/>
    </xf>
    <xf numFmtId="44" fontId="1" fillId="0" borderId="11" xfId="25745" applyFill="1" applyBorder="1" applyAlignment="1">
      <alignment horizontal="center" vertical="center"/>
    </xf>
    <xf numFmtId="0" fontId="0" fillId="0" borderId="171" xfId="0" applyFill="1" applyBorder="1" applyAlignment="1">
      <alignment vertical="center" wrapText="1"/>
    </xf>
    <xf numFmtId="0" fontId="0" fillId="0" borderId="168" xfId="0" applyFill="1" applyBorder="1"/>
    <xf numFmtId="44" fontId="0" fillId="0" borderId="172" xfId="25745" applyFont="1" applyFill="1" applyBorder="1" applyAlignment="1">
      <alignment horizontal="center" vertical="center"/>
    </xf>
    <xf numFmtId="5" fontId="0" fillId="0" borderId="172" xfId="25745" applyNumberFormat="1" applyFont="1" applyFill="1" applyBorder="1" applyAlignment="1">
      <alignment horizontal="center" vertical="center"/>
    </xf>
    <xf numFmtId="0" fontId="146" fillId="0" borderId="132" xfId="0" applyFont="1" applyFill="1" applyBorder="1" applyAlignment="1">
      <alignment horizontal="left" vertical="center" wrapText="1"/>
    </xf>
    <xf numFmtId="0" fontId="0" fillId="0" borderId="171" xfId="0" applyFill="1" applyBorder="1"/>
    <xf numFmtId="0" fontId="0" fillId="0" borderId="172" xfId="0" applyFill="1" applyBorder="1" applyAlignment="1">
      <alignment horizontal="center"/>
    </xf>
    <xf numFmtId="0" fontId="0" fillId="0" borderId="14" xfId="0" applyFill="1" applyBorder="1" applyAlignment="1">
      <alignment horizontal="center"/>
    </xf>
    <xf numFmtId="0" fontId="0" fillId="0" borderId="82" xfId="0" applyFill="1" applyBorder="1" applyAlignment="1">
      <alignment horizontal="center"/>
    </xf>
    <xf numFmtId="0" fontId="0" fillId="0" borderId="14" xfId="0" applyFill="1" applyBorder="1" applyAlignment="1">
      <alignment horizontal="center" wrapText="1"/>
    </xf>
    <xf numFmtId="3" fontId="0" fillId="0" borderId="14" xfId="0" applyNumberFormat="1" applyFill="1" applyBorder="1" applyAlignment="1">
      <alignment horizontal="center" wrapText="1"/>
    </xf>
    <xf numFmtId="10" fontId="0" fillId="0" borderId="14" xfId="0" applyNumberFormat="1" applyFill="1" applyBorder="1" applyAlignment="1">
      <alignment horizontal="center" wrapText="1"/>
    </xf>
    <xf numFmtId="0" fontId="0" fillId="0" borderId="14" xfId="0" applyFill="1" applyBorder="1"/>
    <xf numFmtId="3" fontId="0" fillId="0" borderId="14" xfId="0" applyNumberFormat="1" applyFill="1" applyBorder="1" applyAlignment="1">
      <alignment horizontal="center"/>
    </xf>
    <xf numFmtId="3" fontId="0" fillId="0" borderId="82" xfId="0" applyNumberFormat="1" applyFill="1" applyBorder="1" applyAlignment="1">
      <alignment horizontal="center"/>
    </xf>
    <xf numFmtId="10" fontId="0" fillId="0" borderId="14" xfId="0" applyNumberFormat="1" applyFill="1" applyBorder="1" applyAlignment="1">
      <alignment horizontal="center"/>
    </xf>
    <xf numFmtId="0" fontId="0" fillId="0" borderId="131" xfId="0" applyFill="1" applyBorder="1"/>
    <xf numFmtId="0" fontId="16" fillId="0" borderId="131" xfId="0" applyFont="1" applyFill="1" applyBorder="1"/>
    <xf numFmtId="3" fontId="0" fillId="0" borderId="131" xfId="0" applyNumberFormat="1" applyFill="1" applyBorder="1"/>
    <xf numFmtId="3" fontId="0" fillId="0" borderId="15" xfId="0" applyNumberFormat="1" applyFill="1" applyBorder="1"/>
    <xf numFmtId="10" fontId="0" fillId="0" borderId="15" xfId="0" applyNumberFormat="1" applyFill="1" applyBorder="1"/>
    <xf numFmtId="0" fontId="0" fillId="0" borderId="15" xfId="0" applyFill="1" applyBorder="1"/>
    <xf numFmtId="0" fontId="0" fillId="0" borderId="15" xfId="0" applyFill="1" applyBorder="1" applyAlignment="1">
      <alignment horizontal="center"/>
    </xf>
    <xf numFmtId="184" fontId="0" fillId="0" borderId="15" xfId="0" applyNumberFormat="1" applyFill="1" applyBorder="1"/>
    <xf numFmtId="202" fontId="0" fillId="0" borderId="15" xfId="25745" applyNumberFormat="1" applyFont="1" applyFill="1" applyBorder="1"/>
    <xf numFmtId="184" fontId="0" fillId="0" borderId="0" xfId="0" applyNumberFormat="1" applyFill="1"/>
    <xf numFmtId="213" fontId="0" fillId="0" borderId="15" xfId="0" applyNumberFormat="1" applyFill="1" applyBorder="1"/>
    <xf numFmtId="3" fontId="16" fillId="0" borderId="15" xfId="0" applyNumberFormat="1" applyFont="1" applyFill="1" applyBorder="1"/>
    <xf numFmtId="214" fontId="0" fillId="0" borderId="0" xfId="0" applyNumberFormat="1" applyFill="1"/>
    <xf numFmtId="0" fontId="16" fillId="0" borderId="15" xfId="0" applyFont="1" applyFill="1" applyBorder="1"/>
    <xf numFmtId="213" fontId="16" fillId="0" borderId="15" xfId="0" applyNumberFormat="1" applyFont="1" applyFill="1" applyBorder="1"/>
    <xf numFmtId="10" fontId="16" fillId="0" borderId="15" xfId="0" applyNumberFormat="1" applyFont="1" applyFill="1" applyBorder="1"/>
    <xf numFmtId="166" fontId="139" fillId="0" borderId="15" xfId="25742" applyNumberFormat="1" applyFont="1" applyFill="1" applyBorder="1"/>
    <xf numFmtId="3" fontId="0" fillId="0" borderId="15" xfId="0" applyNumberFormat="1" applyFill="1" applyBorder="1" applyAlignment="1">
      <alignment horizontal="center"/>
    </xf>
    <xf numFmtId="3" fontId="0" fillId="0" borderId="0" xfId="0" applyNumberFormat="1" applyFill="1"/>
    <xf numFmtId="215" fontId="0" fillId="0" borderId="15" xfId="0" applyNumberFormat="1" applyFill="1" applyBorder="1"/>
    <xf numFmtId="0" fontId="16" fillId="0" borderId="14" xfId="0" applyFont="1" applyFill="1" applyBorder="1"/>
    <xf numFmtId="3" fontId="0" fillId="0" borderId="14" xfId="0" applyNumberFormat="1" applyFill="1" applyBorder="1"/>
    <xf numFmtId="215" fontId="0" fillId="0" borderId="81" xfId="0" applyNumberFormat="1" applyFill="1" applyBorder="1"/>
    <xf numFmtId="10" fontId="0" fillId="0" borderId="82" xfId="0" applyNumberFormat="1" applyFill="1" applyBorder="1"/>
    <xf numFmtId="3" fontId="0" fillId="0" borderId="136" xfId="0" applyNumberFormat="1" applyFill="1" applyBorder="1" applyAlignment="1">
      <alignment horizontal="center"/>
    </xf>
    <xf numFmtId="10" fontId="0" fillId="0" borderId="11" xfId="0" applyNumberFormat="1" applyFill="1" applyBorder="1"/>
    <xf numFmtId="0" fontId="0" fillId="0" borderId="169" xfId="0" applyFill="1" applyBorder="1"/>
    <xf numFmtId="3" fontId="0" fillId="0" borderId="168" xfId="0" applyNumberFormat="1" applyFill="1" applyBorder="1"/>
    <xf numFmtId="3" fontId="0" fillId="0" borderId="185" xfId="0" applyNumberFormat="1" applyFill="1" applyBorder="1" applyAlignment="1">
      <alignment horizontal="center"/>
    </xf>
    <xf numFmtId="10" fontId="0" fillId="0" borderId="172" xfId="0" applyNumberFormat="1" applyFill="1" applyBorder="1"/>
    <xf numFmtId="166" fontId="139" fillId="100" borderId="0" xfId="25742" applyNumberFormat="1" applyFont="1" applyFill="1"/>
    <xf numFmtId="202" fontId="139" fillId="0" borderId="0" xfId="0" applyNumberFormat="1" applyFont="1"/>
    <xf numFmtId="0" fontId="144" fillId="0" borderId="91" xfId="0" applyFont="1" applyBorder="1"/>
    <xf numFmtId="0" fontId="144" fillId="0" borderId="175" xfId="0" applyFont="1" applyBorder="1" applyAlignment="1">
      <alignment horizontal="centerContinuous"/>
    </xf>
    <xf numFmtId="0" fontId="144" fillId="0" borderId="94" xfId="0" applyFont="1" applyBorder="1" applyAlignment="1">
      <alignment horizontal="centerContinuous"/>
    </xf>
    <xf numFmtId="0" fontId="144" fillId="0" borderId="176" xfId="0" applyFont="1" applyBorder="1" applyAlignment="1">
      <alignment horizontal="center" wrapText="1"/>
    </xf>
    <xf numFmtId="0" fontId="144" fillId="0" borderId="52" xfId="0" applyFont="1" applyBorder="1" applyAlignment="1">
      <alignment horizontal="center" wrapText="1"/>
    </xf>
    <xf numFmtId="0" fontId="144" fillId="0" borderId="157" xfId="0" applyFont="1" applyBorder="1" applyAlignment="1">
      <alignment horizontal="center"/>
    </xf>
    <xf numFmtId="0" fontId="144" fillId="0" borderId="51" xfId="0" applyFont="1" applyBorder="1" applyAlignment="1">
      <alignment horizontal="center"/>
    </xf>
    <xf numFmtId="0" fontId="144" fillId="0" borderId="177" xfId="0" applyFont="1" applyBorder="1" applyAlignment="1">
      <alignment horizontal="center"/>
    </xf>
    <xf numFmtId="0" fontId="144" fillId="0" borderId="52" xfId="0" applyFont="1" applyBorder="1" applyAlignment="1">
      <alignment horizontal="center"/>
    </xf>
    <xf numFmtId="202" fontId="139" fillId="0" borderId="11" xfId="25745" applyNumberFormat="1" applyFont="1" applyBorder="1"/>
    <xf numFmtId="43" fontId="167" fillId="0" borderId="0" xfId="25742" applyFont="1"/>
    <xf numFmtId="202" fontId="144" fillId="0" borderId="80" xfId="25745" applyNumberFormat="1" applyFont="1" applyBorder="1"/>
    <xf numFmtId="202" fontId="144" fillId="0" borderId="87" xfId="25745" applyNumberFormat="1" applyFont="1" applyBorder="1"/>
    <xf numFmtId="202" fontId="144" fillId="0" borderId="0" xfId="0" applyNumberFormat="1" applyFont="1"/>
    <xf numFmtId="0" fontId="144" fillId="0" borderId="94" xfId="0" applyFont="1" applyBorder="1" applyAlignment="1">
      <alignment horizontal="left" indent="2"/>
    </xf>
    <xf numFmtId="0" fontId="144" fillId="0" borderId="49" xfId="0" applyFont="1" applyBorder="1" applyAlignment="1">
      <alignment horizontal="left" indent="2"/>
    </xf>
    <xf numFmtId="9" fontId="139" fillId="0" borderId="49" xfId="25793" applyFont="1" applyBorder="1" applyAlignment="1">
      <alignment horizontal="center"/>
    </xf>
    <xf numFmtId="167" fontId="139" fillId="0" borderId="0" xfId="25793" applyNumberFormat="1" applyFont="1"/>
    <xf numFmtId="0" fontId="185" fillId="0" borderId="0" xfId="0" applyFont="1" applyAlignment="1">
      <alignment horizontal="right"/>
    </xf>
    <xf numFmtId="0" fontId="160" fillId="0" borderId="0" xfId="0" applyFont="1" applyAlignment="1">
      <alignment horizontal="right"/>
    </xf>
    <xf numFmtId="0" fontId="144" fillId="0" borderId="173" xfId="0" applyFont="1" applyBorder="1" applyAlignment="1">
      <alignment horizontal="centerContinuous"/>
    </xf>
    <xf numFmtId="0" fontId="144" fillId="0" borderId="174" xfId="0" applyFont="1" applyBorder="1" applyAlignment="1">
      <alignment horizontal="centerContinuous"/>
    </xf>
    <xf numFmtId="0" fontId="144" fillId="0" borderId="176" xfId="0" applyFont="1" applyBorder="1" applyAlignment="1">
      <alignment horizontal="center"/>
    </xf>
    <xf numFmtId="0" fontId="139" fillId="0" borderId="93" xfId="0" applyFont="1" applyBorder="1"/>
    <xf numFmtId="0" fontId="144" fillId="0" borderId="94" xfId="0" applyFont="1" applyBorder="1" applyAlignment="1">
      <alignment horizontal="left" indent="1"/>
    </xf>
    <xf numFmtId="202" fontId="144" fillId="0" borderId="49" xfId="0" applyNumberFormat="1" applyFont="1" applyBorder="1"/>
    <xf numFmtId="203" fontId="139" fillId="0" borderId="89" xfId="25793" applyNumberFormat="1" applyFont="1" applyBorder="1" applyAlignment="1">
      <alignment horizontal="center"/>
    </xf>
    <xf numFmtId="203" fontId="139" fillId="0" borderId="95" xfId="25793" applyNumberFormat="1" applyFont="1" applyBorder="1" applyAlignment="1">
      <alignment horizontal="center"/>
    </xf>
    <xf numFmtId="203" fontId="139" fillId="0" borderId="93" xfId="0" applyNumberFormat="1" applyFont="1" applyBorder="1" applyAlignment="1">
      <alignment horizontal="center"/>
    </xf>
    <xf numFmtId="203" fontId="139" fillId="0" borderId="89" xfId="0" applyNumberFormat="1" applyFont="1" applyBorder="1" applyAlignment="1">
      <alignment horizontal="center"/>
    </xf>
    <xf numFmtId="0" fontId="0" fillId="0" borderId="91" xfId="0" applyFill="1" applyBorder="1" applyAlignment="1">
      <alignment horizontal="center"/>
    </xf>
    <xf numFmtId="0" fontId="0" fillId="0" borderId="92" xfId="0" applyFill="1" applyBorder="1"/>
    <xf numFmtId="0" fontId="0" fillId="0" borderId="93" xfId="0" applyFill="1" applyBorder="1"/>
    <xf numFmtId="0" fontId="0" fillId="0" borderId="88" xfId="0" applyFill="1" applyBorder="1" applyAlignment="1">
      <alignment horizontal="center"/>
    </xf>
    <xf numFmtId="0" fontId="0" fillId="0" borderId="89" xfId="0" applyFill="1" applyBorder="1" applyAlignment="1">
      <alignment horizontal="center"/>
    </xf>
    <xf numFmtId="0" fontId="0" fillId="0" borderId="88" xfId="0" applyFill="1" applyBorder="1" applyAlignment="1">
      <alignment horizontal="center" wrapText="1"/>
    </xf>
    <xf numFmtId="0" fontId="0" fillId="0" borderId="0" xfId="0" applyFill="1" applyAlignment="1">
      <alignment horizontal="center" wrapText="1"/>
    </xf>
    <xf numFmtId="199" fontId="0" fillId="0" borderId="0" xfId="0" applyNumberFormat="1" applyFill="1" applyAlignment="1">
      <alignment horizontal="center"/>
    </xf>
    <xf numFmtId="0" fontId="0" fillId="0" borderId="89" xfId="0" applyFill="1" applyBorder="1" applyAlignment="1">
      <alignment horizontal="center" wrapText="1"/>
    </xf>
    <xf numFmtId="2" fontId="0" fillId="0" borderId="0" xfId="0" applyNumberFormat="1" applyFill="1" applyAlignment="1">
      <alignment horizontal="center"/>
    </xf>
    <xf numFmtId="188" fontId="0" fillId="0" borderId="0" xfId="0" applyNumberFormat="1" applyFill="1"/>
    <xf numFmtId="215" fontId="0" fillId="0" borderId="0" xfId="0" applyNumberFormat="1" applyFill="1"/>
    <xf numFmtId="3" fontId="0" fillId="0" borderId="89" xfId="0" applyNumberFormat="1" applyFill="1" applyBorder="1" applyAlignment="1">
      <alignment horizontal="right"/>
    </xf>
    <xf numFmtId="166" fontId="0" fillId="0" borderId="0" xfId="25742" applyNumberFormat="1" applyFont="1" applyFill="1" applyAlignment="1">
      <alignment horizontal="center"/>
    </xf>
    <xf numFmtId="166" fontId="0" fillId="0" borderId="0" xfId="25742" applyNumberFormat="1" applyFont="1" applyFill="1"/>
    <xf numFmtId="2" fontId="0" fillId="0" borderId="0" xfId="0" applyNumberFormat="1" applyFill="1"/>
    <xf numFmtId="0" fontId="0" fillId="0" borderId="89" xfId="0" applyFill="1" applyBorder="1" applyAlignment="1">
      <alignment horizontal="right"/>
    </xf>
    <xf numFmtId="1" fontId="0" fillId="0" borderId="89" xfId="0" applyNumberFormat="1" applyFill="1" applyBorder="1" applyAlignment="1">
      <alignment horizontal="right"/>
    </xf>
    <xf numFmtId="205" fontId="139" fillId="0" borderId="0" xfId="0" applyNumberFormat="1" applyFont="1" applyFill="1"/>
    <xf numFmtId="188" fontId="139" fillId="0" borderId="0" xfId="0" applyNumberFormat="1" applyFont="1" applyFill="1"/>
    <xf numFmtId="44" fontId="0" fillId="0" borderId="0" xfId="0" applyNumberFormat="1" applyFill="1"/>
    <xf numFmtId="0" fontId="0" fillId="0" borderId="94" xfId="0" applyFill="1" applyBorder="1" applyAlignment="1">
      <alignment horizontal="center"/>
    </xf>
    <xf numFmtId="0" fontId="0" fillId="0" borderId="49" xfId="0" applyFill="1" applyBorder="1"/>
    <xf numFmtId="188" fontId="0" fillId="0" borderId="49" xfId="0" applyNumberFormat="1" applyFill="1" applyBorder="1"/>
    <xf numFmtId="3" fontId="0" fillId="0" borderId="49" xfId="0" applyNumberFormat="1" applyFill="1" applyBorder="1"/>
    <xf numFmtId="199" fontId="0" fillId="0" borderId="49" xfId="0" applyNumberFormat="1" applyFill="1" applyBorder="1" applyAlignment="1">
      <alignment horizontal="center"/>
    </xf>
    <xf numFmtId="215" fontId="0" fillId="0" borderId="49" xfId="0" applyNumberFormat="1" applyFill="1" applyBorder="1"/>
    <xf numFmtId="1" fontId="0" fillId="0" borderId="95" xfId="0" applyNumberFormat="1" applyFill="1" applyBorder="1" applyAlignment="1">
      <alignment horizontal="center"/>
    </xf>
    <xf numFmtId="190" fontId="0" fillId="0" borderId="92" xfId="0" applyNumberFormat="1" applyFill="1" applyBorder="1"/>
    <xf numFmtId="3" fontId="0" fillId="0" borderId="92" xfId="0" applyNumberFormat="1" applyFill="1" applyBorder="1"/>
    <xf numFmtId="215" fontId="0" fillId="0" borderId="92" xfId="0" applyNumberFormat="1" applyFill="1" applyBorder="1"/>
    <xf numFmtId="199" fontId="0" fillId="0" borderId="88" xfId="0" applyNumberFormat="1" applyFill="1" applyBorder="1" applyAlignment="1">
      <alignment horizontal="center"/>
    </xf>
    <xf numFmtId="190" fontId="0" fillId="0" borderId="0" xfId="0" applyNumberFormat="1" applyFill="1"/>
    <xf numFmtId="0" fontId="0" fillId="0" borderId="89" xfId="0" applyFill="1" applyBorder="1"/>
    <xf numFmtId="199" fontId="0" fillId="0" borderId="0" xfId="0" applyNumberFormat="1" applyFill="1" applyAlignment="1">
      <alignment horizontal="left"/>
    </xf>
    <xf numFmtId="199" fontId="0" fillId="0" borderId="94" xfId="0" applyNumberFormat="1" applyFill="1" applyBorder="1" applyAlignment="1">
      <alignment horizontal="center"/>
    </xf>
    <xf numFmtId="190" fontId="0" fillId="0" borderId="49" xfId="0" applyNumberFormat="1" applyFill="1" applyBorder="1"/>
    <xf numFmtId="0" fontId="0" fillId="0" borderId="95" xfId="0" applyFill="1" applyBorder="1"/>
    <xf numFmtId="0" fontId="0" fillId="0" borderId="0" xfId="0" applyFill="1" applyAlignment="1">
      <alignment wrapText="1"/>
    </xf>
    <xf numFmtId="0" fontId="0" fillId="0" borderId="88" xfId="0" applyFill="1" applyBorder="1"/>
    <xf numFmtId="14" fontId="0" fillId="0" borderId="0" xfId="0" applyNumberFormat="1" applyFill="1"/>
    <xf numFmtId="166" fontId="0" fillId="0" borderId="89" xfId="25742" applyNumberFormat="1" applyFont="1" applyFill="1" applyBorder="1"/>
    <xf numFmtId="3" fontId="20" fillId="0" borderId="0" xfId="0" applyNumberFormat="1" applyFont="1" applyFill="1"/>
    <xf numFmtId="37" fontId="1" fillId="0" borderId="0" xfId="33365" applyNumberFormat="1" applyFont="1" applyFill="1"/>
    <xf numFmtId="3" fontId="18" fillId="0" borderId="0" xfId="0" applyNumberFormat="1" applyFont="1" applyFill="1"/>
    <xf numFmtId="37" fontId="0" fillId="0" borderId="0" xfId="0" applyNumberFormat="1" applyFill="1"/>
    <xf numFmtId="0" fontId="0" fillId="0" borderId="94" xfId="0" applyFill="1" applyBorder="1"/>
    <xf numFmtId="166" fontId="0" fillId="0" borderId="49" xfId="0" applyNumberFormat="1" applyFill="1" applyBorder="1"/>
    <xf numFmtId="166" fontId="0" fillId="0" borderId="95" xfId="0" applyNumberFormat="1" applyFill="1" applyBorder="1"/>
    <xf numFmtId="188" fontId="0" fillId="0" borderId="92" xfId="0" applyNumberFormat="1" applyFill="1" applyBorder="1" applyAlignment="1">
      <alignment horizontal="center"/>
    </xf>
    <xf numFmtId="37" fontId="0" fillId="0" borderId="92" xfId="0" applyNumberFormat="1" applyFill="1" applyBorder="1"/>
    <xf numFmtId="37" fontId="0" fillId="0" borderId="93" xfId="0" applyNumberFormat="1" applyFill="1" applyBorder="1"/>
    <xf numFmtId="188" fontId="0" fillId="0" borderId="49" xfId="0" applyNumberFormat="1" applyFill="1" applyBorder="1" applyAlignment="1">
      <alignment horizontal="center"/>
    </xf>
    <xf numFmtId="188" fontId="0" fillId="0" borderId="0" xfId="0" applyNumberFormat="1" applyFill="1" applyAlignment="1">
      <alignment horizontal="center"/>
    </xf>
    <xf numFmtId="190" fontId="0" fillId="0" borderId="0" xfId="0" applyNumberFormat="1" applyFill="1" applyAlignment="1">
      <alignment horizontal="center"/>
    </xf>
    <xf numFmtId="190" fontId="0" fillId="0" borderId="89" xfId="0" applyNumberFormat="1" applyFill="1" applyBorder="1" applyAlignment="1">
      <alignment horizontal="center"/>
    </xf>
    <xf numFmtId="190" fontId="0" fillId="0" borderId="95" xfId="0" applyNumberFormat="1" applyFill="1" applyBorder="1"/>
    <xf numFmtId="0" fontId="144" fillId="0" borderId="0" xfId="0" applyFont="1" applyFill="1" applyAlignment="1">
      <alignment horizontal="center"/>
    </xf>
    <xf numFmtId="0" fontId="144" fillId="0" borderId="0" xfId="0" applyFont="1" applyFill="1" applyAlignment="1">
      <alignment horizontal="centerContinuous"/>
    </xf>
    <xf numFmtId="0" fontId="144" fillId="0" borderId="0" xfId="0" applyFont="1" applyFill="1" applyAlignment="1">
      <alignment horizontal="right"/>
    </xf>
    <xf numFmtId="166" fontId="144" fillId="0" borderId="0" xfId="25742" applyNumberFormat="1" applyFont="1" applyFill="1" applyAlignment="1">
      <alignment horizontal="right"/>
    </xf>
    <xf numFmtId="0" fontId="139" fillId="0" borderId="0" xfId="0" applyFont="1" applyFill="1" applyAlignment="1">
      <alignment horizontal="right"/>
    </xf>
    <xf numFmtId="166" fontId="139" fillId="0" borderId="0" xfId="25742" applyNumberFormat="1" applyFont="1" applyFill="1" applyAlignment="1">
      <alignment horizontal="right"/>
    </xf>
    <xf numFmtId="0" fontId="139" fillId="0" borderId="81" xfId="0" applyFont="1" applyFill="1" applyBorder="1" applyAlignment="1">
      <alignment horizontal="right"/>
    </xf>
    <xf numFmtId="0" fontId="139" fillId="0" borderId="150" xfId="0" applyFont="1" applyFill="1" applyBorder="1" applyAlignment="1">
      <alignment horizontal="right"/>
    </xf>
    <xf numFmtId="0" fontId="139" fillId="0" borderId="82" xfId="0" applyFont="1" applyFill="1" applyBorder="1" applyAlignment="1">
      <alignment horizontal="right"/>
    </xf>
    <xf numFmtId="0" fontId="139" fillId="0" borderId="165" xfId="0" applyFont="1" applyFill="1" applyBorder="1" applyAlignment="1">
      <alignment horizontal="right"/>
    </xf>
    <xf numFmtId="0" fontId="139" fillId="0" borderId="14" xfId="0" applyFont="1" applyFill="1" applyBorder="1" applyAlignment="1">
      <alignment horizontal="center"/>
    </xf>
    <xf numFmtId="0" fontId="139" fillId="0" borderId="14" xfId="0" applyFont="1" applyFill="1" applyBorder="1" applyAlignment="1">
      <alignment horizontal="center" wrapText="1"/>
    </xf>
    <xf numFmtId="0" fontId="139" fillId="0" borderId="14" xfId="0" applyFont="1" applyFill="1" applyBorder="1" applyAlignment="1">
      <alignment horizontal="right" wrapText="1"/>
    </xf>
    <xf numFmtId="3" fontId="32" fillId="0" borderId="14" xfId="0" applyNumberFormat="1" applyFont="1" applyFill="1" applyBorder="1" applyAlignment="1">
      <alignment horizontal="center" wrapText="1"/>
    </xf>
    <xf numFmtId="190" fontId="32" fillId="0" borderId="14" xfId="25766" applyNumberFormat="1" applyFont="1" applyFill="1" applyBorder="1" applyAlignment="1">
      <alignment horizontal="center" wrapText="1"/>
    </xf>
    <xf numFmtId="7" fontId="32" fillId="0" borderId="14" xfId="25766" applyNumberFormat="1" applyFont="1" applyFill="1" applyBorder="1" applyAlignment="1">
      <alignment horizontal="center" wrapText="1"/>
    </xf>
    <xf numFmtId="0" fontId="32" fillId="0" borderId="14" xfId="0" applyFont="1" applyFill="1" applyBorder="1" applyAlignment="1">
      <alignment horizontal="center" wrapText="1"/>
    </xf>
    <xf numFmtId="204" fontId="32" fillId="0" borderId="14" xfId="25766" applyNumberFormat="1" applyFont="1" applyFill="1" applyBorder="1" applyAlignment="1">
      <alignment horizontal="center" wrapText="1"/>
    </xf>
    <xf numFmtId="166" fontId="32" fillId="0" borderId="14" xfId="25742" applyNumberFormat="1" applyFont="1" applyFill="1" applyBorder="1" applyAlignment="1">
      <alignment horizontal="center" wrapText="1"/>
    </xf>
    <xf numFmtId="166" fontId="139" fillId="0" borderId="0" xfId="25742" applyNumberFormat="1" applyFont="1" applyFill="1" applyAlignment="1">
      <alignment horizontal="center"/>
    </xf>
    <xf numFmtId="0" fontId="153" fillId="0" borderId="0" xfId="0" applyFont="1" applyFill="1"/>
    <xf numFmtId="0" fontId="139" fillId="0" borderId="0" xfId="0" applyFont="1" applyFill="1" applyAlignment="1">
      <alignment horizontal="left"/>
    </xf>
    <xf numFmtId="190" fontId="139" fillId="0" borderId="0" xfId="0" applyNumberFormat="1" applyFont="1" applyFill="1" applyAlignment="1">
      <alignment horizontal="right"/>
    </xf>
    <xf numFmtId="188" fontId="139" fillId="0" borderId="0" xfId="0" applyNumberFormat="1" applyFont="1" applyFill="1" applyAlignment="1">
      <alignment horizontal="right"/>
    </xf>
    <xf numFmtId="3" fontId="139" fillId="0" borderId="0" xfId="0" applyNumberFormat="1" applyFont="1" applyFill="1" applyAlignment="1">
      <alignment horizontal="right"/>
    </xf>
    <xf numFmtId="202" fontId="139" fillId="0" borderId="0" xfId="25745" applyNumberFormat="1" applyFont="1" applyFill="1" applyAlignment="1">
      <alignment horizontal="right"/>
    </xf>
    <xf numFmtId="190" fontId="139" fillId="0" borderId="0" xfId="25742" applyNumberFormat="1" applyFont="1" applyFill="1" applyAlignment="1">
      <alignment horizontal="right"/>
    </xf>
    <xf numFmtId="204" fontId="139" fillId="0" borderId="0" xfId="0" applyNumberFormat="1" applyFont="1" applyFill="1" applyAlignment="1">
      <alignment horizontal="right"/>
    </xf>
    <xf numFmtId="205" fontId="139" fillId="0" borderId="0" xfId="25745" applyNumberFormat="1" applyFont="1" applyFill="1" applyAlignment="1">
      <alignment horizontal="right"/>
    </xf>
    <xf numFmtId="43" fontId="139" fillId="0" borderId="0" xfId="25742" applyFont="1" applyFill="1" applyAlignment="1">
      <alignment horizontal="right"/>
    </xf>
    <xf numFmtId="44" fontId="139" fillId="0" borderId="0" xfId="25745" applyFont="1" applyFill="1" applyAlignment="1">
      <alignment horizontal="right"/>
    </xf>
    <xf numFmtId="188" fontId="139" fillId="0" borderId="165" xfId="0" applyNumberFormat="1" applyFont="1" applyFill="1" applyBorder="1" applyAlignment="1">
      <alignment horizontal="right"/>
    </xf>
    <xf numFmtId="166" fontId="144" fillId="0" borderId="0" xfId="0" applyNumberFormat="1" applyFont="1" applyFill="1" applyAlignment="1">
      <alignment horizontal="right"/>
    </xf>
    <xf numFmtId="0" fontId="32" fillId="0" borderId="0" xfId="30157" applyFont="1" applyFill="1" applyAlignment="1">
      <alignment vertical="top" wrapText="1"/>
    </xf>
    <xf numFmtId="166" fontId="139" fillId="0" borderId="0" xfId="0" applyNumberFormat="1" applyFont="1" applyFill="1" applyAlignment="1">
      <alignment horizontal="right"/>
    </xf>
    <xf numFmtId="5" fontId="139" fillId="0" borderId="0" xfId="0" applyNumberFormat="1" applyFont="1" applyFill="1" applyAlignment="1">
      <alignment horizontal="right"/>
    </xf>
    <xf numFmtId="5" fontId="139" fillId="0" borderId="168" xfId="0" applyNumberFormat="1" applyFont="1" applyFill="1" applyBorder="1" applyAlignment="1">
      <alignment horizontal="right"/>
    </xf>
    <xf numFmtId="188" fontId="139" fillId="0" borderId="168" xfId="0" applyNumberFormat="1" applyFont="1" applyFill="1" applyBorder="1" applyAlignment="1">
      <alignment horizontal="right"/>
    </xf>
    <xf numFmtId="190" fontId="139" fillId="0" borderId="168" xfId="0" applyNumberFormat="1" applyFont="1" applyFill="1" applyBorder="1" applyAlignment="1">
      <alignment horizontal="right"/>
    </xf>
    <xf numFmtId="205" fontId="139" fillId="0" borderId="0" xfId="25745" applyNumberFormat="1" applyFont="1" applyFill="1"/>
    <xf numFmtId="202" fontId="139" fillId="0" borderId="168" xfId="25745" applyNumberFormat="1" applyFont="1" applyFill="1" applyBorder="1" applyAlignment="1">
      <alignment horizontal="right"/>
    </xf>
    <xf numFmtId="202" fontId="139" fillId="0" borderId="0" xfId="0" applyNumberFormat="1" applyFont="1" applyFill="1" applyAlignment="1">
      <alignment horizontal="right"/>
    </xf>
    <xf numFmtId="0" fontId="166" fillId="0" borderId="0" xfId="0" applyFont="1" applyFill="1" applyAlignment="1">
      <alignment vertical="top"/>
    </xf>
    <xf numFmtId="0" fontId="139" fillId="0" borderId="0" xfId="0" applyFont="1" applyFill="1" applyAlignment="1">
      <alignment horizontal="left" indent="1"/>
    </xf>
    <xf numFmtId="0" fontId="144" fillId="0" borderId="168" xfId="0" applyFont="1" applyFill="1" applyBorder="1"/>
    <xf numFmtId="0" fontId="139" fillId="0" borderId="168" xfId="0" applyFont="1" applyFill="1" applyBorder="1" applyAlignment="1">
      <alignment horizontal="right"/>
    </xf>
    <xf numFmtId="204" fontId="139" fillId="0" borderId="168" xfId="0" applyNumberFormat="1" applyFont="1" applyFill="1" applyBorder="1" applyAlignment="1">
      <alignment horizontal="right"/>
    </xf>
    <xf numFmtId="166" fontId="139" fillId="0" borderId="168" xfId="25742" applyNumberFormat="1" applyFont="1" applyFill="1" applyBorder="1" applyAlignment="1">
      <alignment horizontal="right"/>
    </xf>
    <xf numFmtId="0" fontId="144" fillId="0" borderId="0" xfId="0" applyFont="1" applyFill="1"/>
    <xf numFmtId="43" fontId="139" fillId="0" borderId="0" xfId="0" applyNumberFormat="1" applyFont="1" applyFill="1" applyAlignment="1">
      <alignment horizontal="right"/>
    </xf>
    <xf numFmtId="0" fontId="167" fillId="0" borderId="0" xfId="0" applyFont="1" applyFill="1" applyAlignment="1">
      <alignment horizontal="right"/>
    </xf>
    <xf numFmtId="0" fontId="139" fillId="0" borderId="0" xfId="0" applyFont="1" applyFill="1" applyAlignment="1">
      <alignment horizontal="right" wrapText="1"/>
    </xf>
    <xf numFmtId="190" fontId="139" fillId="0" borderId="0" xfId="25745" applyNumberFormat="1" applyFont="1" applyFill="1" applyAlignment="1">
      <alignment horizontal="right"/>
    </xf>
    <xf numFmtId="0" fontId="139" fillId="0" borderId="168" xfId="0" applyFont="1" applyFill="1" applyBorder="1"/>
    <xf numFmtId="44" fontId="139" fillId="0" borderId="0" xfId="0" applyNumberFormat="1" applyFont="1" applyFill="1" applyAlignment="1">
      <alignment horizontal="right"/>
    </xf>
    <xf numFmtId="0" fontId="139" fillId="0" borderId="0" xfId="28781" applyFont="1" applyFill="1"/>
    <xf numFmtId="0" fontId="18" fillId="0" borderId="0" xfId="0" applyFont="1" applyFill="1" applyAlignment="1">
      <alignment vertical="top"/>
    </xf>
    <xf numFmtId="0" fontId="139" fillId="0" borderId="0" xfId="30158" applyFont="1" applyFill="1"/>
    <xf numFmtId="0" fontId="139" fillId="0" borderId="168" xfId="0" applyFont="1" applyFill="1" applyBorder="1" applyAlignment="1">
      <alignment horizontal="left" indent="1"/>
    </xf>
    <xf numFmtId="43" fontId="139" fillId="0" borderId="168" xfId="0" applyNumberFormat="1" applyFont="1" applyFill="1" applyBorder="1" applyAlignment="1">
      <alignment horizontal="right"/>
    </xf>
    <xf numFmtId="37" fontId="139" fillId="0" borderId="0" xfId="0" applyNumberFormat="1" applyFont="1" applyFill="1"/>
    <xf numFmtId="188" fontId="139" fillId="0" borderId="168" xfId="0" applyNumberFormat="1" applyFont="1" applyFill="1" applyBorder="1"/>
    <xf numFmtId="0" fontId="47" fillId="0" borderId="0" xfId="0" applyFont="1" applyFill="1" applyAlignment="1">
      <alignment horizontal="left" vertical="top"/>
    </xf>
    <xf numFmtId="0" fontId="47" fillId="0" borderId="0" xfId="0" applyFont="1" applyFill="1" applyAlignment="1">
      <alignment vertical="top"/>
    </xf>
    <xf numFmtId="0" fontId="167" fillId="0" borderId="168" xfId="0" applyFont="1" applyFill="1" applyBorder="1" applyAlignment="1">
      <alignment horizontal="right"/>
    </xf>
    <xf numFmtId="188" fontId="139" fillId="0" borderId="168" xfId="25742" applyNumberFormat="1" applyFont="1" applyFill="1" applyBorder="1" applyAlignment="1">
      <alignment horizontal="right"/>
    </xf>
    <xf numFmtId="37" fontId="139" fillId="0" borderId="0" xfId="25745" applyNumberFormat="1" applyFont="1" applyFill="1" applyAlignment="1">
      <alignment horizontal="right"/>
    </xf>
    <xf numFmtId="208" fontId="139" fillId="0" borderId="0" xfId="0" applyNumberFormat="1" applyFont="1" applyFill="1" applyAlignment="1">
      <alignment horizontal="right"/>
    </xf>
    <xf numFmtId="39" fontId="139" fillId="0" borderId="0" xfId="25745" applyNumberFormat="1" applyFont="1" applyFill="1" applyAlignment="1">
      <alignment horizontal="right"/>
    </xf>
    <xf numFmtId="3" fontId="139" fillId="0" borderId="168" xfId="0" applyNumberFormat="1" applyFont="1" applyFill="1" applyBorder="1" applyAlignment="1">
      <alignment horizontal="right"/>
    </xf>
    <xf numFmtId="202" fontId="139" fillId="0" borderId="168" xfId="0" applyNumberFormat="1" applyFont="1" applyFill="1" applyBorder="1" applyAlignment="1">
      <alignment horizontal="right"/>
    </xf>
    <xf numFmtId="202" fontId="139" fillId="0" borderId="165" xfId="25745" applyNumberFormat="1" applyFont="1" applyFill="1" applyBorder="1" applyAlignment="1">
      <alignment horizontal="right"/>
    </xf>
    <xf numFmtId="188" fontId="139" fillId="0" borderId="0" xfId="25745" applyNumberFormat="1" applyFont="1" applyFill="1" applyAlignment="1">
      <alignment horizontal="right"/>
    </xf>
    <xf numFmtId="188" fontId="14" fillId="0" borderId="0" xfId="0" applyNumberFormat="1" applyFont="1" applyFill="1" applyAlignment="1">
      <alignment horizontal="right"/>
    </xf>
    <xf numFmtId="166" fontId="139" fillId="0" borderId="0" xfId="25742" applyNumberFormat="1" applyFont="1" applyFill="1"/>
    <xf numFmtId="190" fontId="14" fillId="0" borderId="0" xfId="0" applyNumberFormat="1" applyFont="1" applyFill="1" applyAlignment="1">
      <alignment horizontal="right"/>
    </xf>
    <xf numFmtId="190" fontId="139" fillId="0" borderId="0" xfId="0" applyNumberFormat="1" applyFont="1" applyFill="1" applyAlignment="1">
      <alignment horizontal="left"/>
    </xf>
    <xf numFmtId="1" fontId="139" fillId="0" borderId="0" xfId="0" applyNumberFormat="1" applyFont="1" applyFill="1" applyAlignment="1">
      <alignment horizontal="right"/>
    </xf>
    <xf numFmtId="0" fontId="57" fillId="0" borderId="0" xfId="0" applyFont="1" applyFill="1" applyAlignment="1">
      <alignment vertical="center" wrapText="1"/>
    </xf>
    <xf numFmtId="0" fontId="57" fillId="0" borderId="0" xfId="0" applyFont="1" applyFill="1" applyAlignment="1">
      <alignment horizontal="left" vertical="center" wrapText="1"/>
    </xf>
    <xf numFmtId="0" fontId="18" fillId="0" borderId="0" xfId="0" applyFont="1" applyFill="1" applyAlignment="1">
      <alignment horizontal="left" vertical="center" wrapText="1"/>
    </xf>
    <xf numFmtId="0" fontId="18" fillId="0" borderId="0" xfId="0" applyFont="1" applyFill="1" applyAlignment="1">
      <alignment vertical="center" wrapText="1"/>
    </xf>
    <xf numFmtId="0" fontId="1" fillId="0" borderId="0" xfId="30158" applyFont="1" applyFill="1"/>
    <xf numFmtId="7" fontId="139" fillId="0" borderId="168" xfId="0" applyNumberFormat="1" applyFont="1" applyFill="1" applyBorder="1" applyAlignment="1">
      <alignment horizontal="right"/>
    </xf>
    <xf numFmtId="7" fontId="139" fillId="0" borderId="0" xfId="0" applyNumberFormat="1" applyFont="1" applyFill="1" applyAlignment="1">
      <alignment horizontal="right"/>
    </xf>
    <xf numFmtId="1" fontId="139" fillId="0" borderId="168" xfId="0" applyNumberFormat="1" applyFont="1" applyFill="1" applyBorder="1" applyAlignment="1">
      <alignment horizontal="right"/>
    </xf>
    <xf numFmtId="4" fontId="139" fillId="0" borderId="0" xfId="0" applyNumberFormat="1" applyFont="1" applyFill="1" applyAlignment="1">
      <alignment horizontal="right"/>
    </xf>
    <xf numFmtId="199" fontId="139" fillId="0" borderId="0" xfId="0" applyNumberFormat="1" applyFont="1" applyFill="1" applyAlignment="1">
      <alignment horizontal="right"/>
    </xf>
    <xf numFmtId="37" fontId="139" fillId="0" borderId="0" xfId="0" applyNumberFormat="1" applyFont="1" applyFill="1" applyAlignment="1">
      <alignment horizontal="right"/>
    </xf>
    <xf numFmtId="39" fontId="139" fillId="0" borderId="0" xfId="0" applyNumberFormat="1" applyFont="1" applyFill="1" applyAlignment="1">
      <alignment horizontal="right"/>
    </xf>
    <xf numFmtId="44" fontId="139" fillId="0" borderId="168" xfId="25745" applyFont="1" applyFill="1" applyBorder="1" applyAlignment="1">
      <alignment horizontal="right"/>
    </xf>
    <xf numFmtId="37" fontId="139" fillId="0" borderId="165" xfId="0" applyNumberFormat="1" applyFont="1" applyFill="1" applyBorder="1" applyAlignment="1">
      <alignment horizontal="right"/>
    </xf>
    <xf numFmtId="37" fontId="139" fillId="0" borderId="168" xfId="0" applyNumberFormat="1" applyFont="1" applyFill="1" applyBorder="1" applyAlignment="1">
      <alignment horizontal="right"/>
    </xf>
    <xf numFmtId="190" fontId="139" fillId="0" borderId="0" xfId="0" applyNumberFormat="1" applyFont="1" applyFill="1"/>
    <xf numFmtId="2" fontId="139" fillId="0" borderId="0" xfId="0" applyNumberFormat="1" applyFont="1" applyFill="1" applyAlignment="1">
      <alignment horizontal="right"/>
    </xf>
    <xf numFmtId="202" fontId="14" fillId="0" borderId="0" xfId="25745" applyNumberFormat="1" applyFont="1" applyFill="1" applyAlignment="1">
      <alignment horizontal="right"/>
    </xf>
    <xf numFmtId="44" fontId="14" fillId="0" borderId="0" xfId="25745" applyFont="1" applyFill="1" applyAlignment="1">
      <alignment horizontal="right"/>
    </xf>
    <xf numFmtId="176" fontId="139" fillId="0" borderId="0" xfId="0" applyNumberFormat="1" applyFont="1" applyFill="1" applyAlignment="1">
      <alignment horizontal="right"/>
    </xf>
    <xf numFmtId="209" fontId="139" fillId="0" borderId="0" xfId="0" applyNumberFormat="1" applyFont="1" applyFill="1" applyAlignment="1">
      <alignment horizontal="right"/>
    </xf>
    <xf numFmtId="197" fontId="139" fillId="0" borderId="0" xfId="0" applyNumberFormat="1" applyFont="1" applyFill="1" applyAlignment="1">
      <alignment horizontal="right"/>
    </xf>
    <xf numFmtId="210" fontId="139" fillId="0" borderId="0" xfId="25745" applyNumberFormat="1" applyFont="1" applyFill="1" applyAlignment="1">
      <alignment horizontal="right"/>
    </xf>
    <xf numFmtId="211" fontId="139" fillId="0" borderId="0" xfId="25745" applyNumberFormat="1" applyFont="1" applyFill="1" applyAlignment="1">
      <alignment horizontal="right"/>
    </xf>
    <xf numFmtId="190" fontId="139" fillId="0" borderId="168" xfId="25742" applyNumberFormat="1" applyFont="1" applyFill="1" applyBorder="1" applyAlignment="1">
      <alignment horizontal="right"/>
    </xf>
    <xf numFmtId="166" fontId="14" fillId="0" borderId="0" xfId="0" applyNumberFormat="1" applyFont="1" applyFill="1" applyAlignment="1">
      <alignment horizontal="right"/>
    </xf>
    <xf numFmtId="166" fontId="139" fillId="0" borderId="168" xfId="0" applyNumberFormat="1" applyFont="1" applyFill="1" applyBorder="1" applyAlignment="1">
      <alignment horizontal="right"/>
    </xf>
    <xf numFmtId="44" fontId="139" fillId="0" borderId="168" xfId="0" applyNumberFormat="1" applyFont="1" applyFill="1" applyBorder="1" applyAlignment="1">
      <alignment horizontal="right"/>
    </xf>
    <xf numFmtId="166" fontId="139" fillId="0" borderId="168" xfId="25745" applyNumberFormat="1" applyFont="1" applyFill="1" applyBorder="1" applyAlignment="1">
      <alignment horizontal="right"/>
    </xf>
    <xf numFmtId="41" fontId="139" fillId="0" borderId="0" xfId="0" applyNumberFormat="1" applyFont="1" applyFill="1" applyAlignment="1">
      <alignment horizontal="right"/>
    </xf>
    <xf numFmtId="3" fontId="139" fillId="0" borderId="0" xfId="25742" applyNumberFormat="1" applyFont="1" applyFill="1" applyAlignment="1">
      <alignment horizontal="right"/>
    </xf>
    <xf numFmtId="37" fontId="47" fillId="0" borderId="0" xfId="0" applyNumberFormat="1" applyFont="1" applyFill="1" applyAlignment="1">
      <alignment vertical="top"/>
    </xf>
    <xf numFmtId="37" fontId="47" fillId="0" borderId="168" xfId="0" applyNumberFormat="1" applyFont="1" applyFill="1" applyBorder="1" applyAlignment="1">
      <alignment vertical="top"/>
    </xf>
    <xf numFmtId="0" fontId="0" fillId="0" borderId="0" xfId="30158" applyFont="1" applyFill="1"/>
    <xf numFmtId="0" fontId="144" fillId="0" borderId="168" xfId="0" applyFont="1" applyFill="1" applyBorder="1" applyAlignment="1">
      <alignment horizontal="left" indent="1"/>
    </xf>
    <xf numFmtId="0" fontId="1" fillId="0" borderId="168" xfId="30158" applyFont="1" applyFill="1" applyBorder="1"/>
    <xf numFmtId="0" fontId="139" fillId="0" borderId="168" xfId="0" applyFont="1" applyFill="1" applyBorder="1" applyAlignment="1">
      <alignment horizontal="left"/>
    </xf>
    <xf numFmtId="5" fontId="139" fillId="0" borderId="168" xfId="0" applyNumberFormat="1" applyFont="1" applyFill="1" applyBorder="1"/>
    <xf numFmtId="39" fontId="139" fillId="0" borderId="168" xfId="0" applyNumberFormat="1" applyFont="1" applyFill="1" applyBorder="1" applyAlignment="1">
      <alignment horizontal="right"/>
    </xf>
    <xf numFmtId="39" fontId="47" fillId="0" borderId="0" xfId="0" applyNumberFormat="1" applyFont="1" applyFill="1" applyAlignment="1">
      <alignment vertical="top"/>
    </xf>
    <xf numFmtId="186" fontId="139" fillId="0" borderId="0" xfId="25742" applyNumberFormat="1" applyFont="1" applyFill="1" applyAlignment="1">
      <alignment horizontal="right"/>
    </xf>
    <xf numFmtId="212" fontId="139" fillId="0" borderId="0" xfId="25742" applyNumberFormat="1" applyFont="1" applyFill="1" applyAlignment="1">
      <alignment horizontal="right"/>
    </xf>
    <xf numFmtId="211" fontId="139" fillId="0" borderId="183" xfId="25745" applyNumberFormat="1" applyFont="1" applyFill="1" applyBorder="1" applyAlignment="1">
      <alignment horizontal="center" vertical="center"/>
    </xf>
    <xf numFmtId="0" fontId="144" fillId="0" borderId="81" xfId="0" applyFont="1" applyFill="1" applyBorder="1"/>
    <xf numFmtId="5" fontId="144" fillId="0" borderId="150" xfId="0" applyNumberFormat="1" applyFont="1" applyFill="1" applyBorder="1" applyAlignment="1">
      <alignment horizontal="right"/>
    </xf>
    <xf numFmtId="7" fontId="139" fillId="0" borderId="150" xfId="0" applyNumberFormat="1" applyFont="1" applyFill="1" applyBorder="1" applyAlignment="1">
      <alignment horizontal="right"/>
    </xf>
    <xf numFmtId="166" fontId="139" fillId="0" borderId="150" xfId="25742" applyNumberFormat="1" applyFont="1" applyFill="1" applyBorder="1" applyAlignment="1">
      <alignment horizontal="right"/>
    </xf>
    <xf numFmtId="0" fontId="139" fillId="0" borderId="150" xfId="0" applyFont="1" applyFill="1" applyBorder="1" applyAlignment="1">
      <alignment horizontal="left"/>
    </xf>
    <xf numFmtId="202" fontId="144" fillId="0" borderId="150" xfId="0" applyNumberFormat="1" applyFont="1" applyFill="1" applyBorder="1" applyAlignment="1">
      <alignment horizontal="right"/>
    </xf>
    <xf numFmtId="166" fontId="139" fillId="0" borderId="168" xfId="25742" applyNumberFormat="1" applyFont="1" applyFill="1" applyBorder="1" applyAlignment="1">
      <alignment horizontal="left"/>
    </xf>
    <xf numFmtId="5" fontId="144" fillId="0" borderId="168" xfId="0" applyNumberFormat="1" applyFont="1" applyFill="1" applyBorder="1" applyAlignment="1">
      <alignment horizontal="right"/>
    </xf>
    <xf numFmtId="202" fontId="144" fillId="0" borderId="168" xfId="0" applyNumberFormat="1" applyFont="1" applyFill="1" applyBorder="1" applyAlignment="1">
      <alignment horizontal="right"/>
    </xf>
    <xf numFmtId="166" fontId="139" fillId="0" borderId="0" xfId="25742" applyNumberFormat="1" applyFont="1" applyFill="1" applyAlignment="1">
      <alignment horizontal="left"/>
    </xf>
    <xf numFmtId="5" fontId="144" fillId="0" borderId="0" xfId="0" applyNumberFormat="1" applyFont="1" applyFill="1" applyAlignment="1">
      <alignment horizontal="right"/>
    </xf>
    <xf numFmtId="212" fontId="139" fillId="0" borderId="0" xfId="0" applyNumberFormat="1" applyFont="1" applyFill="1" applyAlignment="1">
      <alignment horizontal="right"/>
    </xf>
    <xf numFmtId="0" fontId="139" fillId="0" borderId="0" xfId="0" applyFont="1" applyFill="1" applyAlignment="1">
      <alignment horizontal="left" wrapText="1"/>
    </xf>
    <xf numFmtId="43" fontId="144" fillId="0" borderId="0" xfId="0" applyNumberFormat="1" applyFont="1" applyFill="1" applyAlignment="1">
      <alignment horizontal="right"/>
    </xf>
    <xf numFmtId="166" fontId="139" fillId="0" borderId="88" xfId="25742" applyNumberFormat="1" applyFont="1" applyBorder="1"/>
    <xf numFmtId="166" fontId="144" fillId="0" borderId="176" xfId="25742" applyNumberFormat="1" applyFont="1" applyBorder="1" applyAlignment="1">
      <alignment horizontal="center" wrapText="1"/>
    </xf>
    <xf numFmtId="166" fontId="144" fillId="0" borderId="88" xfId="25742" applyNumberFormat="1" applyFont="1" applyBorder="1"/>
    <xf numFmtId="166" fontId="150" fillId="0" borderId="94" xfId="25742" applyNumberFormat="1" applyFont="1" applyBorder="1"/>
    <xf numFmtId="166" fontId="139" fillId="0" borderId="179" xfId="25742" applyNumberFormat="1" applyFont="1" applyBorder="1"/>
    <xf numFmtId="166" fontId="150" fillId="0" borderId="49" xfId="25742" applyNumberFormat="1" applyFont="1" applyBorder="1"/>
    <xf numFmtId="0" fontId="144" fillId="0" borderId="0" xfId="0" applyFont="1" applyBorder="1" applyAlignment="1">
      <alignment horizontal="left" indent="2"/>
    </xf>
    <xf numFmtId="202" fontId="150" fillId="0" borderId="0" xfId="25745" applyNumberFormat="1" applyFont="1" applyBorder="1"/>
    <xf numFmtId="166" fontId="150" fillId="0" borderId="0" xfId="25742" applyNumberFormat="1" applyFont="1" applyBorder="1"/>
    <xf numFmtId="9" fontId="139" fillId="0" borderId="0" xfId="25793" applyFont="1" applyBorder="1" applyAlignment="1">
      <alignment horizontal="center"/>
    </xf>
    <xf numFmtId="0" fontId="144" fillId="0" borderId="36" xfId="0" applyFont="1" applyBorder="1"/>
    <xf numFmtId="0" fontId="144" fillId="0" borderId="82" xfId="0" applyFont="1" applyBorder="1" applyAlignment="1">
      <alignment horizontal="centerContinuous"/>
    </xf>
    <xf numFmtId="0" fontId="144" fillId="0" borderId="14" xfId="0" applyFont="1" applyBorder="1" applyAlignment="1">
      <alignment horizontal="centerContinuous"/>
    </xf>
    <xf numFmtId="0" fontId="144" fillId="0" borderId="180" xfId="0" applyFont="1" applyBorder="1" applyAlignment="1">
      <alignment horizontal="centerContinuous"/>
    </xf>
    <xf numFmtId="0" fontId="139" fillId="0" borderId="209" xfId="0" applyFont="1" applyBorder="1"/>
    <xf numFmtId="0" fontId="139" fillId="0" borderId="203" xfId="0" applyFont="1" applyBorder="1"/>
    <xf numFmtId="0" fontId="139" fillId="0" borderId="178" xfId="0" applyFont="1" applyBorder="1" applyAlignment="1">
      <alignment horizontal="center"/>
    </xf>
    <xf numFmtId="0" fontId="147" fillId="0" borderId="132" xfId="0" applyFont="1" applyBorder="1"/>
    <xf numFmtId="166" fontId="139" fillId="0" borderId="0" xfId="0" applyNumberFormat="1" applyFont="1" applyBorder="1"/>
    <xf numFmtId="0" fontId="139" fillId="0" borderId="0" xfId="0" applyFont="1" applyBorder="1"/>
    <xf numFmtId="166" fontId="139" fillId="0" borderId="0" xfId="25742" applyNumberFormat="1" applyFont="1" applyBorder="1"/>
    <xf numFmtId="190" fontId="139" fillId="0" borderId="0" xfId="25742" applyNumberFormat="1" applyFont="1" applyBorder="1"/>
    <xf numFmtId="202" fontId="139" fillId="0" borderId="0" xfId="25745" applyNumberFormat="1" applyFont="1" applyBorder="1"/>
    <xf numFmtId="190" fontId="139" fillId="99" borderId="0" xfId="25742" applyNumberFormat="1" applyFont="1" applyFill="1" applyBorder="1"/>
    <xf numFmtId="204" fontId="139" fillId="0" borderId="0" xfId="25742" applyNumberFormat="1" applyFont="1" applyBorder="1"/>
    <xf numFmtId="204" fontId="139" fillId="99" borderId="0" xfId="25742" applyNumberFormat="1" applyFont="1" applyFill="1" applyBorder="1"/>
    <xf numFmtId="0" fontId="144" fillId="0" borderId="132" xfId="0" applyFont="1" applyBorder="1" applyAlignment="1">
      <alignment horizontal="left" indent="2"/>
    </xf>
    <xf numFmtId="202" fontId="184" fillId="0" borderId="0" xfId="25745" applyNumberFormat="1" applyFont="1" applyBorder="1"/>
    <xf numFmtId="202" fontId="144" fillId="0" borderId="0" xfId="25745" applyNumberFormat="1" applyFont="1" applyBorder="1"/>
    <xf numFmtId="43" fontId="139" fillId="0" borderId="0" xfId="0" applyNumberFormat="1" applyFont="1" applyBorder="1"/>
    <xf numFmtId="190" fontId="139" fillId="0" borderId="0" xfId="25745" applyNumberFormat="1" applyFont="1" applyBorder="1"/>
    <xf numFmtId="204" fontId="139" fillId="0" borderId="0" xfId="25745" applyNumberFormat="1" applyFont="1" applyBorder="1"/>
    <xf numFmtId="43" fontId="139" fillId="0" borderId="0" xfId="25742" applyFont="1" applyBorder="1"/>
    <xf numFmtId="0" fontId="144" fillId="0" borderId="210" xfId="0" applyFont="1" applyBorder="1" applyAlignment="1">
      <alignment horizontal="left" indent="2"/>
    </xf>
    <xf numFmtId="202" fontId="150" fillId="0" borderId="204" xfId="25745" applyNumberFormat="1" applyFont="1" applyBorder="1"/>
    <xf numFmtId="166" fontId="150" fillId="0" borderId="204" xfId="25742" applyNumberFormat="1" applyFont="1" applyBorder="1"/>
    <xf numFmtId="202" fontId="150" fillId="0" borderId="210" xfId="25745" applyNumberFormat="1" applyFont="1" applyBorder="1"/>
    <xf numFmtId="202" fontId="150" fillId="0" borderId="206" xfId="25745" applyNumberFormat="1" applyFont="1" applyBorder="1"/>
    <xf numFmtId="9" fontId="139" fillId="0" borderId="206" xfId="25793" applyFont="1" applyBorder="1" applyAlignment="1">
      <alignment horizontal="center"/>
    </xf>
    <xf numFmtId="203" fontId="139" fillId="0" borderId="11" xfId="25793" applyNumberFormat="1" applyFont="1" applyBorder="1" applyAlignment="1">
      <alignment horizontal="center"/>
    </xf>
    <xf numFmtId="203" fontId="139" fillId="0" borderId="178" xfId="0" applyNumberFormat="1" applyFont="1" applyBorder="1" applyAlignment="1">
      <alignment horizontal="center"/>
    </xf>
    <xf numFmtId="203" fontId="139" fillId="0" borderId="11" xfId="0" applyNumberFormat="1" applyFont="1" applyBorder="1" applyAlignment="1">
      <alignment horizontal="center"/>
    </xf>
    <xf numFmtId="0" fontId="0" fillId="0" borderId="204" xfId="0" applyBorder="1" applyAlignment="1">
      <alignment horizontal="center"/>
    </xf>
    <xf numFmtId="0" fontId="143" fillId="98" borderId="0" xfId="0" applyFont="1" applyFill="1" applyAlignment="1">
      <alignment horizontal="center"/>
    </xf>
    <xf numFmtId="14" fontId="122" fillId="0" borderId="0" xfId="25745" applyNumberFormat="1" applyFont="1"/>
    <xf numFmtId="14" fontId="122" fillId="95" borderId="0" xfId="0" applyNumberFormat="1" applyFont="1" applyFill="1"/>
    <xf numFmtId="14" fontId="122" fillId="0" borderId="0" xfId="0" applyNumberFormat="1" applyFont="1"/>
    <xf numFmtId="14" fontId="32" fillId="0" borderId="0" xfId="25742" applyNumberFormat="1" applyFont="1"/>
    <xf numFmtId="14" fontId="32" fillId="0" borderId="0" xfId="25750" applyNumberFormat="1" applyFont="1"/>
    <xf numFmtId="14" fontId="32" fillId="0" borderId="0" xfId="25794" applyNumberFormat="1" applyFont="1"/>
    <xf numFmtId="14" fontId="32" fillId="95" borderId="0" xfId="25794" applyNumberFormat="1" applyFont="1" applyFill="1"/>
    <xf numFmtId="0" fontId="124" fillId="0" borderId="0" xfId="0" applyFont="1" applyFill="1" applyAlignment="1">
      <alignment horizontal="center" wrapText="1"/>
    </xf>
    <xf numFmtId="0" fontId="121" fillId="0" borderId="0" xfId="25750" applyFont="1" applyFill="1" applyAlignment="1">
      <alignment horizontal="center" wrapText="1"/>
    </xf>
    <xf numFmtId="43" fontId="121" fillId="0" borderId="0" xfId="25742" applyFont="1" applyFill="1" applyBorder="1" applyAlignment="1">
      <alignment horizontal="center" wrapText="1"/>
    </xf>
    <xf numFmtId="43" fontId="121" fillId="0" borderId="96" xfId="25742" applyFont="1" applyFill="1" applyBorder="1" applyAlignment="1">
      <alignment horizontal="center" wrapText="1"/>
    </xf>
    <xf numFmtId="14" fontId="121" fillId="0" borderId="0" xfId="25750" applyNumberFormat="1" applyFont="1" applyFill="1" applyAlignment="1">
      <alignment horizontal="center" wrapText="1"/>
    </xf>
    <xf numFmtId="0" fontId="145" fillId="87" borderId="0" xfId="0" applyFont="1" applyFill="1" applyAlignment="1">
      <alignment horizontal="center"/>
    </xf>
    <xf numFmtId="0" fontId="122" fillId="0" borderId="204" xfId="0" applyFont="1" applyFill="1" applyBorder="1" applyAlignment="1">
      <alignment horizontal="center"/>
    </xf>
    <xf numFmtId="0" fontId="145" fillId="0" borderId="0" xfId="0" applyFont="1"/>
    <xf numFmtId="0" fontId="145" fillId="0" borderId="0" xfId="0" quotePrefix="1" applyFont="1"/>
    <xf numFmtId="0" fontId="145" fillId="0" borderId="0" xfId="0" applyFont="1" applyAlignment="1">
      <alignment horizontal="left"/>
    </xf>
    <xf numFmtId="0" fontId="145" fillId="0" borderId="0" xfId="0" applyFont="1" applyBorder="1" applyAlignment="1">
      <alignment horizontal="left"/>
    </xf>
    <xf numFmtId="0" fontId="143" fillId="0" borderId="0" xfId="0" applyFont="1" applyAlignment="1">
      <alignment horizontal="left"/>
    </xf>
    <xf numFmtId="0" fontId="143" fillId="0" borderId="0" xfId="0" applyFont="1"/>
    <xf numFmtId="7" fontId="0" fillId="0" borderId="0" xfId="25745" applyNumberFormat="1" applyFont="1" applyFill="1"/>
    <xf numFmtId="0" fontId="143" fillId="0" borderId="0" xfId="0" applyFont="1" applyFill="1"/>
    <xf numFmtId="7" fontId="122" fillId="0" borderId="0" xfId="25745" applyNumberFormat="1" applyFont="1" applyFill="1" applyAlignment="1"/>
    <xf numFmtId="0" fontId="139" fillId="0" borderId="165" xfId="0" applyFont="1" applyBorder="1"/>
    <xf numFmtId="0" fontId="139" fillId="0" borderId="168" xfId="0" applyFont="1" applyBorder="1"/>
    <xf numFmtId="166" fontId="139" fillId="0" borderId="0" xfId="25742" applyNumberFormat="1" applyFont="1" applyAlignment="1">
      <alignment horizontal="center"/>
    </xf>
    <xf numFmtId="166" fontId="139" fillId="95" borderId="143" xfId="25742" applyNumberFormat="1" applyFont="1" applyFill="1" applyBorder="1" applyAlignment="1">
      <alignment horizontal="center"/>
    </xf>
    <xf numFmtId="166" fontId="139" fillId="95" borderId="133" xfId="25742" applyNumberFormat="1" applyFont="1" applyFill="1" applyBorder="1"/>
    <xf numFmtId="166" fontId="139" fillId="95" borderId="132" xfId="25742" applyNumberFormat="1" applyFont="1" applyFill="1" applyBorder="1" applyAlignment="1">
      <alignment horizontal="center"/>
    </xf>
    <xf numFmtId="0" fontId="139" fillId="95" borderId="11" xfId="0" applyFont="1" applyFill="1" applyBorder="1"/>
    <xf numFmtId="166" fontId="154" fillId="0" borderId="0" xfId="25742" applyNumberFormat="1" applyFont="1" applyAlignment="1">
      <alignment horizontal="center"/>
    </xf>
    <xf numFmtId="44" fontId="154" fillId="0" borderId="0" xfId="25745" applyFont="1" applyAlignment="1">
      <alignment horizontal="center"/>
    </xf>
    <xf numFmtId="166" fontId="139" fillId="95" borderId="171" xfId="25742" applyNumberFormat="1" applyFont="1" applyFill="1" applyBorder="1" applyAlignment="1">
      <alignment horizontal="center"/>
    </xf>
    <xf numFmtId="0" fontId="139" fillId="95" borderId="172" xfId="0" applyFont="1" applyFill="1" applyBorder="1"/>
    <xf numFmtId="166" fontId="150" fillId="0" borderId="0" xfId="0" applyNumberFormat="1" applyFont="1"/>
    <xf numFmtId="44" fontId="150" fillId="0" borderId="0" xfId="25745" applyFont="1"/>
    <xf numFmtId="204" fontId="139" fillId="0" borderId="0" xfId="0" applyNumberFormat="1" applyFont="1" applyFill="1"/>
    <xf numFmtId="0" fontId="0" fillId="100" borderId="0" xfId="0" applyFill="1" applyBorder="1" applyAlignment="1">
      <alignment horizontal="center" wrapText="1"/>
    </xf>
    <xf numFmtId="0" fontId="122" fillId="95" borderId="0" xfId="0" applyFont="1" applyFill="1"/>
    <xf numFmtId="44" fontId="122" fillId="0" borderId="0" xfId="0" applyNumberFormat="1" applyFont="1"/>
    <xf numFmtId="0" fontId="126" fillId="0" borderId="0" xfId="0" applyFont="1" applyFill="1"/>
    <xf numFmtId="14" fontId="126" fillId="0" borderId="0" xfId="0" applyNumberFormat="1" applyFont="1"/>
    <xf numFmtId="14" fontId="126" fillId="0" borderId="0" xfId="25794" applyNumberFormat="1" applyFont="1"/>
    <xf numFmtId="0" fontId="1" fillId="0" borderId="0" xfId="0" applyFont="1"/>
    <xf numFmtId="0" fontId="1" fillId="0" borderId="0" xfId="0" applyFont="1" applyAlignment="1">
      <alignment horizontal="center"/>
    </xf>
    <xf numFmtId="203" fontId="32" fillId="0" borderId="0" xfId="25295" applyNumberFormat="1" applyFont="1" applyFill="1" applyBorder="1" applyAlignment="1">
      <alignment horizontal="center"/>
    </xf>
    <xf numFmtId="0" fontId="186" fillId="0" borderId="85" xfId="33379" applyFont="1" applyBorder="1" applyAlignment="1">
      <alignment horizontal="center" vertical="top" wrapText="1"/>
    </xf>
    <xf numFmtId="0" fontId="186" fillId="0" borderId="85" xfId="33380" applyFont="1" applyBorder="1" applyAlignment="1">
      <alignment horizontal="center" vertical="top" wrapText="1"/>
    </xf>
    <xf numFmtId="223" fontId="186" fillId="0" borderId="85" xfId="33380" applyNumberFormat="1" applyFont="1" applyBorder="1" applyAlignment="1">
      <alignment horizontal="center" vertical="top" wrapText="1"/>
    </xf>
    <xf numFmtId="0" fontId="33" fillId="0" borderId="0" xfId="33380" applyFont="1" applyAlignment="1">
      <alignment horizontal="center"/>
    </xf>
    <xf numFmtId="0" fontId="33" fillId="0" borderId="85" xfId="33380" applyFont="1" applyBorder="1" applyAlignment="1">
      <alignment horizontal="center" vertical="center"/>
    </xf>
    <xf numFmtId="0" fontId="33" fillId="0" borderId="85" xfId="33380" applyFont="1" applyBorder="1" applyAlignment="1">
      <alignment horizontal="center" vertical="center" wrapText="1"/>
    </xf>
    <xf numFmtId="0" fontId="33" fillId="0" borderId="211" xfId="33380" applyFont="1" applyBorder="1" applyAlignment="1">
      <alignment horizontal="center"/>
    </xf>
    <xf numFmtId="2" fontId="33" fillId="0" borderId="0" xfId="25793" applyNumberFormat="1" applyFont="1" applyAlignment="1">
      <alignment horizontal="center"/>
    </xf>
    <xf numFmtId="224" fontId="33" fillId="0" borderId="0" xfId="33380" applyNumberFormat="1" applyFont="1" applyAlignment="1">
      <alignment horizontal="right"/>
    </xf>
    <xf numFmtId="1" fontId="33" fillId="0" borderId="0" xfId="33380" applyNumberFormat="1" applyFont="1" applyAlignment="1">
      <alignment horizontal="center"/>
    </xf>
    <xf numFmtId="166" fontId="33" fillId="0" borderId="0" xfId="25742" applyNumberFormat="1" applyFont="1" applyAlignment="1">
      <alignment horizontal="center"/>
    </xf>
    <xf numFmtId="166" fontId="33" fillId="0" borderId="0" xfId="33380" applyNumberFormat="1" applyFont="1" applyAlignment="1">
      <alignment horizontal="center"/>
    </xf>
    <xf numFmtId="10" fontId="33" fillId="0" borderId="0" xfId="25793" applyNumberFormat="1" applyFont="1" applyAlignment="1">
      <alignment horizontal="center"/>
    </xf>
    <xf numFmtId="222" fontId="33" fillId="0" borderId="0" xfId="25793" applyNumberFormat="1" applyFont="1" applyAlignment="1">
      <alignment horizontal="center"/>
    </xf>
    <xf numFmtId="0" fontId="189" fillId="95" borderId="0" xfId="33380" applyFont="1" applyFill="1" applyAlignment="1">
      <alignment horizontal="center"/>
    </xf>
    <xf numFmtId="2" fontId="189" fillId="95" borderId="0" xfId="25793" applyNumberFormat="1" applyFont="1" applyFill="1" applyAlignment="1">
      <alignment horizontal="center"/>
    </xf>
    <xf numFmtId="224" fontId="189" fillId="95" borderId="0" xfId="33380" applyNumberFormat="1" applyFont="1" applyFill="1" applyAlignment="1">
      <alignment horizontal="right"/>
    </xf>
    <xf numFmtId="1" fontId="189" fillId="95" borderId="0" xfId="33380" applyNumberFormat="1" applyFont="1" applyFill="1" applyAlignment="1">
      <alignment horizontal="center"/>
    </xf>
    <xf numFmtId="166" fontId="189" fillId="95" borderId="0" xfId="25742" applyNumberFormat="1" applyFont="1" applyFill="1" applyAlignment="1">
      <alignment horizontal="center"/>
    </xf>
    <xf numFmtId="166" fontId="189" fillId="95" borderId="0" xfId="33380" applyNumberFormat="1" applyFont="1" applyFill="1" applyAlignment="1">
      <alignment horizontal="center"/>
    </xf>
    <xf numFmtId="10" fontId="189" fillId="95" borderId="0" xfId="25793" applyNumberFormat="1" applyFont="1" applyFill="1" applyAlignment="1">
      <alignment horizontal="center"/>
    </xf>
    <xf numFmtId="0" fontId="33" fillId="0" borderId="85" xfId="33380" applyFont="1" applyBorder="1" applyAlignment="1">
      <alignment horizontal="center"/>
    </xf>
    <xf numFmtId="2" fontId="33" fillId="0" borderId="85" xfId="25793" applyNumberFormat="1" applyFont="1" applyBorder="1" applyAlignment="1">
      <alignment horizontal="center"/>
    </xf>
    <xf numFmtId="224" fontId="33" fillId="0" borderId="85" xfId="33380" applyNumberFormat="1" applyFont="1" applyBorder="1" applyAlignment="1">
      <alignment horizontal="right"/>
    </xf>
    <xf numFmtId="1" fontId="33" fillId="0" borderId="85" xfId="33380" applyNumberFormat="1" applyFont="1" applyBorder="1" applyAlignment="1">
      <alignment horizontal="center"/>
    </xf>
    <xf numFmtId="166" fontId="33" fillId="0" borderId="85" xfId="25742" applyNumberFormat="1" applyFont="1" applyBorder="1" applyAlignment="1">
      <alignment horizontal="center"/>
    </xf>
    <xf numFmtId="166" fontId="33" fillId="0" borderId="85" xfId="33380" applyNumberFormat="1" applyFont="1" applyBorder="1" applyAlignment="1">
      <alignment horizontal="center"/>
    </xf>
    <xf numFmtId="10" fontId="33" fillId="0" borderId="85" xfId="25793" applyNumberFormat="1" applyFont="1" applyBorder="1" applyAlignment="1">
      <alignment horizontal="center"/>
    </xf>
    <xf numFmtId="0" fontId="33" fillId="0" borderId="49" xfId="33380" applyFont="1" applyBorder="1" applyAlignment="1">
      <alignment horizontal="center" vertical="center"/>
    </xf>
    <xf numFmtId="14" fontId="190" fillId="0" borderId="49" xfId="33380" applyNumberFormat="1" applyFont="1" applyBorder="1" applyAlignment="1">
      <alignment vertical="center"/>
    </xf>
    <xf numFmtId="223" fontId="33" fillId="0" borderId="49" xfId="33380" applyNumberFormat="1" applyFont="1" applyBorder="1" applyAlignment="1">
      <alignment horizontal="center" vertical="center"/>
    </xf>
    <xf numFmtId="202" fontId="26" fillId="0" borderId="49" xfId="25745" applyNumberFormat="1" applyFont="1" applyBorder="1" applyAlignment="1">
      <alignment horizontal="center" vertical="center"/>
    </xf>
    <xf numFmtId="2" fontId="26" fillId="0" borderId="49" xfId="25793" applyNumberFormat="1" applyFont="1" applyBorder="1" applyAlignment="1">
      <alignment horizontal="center" vertical="center"/>
    </xf>
    <xf numFmtId="167" fontId="26" fillId="0" borderId="49" xfId="25793" applyNumberFormat="1" applyFont="1" applyBorder="1" applyAlignment="1">
      <alignment horizontal="center" vertical="center"/>
    </xf>
    <xf numFmtId="0" fontId="33" fillId="0" borderId="0" xfId="33380" applyFont="1"/>
    <xf numFmtId="203" fontId="33" fillId="0" borderId="0" xfId="33380" applyNumberFormat="1" applyFont="1"/>
    <xf numFmtId="0" fontId="26" fillId="0" borderId="0" xfId="33380" applyFont="1"/>
    <xf numFmtId="223" fontId="33" fillId="0" borderId="0" xfId="33380" applyNumberFormat="1" applyFont="1"/>
    <xf numFmtId="223" fontId="191" fillId="0" borderId="0" xfId="33380" applyNumberFormat="1" applyFont="1" applyAlignment="1">
      <alignment vertical="center"/>
    </xf>
    <xf numFmtId="166" fontId="33" fillId="0" borderId="0" xfId="33380" applyNumberFormat="1" applyFont="1"/>
    <xf numFmtId="223" fontId="33" fillId="0" borderId="0" xfId="33380" applyNumberFormat="1" applyFont="1" applyAlignment="1">
      <alignment wrapText="1"/>
    </xf>
    <xf numFmtId="2" fontId="33" fillId="0" borderId="0" xfId="33380" applyNumberFormat="1" applyFont="1" applyAlignment="1">
      <alignment horizontal="center"/>
    </xf>
    <xf numFmtId="14" fontId="33" fillId="0" borderId="0" xfId="33380" applyNumberFormat="1" applyFont="1" applyAlignment="1">
      <alignment horizontal="center"/>
    </xf>
    <xf numFmtId="38" fontId="33" fillId="0" borderId="0" xfId="33380" applyNumberFormat="1" applyFont="1" applyAlignment="1">
      <alignment horizontal="center"/>
    </xf>
    <xf numFmtId="0" fontId="33" fillId="0" borderId="0" xfId="33380" applyFont="1" applyAlignment="1">
      <alignment horizontal="left"/>
    </xf>
    <xf numFmtId="3" fontId="33" fillId="0" borderId="0" xfId="33380" applyNumberFormat="1" applyFont="1"/>
    <xf numFmtId="167" fontId="32" fillId="0" borderId="0" xfId="25793" applyNumberFormat="1" applyFont="1"/>
    <xf numFmtId="0" fontId="32" fillId="0" borderId="85" xfId="25295" applyFont="1" applyFill="1" applyBorder="1"/>
    <xf numFmtId="0" fontId="32" fillId="0" borderId="85" xfId="25295" applyFont="1" applyBorder="1"/>
    <xf numFmtId="10" fontId="139" fillId="0" borderId="0" xfId="25793" applyNumberFormat="1" applyFont="1" applyFill="1"/>
    <xf numFmtId="44" fontId="139" fillId="0" borderId="204" xfId="25745" applyFont="1" applyFill="1" applyBorder="1"/>
    <xf numFmtId="0" fontId="139" fillId="0" borderId="204" xfId="0" applyFont="1" applyFill="1" applyBorder="1"/>
    <xf numFmtId="9" fontId="122" fillId="0" borderId="0" xfId="0" applyNumberFormat="1" applyFont="1"/>
    <xf numFmtId="202" fontId="33" fillId="0" borderId="0" xfId="33380" applyNumberFormat="1" applyFont="1"/>
    <xf numFmtId="0" fontId="1" fillId="0" borderId="204" xfId="0" applyFont="1" applyBorder="1"/>
    <xf numFmtId="14" fontId="126" fillId="0" borderId="0" xfId="0" applyNumberFormat="1" applyFont="1" applyFill="1"/>
    <xf numFmtId="202" fontId="1" fillId="0" borderId="0" xfId="25745" applyNumberFormat="1" applyFont="1"/>
    <xf numFmtId="0" fontId="193" fillId="0" borderId="0" xfId="0" applyFont="1"/>
    <xf numFmtId="202" fontId="1" fillId="0" borderId="0" xfId="0" applyNumberFormat="1" applyFont="1"/>
    <xf numFmtId="166" fontId="122" fillId="0" borderId="0" xfId="25742" applyNumberFormat="1" applyFont="1"/>
    <xf numFmtId="0" fontId="139" fillId="0" borderId="204" xfId="0" applyFont="1" applyFill="1" applyBorder="1" applyAlignment="1">
      <alignment horizontal="center"/>
    </xf>
    <xf numFmtId="0" fontId="143" fillId="87" borderId="0" xfId="0" applyFont="1" applyFill="1" applyAlignment="1">
      <alignment horizontal="center"/>
    </xf>
    <xf numFmtId="0" fontId="122" fillId="0" borderId="204" xfId="0" applyFont="1" applyBorder="1" applyAlignment="1">
      <alignment horizontal="center"/>
    </xf>
    <xf numFmtId="44" fontId="126" fillId="0" borderId="0" xfId="0" applyNumberFormat="1" applyFont="1" applyFill="1"/>
    <xf numFmtId="203" fontId="122" fillId="0" borderId="0" xfId="25793" applyNumberFormat="1" applyFont="1" applyFill="1"/>
    <xf numFmtId="166" fontId="122" fillId="0" borderId="0" xfId="0" applyNumberFormat="1" applyFont="1"/>
    <xf numFmtId="202" fontId="1" fillId="0" borderId="204" xfId="0" applyNumberFormat="1" applyFont="1" applyBorder="1"/>
    <xf numFmtId="0" fontId="32" fillId="0" borderId="34" xfId="25455" applyFont="1" applyFill="1" applyBorder="1" applyAlignment="1">
      <alignment horizontal="center"/>
    </xf>
    <xf numFmtId="49" fontId="32" fillId="0" borderId="206" xfId="25455" applyNumberFormat="1" applyFont="1" applyFill="1" applyBorder="1" applyAlignment="1">
      <alignment horizontal="center"/>
    </xf>
    <xf numFmtId="0" fontId="32" fillId="0" borderId="204" xfId="25455" applyFont="1" applyFill="1" applyBorder="1"/>
    <xf numFmtId="5" fontId="121" fillId="0" borderId="212" xfId="25457" applyNumberFormat="1" applyFont="1" applyFill="1" applyBorder="1">
      <alignment horizontal="right"/>
    </xf>
    <xf numFmtId="166" fontId="32" fillId="0" borderId="145" xfId="25456" applyNumberFormat="1" applyFont="1" applyFill="1" applyBorder="1"/>
    <xf numFmtId="37" fontId="32" fillId="0" borderId="145" xfId="25456" applyNumberFormat="1" applyFont="1" applyFill="1" applyBorder="1"/>
    <xf numFmtId="0" fontId="32" fillId="0" borderId="206" xfId="25455" applyFont="1" applyFill="1" applyBorder="1" applyAlignment="1">
      <alignment horizontal="center"/>
    </xf>
    <xf numFmtId="0" fontId="16" fillId="0" borderId="0" xfId="0" applyFont="1" applyFill="1" applyAlignment="1">
      <alignment horizontal="right"/>
    </xf>
    <xf numFmtId="0" fontId="16" fillId="0" borderId="0" xfId="0" applyFont="1" applyFill="1" applyAlignment="1">
      <alignment horizontal="right" wrapText="1"/>
    </xf>
    <xf numFmtId="0" fontId="0" fillId="0" borderId="0" xfId="0" applyAlignment="1">
      <alignment horizontal="center"/>
    </xf>
    <xf numFmtId="14" fontId="32" fillId="0" borderId="0" xfId="0" applyNumberFormat="1" applyFont="1" applyFill="1"/>
    <xf numFmtId="39" fontId="126" fillId="0" borderId="0" xfId="0" applyNumberFormat="1" applyFont="1" applyFill="1"/>
    <xf numFmtId="39" fontId="32" fillId="0" borderId="0" xfId="25742" applyNumberFormat="1" applyFont="1" applyFill="1" applyBorder="1"/>
    <xf numFmtId="10" fontId="145" fillId="98" borderId="0" xfId="25292" applyNumberFormat="1" applyFont="1" applyFill="1" applyBorder="1" applyAlignment="1">
      <alignment horizontal="center"/>
    </xf>
    <xf numFmtId="4" fontId="121" fillId="0" borderId="0" xfId="25295" quotePrefix="1" applyNumberFormat="1" applyFont="1" applyFill="1" applyBorder="1" applyAlignment="1"/>
    <xf numFmtId="40" fontId="121" fillId="0" borderId="0" xfId="25295" quotePrefix="1" applyNumberFormat="1" applyFont="1" applyFill="1" applyBorder="1" applyAlignment="1"/>
    <xf numFmtId="0" fontId="1" fillId="0" borderId="0" xfId="0" applyFont="1" applyAlignment="1">
      <alignment horizontal="right"/>
    </xf>
    <xf numFmtId="0" fontId="163" fillId="0" borderId="204" xfId="0" applyFont="1" applyBorder="1" applyAlignment="1">
      <alignment horizontal="center" wrapText="1"/>
    </xf>
    <xf numFmtId="0" fontId="16" fillId="0" borderId="202" xfId="0" applyFont="1" applyBorder="1"/>
    <xf numFmtId="0" fontId="1" fillId="0" borderId="204" xfId="0" applyFont="1" applyBorder="1" applyAlignment="1">
      <alignment horizontal="center"/>
    </xf>
    <xf numFmtId="0" fontId="1" fillId="0" borderId="0" xfId="0" applyFont="1" applyAlignment="1">
      <alignment horizontal="left" indent="1"/>
    </xf>
    <xf numFmtId="14" fontId="1" fillId="0" borderId="0" xfId="0" applyNumberFormat="1" applyFont="1" applyAlignment="1">
      <alignment horizontal="right"/>
    </xf>
    <xf numFmtId="0" fontId="1" fillId="0" borderId="204" xfId="0" applyFont="1" applyBorder="1" applyAlignment="1">
      <alignment horizontal="left" indent="1"/>
    </xf>
    <xf numFmtId="14" fontId="1" fillId="0" borderId="204" xfId="0" applyNumberFormat="1" applyFont="1" applyBorder="1" applyAlignment="1">
      <alignment horizontal="right"/>
    </xf>
    <xf numFmtId="202" fontId="1" fillId="0" borderId="204" xfId="25745" applyNumberFormat="1" applyFont="1" applyBorder="1"/>
    <xf numFmtId="202" fontId="16" fillId="0" borderId="202" xfId="25745" applyNumberFormat="1" applyFont="1" applyBorder="1"/>
    <xf numFmtId="10" fontId="122" fillId="0" borderId="0" xfId="25793" applyNumberFormat="1" applyFont="1"/>
    <xf numFmtId="10" fontId="126" fillId="0" borderId="0" xfId="25793" applyNumberFormat="1" applyFont="1"/>
    <xf numFmtId="10" fontId="122" fillId="0" borderId="0" xfId="0" applyNumberFormat="1" applyFont="1"/>
    <xf numFmtId="0" fontId="126" fillId="0" borderId="0" xfId="0" applyFont="1"/>
    <xf numFmtId="9" fontId="32" fillId="0" borderId="11" xfId="25455" applyNumberFormat="1" applyFont="1" applyFill="1" applyBorder="1" applyAlignment="1">
      <alignment horizontal="center"/>
    </xf>
    <xf numFmtId="9" fontId="32" fillId="0" borderId="11" xfId="25793" applyFont="1" applyFill="1" applyBorder="1" applyAlignment="1">
      <alignment horizontal="center"/>
    </xf>
    <xf numFmtId="166" fontId="32" fillId="0" borderId="16" xfId="25457" applyNumberFormat="1" applyFont="1" applyFill="1" applyBorder="1">
      <alignment horizontal="right"/>
    </xf>
    <xf numFmtId="43" fontId="126" fillId="0" borderId="0" xfId="0" applyNumberFormat="1" applyFont="1"/>
    <xf numFmtId="0" fontId="163" fillId="0" borderId="204" xfId="0" applyFont="1" applyBorder="1" applyAlignment="1">
      <alignment horizontal="center" wrapText="1"/>
    </xf>
    <xf numFmtId="0" fontId="0" fillId="0" borderId="0" xfId="0" applyFont="1" applyAlignment="1">
      <alignment horizontal="left" indent="1"/>
    </xf>
    <xf numFmtId="202" fontId="0" fillId="0" borderId="0" xfId="0" applyNumberFormat="1"/>
    <xf numFmtId="0" fontId="0" fillId="0" borderId="204" xfId="0" applyBorder="1"/>
    <xf numFmtId="0" fontId="16" fillId="0" borderId="80" xfId="0" applyFont="1" applyBorder="1"/>
    <xf numFmtId="202" fontId="16" fillId="0" borderId="80" xfId="0" applyNumberFormat="1" applyFont="1" applyBorder="1"/>
    <xf numFmtId="202" fontId="163" fillId="0" borderId="0" xfId="0" applyNumberFormat="1" applyFont="1"/>
    <xf numFmtId="10" fontId="0" fillId="0" borderId="204" xfId="0" applyNumberFormat="1" applyBorder="1"/>
    <xf numFmtId="0" fontId="1" fillId="0" borderId="0" xfId="0" applyFont="1" applyAlignment="1">
      <alignment horizontal="left"/>
    </xf>
    <xf numFmtId="0" fontId="163" fillId="0" borderId="204" xfId="0" applyFont="1" applyBorder="1" applyAlignment="1">
      <alignment horizontal="center" wrapText="1"/>
    </xf>
    <xf numFmtId="0" fontId="144" fillId="0" borderId="0" xfId="27280" applyFont="1" applyAlignment="1">
      <alignment horizontal="center"/>
    </xf>
    <xf numFmtId="0" fontId="144" fillId="0" borderId="0" xfId="27280" applyFont="1"/>
    <xf numFmtId="39" fontId="1" fillId="0" borderId="0" xfId="0" applyNumberFormat="1" applyFont="1" applyFill="1"/>
    <xf numFmtId="44" fontId="1" fillId="101" borderId="0" xfId="0" applyNumberFormat="1" applyFont="1" applyFill="1"/>
    <xf numFmtId="14" fontId="1" fillId="0" borderId="0" xfId="0" applyNumberFormat="1" applyFont="1"/>
    <xf numFmtId="44" fontId="1" fillId="0" borderId="0" xfId="25745" applyFont="1"/>
    <xf numFmtId="4" fontId="1" fillId="0" borderId="0" xfId="0" applyNumberFormat="1" applyFont="1"/>
    <xf numFmtId="14" fontId="14" fillId="0" borderId="0" xfId="0" applyNumberFormat="1" applyFont="1"/>
    <xf numFmtId="0" fontId="1" fillId="0" borderId="0" xfId="0" applyFont="1" applyAlignment="1">
      <alignment horizontal="center" vertical="center"/>
    </xf>
    <xf numFmtId="0" fontId="1" fillId="101" borderId="0" xfId="0" applyFont="1" applyFill="1"/>
    <xf numFmtId="44" fontId="1" fillId="0" borderId="0" xfId="0" applyNumberFormat="1" applyFont="1" applyAlignment="1">
      <alignment horizontal="center" vertical="center"/>
    </xf>
    <xf numFmtId="0" fontId="1" fillId="0" borderId="0" xfId="0" applyFont="1" applyAlignment="1">
      <alignment horizontal="left" vertical="center"/>
    </xf>
    <xf numFmtId="9" fontId="121" fillId="0" borderId="0" xfId="25793" applyFont="1" applyFill="1" applyBorder="1"/>
    <xf numFmtId="10" fontId="0" fillId="0" borderId="0" xfId="25793" applyNumberFormat="1" applyFont="1"/>
    <xf numFmtId="44" fontId="1" fillId="0" borderId="0" xfId="25745" applyFont="1" applyAlignment="1">
      <alignment horizontal="center" vertical="center"/>
    </xf>
    <xf numFmtId="0" fontId="1" fillId="0" borderId="204" xfId="0" applyFont="1" applyBorder="1" applyAlignment="1">
      <alignment horizontal="left"/>
    </xf>
    <xf numFmtId="14" fontId="1" fillId="0" borderId="204" xfId="0" applyNumberFormat="1" applyFont="1" applyBorder="1"/>
    <xf numFmtId="44" fontId="1" fillId="0" borderId="204" xfId="25745" applyFont="1" applyBorder="1"/>
    <xf numFmtId="0" fontId="1" fillId="0" borderId="211" xfId="0" applyFont="1" applyBorder="1" applyAlignment="1">
      <alignment horizontal="left"/>
    </xf>
    <xf numFmtId="14" fontId="1" fillId="0" borderId="211" xfId="0" applyNumberFormat="1" applyFont="1" applyBorder="1"/>
    <xf numFmtId="14" fontId="1" fillId="0" borderId="211" xfId="0" applyNumberFormat="1" applyFont="1" applyBorder="1" applyAlignment="1">
      <alignment horizontal="right"/>
    </xf>
    <xf numFmtId="44" fontId="1" fillId="0" borderId="211" xfId="25745" applyFont="1" applyBorder="1"/>
    <xf numFmtId="0" fontId="1" fillId="0" borderId="211" xfId="0" applyFont="1" applyBorder="1"/>
    <xf numFmtId="0" fontId="1" fillId="0" borderId="80" xfId="0" applyFont="1" applyBorder="1" applyAlignment="1">
      <alignment horizontal="left" vertical="center"/>
    </xf>
    <xf numFmtId="0" fontId="1" fillId="0" borderId="80" xfId="0" applyFont="1" applyBorder="1" applyAlignment="1">
      <alignment horizontal="center" vertical="center"/>
    </xf>
    <xf numFmtId="44" fontId="1" fillId="0" borderId="80" xfId="25745" applyFont="1" applyBorder="1" applyAlignment="1">
      <alignment horizontal="center" vertical="center"/>
    </xf>
    <xf numFmtId="202" fontId="0" fillId="0" borderId="204" xfId="0" applyNumberFormat="1" applyBorder="1"/>
    <xf numFmtId="0" fontId="0" fillId="0" borderId="211" xfId="0" applyFont="1" applyBorder="1"/>
    <xf numFmtId="202" fontId="0" fillId="0" borderId="211" xfId="0" applyNumberFormat="1" applyFont="1" applyBorder="1"/>
    <xf numFmtId="0" fontId="1" fillId="0" borderId="0" xfId="0" applyFont="1" applyAlignment="1">
      <alignment horizontal="left"/>
    </xf>
    <xf numFmtId="0" fontId="163" fillId="0" borderId="204" xfId="0" applyFont="1" applyBorder="1" applyAlignment="1">
      <alignment horizontal="center" wrapText="1"/>
    </xf>
    <xf numFmtId="44" fontId="1" fillId="0" borderId="0" xfId="25745" applyFont="1" applyBorder="1" applyAlignment="1">
      <alignment horizontal="center" vertical="center"/>
    </xf>
    <xf numFmtId="0" fontId="0" fillId="0" borderId="204" xfId="0" applyFill="1" applyBorder="1" applyAlignment="1">
      <alignment horizontal="center"/>
    </xf>
    <xf numFmtId="0" fontId="14" fillId="107" borderId="0" xfId="0" applyFont="1" applyFill="1" applyAlignment="1">
      <alignment horizontal="center"/>
    </xf>
    <xf numFmtId="8" fontId="32" fillId="0" borderId="56" xfId="0" applyNumberFormat="1" applyFont="1" applyFill="1" applyBorder="1"/>
    <xf numFmtId="0" fontId="121" fillId="0" borderId="55" xfId="25455" applyFont="1" applyFill="1" applyBorder="1" applyAlignment="1">
      <alignment horizontal="left" vertical="top" wrapText="1"/>
    </xf>
    <xf numFmtId="38" fontId="32" fillId="0" borderId="0" xfId="25455" applyNumberFormat="1" applyFont="1" applyFill="1" applyBorder="1"/>
    <xf numFmtId="0" fontId="0" fillId="0" borderId="213" xfId="0" applyBorder="1"/>
    <xf numFmtId="0" fontId="0" fillId="0" borderId="33" xfId="0" applyBorder="1"/>
    <xf numFmtId="0" fontId="0" fillId="0" borderId="34" xfId="0" applyBorder="1" applyAlignment="1">
      <alignment horizontal="center"/>
    </xf>
    <xf numFmtId="0" fontId="144" fillId="0" borderId="214" xfId="0" applyFont="1" applyBorder="1"/>
    <xf numFmtId="0" fontId="146" fillId="0" borderId="214" xfId="0" applyFont="1" applyBorder="1" applyAlignment="1">
      <alignment horizontal="left" vertical="center"/>
    </xf>
    <xf numFmtId="0" fontId="0" fillId="0" borderId="11" xfId="0" applyBorder="1" applyAlignment="1">
      <alignment horizontal="center"/>
    </xf>
    <xf numFmtId="0" fontId="0" fillId="0" borderId="210" xfId="0" applyBorder="1"/>
    <xf numFmtId="0" fontId="0" fillId="0" borderId="206" xfId="0" applyBorder="1" applyAlignment="1">
      <alignment horizontal="center"/>
    </xf>
    <xf numFmtId="0" fontId="1" fillId="0" borderId="0" xfId="0" applyFont="1"/>
    <xf numFmtId="14" fontId="1" fillId="0" borderId="0" xfId="0" applyNumberFormat="1" applyFont="1"/>
    <xf numFmtId="44" fontId="1" fillId="0" borderId="0" xfId="0" applyNumberFormat="1" applyFont="1"/>
    <xf numFmtId="0" fontId="1" fillId="0" borderId="0" xfId="0" applyFont="1" applyAlignment="1">
      <alignment horizontal="left" vertical="center"/>
    </xf>
    <xf numFmtId="44" fontId="1" fillId="0" borderId="0" xfId="25745" applyFill="1"/>
    <xf numFmtId="44" fontId="1" fillId="0" borderId="204" xfId="25745" applyFill="1" applyBorder="1"/>
    <xf numFmtId="44" fontId="1" fillId="0" borderId="211" xfId="25745" applyFill="1" applyBorder="1"/>
    <xf numFmtId="44" fontId="122" fillId="0" borderId="0" xfId="25745" applyFont="1" applyFill="1"/>
    <xf numFmtId="202" fontId="122" fillId="0" borderId="0" xfId="25745" applyNumberFormat="1" applyFont="1"/>
    <xf numFmtId="210" fontId="0" fillId="0" borderId="0" xfId="25745" applyNumberFormat="1" applyFont="1" applyFill="1"/>
    <xf numFmtId="5" fontId="121" fillId="108" borderId="16" xfId="25455" applyNumberFormat="1" applyFont="1" applyFill="1" applyBorder="1"/>
    <xf numFmtId="5" fontId="121" fillId="92" borderId="16" xfId="25455" applyNumberFormat="1" applyFont="1" applyFill="1" applyBorder="1"/>
    <xf numFmtId="10" fontId="32" fillId="0" borderId="11" xfId="25292" applyNumberFormat="1" applyFont="1" applyBorder="1"/>
    <xf numFmtId="10" fontId="121" fillId="33" borderId="18" xfId="25292" applyNumberFormat="1" applyFont="1" applyFill="1" applyBorder="1"/>
    <xf numFmtId="0" fontId="32" fillId="103" borderId="0" xfId="25455" applyFont="1" applyFill="1"/>
    <xf numFmtId="6" fontId="122" fillId="103" borderId="0" xfId="0" applyNumberFormat="1" applyFont="1" applyFill="1"/>
    <xf numFmtId="6" fontId="32" fillId="103" borderId="0" xfId="25455" applyNumberFormat="1" applyFont="1" applyFill="1" applyBorder="1"/>
    <xf numFmtId="0" fontId="32" fillId="103" borderId="0" xfId="25455" applyFont="1" applyFill="1" applyBorder="1"/>
    <xf numFmtId="2" fontId="32" fillId="103" borderId="0" xfId="25455" applyNumberFormat="1" applyFont="1" applyFill="1" applyBorder="1"/>
    <xf numFmtId="37" fontId="32" fillId="103" borderId="0" xfId="25455" applyNumberFormat="1" applyFont="1" applyFill="1" applyBorder="1"/>
    <xf numFmtId="0" fontId="121" fillId="0" borderId="0" xfId="27280" applyFont="1"/>
    <xf numFmtId="202" fontId="1" fillId="103" borderId="0" xfId="25745" applyNumberFormat="1" applyFont="1" applyFill="1"/>
    <xf numFmtId="44" fontId="0" fillId="96" borderId="0" xfId="0" applyNumberFormat="1" applyFill="1"/>
    <xf numFmtId="0" fontId="0" fillId="96" borderId="0" xfId="0" applyFill="1"/>
    <xf numFmtId="0" fontId="121" fillId="91" borderId="85" xfId="25455" applyFont="1" applyFill="1" applyBorder="1"/>
    <xf numFmtId="0" fontId="32" fillId="91" borderId="0" xfId="25455" applyFont="1" applyFill="1"/>
    <xf numFmtId="0" fontId="122" fillId="91" borderId="0" xfId="0" applyFont="1" applyFill="1"/>
    <xf numFmtId="0" fontId="32" fillId="91" borderId="85" xfId="25455" applyFont="1" applyFill="1" applyBorder="1"/>
    <xf numFmtId="3" fontId="0" fillId="109" borderId="184" xfId="0" applyNumberFormat="1" applyFill="1" applyBorder="1"/>
    <xf numFmtId="3" fontId="0" fillId="0" borderId="0" xfId="0" applyNumberFormat="1" applyFill="1" applyBorder="1" applyAlignment="1">
      <alignment horizontal="center" wrapText="1"/>
    </xf>
    <xf numFmtId="0" fontId="0" fillId="92" borderId="0" xfId="0" applyFill="1" applyAlignment="1">
      <alignment horizontal="right"/>
    </xf>
    <xf numFmtId="0" fontId="0" fillId="92" borderId="0" xfId="0" applyFill="1"/>
    <xf numFmtId="44" fontId="0" fillId="92" borderId="0" xfId="25745" applyFont="1" applyFill="1"/>
    <xf numFmtId="44" fontId="0" fillId="92" borderId="80" xfId="0" applyNumberFormat="1" applyFill="1" applyBorder="1"/>
    <xf numFmtId="44" fontId="0" fillId="92" borderId="0" xfId="0" applyNumberFormat="1" applyFill="1"/>
    <xf numFmtId="166" fontId="0" fillId="107" borderId="0" xfId="0" applyNumberFormat="1" applyFill="1"/>
    <xf numFmtId="202" fontId="0" fillId="107" borderId="0" xfId="0" applyNumberFormat="1" applyFill="1"/>
    <xf numFmtId="188" fontId="122" fillId="0" borderId="0" xfId="0" applyNumberFormat="1" applyFont="1"/>
    <xf numFmtId="0" fontId="16" fillId="0" borderId="0" xfId="0" applyFont="1" applyAlignment="1">
      <alignment horizontal="right"/>
    </xf>
    <xf numFmtId="190" fontId="0" fillId="0" borderId="0" xfId="0" applyNumberFormat="1"/>
    <xf numFmtId="0" fontId="194" fillId="106" borderId="0" xfId="25455" applyFont="1" applyFill="1" applyBorder="1" applyAlignment="1">
      <alignment horizontal="center" wrapText="1"/>
    </xf>
    <xf numFmtId="185" fontId="122" fillId="0" borderId="0" xfId="0" applyNumberFormat="1" applyFont="1"/>
    <xf numFmtId="166" fontId="16" fillId="92" borderId="0" xfId="25742" applyNumberFormat="1" applyFont="1" applyFill="1"/>
    <xf numFmtId="166" fontId="0" fillId="92" borderId="0" xfId="0" applyNumberFormat="1" applyFill="1"/>
    <xf numFmtId="202" fontId="0" fillId="92" borderId="0" xfId="0" applyNumberFormat="1" applyFill="1"/>
    <xf numFmtId="0" fontId="0" fillId="0" borderId="0" xfId="0" applyAlignment="1">
      <alignment horizontal="left"/>
    </xf>
    <xf numFmtId="0" fontId="16" fillId="92" borderId="0" xfId="0" applyFont="1" applyFill="1" applyAlignment="1">
      <alignment horizontal="left"/>
    </xf>
    <xf numFmtId="0" fontId="0" fillId="0" borderId="0" xfId="0" applyAlignment="1">
      <alignment wrapText="1"/>
    </xf>
    <xf numFmtId="3" fontId="14" fillId="91" borderId="15" xfId="0" applyNumberFormat="1" applyFont="1" applyFill="1" applyBorder="1" applyAlignment="1">
      <alignment horizontal="center" wrapText="1"/>
    </xf>
    <xf numFmtId="3" fontId="14" fillId="91" borderId="0" xfId="0" applyNumberFormat="1" applyFont="1" applyFill="1" applyBorder="1" applyAlignment="1">
      <alignment horizontal="center" wrapText="1"/>
    </xf>
    <xf numFmtId="0" fontId="14" fillId="91" borderId="0" xfId="0" applyFont="1" applyFill="1"/>
    <xf numFmtId="184" fontId="14" fillId="91" borderId="0" xfId="0" applyNumberFormat="1" applyFont="1" applyFill="1"/>
    <xf numFmtId="0" fontId="0" fillId="0" borderId="0" xfId="0" applyAlignment="1">
      <alignment horizontal="center"/>
    </xf>
    <xf numFmtId="0" fontId="165" fillId="0" borderId="0" xfId="0" applyFont="1" applyAlignment="1">
      <alignment horizontal="center" vertical="center" wrapText="1"/>
    </xf>
    <xf numFmtId="0" fontId="139" fillId="0" borderId="150" xfId="0" applyFont="1" applyFill="1" applyBorder="1" applyAlignment="1">
      <alignment horizontal="center"/>
    </xf>
    <xf numFmtId="0" fontId="139" fillId="0" borderId="81" xfId="0" applyFont="1" applyFill="1" applyBorder="1" applyAlignment="1">
      <alignment horizontal="center"/>
    </xf>
    <xf numFmtId="0" fontId="139" fillId="0" borderId="82" xfId="0" applyFont="1" applyFill="1" applyBorder="1" applyAlignment="1">
      <alignment horizontal="center"/>
    </xf>
    <xf numFmtId="0" fontId="139" fillId="0" borderId="150" xfId="0" applyFont="1" applyFill="1" applyBorder="1" applyAlignment="1">
      <alignment horizontal="center" vertical="center"/>
    </xf>
    <xf numFmtId="0" fontId="168" fillId="0" borderId="0" xfId="0" applyFont="1" applyFill="1" applyAlignment="1">
      <alignment horizontal="center"/>
    </xf>
    <xf numFmtId="0" fontId="152" fillId="0" borderId="0" xfId="0" applyFont="1" applyFill="1" applyAlignment="1">
      <alignment horizontal="center"/>
    </xf>
    <xf numFmtId="0" fontId="16" fillId="0" borderId="143" xfId="0" applyFont="1" applyFill="1" applyBorder="1" applyAlignment="1">
      <alignment horizontal="center"/>
    </xf>
    <xf numFmtId="0" fontId="0" fillId="0" borderId="165" xfId="0" applyFill="1" applyBorder="1" applyAlignment="1">
      <alignment horizontal="center"/>
    </xf>
    <xf numFmtId="0" fontId="0" fillId="0" borderId="133" xfId="0" applyFill="1" applyBorder="1" applyAlignment="1">
      <alignment horizontal="center"/>
    </xf>
    <xf numFmtId="0" fontId="16" fillId="0" borderId="132" xfId="0" applyFont="1" applyFill="1" applyBorder="1" applyAlignment="1">
      <alignment horizontal="center"/>
    </xf>
    <xf numFmtId="0" fontId="16" fillId="0" borderId="0" xfId="0" applyFont="1" applyFill="1" applyAlignment="1">
      <alignment horizontal="center"/>
    </xf>
    <xf numFmtId="0" fontId="16" fillId="0" borderId="11" xfId="0" applyFont="1" applyFill="1" applyBorder="1" applyAlignment="1">
      <alignment horizontal="center"/>
    </xf>
    <xf numFmtId="0" fontId="16" fillId="0" borderId="171" xfId="0" applyFont="1" applyFill="1" applyBorder="1" applyAlignment="1">
      <alignment horizontal="center"/>
    </xf>
    <xf numFmtId="0" fontId="16" fillId="0" borderId="168" xfId="0" applyFont="1" applyFill="1" applyBorder="1" applyAlignment="1">
      <alignment horizontal="center"/>
    </xf>
    <xf numFmtId="0" fontId="16" fillId="0" borderId="172" xfId="0" applyFont="1" applyFill="1" applyBorder="1" applyAlignment="1">
      <alignment horizontal="center"/>
    </xf>
    <xf numFmtId="0" fontId="16" fillId="0" borderId="88" xfId="0" applyFont="1" applyFill="1" applyBorder="1" applyAlignment="1">
      <alignment horizontal="center"/>
    </xf>
    <xf numFmtId="0" fontId="16" fillId="0" borderId="89" xfId="0" applyFont="1" applyFill="1" applyBorder="1" applyAlignment="1">
      <alignment horizontal="center"/>
    </xf>
    <xf numFmtId="0" fontId="16" fillId="0" borderId="91" xfId="0" applyFont="1" applyFill="1" applyBorder="1" applyAlignment="1">
      <alignment horizontal="center"/>
    </xf>
    <xf numFmtId="0" fontId="16" fillId="0" borderId="92" xfId="0" applyFont="1" applyFill="1" applyBorder="1" applyAlignment="1">
      <alignment horizontal="center"/>
    </xf>
    <xf numFmtId="0" fontId="16" fillId="0" borderId="93" xfId="0" applyFont="1" applyFill="1" applyBorder="1" applyAlignment="1">
      <alignment horizontal="center"/>
    </xf>
    <xf numFmtId="0" fontId="0" fillId="0" borderId="88" xfId="0" applyBorder="1" applyAlignment="1">
      <alignment horizontal="center" wrapText="1"/>
    </xf>
    <xf numFmtId="0" fontId="0" fillId="0" borderId="0" xfId="0" applyAlignment="1">
      <alignment horizontal="center" wrapText="1"/>
    </xf>
    <xf numFmtId="0" fontId="0" fillId="0" borderId="89" xfId="0" applyBorder="1" applyAlignment="1">
      <alignment horizontal="center" wrapText="1"/>
    </xf>
    <xf numFmtId="0" fontId="0" fillId="0" borderId="88" xfId="0" applyFill="1" applyBorder="1" applyAlignment="1">
      <alignment horizontal="center" wrapText="1"/>
    </xf>
    <xf numFmtId="0" fontId="0" fillId="0" borderId="0" xfId="0" applyFill="1" applyAlignment="1">
      <alignment wrapText="1"/>
    </xf>
    <xf numFmtId="0" fontId="0" fillId="0" borderId="89" xfId="0" applyFill="1" applyBorder="1" applyAlignment="1">
      <alignment wrapText="1"/>
    </xf>
    <xf numFmtId="0" fontId="0" fillId="0" borderId="92" xfId="0" applyBorder="1" applyAlignment="1">
      <alignment horizontal="center" wrapText="1"/>
    </xf>
    <xf numFmtId="0" fontId="0" fillId="0" borderId="93" xfId="0" applyBorder="1" applyAlignment="1">
      <alignment horizontal="center" wrapText="1"/>
    </xf>
    <xf numFmtId="0" fontId="0" fillId="0" borderId="91" xfId="0" applyBorder="1" applyAlignment="1">
      <alignment horizontal="center" wrapText="1"/>
    </xf>
    <xf numFmtId="0" fontId="0" fillId="95" borderId="132" xfId="0" applyFill="1" applyBorder="1" applyAlignment="1">
      <alignment horizontal="center"/>
    </xf>
    <xf numFmtId="0" fontId="0" fillId="95" borderId="0" xfId="0" applyFill="1" applyAlignment="1">
      <alignment horizontal="center"/>
    </xf>
    <xf numFmtId="0" fontId="0" fillId="95" borderId="168" xfId="0" applyFill="1" applyBorder="1" applyAlignment="1">
      <alignment horizontal="center"/>
    </xf>
    <xf numFmtId="0" fontId="0" fillId="0" borderId="92" xfId="0" applyBorder="1" applyAlignment="1">
      <alignment wrapText="1"/>
    </xf>
    <xf numFmtId="0" fontId="0" fillId="0" borderId="93" xfId="0" applyBorder="1" applyAlignment="1">
      <alignment wrapText="1"/>
    </xf>
    <xf numFmtId="0" fontId="0" fillId="0" borderId="88" xfId="0" applyBorder="1" applyAlignment="1">
      <alignment horizontal="center"/>
    </xf>
    <xf numFmtId="166" fontId="144" fillId="0" borderId="0" xfId="0" applyNumberFormat="1" applyFont="1" applyAlignment="1">
      <alignment horizontal="center"/>
    </xf>
    <xf numFmtId="166" fontId="16" fillId="95" borderId="188" xfId="0" applyNumberFormat="1" applyFont="1" applyFill="1" applyBorder="1" applyAlignment="1">
      <alignment horizontal="center"/>
    </xf>
    <xf numFmtId="166" fontId="16" fillId="95" borderId="168" xfId="0" applyNumberFormat="1" applyFont="1" applyFill="1" applyBorder="1" applyAlignment="1">
      <alignment horizontal="center"/>
    </xf>
    <xf numFmtId="166" fontId="16" fillId="95" borderId="81" xfId="0" applyNumberFormat="1" applyFont="1" applyFill="1" applyBorder="1" applyAlignment="1">
      <alignment horizontal="center"/>
    </xf>
    <xf numFmtId="166" fontId="16" fillId="95" borderId="82" xfId="0" applyNumberFormat="1" applyFont="1" applyFill="1" applyBorder="1" applyAlignment="1">
      <alignment horizontal="center"/>
    </xf>
    <xf numFmtId="0" fontId="173" fillId="0" borderId="0" xfId="0" applyFont="1" applyAlignment="1">
      <alignment horizontal="center"/>
    </xf>
    <xf numFmtId="0" fontId="174" fillId="0" borderId="0" xfId="0" applyFont="1" applyAlignment="1">
      <alignment horizontal="center"/>
    </xf>
    <xf numFmtId="0" fontId="175" fillId="0" borderId="49" xfId="0" applyFont="1" applyBorder="1" applyAlignment="1">
      <alignment horizontal="center"/>
    </xf>
    <xf numFmtId="0" fontId="121" fillId="33" borderId="0" xfId="1" applyFont="1" applyFill="1" applyBorder="1" applyAlignment="1">
      <alignment horizontal="center"/>
    </xf>
    <xf numFmtId="0" fontId="121" fillId="33" borderId="0" xfId="1" quotePrefix="1" applyFont="1" applyFill="1" applyBorder="1" applyAlignment="1">
      <alignment horizontal="center"/>
    </xf>
    <xf numFmtId="0" fontId="121" fillId="33" borderId="77" xfId="24690" applyFont="1" applyFill="1" applyBorder="1" applyAlignment="1">
      <alignment horizontal="center"/>
    </xf>
    <xf numFmtId="0" fontId="121" fillId="33" borderId="76" xfId="24690" applyFont="1" applyFill="1" applyBorder="1" applyAlignment="1">
      <alignment horizontal="center"/>
    </xf>
    <xf numFmtId="0" fontId="121" fillId="33" borderId="78" xfId="24690" applyFont="1" applyFill="1" applyBorder="1" applyAlignment="1">
      <alignment horizontal="center"/>
    </xf>
    <xf numFmtId="0" fontId="121" fillId="33" borderId="35" xfId="24690" applyFont="1" applyFill="1" applyBorder="1" applyAlignment="1">
      <alignment horizontal="center"/>
    </xf>
    <xf numFmtId="0" fontId="121" fillId="33" borderId="0" xfId="24690" applyFont="1" applyFill="1" applyBorder="1" applyAlignment="1">
      <alignment horizontal="center"/>
    </xf>
    <xf numFmtId="0" fontId="121" fillId="33" borderId="11" xfId="24690" applyFont="1" applyFill="1" applyBorder="1" applyAlignment="1">
      <alignment horizontal="center"/>
    </xf>
    <xf numFmtId="0" fontId="121" fillId="33" borderId="77" xfId="25276" applyFont="1" applyFill="1" applyBorder="1" applyAlignment="1">
      <alignment horizontal="center"/>
    </xf>
    <xf numFmtId="0" fontId="121" fillId="33" borderId="76" xfId="25276" applyFont="1" applyFill="1" applyBorder="1" applyAlignment="1">
      <alignment horizontal="center"/>
    </xf>
    <xf numFmtId="0" fontId="121" fillId="33" borderId="78" xfId="25276" applyFont="1" applyFill="1" applyBorder="1" applyAlignment="1">
      <alignment horizontal="center"/>
    </xf>
    <xf numFmtId="0" fontId="121" fillId="33" borderId="55" xfId="1" quotePrefix="1" applyFont="1" applyFill="1" applyBorder="1" applyAlignment="1">
      <alignment horizontal="center"/>
    </xf>
    <xf numFmtId="0" fontId="121" fillId="88" borderId="0" xfId="24690" applyFont="1" applyFill="1" applyBorder="1" applyAlignment="1">
      <alignment horizontal="center"/>
    </xf>
    <xf numFmtId="0" fontId="122" fillId="0" borderId="0" xfId="0" applyFont="1" applyFill="1" applyBorder="1" applyAlignment="1">
      <alignment horizontal="center"/>
    </xf>
    <xf numFmtId="0" fontId="121" fillId="97" borderId="0" xfId="24690" applyFont="1" applyFill="1" applyBorder="1" applyAlignment="1">
      <alignment horizontal="center"/>
    </xf>
    <xf numFmtId="0" fontId="176" fillId="0" borderId="0" xfId="1" applyFont="1" applyFill="1" applyBorder="1" applyAlignment="1">
      <alignment horizontal="center"/>
    </xf>
    <xf numFmtId="0" fontId="176" fillId="0" borderId="0" xfId="1" quotePrefix="1" applyFont="1" applyFill="1" applyBorder="1" applyAlignment="1">
      <alignment horizontal="center"/>
    </xf>
    <xf numFmtId="0" fontId="144" fillId="0" borderId="0" xfId="1" applyFont="1" applyFill="1" applyBorder="1" applyAlignment="1">
      <alignment horizontal="center"/>
    </xf>
    <xf numFmtId="0" fontId="144" fillId="0" borderId="0" xfId="1" quotePrefix="1" applyFont="1" applyFill="1" applyBorder="1" applyAlignment="1">
      <alignment horizontal="center"/>
    </xf>
    <xf numFmtId="0" fontId="121" fillId="0" borderId="54" xfId="0" applyFont="1" applyFill="1" applyBorder="1" applyAlignment="1">
      <alignment horizontal="left"/>
    </xf>
    <xf numFmtId="0" fontId="121" fillId="0" borderId="56" xfId="0" applyFont="1" applyFill="1" applyBorder="1" applyAlignment="1">
      <alignment horizontal="left"/>
    </xf>
    <xf numFmtId="39" fontId="121" fillId="0" borderId="35" xfId="25743" applyFont="1" applyFill="1" applyBorder="1" applyAlignment="1" applyProtection="1">
      <alignment horizontal="left" wrapText="1" indent="1"/>
    </xf>
    <xf numFmtId="39" fontId="121" fillId="0" borderId="11" xfId="25743" applyFont="1" applyFill="1" applyBorder="1" applyAlignment="1" applyProtection="1">
      <alignment horizontal="left" wrapText="1" indent="1"/>
    </xf>
    <xf numFmtId="0" fontId="121" fillId="0" borderId="77" xfId="0" applyFont="1" applyFill="1" applyBorder="1" applyAlignment="1">
      <alignment horizontal="left" vertical="center"/>
    </xf>
    <xf numFmtId="0" fontId="121" fillId="0" borderId="78" xfId="0" applyFont="1" applyFill="1" applyBorder="1" applyAlignment="1">
      <alignment horizontal="left" vertical="center"/>
    </xf>
    <xf numFmtId="0" fontId="121" fillId="0" borderId="35" xfId="0" applyFont="1" applyFill="1" applyBorder="1" applyAlignment="1">
      <alignment horizontal="left" vertical="center"/>
    </xf>
    <xf numFmtId="0" fontId="121" fillId="0" borderId="11" xfId="0" applyFont="1" applyFill="1" applyBorder="1" applyAlignment="1">
      <alignment horizontal="left" vertical="center"/>
    </xf>
    <xf numFmtId="0" fontId="121" fillId="0" borderId="81" xfId="0" applyFont="1" applyFill="1" applyBorder="1" applyAlignment="1">
      <alignment horizontal="center"/>
    </xf>
    <xf numFmtId="0" fontId="121" fillId="0" borderId="53" xfId="0" applyFont="1" applyFill="1" applyBorder="1" applyAlignment="1">
      <alignment horizontal="center"/>
    </xf>
    <xf numFmtId="0" fontId="121" fillId="0" borderId="77" xfId="0" applyFont="1" applyFill="1" applyBorder="1" applyAlignment="1">
      <alignment horizontal="center"/>
    </xf>
    <xf numFmtId="0" fontId="121" fillId="0" borderId="76" xfId="0" applyFont="1" applyFill="1" applyBorder="1" applyAlignment="1">
      <alignment horizontal="center"/>
    </xf>
    <xf numFmtId="0" fontId="121" fillId="0" borderId="78" xfId="0" applyFont="1" applyFill="1" applyBorder="1" applyAlignment="1">
      <alignment horizontal="center"/>
    </xf>
    <xf numFmtId="0" fontId="121" fillId="0" borderId="0" xfId="24690" applyFont="1" applyFill="1" applyBorder="1" applyAlignment="1">
      <alignment horizontal="center"/>
    </xf>
    <xf numFmtId="0" fontId="128" fillId="0" borderId="76" xfId="0" applyFont="1" applyFill="1" applyBorder="1" applyAlignment="1">
      <alignment horizontal="left"/>
    </xf>
    <xf numFmtId="0" fontId="128" fillId="0" borderId="53" xfId="0" applyFont="1" applyFill="1" applyBorder="1" applyAlignment="1">
      <alignment horizontal="left"/>
    </xf>
    <xf numFmtId="0" fontId="122" fillId="33" borderId="0" xfId="0" applyFont="1" applyFill="1" applyBorder="1" applyAlignment="1">
      <alignment horizontal="right"/>
    </xf>
    <xf numFmtId="0" fontId="122" fillId="33" borderId="89" xfId="0" applyFont="1" applyFill="1" applyBorder="1" applyAlignment="1">
      <alignment horizontal="right"/>
    </xf>
    <xf numFmtId="0" fontId="135" fillId="95" borderId="91" xfId="0" applyFont="1" applyFill="1" applyBorder="1" applyAlignment="1">
      <alignment horizontal="center" vertical="center" wrapText="1"/>
    </xf>
    <xf numFmtId="0" fontId="135" fillId="95" borderId="92" xfId="0" applyFont="1" applyFill="1" applyBorder="1" applyAlignment="1">
      <alignment horizontal="center" vertical="center" wrapText="1"/>
    </xf>
    <xf numFmtId="0" fontId="135" fillId="95" borderId="93" xfId="0" applyFont="1" applyFill="1" applyBorder="1" applyAlignment="1">
      <alignment horizontal="center" vertical="center" wrapText="1"/>
    </xf>
    <xf numFmtId="0" fontId="135" fillId="95" borderId="88" xfId="0" applyFont="1" applyFill="1" applyBorder="1" applyAlignment="1">
      <alignment horizontal="center" vertical="center" wrapText="1"/>
    </xf>
    <xf numFmtId="0" fontId="135" fillId="95" borderId="0" xfId="0" applyFont="1" applyFill="1" applyBorder="1" applyAlignment="1">
      <alignment horizontal="center" vertical="center" wrapText="1"/>
    </xf>
    <xf numFmtId="0" fontId="135" fillId="95" borderId="89" xfId="0" applyFont="1" applyFill="1" applyBorder="1" applyAlignment="1">
      <alignment horizontal="center" vertical="center" wrapText="1"/>
    </xf>
    <xf numFmtId="0" fontId="129" fillId="0" borderId="88" xfId="0" applyFont="1" applyBorder="1" applyAlignment="1">
      <alignment horizontal="left"/>
    </xf>
    <xf numFmtId="0" fontId="129" fillId="0" borderId="0" xfId="0" applyFont="1" applyBorder="1" applyAlignment="1">
      <alignment horizontal="left"/>
    </xf>
    <xf numFmtId="0" fontId="129" fillId="0" borderId="89" xfId="0" applyFont="1" applyBorder="1" applyAlignment="1">
      <alignment horizontal="left"/>
    </xf>
    <xf numFmtId="0" fontId="135" fillId="0" borderId="91" xfId="0" applyFont="1" applyBorder="1" applyAlignment="1">
      <alignment horizontal="center" vertical="center" wrapText="1"/>
    </xf>
    <xf numFmtId="0" fontId="135" fillId="0" borderId="92" xfId="0" applyFont="1" applyBorder="1" applyAlignment="1">
      <alignment horizontal="center" vertical="center" wrapText="1"/>
    </xf>
    <xf numFmtId="0" fontId="135" fillId="0" borderId="93" xfId="0" applyFont="1" applyBorder="1" applyAlignment="1">
      <alignment horizontal="center" vertical="center" wrapText="1"/>
    </xf>
    <xf numFmtId="0" fontId="135" fillId="0" borderId="88" xfId="0" applyFont="1" applyBorder="1" applyAlignment="1">
      <alignment horizontal="center" vertical="center" wrapText="1"/>
    </xf>
    <xf numFmtId="0" fontId="135" fillId="0" borderId="0" xfId="0" applyFont="1" applyBorder="1" applyAlignment="1">
      <alignment horizontal="center" vertical="center" wrapText="1"/>
    </xf>
    <xf numFmtId="0" fontId="135" fillId="0" borderId="89" xfId="0" applyFont="1" applyBorder="1" applyAlignment="1">
      <alignment horizontal="center" vertical="center" wrapText="1"/>
    </xf>
    <xf numFmtId="0" fontId="135" fillId="0" borderId="94" xfId="0" applyFont="1" applyBorder="1" applyAlignment="1">
      <alignment horizontal="center" vertical="center" wrapText="1"/>
    </xf>
    <xf numFmtId="0" fontId="135" fillId="0" borderId="49" xfId="0" applyFont="1" applyBorder="1" applyAlignment="1">
      <alignment horizontal="center" vertical="center" wrapText="1"/>
    </xf>
    <xf numFmtId="0" fontId="135" fillId="0" borderId="95" xfId="0" applyFont="1" applyBorder="1" applyAlignment="1">
      <alignment horizontal="center" vertical="center" wrapText="1"/>
    </xf>
    <xf numFmtId="0" fontId="122" fillId="33" borderId="92" xfId="0" applyFont="1" applyFill="1" applyBorder="1" applyAlignment="1">
      <alignment horizontal="right"/>
    </xf>
    <xf numFmtId="0" fontId="122" fillId="33" borderId="93" xfId="0" applyFont="1" applyFill="1" applyBorder="1" applyAlignment="1">
      <alignment horizontal="right"/>
    </xf>
    <xf numFmtId="0" fontId="122" fillId="96" borderId="0" xfId="0" applyFont="1" applyFill="1" applyAlignment="1">
      <alignment horizontal="center" wrapText="1"/>
    </xf>
    <xf numFmtId="49" fontId="121" fillId="0" borderId="0" xfId="25293" applyNumberFormat="1" applyFont="1" applyFill="1" applyBorder="1" applyAlignment="1">
      <alignment horizontal="center"/>
    </xf>
    <xf numFmtId="0" fontId="188" fillId="0" borderId="211" xfId="33380" applyFont="1" applyBorder="1" applyAlignment="1">
      <alignment horizontal="left" vertical="center"/>
    </xf>
    <xf numFmtId="0" fontId="121" fillId="0" borderId="0" xfId="27280" applyFont="1" applyFill="1" applyBorder="1" applyAlignment="1">
      <alignment horizontal="center"/>
    </xf>
    <xf numFmtId="0" fontId="121" fillId="0" borderId="0" xfId="0" applyFont="1" applyFill="1" applyAlignment="1">
      <alignment horizontal="center"/>
    </xf>
    <xf numFmtId="0" fontId="32" fillId="0" borderId="0" xfId="0" applyFont="1" applyFill="1" applyAlignment="1">
      <alignment horizontal="center" wrapText="1"/>
    </xf>
    <xf numFmtId="0" fontId="32" fillId="0" borderId="85" xfId="0" applyFont="1" applyFill="1" applyBorder="1" applyAlignment="1">
      <alignment horizontal="center" wrapText="1"/>
    </xf>
    <xf numFmtId="0" fontId="122" fillId="0" borderId="0" xfId="0" applyFont="1" applyBorder="1" applyAlignment="1">
      <alignment horizontal="left" vertical="center" wrapText="1"/>
    </xf>
    <xf numFmtId="0" fontId="145" fillId="0" borderId="0" xfId="0" applyFont="1" applyBorder="1" applyAlignment="1">
      <alignment horizontal="left"/>
    </xf>
    <xf numFmtId="0" fontId="124" fillId="0" borderId="0" xfId="0" applyFont="1" applyAlignment="1">
      <alignment horizontal="center"/>
    </xf>
    <xf numFmtId="0" fontId="0" fillId="0" borderId="0" xfId="0" applyAlignment="1">
      <alignment horizontal="left"/>
    </xf>
    <xf numFmtId="0" fontId="124" fillId="0" borderId="91" xfId="0" applyFont="1" applyFill="1" applyBorder="1" applyAlignment="1">
      <alignment vertical="center"/>
    </xf>
    <xf numFmtId="0" fontId="124" fillId="0" borderId="92" xfId="0" applyFont="1" applyFill="1" applyBorder="1" applyAlignment="1">
      <alignment vertical="center"/>
    </xf>
    <xf numFmtId="0" fontId="124" fillId="0" borderId="93" xfId="0" applyFont="1" applyFill="1" applyBorder="1" applyAlignment="1">
      <alignment vertical="center"/>
    </xf>
    <xf numFmtId="0" fontId="124" fillId="0" borderId="88" xfId="0" applyFont="1" applyFill="1" applyBorder="1" applyAlignment="1">
      <alignment vertical="center"/>
    </xf>
    <xf numFmtId="0" fontId="124" fillId="0" borderId="0" xfId="0" applyFont="1" applyFill="1" applyBorder="1" applyAlignment="1">
      <alignment vertical="center"/>
    </xf>
    <xf numFmtId="0" fontId="124" fillId="0" borderId="89" xfId="0" applyFont="1" applyFill="1" applyBorder="1" applyAlignment="1">
      <alignment vertical="center"/>
    </xf>
    <xf numFmtId="0" fontId="124" fillId="0" borderId="94" xfId="0" applyFont="1" applyFill="1" applyBorder="1" applyAlignment="1">
      <alignment vertical="center"/>
    </xf>
    <xf numFmtId="0" fontId="124" fillId="0" borderId="49" xfId="0" applyFont="1" applyFill="1" applyBorder="1" applyAlignment="1">
      <alignment vertical="center"/>
    </xf>
    <xf numFmtId="0" fontId="124" fillId="0" borderId="95" xfId="0" applyFont="1" applyFill="1" applyBorder="1" applyAlignment="1">
      <alignment vertical="center"/>
    </xf>
    <xf numFmtId="0" fontId="121" fillId="0" borderId="0" xfId="27280" applyFont="1" applyAlignment="1">
      <alignment horizontal="center"/>
    </xf>
    <xf numFmtId="0" fontId="57" fillId="0" borderId="0" xfId="0" applyFont="1" applyFill="1" applyAlignment="1">
      <alignment horizontal="left" wrapText="1"/>
    </xf>
    <xf numFmtId="0" fontId="144" fillId="0" borderId="207" xfId="0" applyFont="1" applyBorder="1" applyAlignment="1">
      <alignment horizontal="center"/>
    </xf>
    <xf numFmtId="0" fontId="144" fillId="0" borderId="150" xfId="0" applyFont="1" applyBorder="1" applyAlignment="1">
      <alignment horizontal="center"/>
    </xf>
    <xf numFmtId="0" fontId="144" fillId="0" borderId="208" xfId="0" applyFont="1" applyBorder="1" applyAlignment="1">
      <alignment horizontal="center"/>
    </xf>
  </cellXfs>
  <cellStyles count="33385">
    <cellStyle name="20% - Accent1 10" xfId="666" xr:uid="{00000000-0005-0000-0000-000000000000}"/>
    <cellStyle name="20% - Accent1 10 2" xfId="3622" xr:uid="{00000000-0005-0000-0000-000001000000}"/>
    <cellStyle name="20% - Accent1 10 2 2" xfId="11601" xr:uid="{00000000-0005-0000-0000-000002000000}"/>
    <cellStyle name="20% - Accent1 10 2 2 2" xfId="22889" xr:uid="{00000000-0005-0000-0000-000003000000}"/>
    <cellStyle name="20% - Accent1 10 2 3" xfId="9607" xr:uid="{00000000-0005-0000-0000-000004000000}"/>
    <cellStyle name="20% - Accent1 10 2 3 2" xfId="20895" xr:uid="{00000000-0005-0000-0000-000005000000}"/>
    <cellStyle name="20% - Accent1 10 2 4" xfId="7613" xr:uid="{00000000-0005-0000-0000-000006000000}"/>
    <cellStyle name="20% - Accent1 10 2 4 2" xfId="18901" xr:uid="{00000000-0005-0000-0000-000007000000}"/>
    <cellStyle name="20% - Accent1 10 2 5" xfId="5619" xr:uid="{00000000-0005-0000-0000-000008000000}"/>
    <cellStyle name="20% - Accent1 10 2 5 2" xfId="16907" xr:uid="{00000000-0005-0000-0000-000009000000}"/>
    <cellStyle name="20% - Accent1 10 2 6" xfId="14913" xr:uid="{00000000-0005-0000-0000-00000A000000}"/>
    <cellStyle name="20% - Accent1 10 3" xfId="10604" xr:uid="{00000000-0005-0000-0000-00000B000000}"/>
    <cellStyle name="20% - Accent1 10 3 2" xfId="21892" xr:uid="{00000000-0005-0000-0000-00000C000000}"/>
    <cellStyle name="20% - Accent1 10 4" xfId="8619" xr:uid="{00000000-0005-0000-0000-00000D000000}"/>
    <cellStyle name="20% - Accent1 10 4 2" xfId="19907" xr:uid="{00000000-0005-0000-0000-00000E000000}"/>
    <cellStyle name="20% - Accent1 10 5" xfId="6616" xr:uid="{00000000-0005-0000-0000-00000F000000}"/>
    <cellStyle name="20% - Accent1 10 5 2" xfId="17904" xr:uid="{00000000-0005-0000-0000-000010000000}"/>
    <cellStyle name="20% - Accent1 10 6" xfId="4622" xr:uid="{00000000-0005-0000-0000-000011000000}"/>
    <cellStyle name="20% - Accent1 10 6 2" xfId="15910" xr:uid="{00000000-0005-0000-0000-000012000000}"/>
    <cellStyle name="20% - Accent1 10 7" xfId="13916" xr:uid="{00000000-0005-0000-0000-000013000000}"/>
    <cellStyle name="20% - Accent1 10 8" xfId="12602" xr:uid="{00000000-0005-0000-0000-000014000000}"/>
    <cellStyle name="20% - Accent1 11" xfId="667" xr:uid="{00000000-0005-0000-0000-000015000000}"/>
    <cellStyle name="20% - Accent1 11 2" xfId="3623" xr:uid="{00000000-0005-0000-0000-000016000000}"/>
    <cellStyle name="20% - Accent1 11 2 2" xfId="11602" xr:uid="{00000000-0005-0000-0000-000017000000}"/>
    <cellStyle name="20% - Accent1 11 2 2 2" xfId="22890" xr:uid="{00000000-0005-0000-0000-000018000000}"/>
    <cellStyle name="20% - Accent1 11 2 3" xfId="9608" xr:uid="{00000000-0005-0000-0000-000019000000}"/>
    <cellStyle name="20% - Accent1 11 2 3 2" xfId="20896" xr:uid="{00000000-0005-0000-0000-00001A000000}"/>
    <cellStyle name="20% - Accent1 11 2 4" xfId="7614" xr:uid="{00000000-0005-0000-0000-00001B000000}"/>
    <cellStyle name="20% - Accent1 11 2 4 2" xfId="18902" xr:uid="{00000000-0005-0000-0000-00001C000000}"/>
    <cellStyle name="20% - Accent1 11 2 5" xfId="5620" xr:uid="{00000000-0005-0000-0000-00001D000000}"/>
    <cellStyle name="20% - Accent1 11 2 5 2" xfId="16908" xr:uid="{00000000-0005-0000-0000-00001E000000}"/>
    <cellStyle name="20% - Accent1 11 2 6" xfId="14914" xr:uid="{00000000-0005-0000-0000-00001F000000}"/>
    <cellStyle name="20% - Accent1 11 3" xfId="10605" xr:uid="{00000000-0005-0000-0000-000020000000}"/>
    <cellStyle name="20% - Accent1 11 3 2" xfId="21893" xr:uid="{00000000-0005-0000-0000-000021000000}"/>
    <cellStyle name="20% - Accent1 11 4" xfId="8611" xr:uid="{00000000-0005-0000-0000-000022000000}"/>
    <cellStyle name="20% - Accent1 11 4 2" xfId="19899" xr:uid="{00000000-0005-0000-0000-000023000000}"/>
    <cellStyle name="20% - Accent1 11 5" xfId="6617" xr:uid="{00000000-0005-0000-0000-000024000000}"/>
    <cellStyle name="20% - Accent1 11 5 2" xfId="17905" xr:uid="{00000000-0005-0000-0000-000025000000}"/>
    <cellStyle name="20% - Accent1 11 6" xfId="4623" xr:uid="{00000000-0005-0000-0000-000026000000}"/>
    <cellStyle name="20% - Accent1 11 6 2" xfId="15911" xr:uid="{00000000-0005-0000-0000-000027000000}"/>
    <cellStyle name="20% - Accent1 11 7" xfId="13917" xr:uid="{00000000-0005-0000-0000-000028000000}"/>
    <cellStyle name="20% - Accent1 11 8" xfId="12603" xr:uid="{00000000-0005-0000-0000-000029000000}"/>
    <cellStyle name="20% - Accent1 12" xfId="668" xr:uid="{00000000-0005-0000-0000-00002A000000}"/>
    <cellStyle name="20% - Accent1 12 2" xfId="3624" xr:uid="{00000000-0005-0000-0000-00002B000000}"/>
    <cellStyle name="20% - Accent1 12 2 2" xfId="11603" xr:uid="{00000000-0005-0000-0000-00002C000000}"/>
    <cellStyle name="20% - Accent1 12 2 2 2" xfId="22891" xr:uid="{00000000-0005-0000-0000-00002D000000}"/>
    <cellStyle name="20% - Accent1 12 2 3" xfId="9609" xr:uid="{00000000-0005-0000-0000-00002E000000}"/>
    <cellStyle name="20% - Accent1 12 2 3 2" xfId="20897" xr:uid="{00000000-0005-0000-0000-00002F000000}"/>
    <cellStyle name="20% - Accent1 12 2 4" xfId="7615" xr:uid="{00000000-0005-0000-0000-000030000000}"/>
    <cellStyle name="20% - Accent1 12 2 4 2" xfId="18903" xr:uid="{00000000-0005-0000-0000-000031000000}"/>
    <cellStyle name="20% - Accent1 12 2 5" xfId="5621" xr:uid="{00000000-0005-0000-0000-000032000000}"/>
    <cellStyle name="20% - Accent1 12 2 5 2" xfId="16909" xr:uid="{00000000-0005-0000-0000-000033000000}"/>
    <cellStyle name="20% - Accent1 12 2 6" xfId="14915" xr:uid="{00000000-0005-0000-0000-000034000000}"/>
    <cellStyle name="20% - Accent1 12 3" xfId="10606" xr:uid="{00000000-0005-0000-0000-000035000000}"/>
    <cellStyle name="20% - Accent1 12 3 2" xfId="21894" xr:uid="{00000000-0005-0000-0000-000036000000}"/>
    <cellStyle name="20% - Accent1 12 4" xfId="8620" xr:uid="{00000000-0005-0000-0000-000037000000}"/>
    <cellStyle name="20% - Accent1 12 4 2" xfId="19908" xr:uid="{00000000-0005-0000-0000-000038000000}"/>
    <cellStyle name="20% - Accent1 12 5" xfId="6618" xr:uid="{00000000-0005-0000-0000-000039000000}"/>
    <cellStyle name="20% - Accent1 12 5 2" xfId="17906" xr:uid="{00000000-0005-0000-0000-00003A000000}"/>
    <cellStyle name="20% - Accent1 12 6" xfId="4624" xr:uid="{00000000-0005-0000-0000-00003B000000}"/>
    <cellStyle name="20% - Accent1 12 6 2" xfId="15912" xr:uid="{00000000-0005-0000-0000-00003C000000}"/>
    <cellStyle name="20% - Accent1 12 7" xfId="13918" xr:uid="{00000000-0005-0000-0000-00003D000000}"/>
    <cellStyle name="20% - Accent1 12 8" xfId="12604" xr:uid="{00000000-0005-0000-0000-00003E000000}"/>
    <cellStyle name="20% - Accent1 13" xfId="669" xr:uid="{00000000-0005-0000-0000-00003F000000}"/>
    <cellStyle name="20% - Accent1 13 2" xfId="3625" xr:uid="{00000000-0005-0000-0000-000040000000}"/>
    <cellStyle name="20% - Accent1 13 2 2" xfId="11604" xr:uid="{00000000-0005-0000-0000-000041000000}"/>
    <cellStyle name="20% - Accent1 13 2 2 2" xfId="22892" xr:uid="{00000000-0005-0000-0000-000042000000}"/>
    <cellStyle name="20% - Accent1 13 2 3" xfId="9610" xr:uid="{00000000-0005-0000-0000-000043000000}"/>
    <cellStyle name="20% - Accent1 13 2 3 2" xfId="20898" xr:uid="{00000000-0005-0000-0000-000044000000}"/>
    <cellStyle name="20% - Accent1 13 2 4" xfId="7616" xr:uid="{00000000-0005-0000-0000-000045000000}"/>
    <cellStyle name="20% - Accent1 13 2 4 2" xfId="18904" xr:uid="{00000000-0005-0000-0000-000046000000}"/>
    <cellStyle name="20% - Accent1 13 2 5" xfId="5622" xr:uid="{00000000-0005-0000-0000-000047000000}"/>
    <cellStyle name="20% - Accent1 13 2 5 2" xfId="16910" xr:uid="{00000000-0005-0000-0000-000048000000}"/>
    <cellStyle name="20% - Accent1 13 2 6" xfId="14916" xr:uid="{00000000-0005-0000-0000-000049000000}"/>
    <cellStyle name="20% - Accent1 13 3" xfId="10607" xr:uid="{00000000-0005-0000-0000-00004A000000}"/>
    <cellStyle name="20% - Accent1 13 3 2" xfId="21895" xr:uid="{00000000-0005-0000-0000-00004B000000}"/>
    <cellStyle name="20% - Accent1 13 4" xfId="8612" xr:uid="{00000000-0005-0000-0000-00004C000000}"/>
    <cellStyle name="20% - Accent1 13 4 2" xfId="19900" xr:uid="{00000000-0005-0000-0000-00004D000000}"/>
    <cellStyle name="20% - Accent1 13 5" xfId="6619" xr:uid="{00000000-0005-0000-0000-00004E000000}"/>
    <cellStyle name="20% - Accent1 13 5 2" xfId="17907" xr:uid="{00000000-0005-0000-0000-00004F000000}"/>
    <cellStyle name="20% - Accent1 13 6" xfId="4625" xr:uid="{00000000-0005-0000-0000-000050000000}"/>
    <cellStyle name="20% - Accent1 13 6 2" xfId="15913" xr:uid="{00000000-0005-0000-0000-000051000000}"/>
    <cellStyle name="20% - Accent1 13 7" xfId="13919" xr:uid="{00000000-0005-0000-0000-000052000000}"/>
    <cellStyle name="20% - Accent1 13 8" xfId="12605" xr:uid="{00000000-0005-0000-0000-000053000000}"/>
    <cellStyle name="20% - Accent1 14" xfId="670" xr:uid="{00000000-0005-0000-0000-000054000000}"/>
    <cellStyle name="20% - Accent1 14 2" xfId="3626" xr:uid="{00000000-0005-0000-0000-000055000000}"/>
    <cellStyle name="20% - Accent1 14 2 2" xfId="11605" xr:uid="{00000000-0005-0000-0000-000056000000}"/>
    <cellStyle name="20% - Accent1 14 2 2 2" xfId="22893" xr:uid="{00000000-0005-0000-0000-000057000000}"/>
    <cellStyle name="20% - Accent1 14 2 3" xfId="9611" xr:uid="{00000000-0005-0000-0000-000058000000}"/>
    <cellStyle name="20% - Accent1 14 2 3 2" xfId="20899" xr:uid="{00000000-0005-0000-0000-000059000000}"/>
    <cellStyle name="20% - Accent1 14 2 4" xfId="7617" xr:uid="{00000000-0005-0000-0000-00005A000000}"/>
    <cellStyle name="20% - Accent1 14 2 4 2" xfId="18905" xr:uid="{00000000-0005-0000-0000-00005B000000}"/>
    <cellStyle name="20% - Accent1 14 2 5" xfId="5623" xr:uid="{00000000-0005-0000-0000-00005C000000}"/>
    <cellStyle name="20% - Accent1 14 2 5 2" xfId="16911" xr:uid="{00000000-0005-0000-0000-00005D000000}"/>
    <cellStyle name="20% - Accent1 14 2 6" xfId="14917" xr:uid="{00000000-0005-0000-0000-00005E000000}"/>
    <cellStyle name="20% - Accent1 14 3" xfId="10608" xr:uid="{00000000-0005-0000-0000-00005F000000}"/>
    <cellStyle name="20% - Accent1 14 3 2" xfId="21896" xr:uid="{00000000-0005-0000-0000-000060000000}"/>
    <cellStyle name="20% - Accent1 14 4" xfId="8610" xr:uid="{00000000-0005-0000-0000-000061000000}"/>
    <cellStyle name="20% - Accent1 14 4 2" xfId="19898" xr:uid="{00000000-0005-0000-0000-000062000000}"/>
    <cellStyle name="20% - Accent1 14 5" xfId="6620" xr:uid="{00000000-0005-0000-0000-000063000000}"/>
    <cellStyle name="20% - Accent1 14 5 2" xfId="17908" xr:uid="{00000000-0005-0000-0000-000064000000}"/>
    <cellStyle name="20% - Accent1 14 6" xfId="4626" xr:uid="{00000000-0005-0000-0000-000065000000}"/>
    <cellStyle name="20% - Accent1 14 6 2" xfId="15914" xr:uid="{00000000-0005-0000-0000-000066000000}"/>
    <cellStyle name="20% - Accent1 14 7" xfId="13920" xr:uid="{00000000-0005-0000-0000-000067000000}"/>
    <cellStyle name="20% - Accent1 14 8" xfId="12606" xr:uid="{00000000-0005-0000-0000-000068000000}"/>
    <cellStyle name="20% - Accent1 15" xfId="671" xr:uid="{00000000-0005-0000-0000-000069000000}"/>
    <cellStyle name="20% - Accent1 15 2" xfId="3627" xr:uid="{00000000-0005-0000-0000-00006A000000}"/>
    <cellStyle name="20% - Accent1 15 2 2" xfId="11606" xr:uid="{00000000-0005-0000-0000-00006B000000}"/>
    <cellStyle name="20% - Accent1 15 2 2 2" xfId="22894" xr:uid="{00000000-0005-0000-0000-00006C000000}"/>
    <cellStyle name="20% - Accent1 15 2 3" xfId="9612" xr:uid="{00000000-0005-0000-0000-00006D000000}"/>
    <cellStyle name="20% - Accent1 15 2 3 2" xfId="20900" xr:uid="{00000000-0005-0000-0000-00006E000000}"/>
    <cellStyle name="20% - Accent1 15 2 4" xfId="7618" xr:uid="{00000000-0005-0000-0000-00006F000000}"/>
    <cellStyle name="20% - Accent1 15 2 4 2" xfId="18906" xr:uid="{00000000-0005-0000-0000-000070000000}"/>
    <cellStyle name="20% - Accent1 15 2 5" xfId="5624" xr:uid="{00000000-0005-0000-0000-000071000000}"/>
    <cellStyle name="20% - Accent1 15 2 5 2" xfId="16912" xr:uid="{00000000-0005-0000-0000-000072000000}"/>
    <cellStyle name="20% - Accent1 15 2 6" xfId="14918" xr:uid="{00000000-0005-0000-0000-000073000000}"/>
    <cellStyle name="20% - Accent1 15 3" xfId="10609" xr:uid="{00000000-0005-0000-0000-000074000000}"/>
    <cellStyle name="20% - Accent1 15 3 2" xfId="21897" xr:uid="{00000000-0005-0000-0000-000075000000}"/>
    <cellStyle name="20% - Accent1 15 4" xfId="8613" xr:uid="{00000000-0005-0000-0000-000076000000}"/>
    <cellStyle name="20% - Accent1 15 4 2" xfId="19901" xr:uid="{00000000-0005-0000-0000-000077000000}"/>
    <cellStyle name="20% - Accent1 15 5" xfId="6621" xr:uid="{00000000-0005-0000-0000-000078000000}"/>
    <cellStyle name="20% - Accent1 15 5 2" xfId="17909" xr:uid="{00000000-0005-0000-0000-000079000000}"/>
    <cellStyle name="20% - Accent1 15 6" xfId="4627" xr:uid="{00000000-0005-0000-0000-00007A000000}"/>
    <cellStyle name="20% - Accent1 15 6 2" xfId="15915" xr:uid="{00000000-0005-0000-0000-00007B000000}"/>
    <cellStyle name="20% - Accent1 15 7" xfId="13921" xr:uid="{00000000-0005-0000-0000-00007C000000}"/>
    <cellStyle name="20% - Accent1 15 8" xfId="12607" xr:uid="{00000000-0005-0000-0000-00007D000000}"/>
    <cellStyle name="20% - Accent1 16" xfId="672" xr:uid="{00000000-0005-0000-0000-00007E000000}"/>
    <cellStyle name="20% - Accent1 16 2" xfId="3628" xr:uid="{00000000-0005-0000-0000-00007F000000}"/>
    <cellStyle name="20% - Accent1 16 2 2" xfId="11607" xr:uid="{00000000-0005-0000-0000-000080000000}"/>
    <cellStyle name="20% - Accent1 16 2 2 2" xfId="22895" xr:uid="{00000000-0005-0000-0000-000081000000}"/>
    <cellStyle name="20% - Accent1 16 2 3" xfId="9613" xr:uid="{00000000-0005-0000-0000-000082000000}"/>
    <cellStyle name="20% - Accent1 16 2 3 2" xfId="20901" xr:uid="{00000000-0005-0000-0000-000083000000}"/>
    <cellStyle name="20% - Accent1 16 2 4" xfId="7619" xr:uid="{00000000-0005-0000-0000-000084000000}"/>
    <cellStyle name="20% - Accent1 16 2 4 2" xfId="18907" xr:uid="{00000000-0005-0000-0000-000085000000}"/>
    <cellStyle name="20% - Accent1 16 2 5" xfId="5625" xr:uid="{00000000-0005-0000-0000-000086000000}"/>
    <cellStyle name="20% - Accent1 16 2 5 2" xfId="16913" xr:uid="{00000000-0005-0000-0000-000087000000}"/>
    <cellStyle name="20% - Accent1 16 2 6" xfId="14919" xr:uid="{00000000-0005-0000-0000-000088000000}"/>
    <cellStyle name="20% - Accent1 16 3" xfId="10610" xr:uid="{00000000-0005-0000-0000-000089000000}"/>
    <cellStyle name="20% - Accent1 16 3 2" xfId="21898" xr:uid="{00000000-0005-0000-0000-00008A000000}"/>
    <cellStyle name="20% - Accent1 16 4" xfId="8614" xr:uid="{00000000-0005-0000-0000-00008B000000}"/>
    <cellStyle name="20% - Accent1 16 4 2" xfId="19902" xr:uid="{00000000-0005-0000-0000-00008C000000}"/>
    <cellStyle name="20% - Accent1 16 5" xfId="6622" xr:uid="{00000000-0005-0000-0000-00008D000000}"/>
    <cellStyle name="20% - Accent1 16 5 2" xfId="17910" xr:uid="{00000000-0005-0000-0000-00008E000000}"/>
    <cellStyle name="20% - Accent1 16 6" xfId="4628" xr:uid="{00000000-0005-0000-0000-00008F000000}"/>
    <cellStyle name="20% - Accent1 16 6 2" xfId="15916" xr:uid="{00000000-0005-0000-0000-000090000000}"/>
    <cellStyle name="20% - Accent1 16 7" xfId="13922" xr:uid="{00000000-0005-0000-0000-000091000000}"/>
    <cellStyle name="20% - Accent1 16 8" xfId="12608" xr:uid="{00000000-0005-0000-0000-000092000000}"/>
    <cellStyle name="20% - Accent1 17" xfId="673" xr:uid="{00000000-0005-0000-0000-000093000000}"/>
    <cellStyle name="20% - Accent1 17 2" xfId="3629" xr:uid="{00000000-0005-0000-0000-000094000000}"/>
    <cellStyle name="20% - Accent1 17 2 2" xfId="11608" xr:uid="{00000000-0005-0000-0000-000095000000}"/>
    <cellStyle name="20% - Accent1 17 2 2 2" xfId="22896" xr:uid="{00000000-0005-0000-0000-000096000000}"/>
    <cellStyle name="20% - Accent1 17 2 3" xfId="9614" xr:uid="{00000000-0005-0000-0000-000097000000}"/>
    <cellStyle name="20% - Accent1 17 2 3 2" xfId="20902" xr:uid="{00000000-0005-0000-0000-000098000000}"/>
    <cellStyle name="20% - Accent1 17 2 4" xfId="7620" xr:uid="{00000000-0005-0000-0000-000099000000}"/>
    <cellStyle name="20% - Accent1 17 2 4 2" xfId="18908" xr:uid="{00000000-0005-0000-0000-00009A000000}"/>
    <cellStyle name="20% - Accent1 17 2 5" xfId="5626" xr:uid="{00000000-0005-0000-0000-00009B000000}"/>
    <cellStyle name="20% - Accent1 17 2 5 2" xfId="16914" xr:uid="{00000000-0005-0000-0000-00009C000000}"/>
    <cellStyle name="20% - Accent1 17 2 6" xfId="14920" xr:uid="{00000000-0005-0000-0000-00009D000000}"/>
    <cellStyle name="20% - Accent1 17 3" xfId="10611" xr:uid="{00000000-0005-0000-0000-00009E000000}"/>
    <cellStyle name="20% - Accent1 17 3 2" xfId="21899" xr:uid="{00000000-0005-0000-0000-00009F000000}"/>
    <cellStyle name="20% - Accent1 17 4" xfId="8617" xr:uid="{00000000-0005-0000-0000-0000A0000000}"/>
    <cellStyle name="20% - Accent1 17 4 2" xfId="19905" xr:uid="{00000000-0005-0000-0000-0000A1000000}"/>
    <cellStyle name="20% - Accent1 17 5" xfId="6623" xr:uid="{00000000-0005-0000-0000-0000A2000000}"/>
    <cellStyle name="20% - Accent1 17 5 2" xfId="17911" xr:uid="{00000000-0005-0000-0000-0000A3000000}"/>
    <cellStyle name="20% - Accent1 17 6" xfId="4629" xr:uid="{00000000-0005-0000-0000-0000A4000000}"/>
    <cellStyle name="20% - Accent1 17 6 2" xfId="15917" xr:uid="{00000000-0005-0000-0000-0000A5000000}"/>
    <cellStyle name="20% - Accent1 17 7" xfId="13923" xr:uid="{00000000-0005-0000-0000-0000A6000000}"/>
    <cellStyle name="20% - Accent1 17 8" xfId="12609" xr:uid="{00000000-0005-0000-0000-0000A7000000}"/>
    <cellStyle name="20% - Accent1 18" xfId="674" xr:uid="{00000000-0005-0000-0000-0000A8000000}"/>
    <cellStyle name="20% - Accent1 18 2" xfId="3630" xr:uid="{00000000-0005-0000-0000-0000A9000000}"/>
    <cellStyle name="20% - Accent1 18 2 2" xfId="11609" xr:uid="{00000000-0005-0000-0000-0000AA000000}"/>
    <cellStyle name="20% - Accent1 18 2 2 2" xfId="22897" xr:uid="{00000000-0005-0000-0000-0000AB000000}"/>
    <cellStyle name="20% - Accent1 18 2 3" xfId="9615" xr:uid="{00000000-0005-0000-0000-0000AC000000}"/>
    <cellStyle name="20% - Accent1 18 2 3 2" xfId="20903" xr:uid="{00000000-0005-0000-0000-0000AD000000}"/>
    <cellStyle name="20% - Accent1 18 2 4" xfId="7621" xr:uid="{00000000-0005-0000-0000-0000AE000000}"/>
    <cellStyle name="20% - Accent1 18 2 4 2" xfId="18909" xr:uid="{00000000-0005-0000-0000-0000AF000000}"/>
    <cellStyle name="20% - Accent1 18 2 5" xfId="5627" xr:uid="{00000000-0005-0000-0000-0000B0000000}"/>
    <cellStyle name="20% - Accent1 18 2 5 2" xfId="16915" xr:uid="{00000000-0005-0000-0000-0000B1000000}"/>
    <cellStyle name="20% - Accent1 18 2 6" xfId="14921" xr:uid="{00000000-0005-0000-0000-0000B2000000}"/>
    <cellStyle name="20% - Accent1 18 3" xfId="10612" xr:uid="{00000000-0005-0000-0000-0000B3000000}"/>
    <cellStyle name="20% - Accent1 18 3 2" xfId="21900" xr:uid="{00000000-0005-0000-0000-0000B4000000}"/>
    <cellStyle name="20% - Accent1 18 4" xfId="8618" xr:uid="{00000000-0005-0000-0000-0000B5000000}"/>
    <cellStyle name="20% - Accent1 18 4 2" xfId="19906" xr:uid="{00000000-0005-0000-0000-0000B6000000}"/>
    <cellStyle name="20% - Accent1 18 5" xfId="6624" xr:uid="{00000000-0005-0000-0000-0000B7000000}"/>
    <cellStyle name="20% - Accent1 18 5 2" xfId="17912" xr:uid="{00000000-0005-0000-0000-0000B8000000}"/>
    <cellStyle name="20% - Accent1 18 6" xfId="4630" xr:uid="{00000000-0005-0000-0000-0000B9000000}"/>
    <cellStyle name="20% - Accent1 18 6 2" xfId="15918" xr:uid="{00000000-0005-0000-0000-0000BA000000}"/>
    <cellStyle name="20% - Accent1 18 7" xfId="13924" xr:uid="{00000000-0005-0000-0000-0000BB000000}"/>
    <cellStyle name="20% - Accent1 18 8" xfId="12610" xr:uid="{00000000-0005-0000-0000-0000BC000000}"/>
    <cellStyle name="20% - Accent1 19" xfId="675" xr:uid="{00000000-0005-0000-0000-0000BD000000}"/>
    <cellStyle name="20% - Accent1 19 2" xfId="3631" xr:uid="{00000000-0005-0000-0000-0000BE000000}"/>
    <cellStyle name="20% - Accent1 19 2 2" xfId="11610" xr:uid="{00000000-0005-0000-0000-0000BF000000}"/>
    <cellStyle name="20% - Accent1 19 2 2 2" xfId="22898" xr:uid="{00000000-0005-0000-0000-0000C0000000}"/>
    <cellStyle name="20% - Accent1 19 2 3" xfId="9616" xr:uid="{00000000-0005-0000-0000-0000C1000000}"/>
    <cellStyle name="20% - Accent1 19 2 3 2" xfId="20904" xr:uid="{00000000-0005-0000-0000-0000C2000000}"/>
    <cellStyle name="20% - Accent1 19 2 4" xfId="7622" xr:uid="{00000000-0005-0000-0000-0000C3000000}"/>
    <cellStyle name="20% - Accent1 19 2 4 2" xfId="18910" xr:uid="{00000000-0005-0000-0000-0000C4000000}"/>
    <cellStyle name="20% - Accent1 19 2 5" xfId="5628" xr:uid="{00000000-0005-0000-0000-0000C5000000}"/>
    <cellStyle name="20% - Accent1 19 2 5 2" xfId="16916" xr:uid="{00000000-0005-0000-0000-0000C6000000}"/>
    <cellStyle name="20% - Accent1 19 2 6" xfId="14922" xr:uid="{00000000-0005-0000-0000-0000C7000000}"/>
    <cellStyle name="20% - Accent1 19 3" xfId="10613" xr:uid="{00000000-0005-0000-0000-0000C8000000}"/>
    <cellStyle name="20% - Accent1 19 3 2" xfId="21901" xr:uid="{00000000-0005-0000-0000-0000C9000000}"/>
    <cellStyle name="20% - Accent1 19 4" xfId="8615" xr:uid="{00000000-0005-0000-0000-0000CA000000}"/>
    <cellStyle name="20% - Accent1 19 4 2" xfId="19903" xr:uid="{00000000-0005-0000-0000-0000CB000000}"/>
    <cellStyle name="20% - Accent1 19 5" xfId="6625" xr:uid="{00000000-0005-0000-0000-0000CC000000}"/>
    <cellStyle name="20% - Accent1 19 5 2" xfId="17913" xr:uid="{00000000-0005-0000-0000-0000CD000000}"/>
    <cellStyle name="20% - Accent1 19 6" xfId="4631" xr:uid="{00000000-0005-0000-0000-0000CE000000}"/>
    <cellStyle name="20% - Accent1 19 6 2" xfId="15919" xr:uid="{00000000-0005-0000-0000-0000CF000000}"/>
    <cellStyle name="20% - Accent1 19 7" xfId="13925" xr:uid="{00000000-0005-0000-0000-0000D0000000}"/>
    <cellStyle name="20% - Accent1 19 8" xfId="12611" xr:uid="{00000000-0005-0000-0000-0000D1000000}"/>
    <cellStyle name="20% - Accent1 2" xfId="676" xr:uid="{00000000-0005-0000-0000-0000D2000000}"/>
    <cellStyle name="20% - Accent1 2 10" xfId="24559" xr:uid="{00000000-0005-0000-0000-0000D3000000}"/>
    <cellStyle name="20% - Accent1 2 11" xfId="24949" xr:uid="{00000000-0005-0000-0000-0000D4000000}"/>
    <cellStyle name="20% - Accent1 2 2" xfId="3632" xr:uid="{00000000-0005-0000-0000-0000D5000000}"/>
    <cellStyle name="20% - Accent1 2 2 10 3" xfId="33367" xr:uid="{94954D1F-B1BA-45C9-BDE9-97085BE6F68F}"/>
    <cellStyle name="20% - Accent1 2 2 2" xfId="11611" xr:uid="{00000000-0005-0000-0000-0000D6000000}"/>
    <cellStyle name="20% - Accent1 2 2 2 2" xfId="22899" xr:uid="{00000000-0005-0000-0000-0000D7000000}"/>
    <cellStyle name="20% - Accent1 2 2 3" xfId="9617" xr:uid="{00000000-0005-0000-0000-0000D8000000}"/>
    <cellStyle name="20% - Accent1 2 2 3 2" xfId="20905" xr:uid="{00000000-0005-0000-0000-0000D9000000}"/>
    <cellStyle name="20% - Accent1 2 2 4" xfId="7623" xr:uid="{00000000-0005-0000-0000-0000DA000000}"/>
    <cellStyle name="20% - Accent1 2 2 4 2" xfId="18911" xr:uid="{00000000-0005-0000-0000-0000DB000000}"/>
    <cellStyle name="20% - Accent1 2 2 5" xfId="5629" xr:uid="{00000000-0005-0000-0000-0000DC000000}"/>
    <cellStyle name="20% - Accent1 2 2 5 2" xfId="16917" xr:uid="{00000000-0005-0000-0000-0000DD000000}"/>
    <cellStyle name="20% - Accent1 2 2 6" xfId="14923" xr:uid="{00000000-0005-0000-0000-0000DE000000}"/>
    <cellStyle name="20% - Accent1 2 2 7" xfId="24320" xr:uid="{00000000-0005-0000-0000-0000DF000000}"/>
    <cellStyle name="20% - Accent1 2 2 8" xfId="24784" xr:uid="{00000000-0005-0000-0000-0000E0000000}"/>
    <cellStyle name="20% - Accent1 2 2 9" xfId="25151" xr:uid="{00000000-0005-0000-0000-0000E1000000}"/>
    <cellStyle name="20% - Accent1 2 3" xfId="10614" xr:uid="{00000000-0005-0000-0000-0000E2000000}"/>
    <cellStyle name="20% - Accent1 2 3 2" xfId="21902" xr:uid="{00000000-0005-0000-0000-0000E3000000}"/>
    <cellStyle name="20% - Accent1 2 4" xfId="8616" xr:uid="{00000000-0005-0000-0000-0000E4000000}"/>
    <cellStyle name="20% - Accent1 2 4 2" xfId="19904" xr:uid="{00000000-0005-0000-0000-0000E5000000}"/>
    <cellStyle name="20% - Accent1 2 5" xfId="6626" xr:uid="{00000000-0005-0000-0000-0000E6000000}"/>
    <cellStyle name="20% - Accent1 2 5 2" xfId="17914" xr:uid="{00000000-0005-0000-0000-0000E7000000}"/>
    <cellStyle name="20% - Accent1 2 6" xfId="4632" xr:uid="{00000000-0005-0000-0000-0000E8000000}"/>
    <cellStyle name="20% - Accent1 2 6 2" xfId="15920" xr:uid="{00000000-0005-0000-0000-0000E9000000}"/>
    <cellStyle name="20% - Accent1 2 7" xfId="13926" xr:uid="{00000000-0005-0000-0000-0000EA000000}"/>
    <cellStyle name="20% - Accent1 2 8" xfId="12612" xr:uid="{00000000-0005-0000-0000-0000EB000000}"/>
    <cellStyle name="20% - Accent1 2 9" xfId="23932" xr:uid="{00000000-0005-0000-0000-0000EC000000}"/>
    <cellStyle name="20% - Accent1 20" xfId="677" xr:uid="{00000000-0005-0000-0000-0000ED000000}"/>
    <cellStyle name="20% - Accent1 20 2" xfId="3633" xr:uid="{00000000-0005-0000-0000-0000EE000000}"/>
    <cellStyle name="20% - Accent1 20 2 2" xfId="11612" xr:uid="{00000000-0005-0000-0000-0000EF000000}"/>
    <cellStyle name="20% - Accent1 20 2 2 2" xfId="22900" xr:uid="{00000000-0005-0000-0000-0000F0000000}"/>
    <cellStyle name="20% - Accent1 20 2 3" xfId="9618" xr:uid="{00000000-0005-0000-0000-0000F1000000}"/>
    <cellStyle name="20% - Accent1 20 2 3 2" xfId="20906" xr:uid="{00000000-0005-0000-0000-0000F2000000}"/>
    <cellStyle name="20% - Accent1 20 2 4" xfId="7624" xr:uid="{00000000-0005-0000-0000-0000F3000000}"/>
    <cellStyle name="20% - Accent1 20 2 4 2" xfId="18912" xr:uid="{00000000-0005-0000-0000-0000F4000000}"/>
    <cellStyle name="20% - Accent1 20 2 5" xfId="5630" xr:uid="{00000000-0005-0000-0000-0000F5000000}"/>
    <cellStyle name="20% - Accent1 20 2 5 2" xfId="16918" xr:uid="{00000000-0005-0000-0000-0000F6000000}"/>
    <cellStyle name="20% - Accent1 20 2 6" xfId="14924" xr:uid="{00000000-0005-0000-0000-0000F7000000}"/>
    <cellStyle name="20% - Accent1 20 3" xfId="10615" xr:uid="{00000000-0005-0000-0000-0000F8000000}"/>
    <cellStyle name="20% - Accent1 20 3 2" xfId="21903" xr:uid="{00000000-0005-0000-0000-0000F9000000}"/>
    <cellStyle name="20% - Accent1 20 4" xfId="8621" xr:uid="{00000000-0005-0000-0000-0000FA000000}"/>
    <cellStyle name="20% - Accent1 20 4 2" xfId="19909" xr:uid="{00000000-0005-0000-0000-0000FB000000}"/>
    <cellStyle name="20% - Accent1 20 5" xfId="6627" xr:uid="{00000000-0005-0000-0000-0000FC000000}"/>
    <cellStyle name="20% - Accent1 20 5 2" xfId="17915" xr:uid="{00000000-0005-0000-0000-0000FD000000}"/>
    <cellStyle name="20% - Accent1 20 6" xfId="4633" xr:uid="{00000000-0005-0000-0000-0000FE000000}"/>
    <cellStyle name="20% - Accent1 20 6 2" xfId="15921" xr:uid="{00000000-0005-0000-0000-0000FF000000}"/>
    <cellStyle name="20% - Accent1 20 7" xfId="13927" xr:uid="{00000000-0005-0000-0000-000000010000}"/>
    <cellStyle name="20% - Accent1 20 8" xfId="12613" xr:uid="{00000000-0005-0000-0000-000001010000}"/>
    <cellStyle name="20% - Accent1 21" xfId="678" xr:uid="{00000000-0005-0000-0000-000002010000}"/>
    <cellStyle name="20% - Accent1 21 2" xfId="3634" xr:uid="{00000000-0005-0000-0000-000003010000}"/>
    <cellStyle name="20% - Accent1 21 2 2" xfId="11613" xr:uid="{00000000-0005-0000-0000-000004010000}"/>
    <cellStyle name="20% - Accent1 21 2 2 2" xfId="22901" xr:uid="{00000000-0005-0000-0000-000005010000}"/>
    <cellStyle name="20% - Accent1 21 2 3" xfId="9619" xr:uid="{00000000-0005-0000-0000-000006010000}"/>
    <cellStyle name="20% - Accent1 21 2 3 2" xfId="20907" xr:uid="{00000000-0005-0000-0000-000007010000}"/>
    <cellStyle name="20% - Accent1 21 2 4" xfId="7625" xr:uid="{00000000-0005-0000-0000-000008010000}"/>
    <cellStyle name="20% - Accent1 21 2 4 2" xfId="18913" xr:uid="{00000000-0005-0000-0000-000009010000}"/>
    <cellStyle name="20% - Accent1 21 2 5" xfId="5631" xr:uid="{00000000-0005-0000-0000-00000A010000}"/>
    <cellStyle name="20% - Accent1 21 2 5 2" xfId="16919" xr:uid="{00000000-0005-0000-0000-00000B010000}"/>
    <cellStyle name="20% - Accent1 21 2 6" xfId="14925" xr:uid="{00000000-0005-0000-0000-00000C010000}"/>
    <cellStyle name="20% - Accent1 21 3" xfId="10616" xr:uid="{00000000-0005-0000-0000-00000D010000}"/>
    <cellStyle name="20% - Accent1 21 3 2" xfId="21904" xr:uid="{00000000-0005-0000-0000-00000E010000}"/>
    <cellStyle name="20% - Accent1 21 4" xfId="8622" xr:uid="{00000000-0005-0000-0000-00000F010000}"/>
    <cellStyle name="20% - Accent1 21 4 2" xfId="19910" xr:uid="{00000000-0005-0000-0000-000010010000}"/>
    <cellStyle name="20% - Accent1 21 5" xfId="6628" xr:uid="{00000000-0005-0000-0000-000011010000}"/>
    <cellStyle name="20% - Accent1 21 5 2" xfId="17916" xr:uid="{00000000-0005-0000-0000-000012010000}"/>
    <cellStyle name="20% - Accent1 21 6" xfId="4634" xr:uid="{00000000-0005-0000-0000-000013010000}"/>
    <cellStyle name="20% - Accent1 21 6 2" xfId="15922" xr:uid="{00000000-0005-0000-0000-000014010000}"/>
    <cellStyle name="20% - Accent1 21 7" xfId="13928" xr:uid="{00000000-0005-0000-0000-000015010000}"/>
    <cellStyle name="20% - Accent1 21 8" xfId="12614" xr:uid="{00000000-0005-0000-0000-000016010000}"/>
    <cellStyle name="20% - Accent1 22" xfId="679" xr:uid="{00000000-0005-0000-0000-000017010000}"/>
    <cellStyle name="20% - Accent1 22 2" xfId="3635" xr:uid="{00000000-0005-0000-0000-000018010000}"/>
    <cellStyle name="20% - Accent1 22 2 2" xfId="11614" xr:uid="{00000000-0005-0000-0000-000019010000}"/>
    <cellStyle name="20% - Accent1 22 2 2 2" xfId="22902" xr:uid="{00000000-0005-0000-0000-00001A010000}"/>
    <cellStyle name="20% - Accent1 22 2 3" xfId="9620" xr:uid="{00000000-0005-0000-0000-00001B010000}"/>
    <cellStyle name="20% - Accent1 22 2 3 2" xfId="20908" xr:uid="{00000000-0005-0000-0000-00001C010000}"/>
    <cellStyle name="20% - Accent1 22 2 4" xfId="7626" xr:uid="{00000000-0005-0000-0000-00001D010000}"/>
    <cellStyle name="20% - Accent1 22 2 4 2" xfId="18914" xr:uid="{00000000-0005-0000-0000-00001E010000}"/>
    <cellStyle name="20% - Accent1 22 2 5" xfId="5632" xr:uid="{00000000-0005-0000-0000-00001F010000}"/>
    <cellStyle name="20% - Accent1 22 2 5 2" xfId="16920" xr:uid="{00000000-0005-0000-0000-000020010000}"/>
    <cellStyle name="20% - Accent1 22 2 6" xfId="14926" xr:uid="{00000000-0005-0000-0000-000021010000}"/>
    <cellStyle name="20% - Accent1 22 3" xfId="10617" xr:uid="{00000000-0005-0000-0000-000022010000}"/>
    <cellStyle name="20% - Accent1 22 3 2" xfId="21905" xr:uid="{00000000-0005-0000-0000-000023010000}"/>
    <cellStyle name="20% - Accent1 22 4" xfId="8623" xr:uid="{00000000-0005-0000-0000-000024010000}"/>
    <cellStyle name="20% - Accent1 22 4 2" xfId="19911" xr:uid="{00000000-0005-0000-0000-000025010000}"/>
    <cellStyle name="20% - Accent1 22 5" xfId="6629" xr:uid="{00000000-0005-0000-0000-000026010000}"/>
    <cellStyle name="20% - Accent1 22 5 2" xfId="17917" xr:uid="{00000000-0005-0000-0000-000027010000}"/>
    <cellStyle name="20% - Accent1 22 6" xfId="4635" xr:uid="{00000000-0005-0000-0000-000028010000}"/>
    <cellStyle name="20% - Accent1 22 6 2" xfId="15923" xr:uid="{00000000-0005-0000-0000-000029010000}"/>
    <cellStyle name="20% - Accent1 22 7" xfId="13929" xr:uid="{00000000-0005-0000-0000-00002A010000}"/>
    <cellStyle name="20% - Accent1 22 8" xfId="12615" xr:uid="{00000000-0005-0000-0000-00002B010000}"/>
    <cellStyle name="20% - Accent1 23" xfId="680" xr:uid="{00000000-0005-0000-0000-00002C010000}"/>
    <cellStyle name="20% - Accent1 23 2" xfId="3636" xr:uid="{00000000-0005-0000-0000-00002D010000}"/>
    <cellStyle name="20% - Accent1 23 2 2" xfId="11615" xr:uid="{00000000-0005-0000-0000-00002E010000}"/>
    <cellStyle name="20% - Accent1 23 2 2 2" xfId="22903" xr:uid="{00000000-0005-0000-0000-00002F010000}"/>
    <cellStyle name="20% - Accent1 23 2 3" xfId="9621" xr:uid="{00000000-0005-0000-0000-000030010000}"/>
    <cellStyle name="20% - Accent1 23 2 3 2" xfId="20909" xr:uid="{00000000-0005-0000-0000-000031010000}"/>
    <cellStyle name="20% - Accent1 23 2 4" xfId="7627" xr:uid="{00000000-0005-0000-0000-000032010000}"/>
    <cellStyle name="20% - Accent1 23 2 4 2" xfId="18915" xr:uid="{00000000-0005-0000-0000-000033010000}"/>
    <cellStyle name="20% - Accent1 23 2 5" xfId="5633" xr:uid="{00000000-0005-0000-0000-000034010000}"/>
    <cellStyle name="20% - Accent1 23 2 5 2" xfId="16921" xr:uid="{00000000-0005-0000-0000-000035010000}"/>
    <cellStyle name="20% - Accent1 23 2 6" xfId="14927" xr:uid="{00000000-0005-0000-0000-000036010000}"/>
    <cellStyle name="20% - Accent1 23 3" xfId="10618" xr:uid="{00000000-0005-0000-0000-000037010000}"/>
    <cellStyle name="20% - Accent1 23 3 2" xfId="21906" xr:uid="{00000000-0005-0000-0000-000038010000}"/>
    <cellStyle name="20% - Accent1 23 4" xfId="8624" xr:uid="{00000000-0005-0000-0000-000039010000}"/>
    <cellStyle name="20% - Accent1 23 4 2" xfId="19912" xr:uid="{00000000-0005-0000-0000-00003A010000}"/>
    <cellStyle name="20% - Accent1 23 5" xfId="6630" xr:uid="{00000000-0005-0000-0000-00003B010000}"/>
    <cellStyle name="20% - Accent1 23 5 2" xfId="17918" xr:uid="{00000000-0005-0000-0000-00003C010000}"/>
    <cellStyle name="20% - Accent1 23 6" xfId="4636" xr:uid="{00000000-0005-0000-0000-00003D010000}"/>
    <cellStyle name="20% - Accent1 23 6 2" xfId="15924" xr:uid="{00000000-0005-0000-0000-00003E010000}"/>
    <cellStyle name="20% - Accent1 23 7" xfId="13930" xr:uid="{00000000-0005-0000-0000-00003F010000}"/>
    <cellStyle name="20% - Accent1 23 8" xfId="12616" xr:uid="{00000000-0005-0000-0000-000040010000}"/>
    <cellStyle name="20% - Accent1 24" xfId="681" xr:uid="{00000000-0005-0000-0000-000041010000}"/>
    <cellStyle name="20% - Accent1 24 2" xfId="3637" xr:uid="{00000000-0005-0000-0000-000042010000}"/>
    <cellStyle name="20% - Accent1 24 2 2" xfId="11616" xr:uid="{00000000-0005-0000-0000-000043010000}"/>
    <cellStyle name="20% - Accent1 24 2 2 2" xfId="22904" xr:uid="{00000000-0005-0000-0000-000044010000}"/>
    <cellStyle name="20% - Accent1 24 2 3" xfId="9622" xr:uid="{00000000-0005-0000-0000-000045010000}"/>
    <cellStyle name="20% - Accent1 24 2 3 2" xfId="20910" xr:uid="{00000000-0005-0000-0000-000046010000}"/>
    <cellStyle name="20% - Accent1 24 2 4" xfId="7628" xr:uid="{00000000-0005-0000-0000-000047010000}"/>
    <cellStyle name="20% - Accent1 24 2 4 2" xfId="18916" xr:uid="{00000000-0005-0000-0000-000048010000}"/>
    <cellStyle name="20% - Accent1 24 2 5" xfId="5634" xr:uid="{00000000-0005-0000-0000-000049010000}"/>
    <cellStyle name="20% - Accent1 24 2 5 2" xfId="16922" xr:uid="{00000000-0005-0000-0000-00004A010000}"/>
    <cellStyle name="20% - Accent1 24 2 6" xfId="14928" xr:uid="{00000000-0005-0000-0000-00004B010000}"/>
    <cellStyle name="20% - Accent1 24 3" xfId="10619" xr:uid="{00000000-0005-0000-0000-00004C010000}"/>
    <cellStyle name="20% - Accent1 24 3 2" xfId="21907" xr:uid="{00000000-0005-0000-0000-00004D010000}"/>
    <cellStyle name="20% - Accent1 24 4" xfId="8625" xr:uid="{00000000-0005-0000-0000-00004E010000}"/>
    <cellStyle name="20% - Accent1 24 4 2" xfId="19913" xr:uid="{00000000-0005-0000-0000-00004F010000}"/>
    <cellStyle name="20% - Accent1 24 5" xfId="6631" xr:uid="{00000000-0005-0000-0000-000050010000}"/>
    <cellStyle name="20% - Accent1 24 5 2" xfId="17919" xr:uid="{00000000-0005-0000-0000-000051010000}"/>
    <cellStyle name="20% - Accent1 24 6" xfId="4637" xr:uid="{00000000-0005-0000-0000-000052010000}"/>
    <cellStyle name="20% - Accent1 24 6 2" xfId="15925" xr:uid="{00000000-0005-0000-0000-000053010000}"/>
    <cellStyle name="20% - Accent1 24 7" xfId="13931" xr:uid="{00000000-0005-0000-0000-000054010000}"/>
    <cellStyle name="20% - Accent1 24 8" xfId="12617" xr:uid="{00000000-0005-0000-0000-000055010000}"/>
    <cellStyle name="20% - Accent1 25" xfId="682" xr:uid="{00000000-0005-0000-0000-000056010000}"/>
    <cellStyle name="20% - Accent1 25 2" xfId="3638" xr:uid="{00000000-0005-0000-0000-000057010000}"/>
    <cellStyle name="20% - Accent1 25 2 2" xfId="11617" xr:uid="{00000000-0005-0000-0000-000058010000}"/>
    <cellStyle name="20% - Accent1 25 2 2 2" xfId="22905" xr:uid="{00000000-0005-0000-0000-000059010000}"/>
    <cellStyle name="20% - Accent1 25 2 3" xfId="9623" xr:uid="{00000000-0005-0000-0000-00005A010000}"/>
    <cellStyle name="20% - Accent1 25 2 3 2" xfId="20911" xr:uid="{00000000-0005-0000-0000-00005B010000}"/>
    <cellStyle name="20% - Accent1 25 2 4" xfId="7629" xr:uid="{00000000-0005-0000-0000-00005C010000}"/>
    <cellStyle name="20% - Accent1 25 2 4 2" xfId="18917" xr:uid="{00000000-0005-0000-0000-00005D010000}"/>
    <cellStyle name="20% - Accent1 25 2 5" xfId="5635" xr:uid="{00000000-0005-0000-0000-00005E010000}"/>
    <cellStyle name="20% - Accent1 25 2 5 2" xfId="16923" xr:uid="{00000000-0005-0000-0000-00005F010000}"/>
    <cellStyle name="20% - Accent1 25 2 6" xfId="14929" xr:uid="{00000000-0005-0000-0000-000060010000}"/>
    <cellStyle name="20% - Accent1 25 3" xfId="10620" xr:uid="{00000000-0005-0000-0000-000061010000}"/>
    <cellStyle name="20% - Accent1 25 3 2" xfId="21908" xr:uid="{00000000-0005-0000-0000-000062010000}"/>
    <cellStyle name="20% - Accent1 25 4" xfId="8626" xr:uid="{00000000-0005-0000-0000-000063010000}"/>
    <cellStyle name="20% - Accent1 25 4 2" xfId="19914" xr:uid="{00000000-0005-0000-0000-000064010000}"/>
    <cellStyle name="20% - Accent1 25 5" xfId="6632" xr:uid="{00000000-0005-0000-0000-000065010000}"/>
    <cellStyle name="20% - Accent1 25 5 2" xfId="17920" xr:uid="{00000000-0005-0000-0000-000066010000}"/>
    <cellStyle name="20% - Accent1 25 6" xfId="4638" xr:uid="{00000000-0005-0000-0000-000067010000}"/>
    <cellStyle name="20% - Accent1 25 6 2" xfId="15926" xr:uid="{00000000-0005-0000-0000-000068010000}"/>
    <cellStyle name="20% - Accent1 25 7" xfId="13932" xr:uid="{00000000-0005-0000-0000-000069010000}"/>
    <cellStyle name="20% - Accent1 25 8" xfId="12618" xr:uid="{00000000-0005-0000-0000-00006A010000}"/>
    <cellStyle name="20% - Accent1 26" xfId="683" xr:uid="{00000000-0005-0000-0000-00006B010000}"/>
    <cellStyle name="20% - Accent1 26 2" xfId="3639" xr:uid="{00000000-0005-0000-0000-00006C010000}"/>
    <cellStyle name="20% - Accent1 26 2 2" xfId="11618" xr:uid="{00000000-0005-0000-0000-00006D010000}"/>
    <cellStyle name="20% - Accent1 26 2 2 2" xfId="22906" xr:uid="{00000000-0005-0000-0000-00006E010000}"/>
    <cellStyle name="20% - Accent1 26 2 3" xfId="9624" xr:uid="{00000000-0005-0000-0000-00006F010000}"/>
    <cellStyle name="20% - Accent1 26 2 3 2" xfId="20912" xr:uid="{00000000-0005-0000-0000-000070010000}"/>
    <cellStyle name="20% - Accent1 26 2 4" xfId="7630" xr:uid="{00000000-0005-0000-0000-000071010000}"/>
    <cellStyle name="20% - Accent1 26 2 4 2" xfId="18918" xr:uid="{00000000-0005-0000-0000-000072010000}"/>
    <cellStyle name="20% - Accent1 26 2 5" xfId="5636" xr:uid="{00000000-0005-0000-0000-000073010000}"/>
    <cellStyle name="20% - Accent1 26 2 5 2" xfId="16924" xr:uid="{00000000-0005-0000-0000-000074010000}"/>
    <cellStyle name="20% - Accent1 26 2 6" xfId="14930" xr:uid="{00000000-0005-0000-0000-000075010000}"/>
    <cellStyle name="20% - Accent1 26 3" xfId="10621" xr:uid="{00000000-0005-0000-0000-000076010000}"/>
    <cellStyle name="20% - Accent1 26 3 2" xfId="21909" xr:uid="{00000000-0005-0000-0000-000077010000}"/>
    <cellStyle name="20% - Accent1 26 4" xfId="8627" xr:uid="{00000000-0005-0000-0000-000078010000}"/>
    <cellStyle name="20% - Accent1 26 4 2" xfId="19915" xr:uid="{00000000-0005-0000-0000-000079010000}"/>
    <cellStyle name="20% - Accent1 26 5" xfId="6633" xr:uid="{00000000-0005-0000-0000-00007A010000}"/>
    <cellStyle name="20% - Accent1 26 5 2" xfId="17921" xr:uid="{00000000-0005-0000-0000-00007B010000}"/>
    <cellStyle name="20% - Accent1 26 6" xfId="4639" xr:uid="{00000000-0005-0000-0000-00007C010000}"/>
    <cellStyle name="20% - Accent1 26 6 2" xfId="15927" xr:uid="{00000000-0005-0000-0000-00007D010000}"/>
    <cellStyle name="20% - Accent1 26 7" xfId="13933" xr:uid="{00000000-0005-0000-0000-00007E010000}"/>
    <cellStyle name="20% - Accent1 26 8" xfId="12619" xr:uid="{00000000-0005-0000-0000-00007F010000}"/>
    <cellStyle name="20% - Accent1 27" xfId="684" xr:uid="{00000000-0005-0000-0000-000080010000}"/>
    <cellStyle name="20% - Accent1 27 2" xfId="3640" xr:uid="{00000000-0005-0000-0000-000081010000}"/>
    <cellStyle name="20% - Accent1 27 2 2" xfId="11619" xr:uid="{00000000-0005-0000-0000-000082010000}"/>
    <cellStyle name="20% - Accent1 27 2 2 2" xfId="22907" xr:uid="{00000000-0005-0000-0000-000083010000}"/>
    <cellStyle name="20% - Accent1 27 2 3" xfId="9625" xr:uid="{00000000-0005-0000-0000-000084010000}"/>
    <cellStyle name="20% - Accent1 27 2 3 2" xfId="20913" xr:uid="{00000000-0005-0000-0000-000085010000}"/>
    <cellStyle name="20% - Accent1 27 2 4" xfId="7631" xr:uid="{00000000-0005-0000-0000-000086010000}"/>
    <cellStyle name="20% - Accent1 27 2 4 2" xfId="18919" xr:uid="{00000000-0005-0000-0000-000087010000}"/>
    <cellStyle name="20% - Accent1 27 2 5" xfId="5637" xr:uid="{00000000-0005-0000-0000-000088010000}"/>
    <cellStyle name="20% - Accent1 27 2 5 2" xfId="16925" xr:uid="{00000000-0005-0000-0000-000089010000}"/>
    <cellStyle name="20% - Accent1 27 2 6" xfId="14931" xr:uid="{00000000-0005-0000-0000-00008A010000}"/>
    <cellStyle name="20% - Accent1 27 3" xfId="10622" xr:uid="{00000000-0005-0000-0000-00008B010000}"/>
    <cellStyle name="20% - Accent1 27 3 2" xfId="21910" xr:uid="{00000000-0005-0000-0000-00008C010000}"/>
    <cellStyle name="20% - Accent1 27 4" xfId="8628" xr:uid="{00000000-0005-0000-0000-00008D010000}"/>
    <cellStyle name="20% - Accent1 27 4 2" xfId="19916" xr:uid="{00000000-0005-0000-0000-00008E010000}"/>
    <cellStyle name="20% - Accent1 27 5" xfId="6634" xr:uid="{00000000-0005-0000-0000-00008F010000}"/>
    <cellStyle name="20% - Accent1 27 5 2" xfId="17922" xr:uid="{00000000-0005-0000-0000-000090010000}"/>
    <cellStyle name="20% - Accent1 27 6" xfId="4640" xr:uid="{00000000-0005-0000-0000-000091010000}"/>
    <cellStyle name="20% - Accent1 27 6 2" xfId="15928" xr:uid="{00000000-0005-0000-0000-000092010000}"/>
    <cellStyle name="20% - Accent1 27 7" xfId="13934" xr:uid="{00000000-0005-0000-0000-000093010000}"/>
    <cellStyle name="20% - Accent1 27 8" xfId="12620" xr:uid="{00000000-0005-0000-0000-000094010000}"/>
    <cellStyle name="20% - Accent1 28" xfId="685" xr:uid="{00000000-0005-0000-0000-000095010000}"/>
    <cellStyle name="20% - Accent1 28 2" xfId="3641" xr:uid="{00000000-0005-0000-0000-000096010000}"/>
    <cellStyle name="20% - Accent1 28 2 2" xfId="11620" xr:uid="{00000000-0005-0000-0000-000097010000}"/>
    <cellStyle name="20% - Accent1 28 2 2 2" xfId="22908" xr:uid="{00000000-0005-0000-0000-000098010000}"/>
    <cellStyle name="20% - Accent1 28 2 3" xfId="9626" xr:uid="{00000000-0005-0000-0000-000099010000}"/>
    <cellStyle name="20% - Accent1 28 2 3 2" xfId="20914" xr:uid="{00000000-0005-0000-0000-00009A010000}"/>
    <cellStyle name="20% - Accent1 28 2 4" xfId="7632" xr:uid="{00000000-0005-0000-0000-00009B010000}"/>
    <cellStyle name="20% - Accent1 28 2 4 2" xfId="18920" xr:uid="{00000000-0005-0000-0000-00009C010000}"/>
    <cellStyle name="20% - Accent1 28 2 5" xfId="5638" xr:uid="{00000000-0005-0000-0000-00009D010000}"/>
    <cellStyle name="20% - Accent1 28 2 5 2" xfId="16926" xr:uid="{00000000-0005-0000-0000-00009E010000}"/>
    <cellStyle name="20% - Accent1 28 2 6" xfId="14932" xr:uid="{00000000-0005-0000-0000-00009F010000}"/>
    <cellStyle name="20% - Accent1 28 3" xfId="10623" xr:uid="{00000000-0005-0000-0000-0000A0010000}"/>
    <cellStyle name="20% - Accent1 28 3 2" xfId="21911" xr:uid="{00000000-0005-0000-0000-0000A1010000}"/>
    <cellStyle name="20% - Accent1 28 4" xfId="8629" xr:uid="{00000000-0005-0000-0000-0000A2010000}"/>
    <cellStyle name="20% - Accent1 28 4 2" xfId="19917" xr:uid="{00000000-0005-0000-0000-0000A3010000}"/>
    <cellStyle name="20% - Accent1 28 5" xfId="6635" xr:uid="{00000000-0005-0000-0000-0000A4010000}"/>
    <cellStyle name="20% - Accent1 28 5 2" xfId="17923" xr:uid="{00000000-0005-0000-0000-0000A5010000}"/>
    <cellStyle name="20% - Accent1 28 6" xfId="4641" xr:uid="{00000000-0005-0000-0000-0000A6010000}"/>
    <cellStyle name="20% - Accent1 28 6 2" xfId="15929" xr:uid="{00000000-0005-0000-0000-0000A7010000}"/>
    <cellStyle name="20% - Accent1 28 7" xfId="13935" xr:uid="{00000000-0005-0000-0000-0000A8010000}"/>
    <cellStyle name="20% - Accent1 28 8" xfId="12621" xr:uid="{00000000-0005-0000-0000-0000A9010000}"/>
    <cellStyle name="20% - Accent1 29" xfId="686" xr:uid="{00000000-0005-0000-0000-0000AA010000}"/>
    <cellStyle name="20% - Accent1 29 2" xfId="3642" xr:uid="{00000000-0005-0000-0000-0000AB010000}"/>
    <cellStyle name="20% - Accent1 29 2 2" xfId="11621" xr:uid="{00000000-0005-0000-0000-0000AC010000}"/>
    <cellStyle name="20% - Accent1 29 2 2 2" xfId="22909" xr:uid="{00000000-0005-0000-0000-0000AD010000}"/>
    <cellStyle name="20% - Accent1 29 2 3" xfId="9627" xr:uid="{00000000-0005-0000-0000-0000AE010000}"/>
    <cellStyle name="20% - Accent1 29 2 3 2" xfId="20915" xr:uid="{00000000-0005-0000-0000-0000AF010000}"/>
    <cellStyle name="20% - Accent1 29 2 4" xfId="7633" xr:uid="{00000000-0005-0000-0000-0000B0010000}"/>
    <cellStyle name="20% - Accent1 29 2 4 2" xfId="18921" xr:uid="{00000000-0005-0000-0000-0000B1010000}"/>
    <cellStyle name="20% - Accent1 29 2 5" xfId="5639" xr:uid="{00000000-0005-0000-0000-0000B2010000}"/>
    <cellStyle name="20% - Accent1 29 2 5 2" xfId="16927" xr:uid="{00000000-0005-0000-0000-0000B3010000}"/>
    <cellStyle name="20% - Accent1 29 2 6" xfId="14933" xr:uid="{00000000-0005-0000-0000-0000B4010000}"/>
    <cellStyle name="20% - Accent1 29 3" xfId="10624" xr:uid="{00000000-0005-0000-0000-0000B5010000}"/>
    <cellStyle name="20% - Accent1 29 3 2" xfId="21912" xr:uid="{00000000-0005-0000-0000-0000B6010000}"/>
    <cellStyle name="20% - Accent1 29 4" xfId="8630" xr:uid="{00000000-0005-0000-0000-0000B7010000}"/>
    <cellStyle name="20% - Accent1 29 4 2" xfId="19918" xr:uid="{00000000-0005-0000-0000-0000B8010000}"/>
    <cellStyle name="20% - Accent1 29 5" xfId="6636" xr:uid="{00000000-0005-0000-0000-0000B9010000}"/>
    <cellStyle name="20% - Accent1 29 5 2" xfId="17924" xr:uid="{00000000-0005-0000-0000-0000BA010000}"/>
    <cellStyle name="20% - Accent1 29 6" xfId="4642" xr:uid="{00000000-0005-0000-0000-0000BB010000}"/>
    <cellStyle name="20% - Accent1 29 6 2" xfId="15930" xr:uid="{00000000-0005-0000-0000-0000BC010000}"/>
    <cellStyle name="20% - Accent1 29 7" xfId="13936" xr:uid="{00000000-0005-0000-0000-0000BD010000}"/>
    <cellStyle name="20% - Accent1 29 8" xfId="12622" xr:uid="{00000000-0005-0000-0000-0000BE010000}"/>
    <cellStyle name="20% - Accent1 3" xfId="687" xr:uid="{00000000-0005-0000-0000-0000BF010000}"/>
    <cellStyle name="20% - Accent1 3 10" xfId="24560" xr:uid="{00000000-0005-0000-0000-0000C0010000}"/>
    <cellStyle name="20% - Accent1 3 11" xfId="24950" xr:uid="{00000000-0005-0000-0000-0000C1010000}"/>
    <cellStyle name="20% - Accent1 3 2" xfId="3643" xr:uid="{00000000-0005-0000-0000-0000C2010000}"/>
    <cellStyle name="20% - Accent1 3 2 2" xfId="11622" xr:uid="{00000000-0005-0000-0000-0000C3010000}"/>
    <cellStyle name="20% - Accent1 3 2 2 2" xfId="22910" xr:uid="{00000000-0005-0000-0000-0000C4010000}"/>
    <cellStyle name="20% - Accent1 3 2 3" xfId="9628" xr:uid="{00000000-0005-0000-0000-0000C5010000}"/>
    <cellStyle name="20% - Accent1 3 2 3 2" xfId="20916" xr:uid="{00000000-0005-0000-0000-0000C6010000}"/>
    <cellStyle name="20% - Accent1 3 2 4" xfId="7634" xr:uid="{00000000-0005-0000-0000-0000C7010000}"/>
    <cellStyle name="20% - Accent1 3 2 4 2" xfId="18922" xr:uid="{00000000-0005-0000-0000-0000C8010000}"/>
    <cellStyle name="20% - Accent1 3 2 5" xfId="5640" xr:uid="{00000000-0005-0000-0000-0000C9010000}"/>
    <cellStyle name="20% - Accent1 3 2 5 2" xfId="16928" xr:uid="{00000000-0005-0000-0000-0000CA010000}"/>
    <cellStyle name="20% - Accent1 3 2 6" xfId="14934" xr:uid="{00000000-0005-0000-0000-0000CB010000}"/>
    <cellStyle name="20% - Accent1 3 2 7" xfId="24321" xr:uid="{00000000-0005-0000-0000-0000CC010000}"/>
    <cellStyle name="20% - Accent1 3 2 8" xfId="24785" xr:uid="{00000000-0005-0000-0000-0000CD010000}"/>
    <cellStyle name="20% - Accent1 3 2 9" xfId="25152" xr:uid="{00000000-0005-0000-0000-0000CE010000}"/>
    <cellStyle name="20% - Accent1 3 3" xfId="10625" xr:uid="{00000000-0005-0000-0000-0000CF010000}"/>
    <cellStyle name="20% - Accent1 3 3 2" xfId="21913" xr:uid="{00000000-0005-0000-0000-0000D0010000}"/>
    <cellStyle name="20% - Accent1 3 4" xfId="8631" xr:uid="{00000000-0005-0000-0000-0000D1010000}"/>
    <cellStyle name="20% - Accent1 3 4 2" xfId="19919" xr:uid="{00000000-0005-0000-0000-0000D2010000}"/>
    <cellStyle name="20% - Accent1 3 5" xfId="6637" xr:uid="{00000000-0005-0000-0000-0000D3010000}"/>
    <cellStyle name="20% - Accent1 3 5 2" xfId="17925" xr:uid="{00000000-0005-0000-0000-0000D4010000}"/>
    <cellStyle name="20% - Accent1 3 6" xfId="4643" xr:uid="{00000000-0005-0000-0000-0000D5010000}"/>
    <cellStyle name="20% - Accent1 3 6 2" xfId="15931" xr:uid="{00000000-0005-0000-0000-0000D6010000}"/>
    <cellStyle name="20% - Accent1 3 7" xfId="13937" xr:uid="{00000000-0005-0000-0000-0000D7010000}"/>
    <cellStyle name="20% - Accent1 3 8" xfId="12623" xr:uid="{00000000-0005-0000-0000-0000D8010000}"/>
    <cellStyle name="20% - Accent1 3 9" xfId="23933" xr:uid="{00000000-0005-0000-0000-0000D9010000}"/>
    <cellStyle name="20% - Accent1 30" xfId="688" xr:uid="{00000000-0005-0000-0000-0000DA010000}"/>
    <cellStyle name="20% - Accent1 30 2" xfId="3644" xr:uid="{00000000-0005-0000-0000-0000DB010000}"/>
    <cellStyle name="20% - Accent1 30 2 2" xfId="11623" xr:uid="{00000000-0005-0000-0000-0000DC010000}"/>
    <cellStyle name="20% - Accent1 30 2 2 2" xfId="22911" xr:uid="{00000000-0005-0000-0000-0000DD010000}"/>
    <cellStyle name="20% - Accent1 30 2 3" xfId="9629" xr:uid="{00000000-0005-0000-0000-0000DE010000}"/>
    <cellStyle name="20% - Accent1 30 2 3 2" xfId="20917" xr:uid="{00000000-0005-0000-0000-0000DF010000}"/>
    <cellStyle name="20% - Accent1 30 2 4" xfId="7635" xr:uid="{00000000-0005-0000-0000-0000E0010000}"/>
    <cellStyle name="20% - Accent1 30 2 4 2" xfId="18923" xr:uid="{00000000-0005-0000-0000-0000E1010000}"/>
    <cellStyle name="20% - Accent1 30 2 5" xfId="5641" xr:uid="{00000000-0005-0000-0000-0000E2010000}"/>
    <cellStyle name="20% - Accent1 30 2 5 2" xfId="16929" xr:uid="{00000000-0005-0000-0000-0000E3010000}"/>
    <cellStyle name="20% - Accent1 30 2 6" xfId="14935" xr:uid="{00000000-0005-0000-0000-0000E4010000}"/>
    <cellStyle name="20% - Accent1 30 3" xfId="10626" xr:uid="{00000000-0005-0000-0000-0000E5010000}"/>
    <cellStyle name="20% - Accent1 30 3 2" xfId="21914" xr:uid="{00000000-0005-0000-0000-0000E6010000}"/>
    <cellStyle name="20% - Accent1 30 4" xfId="8632" xr:uid="{00000000-0005-0000-0000-0000E7010000}"/>
    <cellStyle name="20% - Accent1 30 4 2" xfId="19920" xr:uid="{00000000-0005-0000-0000-0000E8010000}"/>
    <cellStyle name="20% - Accent1 30 5" xfId="6638" xr:uid="{00000000-0005-0000-0000-0000E9010000}"/>
    <cellStyle name="20% - Accent1 30 5 2" xfId="17926" xr:uid="{00000000-0005-0000-0000-0000EA010000}"/>
    <cellStyle name="20% - Accent1 30 6" xfId="4644" xr:uid="{00000000-0005-0000-0000-0000EB010000}"/>
    <cellStyle name="20% - Accent1 30 6 2" xfId="15932" xr:uid="{00000000-0005-0000-0000-0000EC010000}"/>
    <cellStyle name="20% - Accent1 30 7" xfId="13938" xr:uid="{00000000-0005-0000-0000-0000ED010000}"/>
    <cellStyle name="20% - Accent1 30 8" xfId="12624" xr:uid="{00000000-0005-0000-0000-0000EE010000}"/>
    <cellStyle name="20% - Accent1 31" xfId="689" xr:uid="{00000000-0005-0000-0000-0000EF010000}"/>
    <cellStyle name="20% - Accent1 31 2" xfId="3645" xr:uid="{00000000-0005-0000-0000-0000F0010000}"/>
    <cellStyle name="20% - Accent1 31 2 2" xfId="11624" xr:uid="{00000000-0005-0000-0000-0000F1010000}"/>
    <cellStyle name="20% - Accent1 31 2 2 2" xfId="22912" xr:uid="{00000000-0005-0000-0000-0000F2010000}"/>
    <cellStyle name="20% - Accent1 31 2 3" xfId="9630" xr:uid="{00000000-0005-0000-0000-0000F3010000}"/>
    <cellStyle name="20% - Accent1 31 2 3 2" xfId="20918" xr:uid="{00000000-0005-0000-0000-0000F4010000}"/>
    <cellStyle name="20% - Accent1 31 2 4" xfId="7636" xr:uid="{00000000-0005-0000-0000-0000F5010000}"/>
    <cellStyle name="20% - Accent1 31 2 4 2" xfId="18924" xr:uid="{00000000-0005-0000-0000-0000F6010000}"/>
    <cellStyle name="20% - Accent1 31 2 5" xfId="5642" xr:uid="{00000000-0005-0000-0000-0000F7010000}"/>
    <cellStyle name="20% - Accent1 31 2 5 2" xfId="16930" xr:uid="{00000000-0005-0000-0000-0000F8010000}"/>
    <cellStyle name="20% - Accent1 31 2 6" xfId="14936" xr:uid="{00000000-0005-0000-0000-0000F9010000}"/>
    <cellStyle name="20% - Accent1 31 3" xfId="10627" xr:uid="{00000000-0005-0000-0000-0000FA010000}"/>
    <cellStyle name="20% - Accent1 31 3 2" xfId="21915" xr:uid="{00000000-0005-0000-0000-0000FB010000}"/>
    <cellStyle name="20% - Accent1 31 4" xfId="8633" xr:uid="{00000000-0005-0000-0000-0000FC010000}"/>
    <cellStyle name="20% - Accent1 31 4 2" xfId="19921" xr:uid="{00000000-0005-0000-0000-0000FD010000}"/>
    <cellStyle name="20% - Accent1 31 5" xfId="6639" xr:uid="{00000000-0005-0000-0000-0000FE010000}"/>
    <cellStyle name="20% - Accent1 31 5 2" xfId="17927" xr:uid="{00000000-0005-0000-0000-0000FF010000}"/>
    <cellStyle name="20% - Accent1 31 6" xfId="4645" xr:uid="{00000000-0005-0000-0000-000000020000}"/>
    <cellStyle name="20% - Accent1 31 6 2" xfId="15933" xr:uid="{00000000-0005-0000-0000-000001020000}"/>
    <cellStyle name="20% - Accent1 31 7" xfId="13939" xr:uid="{00000000-0005-0000-0000-000002020000}"/>
    <cellStyle name="20% - Accent1 31 8" xfId="12625" xr:uid="{00000000-0005-0000-0000-000003020000}"/>
    <cellStyle name="20% - Accent1 32" xfId="690" xr:uid="{00000000-0005-0000-0000-000004020000}"/>
    <cellStyle name="20% - Accent1 32 2" xfId="3646" xr:uid="{00000000-0005-0000-0000-000005020000}"/>
    <cellStyle name="20% - Accent1 32 2 2" xfId="11625" xr:uid="{00000000-0005-0000-0000-000006020000}"/>
    <cellStyle name="20% - Accent1 32 2 2 2" xfId="22913" xr:uid="{00000000-0005-0000-0000-000007020000}"/>
    <cellStyle name="20% - Accent1 32 2 3" xfId="9631" xr:uid="{00000000-0005-0000-0000-000008020000}"/>
    <cellStyle name="20% - Accent1 32 2 3 2" xfId="20919" xr:uid="{00000000-0005-0000-0000-000009020000}"/>
    <cellStyle name="20% - Accent1 32 2 4" xfId="7637" xr:uid="{00000000-0005-0000-0000-00000A020000}"/>
    <cellStyle name="20% - Accent1 32 2 4 2" xfId="18925" xr:uid="{00000000-0005-0000-0000-00000B020000}"/>
    <cellStyle name="20% - Accent1 32 2 5" xfId="5643" xr:uid="{00000000-0005-0000-0000-00000C020000}"/>
    <cellStyle name="20% - Accent1 32 2 5 2" xfId="16931" xr:uid="{00000000-0005-0000-0000-00000D020000}"/>
    <cellStyle name="20% - Accent1 32 2 6" xfId="14937" xr:uid="{00000000-0005-0000-0000-00000E020000}"/>
    <cellStyle name="20% - Accent1 32 3" xfId="10628" xr:uid="{00000000-0005-0000-0000-00000F020000}"/>
    <cellStyle name="20% - Accent1 32 3 2" xfId="21916" xr:uid="{00000000-0005-0000-0000-000010020000}"/>
    <cellStyle name="20% - Accent1 32 4" xfId="8634" xr:uid="{00000000-0005-0000-0000-000011020000}"/>
    <cellStyle name="20% - Accent1 32 4 2" xfId="19922" xr:uid="{00000000-0005-0000-0000-000012020000}"/>
    <cellStyle name="20% - Accent1 32 5" xfId="6640" xr:uid="{00000000-0005-0000-0000-000013020000}"/>
    <cellStyle name="20% - Accent1 32 5 2" xfId="17928" xr:uid="{00000000-0005-0000-0000-000014020000}"/>
    <cellStyle name="20% - Accent1 32 6" xfId="4646" xr:uid="{00000000-0005-0000-0000-000015020000}"/>
    <cellStyle name="20% - Accent1 32 6 2" xfId="15934" xr:uid="{00000000-0005-0000-0000-000016020000}"/>
    <cellStyle name="20% - Accent1 32 7" xfId="13940" xr:uid="{00000000-0005-0000-0000-000017020000}"/>
    <cellStyle name="20% - Accent1 32 8" xfId="12626" xr:uid="{00000000-0005-0000-0000-000018020000}"/>
    <cellStyle name="20% - Accent1 33" xfId="691" xr:uid="{00000000-0005-0000-0000-000019020000}"/>
    <cellStyle name="20% - Accent1 33 2" xfId="3647" xr:uid="{00000000-0005-0000-0000-00001A020000}"/>
    <cellStyle name="20% - Accent1 33 2 2" xfId="11626" xr:uid="{00000000-0005-0000-0000-00001B020000}"/>
    <cellStyle name="20% - Accent1 33 2 2 2" xfId="22914" xr:uid="{00000000-0005-0000-0000-00001C020000}"/>
    <cellStyle name="20% - Accent1 33 2 3" xfId="9632" xr:uid="{00000000-0005-0000-0000-00001D020000}"/>
    <cellStyle name="20% - Accent1 33 2 3 2" xfId="20920" xr:uid="{00000000-0005-0000-0000-00001E020000}"/>
    <cellStyle name="20% - Accent1 33 2 4" xfId="7638" xr:uid="{00000000-0005-0000-0000-00001F020000}"/>
    <cellStyle name="20% - Accent1 33 2 4 2" xfId="18926" xr:uid="{00000000-0005-0000-0000-000020020000}"/>
    <cellStyle name="20% - Accent1 33 2 5" xfId="5644" xr:uid="{00000000-0005-0000-0000-000021020000}"/>
    <cellStyle name="20% - Accent1 33 2 5 2" xfId="16932" xr:uid="{00000000-0005-0000-0000-000022020000}"/>
    <cellStyle name="20% - Accent1 33 2 6" xfId="14938" xr:uid="{00000000-0005-0000-0000-000023020000}"/>
    <cellStyle name="20% - Accent1 33 3" xfId="10629" xr:uid="{00000000-0005-0000-0000-000024020000}"/>
    <cellStyle name="20% - Accent1 33 3 2" xfId="21917" xr:uid="{00000000-0005-0000-0000-000025020000}"/>
    <cellStyle name="20% - Accent1 33 4" xfId="8635" xr:uid="{00000000-0005-0000-0000-000026020000}"/>
    <cellStyle name="20% - Accent1 33 4 2" xfId="19923" xr:uid="{00000000-0005-0000-0000-000027020000}"/>
    <cellStyle name="20% - Accent1 33 5" xfId="6641" xr:uid="{00000000-0005-0000-0000-000028020000}"/>
    <cellStyle name="20% - Accent1 33 5 2" xfId="17929" xr:uid="{00000000-0005-0000-0000-000029020000}"/>
    <cellStyle name="20% - Accent1 33 6" xfId="4647" xr:uid="{00000000-0005-0000-0000-00002A020000}"/>
    <cellStyle name="20% - Accent1 33 6 2" xfId="15935" xr:uid="{00000000-0005-0000-0000-00002B020000}"/>
    <cellStyle name="20% - Accent1 33 7" xfId="13941" xr:uid="{00000000-0005-0000-0000-00002C020000}"/>
    <cellStyle name="20% - Accent1 33 8" xfId="12627" xr:uid="{00000000-0005-0000-0000-00002D020000}"/>
    <cellStyle name="20% - Accent1 34" xfId="692" xr:uid="{00000000-0005-0000-0000-00002E020000}"/>
    <cellStyle name="20% - Accent1 34 2" xfId="3648" xr:uid="{00000000-0005-0000-0000-00002F020000}"/>
    <cellStyle name="20% - Accent1 34 2 2" xfId="11627" xr:uid="{00000000-0005-0000-0000-000030020000}"/>
    <cellStyle name="20% - Accent1 34 2 2 2" xfId="22915" xr:uid="{00000000-0005-0000-0000-000031020000}"/>
    <cellStyle name="20% - Accent1 34 2 3" xfId="9633" xr:uid="{00000000-0005-0000-0000-000032020000}"/>
    <cellStyle name="20% - Accent1 34 2 3 2" xfId="20921" xr:uid="{00000000-0005-0000-0000-000033020000}"/>
    <cellStyle name="20% - Accent1 34 2 4" xfId="7639" xr:uid="{00000000-0005-0000-0000-000034020000}"/>
    <cellStyle name="20% - Accent1 34 2 4 2" xfId="18927" xr:uid="{00000000-0005-0000-0000-000035020000}"/>
    <cellStyle name="20% - Accent1 34 2 5" xfId="5645" xr:uid="{00000000-0005-0000-0000-000036020000}"/>
    <cellStyle name="20% - Accent1 34 2 5 2" xfId="16933" xr:uid="{00000000-0005-0000-0000-000037020000}"/>
    <cellStyle name="20% - Accent1 34 2 6" xfId="14939" xr:uid="{00000000-0005-0000-0000-000038020000}"/>
    <cellStyle name="20% - Accent1 34 3" xfId="10630" xr:uid="{00000000-0005-0000-0000-000039020000}"/>
    <cellStyle name="20% - Accent1 34 3 2" xfId="21918" xr:uid="{00000000-0005-0000-0000-00003A020000}"/>
    <cellStyle name="20% - Accent1 34 4" xfId="8636" xr:uid="{00000000-0005-0000-0000-00003B020000}"/>
    <cellStyle name="20% - Accent1 34 4 2" xfId="19924" xr:uid="{00000000-0005-0000-0000-00003C020000}"/>
    <cellStyle name="20% - Accent1 34 5" xfId="6642" xr:uid="{00000000-0005-0000-0000-00003D020000}"/>
    <cellStyle name="20% - Accent1 34 5 2" xfId="17930" xr:uid="{00000000-0005-0000-0000-00003E020000}"/>
    <cellStyle name="20% - Accent1 34 6" xfId="4648" xr:uid="{00000000-0005-0000-0000-00003F020000}"/>
    <cellStyle name="20% - Accent1 34 6 2" xfId="15936" xr:uid="{00000000-0005-0000-0000-000040020000}"/>
    <cellStyle name="20% - Accent1 34 7" xfId="13942" xr:uid="{00000000-0005-0000-0000-000041020000}"/>
    <cellStyle name="20% - Accent1 34 8" xfId="12628" xr:uid="{00000000-0005-0000-0000-000042020000}"/>
    <cellStyle name="20% - Accent1 35" xfId="693" xr:uid="{00000000-0005-0000-0000-000043020000}"/>
    <cellStyle name="20% - Accent1 35 2" xfId="3649" xr:uid="{00000000-0005-0000-0000-000044020000}"/>
    <cellStyle name="20% - Accent1 35 2 2" xfId="11628" xr:uid="{00000000-0005-0000-0000-000045020000}"/>
    <cellStyle name="20% - Accent1 35 2 2 2" xfId="22916" xr:uid="{00000000-0005-0000-0000-000046020000}"/>
    <cellStyle name="20% - Accent1 35 2 3" xfId="9634" xr:uid="{00000000-0005-0000-0000-000047020000}"/>
    <cellStyle name="20% - Accent1 35 2 3 2" xfId="20922" xr:uid="{00000000-0005-0000-0000-000048020000}"/>
    <cellStyle name="20% - Accent1 35 2 4" xfId="7640" xr:uid="{00000000-0005-0000-0000-000049020000}"/>
    <cellStyle name="20% - Accent1 35 2 4 2" xfId="18928" xr:uid="{00000000-0005-0000-0000-00004A020000}"/>
    <cellStyle name="20% - Accent1 35 2 5" xfId="5646" xr:uid="{00000000-0005-0000-0000-00004B020000}"/>
    <cellStyle name="20% - Accent1 35 2 5 2" xfId="16934" xr:uid="{00000000-0005-0000-0000-00004C020000}"/>
    <cellStyle name="20% - Accent1 35 2 6" xfId="14940" xr:uid="{00000000-0005-0000-0000-00004D020000}"/>
    <cellStyle name="20% - Accent1 35 3" xfId="10631" xr:uid="{00000000-0005-0000-0000-00004E020000}"/>
    <cellStyle name="20% - Accent1 35 3 2" xfId="21919" xr:uid="{00000000-0005-0000-0000-00004F020000}"/>
    <cellStyle name="20% - Accent1 35 4" xfId="8637" xr:uid="{00000000-0005-0000-0000-000050020000}"/>
    <cellStyle name="20% - Accent1 35 4 2" xfId="19925" xr:uid="{00000000-0005-0000-0000-000051020000}"/>
    <cellStyle name="20% - Accent1 35 5" xfId="6643" xr:uid="{00000000-0005-0000-0000-000052020000}"/>
    <cellStyle name="20% - Accent1 35 5 2" xfId="17931" xr:uid="{00000000-0005-0000-0000-000053020000}"/>
    <cellStyle name="20% - Accent1 35 6" xfId="4649" xr:uid="{00000000-0005-0000-0000-000054020000}"/>
    <cellStyle name="20% - Accent1 35 6 2" xfId="15937" xr:uid="{00000000-0005-0000-0000-000055020000}"/>
    <cellStyle name="20% - Accent1 35 7" xfId="13943" xr:uid="{00000000-0005-0000-0000-000056020000}"/>
    <cellStyle name="20% - Accent1 35 8" xfId="12629" xr:uid="{00000000-0005-0000-0000-000057020000}"/>
    <cellStyle name="20% - Accent1 36" xfId="694" xr:uid="{00000000-0005-0000-0000-000058020000}"/>
    <cellStyle name="20% - Accent1 36 2" xfId="3650" xr:uid="{00000000-0005-0000-0000-000059020000}"/>
    <cellStyle name="20% - Accent1 36 2 2" xfId="11629" xr:uid="{00000000-0005-0000-0000-00005A020000}"/>
    <cellStyle name="20% - Accent1 36 2 2 2" xfId="22917" xr:uid="{00000000-0005-0000-0000-00005B020000}"/>
    <cellStyle name="20% - Accent1 36 2 3" xfId="9635" xr:uid="{00000000-0005-0000-0000-00005C020000}"/>
    <cellStyle name="20% - Accent1 36 2 3 2" xfId="20923" xr:uid="{00000000-0005-0000-0000-00005D020000}"/>
    <cellStyle name="20% - Accent1 36 2 4" xfId="7641" xr:uid="{00000000-0005-0000-0000-00005E020000}"/>
    <cellStyle name="20% - Accent1 36 2 4 2" xfId="18929" xr:uid="{00000000-0005-0000-0000-00005F020000}"/>
    <cellStyle name="20% - Accent1 36 2 5" xfId="5647" xr:uid="{00000000-0005-0000-0000-000060020000}"/>
    <cellStyle name="20% - Accent1 36 2 5 2" xfId="16935" xr:uid="{00000000-0005-0000-0000-000061020000}"/>
    <cellStyle name="20% - Accent1 36 2 6" xfId="14941" xr:uid="{00000000-0005-0000-0000-000062020000}"/>
    <cellStyle name="20% - Accent1 36 3" xfId="10632" xr:uid="{00000000-0005-0000-0000-000063020000}"/>
    <cellStyle name="20% - Accent1 36 3 2" xfId="21920" xr:uid="{00000000-0005-0000-0000-000064020000}"/>
    <cellStyle name="20% - Accent1 36 4" xfId="8638" xr:uid="{00000000-0005-0000-0000-000065020000}"/>
    <cellStyle name="20% - Accent1 36 4 2" xfId="19926" xr:uid="{00000000-0005-0000-0000-000066020000}"/>
    <cellStyle name="20% - Accent1 36 5" xfId="6644" xr:uid="{00000000-0005-0000-0000-000067020000}"/>
    <cellStyle name="20% - Accent1 36 5 2" xfId="17932" xr:uid="{00000000-0005-0000-0000-000068020000}"/>
    <cellStyle name="20% - Accent1 36 6" xfId="4650" xr:uid="{00000000-0005-0000-0000-000069020000}"/>
    <cellStyle name="20% - Accent1 36 6 2" xfId="15938" xr:uid="{00000000-0005-0000-0000-00006A020000}"/>
    <cellStyle name="20% - Accent1 36 7" xfId="13944" xr:uid="{00000000-0005-0000-0000-00006B020000}"/>
    <cellStyle name="20% - Accent1 36 8" xfId="12630" xr:uid="{00000000-0005-0000-0000-00006C020000}"/>
    <cellStyle name="20% - Accent1 37" xfId="695" xr:uid="{00000000-0005-0000-0000-00006D020000}"/>
    <cellStyle name="20% - Accent1 37 2" xfId="3651" xr:uid="{00000000-0005-0000-0000-00006E020000}"/>
    <cellStyle name="20% - Accent1 37 2 2" xfId="11630" xr:uid="{00000000-0005-0000-0000-00006F020000}"/>
    <cellStyle name="20% - Accent1 37 2 2 2" xfId="22918" xr:uid="{00000000-0005-0000-0000-000070020000}"/>
    <cellStyle name="20% - Accent1 37 2 3" xfId="9636" xr:uid="{00000000-0005-0000-0000-000071020000}"/>
    <cellStyle name="20% - Accent1 37 2 3 2" xfId="20924" xr:uid="{00000000-0005-0000-0000-000072020000}"/>
    <cellStyle name="20% - Accent1 37 2 4" xfId="7642" xr:uid="{00000000-0005-0000-0000-000073020000}"/>
    <cellStyle name="20% - Accent1 37 2 4 2" xfId="18930" xr:uid="{00000000-0005-0000-0000-000074020000}"/>
    <cellStyle name="20% - Accent1 37 2 5" xfId="5648" xr:uid="{00000000-0005-0000-0000-000075020000}"/>
    <cellStyle name="20% - Accent1 37 2 5 2" xfId="16936" xr:uid="{00000000-0005-0000-0000-000076020000}"/>
    <cellStyle name="20% - Accent1 37 2 6" xfId="14942" xr:uid="{00000000-0005-0000-0000-000077020000}"/>
    <cellStyle name="20% - Accent1 37 3" xfId="10633" xr:uid="{00000000-0005-0000-0000-000078020000}"/>
    <cellStyle name="20% - Accent1 37 3 2" xfId="21921" xr:uid="{00000000-0005-0000-0000-000079020000}"/>
    <cellStyle name="20% - Accent1 37 4" xfId="8639" xr:uid="{00000000-0005-0000-0000-00007A020000}"/>
    <cellStyle name="20% - Accent1 37 4 2" xfId="19927" xr:uid="{00000000-0005-0000-0000-00007B020000}"/>
    <cellStyle name="20% - Accent1 37 5" xfId="6645" xr:uid="{00000000-0005-0000-0000-00007C020000}"/>
    <cellStyle name="20% - Accent1 37 5 2" xfId="17933" xr:uid="{00000000-0005-0000-0000-00007D020000}"/>
    <cellStyle name="20% - Accent1 37 6" xfId="4651" xr:uid="{00000000-0005-0000-0000-00007E020000}"/>
    <cellStyle name="20% - Accent1 37 6 2" xfId="15939" xr:uid="{00000000-0005-0000-0000-00007F020000}"/>
    <cellStyle name="20% - Accent1 37 7" xfId="13945" xr:uid="{00000000-0005-0000-0000-000080020000}"/>
    <cellStyle name="20% - Accent1 37 8" xfId="12631" xr:uid="{00000000-0005-0000-0000-000081020000}"/>
    <cellStyle name="20% - Accent1 38" xfId="696" xr:uid="{00000000-0005-0000-0000-000082020000}"/>
    <cellStyle name="20% - Accent1 38 2" xfId="3652" xr:uid="{00000000-0005-0000-0000-000083020000}"/>
    <cellStyle name="20% - Accent1 38 2 2" xfId="11631" xr:uid="{00000000-0005-0000-0000-000084020000}"/>
    <cellStyle name="20% - Accent1 38 2 2 2" xfId="22919" xr:uid="{00000000-0005-0000-0000-000085020000}"/>
    <cellStyle name="20% - Accent1 38 2 3" xfId="9637" xr:uid="{00000000-0005-0000-0000-000086020000}"/>
    <cellStyle name="20% - Accent1 38 2 3 2" xfId="20925" xr:uid="{00000000-0005-0000-0000-000087020000}"/>
    <cellStyle name="20% - Accent1 38 2 4" xfId="7643" xr:uid="{00000000-0005-0000-0000-000088020000}"/>
    <cellStyle name="20% - Accent1 38 2 4 2" xfId="18931" xr:uid="{00000000-0005-0000-0000-000089020000}"/>
    <cellStyle name="20% - Accent1 38 2 5" xfId="5649" xr:uid="{00000000-0005-0000-0000-00008A020000}"/>
    <cellStyle name="20% - Accent1 38 2 5 2" xfId="16937" xr:uid="{00000000-0005-0000-0000-00008B020000}"/>
    <cellStyle name="20% - Accent1 38 2 6" xfId="14943" xr:uid="{00000000-0005-0000-0000-00008C020000}"/>
    <cellStyle name="20% - Accent1 38 3" xfId="10634" xr:uid="{00000000-0005-0000-0000-00008D020000}"/>
    <cellStyle name="20% - Accent1 38 3 2" xfId="21922" xr:uid="{00000000-0005-0000-0000-00008E020000}"/>
    <cellStyle name="20% - Accent1 38 4" xfId="8640" xr:uid="{00000000-0005-0000-0000-00008F020000}"/>
    <cellStyle name="20% - Accent1 38 4 2" xfId="19928" xr:uid="{00000000-0005-0000-0000-000090020000}"/>
    <cellStyle name="20% - Accent1 38 5" xfId="6646" xr:uid="{00000000-0005-0000-0000-000091020000}"/>
    <cellStyle name="20% - Accent1 38 5 2" xfId="17934" xr:uid="{00000000-0005-0000-0000-000092020000}"/>
    <cellStyle name="20% - Accent1 38 6" xfId="4652" xr:uid="{00000000-0005-0000-0000-000093020000}"/>
    <cellStyle name="20% - Accent1 38 6 2" xfId="15940" xr:uid="{00000000-0005-0000-0000-000094020000}"/>
    <cellStyle name="20% - Accent1 38 7" xfId="13946" xr:uid="{00000000-0005-0000-0000-000095020000}"/>
    <cellStyle name="20% - Accent1 38 8" xfId="12632" xr:uid="{00000000-0005-0000-0000-000096020000}"/>
    <cellStyle name="20% - Accent1 39" xfId="697" xr:uid="{00000000-0005-0000-0000-000097020000}"/>
    <cellStyle name="20% - Accent1 39 2" xfId="3653" xr:uid="{00000000-0005-0000-0000-000098020000}"/>
    <cellStyle name="20% - Accent1 39 2 2" xfId="11632" xr:uid="{00000000-0005-0000-0000-000099020000}"/>
    <cellStyle name="20% - Accent1 39 2 2 2" xfId="22920" xr:uid="{00000000-0005-0000-0000-00009A020000}"/>
    <cellStyle name="20% - Accent1 39 2 3" xfId="9638" xr:uid="{00000000-0005-0000-0000-00009B020000}"/>
    <cellStyle name="20% - Accent1 39 2 3 2" xfId="20926" xr:uid="{00000000-0005-0000-0000-00009C020000}"/>
    <cellStyle name="20% - Accent1 39 2 4" xfId="7644" xr:uid="{00000000-0005-0000-0000-00009D020000}"/>
    <cellStyle name="20% - Accent1 39 2 4 2" xfId="18932" xr:uid="{00000000-0005-0000-0000-00009E020000}"/>
    <cellStyle name="20% - Accent1 39 2 5" xfId="5650" xr:uid="{00000000-0005-0000-0000-00009F020000}"/>
    <cellStyle name="20% - Accent1 39 2 5 2" xfId="16938" xr:uid="{00000000-0005-0000-0000-0000A0020000}"/>
    <cellStyle name="20% - Accent1 39 2 6" xfId="14944" xr:uid="{00000000-0005-0000-0000-0000A1020000}"/>
    <cellStyle name="20% - Accent1 39 3" xfId="10635" xr:uid="{00000000-0005-0000-0000-0000A2020000}"/>
    <cellStyle name="20% - Accent1 39 3 2" xfId="21923" xr:uid="{00000000-0005-0000-0000-0000A3020000}"/>
    <cellStyle name="20% - Accent1 39 4" xfId="8641" xr:uid="{00000000-0005-0000-0000-0000A4020000}"/>
    <cellStyle name="20% - Accent1 39 4 2" xfId="19929" xr:uid="{00000000-0005-0000-0000-0000A5020000}"/>
    <cellStyle name="20% - Accent1 39 5" xfId="6647" xr:uid="{00000000-0005-0000-0000-0000A6020000}"/>
    <cellStyle name="20% - Accent1 39 5 2" xfId="17935" xr:uid="{00000000-0005-0000-0000-0000A7020000}"/>
    <cellStyle name="20% - Accent1 39 6" xfId="4653" xr:uid="{00000000-0005-0000-0000-0000A8020000}"/>
    <cellStyle name="20% - Accent1 39 6 2" xfId="15941" xr:uid="{00000000-0005-0000-0000-0000A9020000}"/>
    <cellStyle name="20% - Accent1 39 7" xfId="13947" xr:uid="{00000000-0005-0000-0000-0000AA020000}"/>
    <cellStyle name="20% - Accent1 39 8" xfId="12633" xr:uid="{00000000-0005-0000-0000-0000AB020000}"/>
    <cellStyle name="20% - Accent1 4" xfId="698" xr:uid="{00000000-0005-0000-0000-0000AC020000}"/>
    <cellStyle name="20% - Accent1 4 10" xfId="24561" xr:uid="{00000000-0005-0000-0000-0000AD020000}"/>
    <cellStyle name="20% - Accent1 4 11" xfId="24951" xr:uid="{00000000-0005-0000-0000-0000AE020000}"/>
    <cellStyle name="20% - Accent1 4 2" xfId="3654" xr:uid="{00000000-0005-0000-0000-0000AF020000}"/>
    <cellStyle name="20% - Accent1 4 2 2" xfId="11633" xr:uid="{00000000-0005-0000-0000-0000B0020000}"/>
    <cellStyle name="20% - Accent1 4 2 2 2" xfId="22921" xr:uid="{00000000-0005-0000-0000-0000B1020000}"/>
    <cellStyle name="20% - Accent1 4 2 3" xfId="9639" xr:uid="{00000000-0005-0000-0000-0000B2020000}"/>
    <cellStyle name="20% - Accent1 4 2 3 2" xfId="20927" xr:uid="{00000000-0005-0000-0000-0000B3020000}"/>
    <cellStyle name="20% - Accent1 4 2 4" xfId="7645" xr:uid="{00000000-0005-0000-0000-0000B4020000}"/>
    <cellStyle name="20% - Accent1 4 2 4 2" xfId="18933" xr:uid="{00000000-0005-0000-0000-0000B5020000}"/>
    <cellStyle name="20% - Accent1 4 2 5" xfId="5651" xr:uid="{00000000-0005-0000-0000-0000B6020000}"/>
    <cellStyle name="20% - Accent1 4 2 5 2" xfId="16939" xr:uid="{00000000-0005-0000-0000-0000B7020000}"/>
    <cellStyle name="20% - Accent1 4 2 6" xfId="14945" xr:uid="{00000000-0005-0000-0000-0000B8020000}"/>
    <cellStyle name="20% - Accent1 4 2 7" xfId="24322" xr:uid="{00000000-0005-0000-0000-0000B9020000}"/>
    <cellStyle name="20% - Accent1 4 2 8" xfId="24786" xr:uid="{00000000-0005-0000-0000-0000BA020000}"/>
    <cellStyle name="20% - Accent1 4 2 9" xfId="25153" xr:uid="{00000000-0005-0000-0000-0000BB020000}"/>
    <cellStyle name="20% - Accent1 4 3" xfId="10636" xr:uid="{00000000-0005-0000-0000-0000BC020000}"/>
    <cellStyle name="20% - Accent1 4 3 2" xfId="21924" xr:uid="{00000000-0005-0000-0000-0000BD020000}"/>
    <cellStyle name="20% - Accent1 4 4" xfId="8642" xr:uid="{00000000-0005-0000-0000-0000BE020000}"/>
    <cellStyle name="20% - Accent1 4 4 2" xfId="19930" xr:uid="{00000000-0005-0000-0000-0000BF020000}"/>
    <cellStyle name="20% - Accent1 4 5" xfId="6648" xr:uid="{00000000-0005-0000-0000-0000C0020000}"/>
    <cellStyle name="20% - Accent1 4 5 2" xfId="17936" xr:uid="{00000000-0005-0000-0000-0000C1020000}"/>
    <cellStyle name="20% - Accent1 4 6" xfId="4654" xr:uid="{00000000-0005-0000-0000-0000C2020000}"/>
    <cellStyle name="20% - Accent1 4 6 2" xfId="15942" xr:uid="{00000000-0005-0000-0000-0000C3020000}"/>
    <cellStyle name="20% - Accent1 4 7" xfId="13948" xr:uid="{00000000-0005-0000-0000-0000C4020000}"/>
    <cellStyle name="20% - Accent1 4 8" xfId="12634" xr:uid="{00000000-0005-0000-0000-0000C5020000}"/>
    <cellStyle name="20% - Accent1 4 9" xfId="23934" xr:uid="{00000000-0005-0000-0000-0000C6020000}"/>
    <cellStyle name="20% - Accent1 40" xfId="699" xr:uid="{00000000-0005-0000-0000-0000C7020000}"/>
    <cellStyle name="20% - Accent1 40 2" xfId="3655" xr:uid="{00000000-0005-0000-0000-0000C8020000}"/>
    <cellStyle name="20% - Accent1 40 2 2" xfId="11634" xr:uid="{00000000-0005-0000-0000-0000C9020000}"/>
    <cellStyle name="20% - Accent1 40 2 2 2" xfId="22922" xr:uid="{00000000-0005-0000-0000-0000CA020000}"/>
    <cellStyle name="20% - Accent1 40 2 3" xfId="9640" xr:uid="{00000000-0005-0000-0000-0000CB020000}"/>
    <cellStyle name="20% - Accent1 40 2 3 2" xfId="20928" xr:uid="{00000000-0005-0000-0000-0000CC020000}"/>
    <cellStyle name="20% - Accent1 40 2 4" xfId="7646" xr:uid="{00000000-0005-0000-0000-0000CD020000}"/>
    <cellStyle name="20% - Accent1 40 2 4 2" xfId="18934" xr:uid="{00000000-0005-0000-0000-0000CE020000}"/>
    <cellStyle name="20% - Accent1 40 2 5" xfId="5652" xr:uid="{00000000-0005-0000-0000-0000CF020000}"/>
    <cellStyle name="20% - Accent1 40 2 5 2" xfId="16940" xr:uid="{00000000-0005-0000-0000-0000D0020000}"/>
    <cellStyle name="20% - Accent1 40 2 6" xfId="14946" xr:uid="{00000000-0005-0000-0000-0000D1020000}"/>
    <cellStyle name="20% - Accent1 40 3" xfId="10637" xr:uid="{00000000-0005-0000-0000-0000D2020000}"/>
    <cellStyle name="20% - Accent1 40 3 2" xfId="21925" xr:uid="{00000000-0005-0000-0000-0000D3020000}"/>
    <cellStyle name="20% - Accent1 40 4" xfId="8643" xr:uid="{00000000-0005-0000-0000-0000D4020000}"/>
    <cellStyle name="20% - Accent1 40 4 2" xfId="19931" xr:uid="{00000000-0005-0000-0000-0000D5020000}"/>
    <cellStyle name="20% - Accent1 40 5" xfId="6649" xr:uid="{00000000-0005-0000-0000-0000D6020000}"/>
    <cellStyle name="20% - Accent1 40 5 2" xfId="17937" xr:uid="{00000000-0005-0000-0000-0000D7020000}"/>
    <cellStyle name="20% - Accent1 40 6" xfId="4655" xr:uid="{00000000-0005-0000-0000-0000D8020000}"/>
    <cellStyle name="20% - Accent1 40 6 2" xfId="15943" xr:uid="{00000000-0005-0000-0000-0000D9020000}"/>
    <cellStyle name="20% - Accent1 40 7" xfId="13949" xr:uid="{00000000-0005-0000-0000-0000DA020000}"/>
    <cellStyle name="20% - Accent1 40 8" xfId="12635" xr:uid="{00000000-0005-0000-0000-0000DB020000}"/>
    <cellStyle name="20% - Accent1 41" xfId="700" xr:uid="{00000000-0005-0000-0000-0000DC020000}"/>
    <cellStyle name="20% - Accent1 41 2" xfId="3656" xr:uid="{00000000-0005-0000-0000-0000DD020000}"/>
    <cellStyle name="20% - Accent1 41 2 2" xfId="11635" xr:uid="{00000000-0005-0000-0000-0000DE020000}"/>
    <cellStyle name="20% - Accent1 41 2 2 2" xfId="22923" xr:uid="{00000000-0005-0000-0000-0000DF020000}"/>
    <cellStyle name="20% - Accent1 41 2 3" xfId="9641" xr:uid="{00000000-0005-0000-0000-0000E0020000}"/>
    <cellStyle name="20% - Accent1 41 2 3 2" xfId="20929" xr:uid="{00000000-0005-0000-0000-0000E1020000}"/>
    <cellStyle name="20% - Accent1 41 2 4" xfId="7647" xr:uid="{00000000-0005-0000-0000-0000E2020000}"/>
    <cellStyle name="20% - Accent1 41 2 4 2" xfId="18935" xr:uid="{00000000-0005-0000-0000-0000E3020000}"/>
    <cellStyle name="20% - Accent1 41 2 5" xfId="5653" xr:uid="{00000000-0005-0000-0000-0000E4020000}"/>
    <cellStyle name="20% - Accent1 41 2 5 2" xfId="16941" xr:uid="{00000000-0005-0000-0000-0000E5020000}"/>
    <cellStyle name="20% - Accent1 41 2 6" xfId="14947" xr:uid="{00000000-0005-0000-0000-0000E6020000}"/>
    <cellStyle name="20% - Accent1 41 3" xfId="10638" xr:uid="{00000000-0005-0000-0000-0000E7020000}"/>
    <cellStyle name="20% - Accent1 41 3 2" xfId="21926" xr:uid="{00000000-0005-0000-0000-0000E8020000}"/>
    <cellStyle name="20% - Accent1 41 4" xfId="8644" xr:uid="{00000000-0005-0000-0000-0000E9020000}"/>
    <cellStyle name="20% - Accent1 41 4 2" xfId="19932" xr:uid="{00000000-0005-0000-0000-0000EA020000}"/>
    <cellStyle name="20% - Accent1 41 5" xfId="6650" xr:uid="{00000000-0005-0000-0000-0000EB020000}"/>
    <cellStyle name="20% - Accent1 41 5 2" xfId="17938" xr:uid="{00000000-0005-0000-0000-0000EC020000}"/>
    <cellStyle name="20% - Accent1 41 6" xfId="4656" xr:uid="{00000000-0005-0000-0000-0000ED020000}"/>
    <cellStyle name="20% - Accent1 41 6 2" xfId="15944" xr:uid="{00000000-0005-0000-0000-0000EE020000}"/>
    <cellStyle name="20% - Accent1 41 7" xfId="13950" xr:uid="{00000000-0005-0000-0000-0000EF020000}"/>
    <cellStyle name="20% - Accent1 41 8" xfId="12636" xr:uid="{00000000-0005-0000-0000-0000F0020000}"/>
    <cellStyle name="20% - Accent1 42" xfId="701" xr:uid="{00000000-0005-0000-0000-0000F1020000}"/>
    <cellStyle name="20% - Accent1 42 2" xfId="3657" xr:uid="{00000000-0005-0000-0000-0000F2020000}"/>
    <cellStyle name="20% - Accent1 42 2 2" xfId="11636" xr:uid="{00000000-0005-0000-0000-0000F3020000}"/>
    <cellStyle name="20% - Accent1 42 2 2 2" xfId="22924" xr:uid="{00000000-0005-0000-0000-0000F4020000}"/>
    <cellStyle name="20% - Accent1 42 2 3" xfId="9642" xr:uid="{00000000-0005-0000-0000-0000F5020000}"/>
    <cellStyle name="20% - Accent1 42 2 3 2" xfId="20930" xr:uid="{00000000-0005-0000-0000-0000F6020000}"/>
    <cellStyle name="20% - Accent1 42 2 4" xfId="7648" xr:uid="{00000000-0005-0000-0000-0000F7020000}"/>
    <cellStyle name="20% - Accent1 42 2 4 2" xfId="18936" xr:uid="{00000000-0005-0000-0000-0000F8020000}"/>
    <cellStyle name="20% - Accent1 42 2 5" xfId="5654" xr:uid="{00000000-0005-0000-0000-0000F9020000}"/>
    <cellStyle name="20% - Accent1 42 2 5 2" xfId="16942" xr:uid="{00000000-0005-0000-0000-0000FA020000}"/>
    <cellStyle name="20% - Accent1 42 2 6" xfId="14948" xr:uid="{00000000-0005-0000-0000-0000FB020000}"/>
    <cellStyle name="20% - Accent1 42 3" xfId="10639" xr:uid="{00000000-0005-0000-0000-0000FC020000}"/>
    <cellStyle name="20% - Accent1 42 3 2" xfId="21927" xr:uid="{00000000-0005-0000-0000-0000FD020000}"/>
    <cellStyle name="20% - Accent1 42 4" xfId="8645" xr:uid="{00000000-0005-0000-0000-0000FE020000}"/>
    <cellStyle name="20% - Accent1 42 4 2" xfId="19933" xr:uid="{00000000-0005-0000-0000-0000FF020000}"/>
    <cellStyle name="20% - Accent1 42 5" xfId="6651" xr:uid="{00000000-0005-0000-0000-000000030000}"/>
    <cellStyle name="20% - Accent1 42 5 2" xfId="17939" xr:uid="{00000000-0005-0000-0000-000001030000}"/>
    <cellStyle name="20% - Accent1 42 6" xfId="4657" xr:uid="{00000000-0005-0000-0000-000002030000}"/>
    <cellStyle name="20% - Accent1 42 6 2" xfId="15945" xr:uid="{00000000-0005-0000-0000-000003030000}"/>
    <cellStyle name="20% - Accent1 42 7" xfId="13951" xr:uid="{00000000-0005-0000-0000-000004030000}"/>
    <cellStyle name="20% - Accent1 42 8" xfId="12637" xr:uid="{00000000-0005-0000-0000-000005030000}"/>
    <cellStyle name="20% - Accent1 43" xfId="702" xr:uid="{00000000-0005-0000-0000-000006030000}"/>
    <cellStyle name="20% - Accent1 43 2" xfId="3658" xr:uid="{00000000-0005-0000-0000-000007030000}"/>
    <cellStyle name="20% - Accent1 43 2 2" xfId="11637" xr:uid="{00000000-0005-0000-0000-000008030000}"/>
    <cellStyle name="20% - Accent1 43 2 2 2" xfId="22925" xr:uid="{00000000-0005-0000-0000-000009030000}"/>
    <cellStyle name="20% - Accent1 43 2 3" xfId="9643" xr:uid="{00000000-0005-0000-0000-00000A030000}"/>
    <cellStyle name="20% - Accent1 43 2 3 2" xfId="20931" xr:uid="{00000000-0005-0000-0000-00000B030000}"/>
    <cellStyle name="20% - Accent1 43 2 4" xfId="7649" xr:uid="{00000000-0005-0000-0000-00000C030000}"/>
    <cellStyle name="20% - Accent1 43 2 4 2" xfId="18937" xr:uid="{00000000-0005-0000-0000-00000D030000}"/>
    <cellStyle name="20% - Accent1 43 2 5" xfId="5655" xr:uid="{00000000-0005-0000-0000-00000E030000}"/>
    <cellStyle name="20% - Accent1 43 2 5 2" xfId="16943" xr:uid="{00000000-0005-0000-0000-00000F030000}"/>
    <cellStyle name="20% - Accent1 43 2 6" xfId="14949" xr:uid="{00000000-0005-0000-0000-000010030000}"/>
    <cellStyle name="20% - Accent1 43 3" xfId="10640" xr:uid="{00000000-0005-0000-0000-000011030000}"/>
    <cellStyle name="20% - Accent1 43 3 2" xfId="21928" xr:uid="{00000000-0005-0000-0000-000012030000}"/>
    <cellStyle name="20% - Accent1 43 4" xfId="8646" xr:uid="{00000000-0005-0000-0000-000013030000}"/>
    <cellStyle name="20% - Accent1 43 4 2" xfId="19934" xr:uid="{00000000-0005-0000-0000-000014030000}"/>
    <cellStyle name="20% - Accent1 43 5" xfId="6652" xr:uid="{00000000-0005-0000-0000-000015030000}"/>
    <cellStyle name="20% - Accent1 43 5 2" xfId="17940" xr:uid="{00000000-0005-0000-0000-000016030000}"/>
    <cellStyle name="20% - Accent1 43 6" xfId="4658" xr:uid="{00000000-0005-0000-0000-000017030000}"/>
    <cellStyle name="20% - Accent1 43 6 2" xfId="15946" xr:uid="{00000000-0005-0000-0000-000018030000}"/>
    <cellStyle name="20% - Accent1 43 7" xfId="13952" xr:uid="{00000000-0005-0000-0000-000019030000}"/>
    <cellStyle name="20% - Accent1 43 8" xfId="12638" xr:uid="{00000000-0005-0000-0000-00001A030000}"/>
    <cellStyle name="20% - Accent1 44" xfId="703" xr:uid="{00000000-0005-0000-0000-00001B030000}"/>
    <cellStyle name="20% - Accent1 44 2" xfId="3659" xr:uid="{00000000-0005-0000-0000-00001C030000}"/>
    <cellStyle name="20% - Accent1 44 2 2" xfId="11638" xr:uid="{00000000-0005-0000-0000-00001D030000}"/>
    <cellStyle name="20% - Accent1 44 2 2 2" xfId="22926" xr:uid="{00000000-0005-0000-0000-00001E030000}"/>
    <cellStyle name="20% - Accent1 44 2 3" xfId="9644" xr:uid="{00000000-0005-0000-0000-00001F030000}"/>
    <cellStyle name="20% - Accent1 44 2 3 2" xfId="20932" xr:uid="{00000000-0005-0000-0000-000020030000}"/>
    <cellStyle name="20% - Accent1 44 2 4" xfId="7650" xr:uid="{00000000-0005-0000-0000-000021030000}"/>
    <cellStyle name="20% - Accent1 44 2 4 2" xfId="18938" xr:uid="{00000000-0005-0000-0000-000022030000}"/>
    <cellStyle name="20% - Accent1 44 2 5" xfId="5656" xr:uid="{00000000-0005-0000-0000-000023030000}"/>
    <cellStyle name="20% - Accent1 44 2 5 2" xfId="16944" xr:uid="{00000000-0005-0000-0000-000024030000}"/>
    <cellStyle name="20% - Accent1 44 2 6" xfId="14950" xr:uid="{00000000-0005-0000-0000-000025030000}"/>
    <cellStyle name="20% - Accent1 44 3" xfId="10641" xr:uid="{00000000-0005-0000-0000-000026030000}"/>
    <cellStyle name="20% - Accent1 44 3 2" xfId="21929" xr:uid="{00000000-0005-0000-0000-000027030000}"/>
    <cellStyle name="20% - Accent1 44 4" xfId="8647" xr:uid="{00000000-0005-0000-0000-000028030000}"/>
    <cellStyle name="20% - Accent1 44 4 2" xfId="19935" xr:uid="{00000000-0005-0000-0000-000029030000}"/>
    <cellStyle name="20% - Accent1 44 5" xfId="6653" xr:uid="{00000000-0005-0000-0000-00002A030000}"/>
    <cellStyle name="20% - Accent1 44 5 2" xfId="17941" xr:uid="{00000000-0005-0000-0000-00002B030000}"/>
    <cellStyle name="20% - Accent1 44 6" xfId="4659" xr:uid="{00000000-0005-0000-0000-00002C030000}"/>
    <cellStyle name="20% - Accent1 44 6 2" xfId="15947" xr:uid="{00000000-0005-0000-0000-00002D030000}"/>
    <cellStyle name="20% - Accent1 44 7" xfId="13953" xr:uid="{00000000-0005-0000-0000-00002E030000}"/>
    <cellStyle name="20% - Accent1 44 8" xfId="12639" xr:uid="{00000000-0005-0000-0000-00002F030000}"/>
    <cellStyle name="20% - Accent1 45" xfId="704" xr:uid="{00000000-0005-0000-0000-000030030000}"/>
    <cellStyle name="20% - Accent1 45 2" xfId="3660" xr:uid="{00000000-0005-0000-0000-000031030000}"/>
    <cellStyle name="20% - Accent1 45 2 2" xfId="11639" xr:uid="{00000000-0005-0000-0000-000032030000}"/>
    <cellStyle name="20% - Accent1 45 2 2 2" xfId="22927" xr:uid="{00000000-0005-0000-0000-000033030000}"/>
    <cellStyle name="20% - Accent1 45 2 3" xfId="9645" xr:uid="{00000000-0005-0000-0000-000034030000}"/>
    <cellStyle name="20% - Accent1 45 2 3 2" xfId="20933" xr:uid="{00000000-0005-0000-0000-000035030000}"/>
    <cellStyle name="20% - Accent1 45 2 4" xfId="7651" xr:uid="{00000000-0005-0000-0000-000036030000}"/>
    <cellStyle name="20% - Accent1 45 2 4 2" xfId="18939" xr:uid="{00000000-0005-0000-0000-000037030000}"/>
    <cellStyle name="20% - Accent1 45 2 5" xfId="5657" xr:uid="{00000000-0005-0000-0000-000038030000}"/>
    <cellStyle name="20% - Accent1 45 2 5 2" xfId="16945" xr:uid="{00000000-0005-0000-0000-000039030000}"/>
    <cellStyle name="20% - Accent1 45 2 6" xfId="14951" xr:uid="{00000000-0005-0000-0000-00003A030000}"/>
    <cellStyle name="20% - Accent1 45 3" xfId="10642" xr:uid="{00000000-0005-0000-0000-00003B030000}"/>
    <cellStyle name="20% - Accent1 45 3 2" xfId="21930" xr:uid="{00000000-0005-0000-0000-00003C030000}"/>
    <cellStyle name="20% - Accent1 45 4" xfId="8648" xr:uid="{00000000-0005-0000-0000-00003D030000}"/>
    <cellStyle name="20% - Accent1 45 4 2" xfId="19936" xr:uid="{00000000-0005-0000-0000-00003E030000}"/>
    <cellStyle name="20% - Accent1 45 5" xfId="6654" xr:uid="{00000000-0005-0000-0000-00003F030000}"/>
    <cellStyle name="20% - Accent1 45 5 2" xfId="17942" xr:uid="{00000000-0005-0000-0000-000040030000}"/>
    <cellStyle name="20% - Accent1 45 6" xfId="4660" xr:uid="{00000000-0005-0000-0000-000041030000}"/>
    <cellStyle name="20% - Accent1 45 6 2" xfId="15948" xr:uid="{00000000-0005-0000-0000-000042030000}"/>
    <cellStyle name="20% - Accent1 45 7" xfId="13954" xr:uid="{00000000-0005-0000-0000-000043030000}"/>
    <cellStyle name="20% - Accent1 45 8" xfId="12640" xr:uid="{00000000-0005-0000-0000-000044030000}"/>
    <cellStyle name="20% - Accent1 46" xfId="705" xr:uid="{00000000-0005-0000-0000-000045030000}"/>
    <cellStyle name="20% - Accent1 46 2" xfId="3661" xr:uid="{00000000-0005-0000-0000-000046030000}"/>
    <cellStyle name="20% - Accent1 46 2 2" xfId="11640" xr:uid="{00000000-0005-0000-0000-000047030000}"/>
    <cellStyle name="20% - Accent1 46 2 2 2" xfId="22928" xr:uid="{00000000-0005-0000-0000-000048030000}"/>
    <cellStyle name="20% - Accent1 46 2 3" xfId="9646" xr:uid="{00000000-0005-0000-0000-000049030000}"/>
    <cellStyle name="20% - Accent1 46 2 3 2" xfId="20934" xr:uid="{00000000-0005-0000-0000-00004A030000}"/>
    <cellStyle name="20% - Accent1 46 2 4" xfId="7652" xr:uid="{00000000-0005-0000-0000-00004B030000}"/>
    <cellStyle name="20% - Accent1 46 2 4 2" xfId="18940" xr:uid="{00000000-0005-0000-0000-00004C030000}"/>
    <cellStyle name="20% - Accent1 46 2 5" xfId="5658" xr:uid="{00000000-0005-0000-0000-00004D030000}"/>
    <cellStyle name="20% - Accent1 46 2 5 2" xfId="16946" xr:uid="{00000000-0005-0000-0000-00004E030000}"/>
    <cellStyle name="20% - Accent1 46 2 6" xfId="14952" xr:uid="{00000000-0005-0000-0000-00004F030000}"/>
    <cellStyle name="20% - Accent1 46 3" xfId="10643" xr:uid="{00000000-0005-0000-0000-000050030000}"/>
    <cellStyle name="20% - Accent1 46 3 2" xfId="21931" xr:uid="{00000000-0005-0000-0000-000051030000}"/>
    <cellStyle name="20% - Accent1 46 4" xfId="8649" xr:uid="{00000000-0005-0000-0000-000052030000}"/>
    <cellStyle name="20% - Accent1 46 4 2" xfId="19937" xr:uid="{00000000-0005-0000-0000-000053030000}"/>
    <cellStyle name="20% - Accent1 46 5" xfId="6655" xr:uid="{00000000-0005-0000-0000-000054030000}"/>
    <cellStyle name="20% - Accent1 46 5 2" xfId="17943" xr:uid="{00000000-0005-0000-0000-000055030000}"/>
    <cellStyle name="20% - Accent1 46 6" xfId="4661" xr:uid="{00000000-0005-0000-0000-000056030000}"/>
    <cellStyle name="20% - Accent1 46 6 2" xfId="15949" xr:uid="{00000000-0005-0000-0000-000057030000}"/>
    <cellStyle name="20% - Accent1 46 7" xfId="13955" xr:uid="{00000000-0005-0000-0000-000058030000}"/>
    <cellStyle name="20% - Accent1 46 8" xfId="12641" xr:uid="{00000000-0005-0000-0000-000059030000}"/>
    <cellStyle name="20% - Accent1 47" xfId="706" xr:uid="{00000000-0005-0000-0000-00005A030000}"/>
    <cellStyle name="20% - Accent1 47 2" xfId="3662" xr:uid="{00000000-0005-0000-0000-00005B030000}"/>
    <cellStyle name="20% - Accent1 47 2 2" xfId="11641" xr:uid="{00000000-0005-0000-0000-00005C030000}"/>
    <cellStyle name="20% - Accent1 47 2 2 2" xfId="22929" xr:uid="{00000000-0005-0000-0000-00005D030000}"/>
    <cellStyle name="20% - Accent1 47 2 3" xfId="9647" xr:uid="{00000000-0005-0000-0000-00005E030000}"/>
    <cellStyle name="20% - Accent1 47 2 3 2" xfId="20935" xr:uid="{00000000-0005-0000-0000-00005F030000}"/>
    <cellStyle name="20% - Accent1 47 2 4" xfId="7653" xr:uid="{00000000-0005-0000-0000-000060030000}"/>
    <cellStyle name="20% - Accent1 47 2 4 2" xfId="18941" xr:uid="{00000000-0005-0000-0000-000061030000}"/>
    <cellStyle name="20% - Accent1 47 2 5" xfId="5659" xr:uid="{00000000-0005-0000-0000-000062030000}"/>
    <cellStyle name="20% - Accent1 47 2 5 2" xfId="16947" xr:uid="{00000000-0005-0000-0000-000063030000}"/>
    <cellStyle name="20% - Accent1 47 2 6" xfId="14953" xr:uid="{00000000-0005-0000-0000-000064030000}"/>
    <cellStyle name="20% - Accent1 47 3" xfId="10644" xr:uid="{00000000-0005-0000-0000-000065030000}"/>
    <cellStyle name="20% - Accent1 47 3 2" xfId="21932" xr:uid="{00000000-0005-0000-0000-000066030000}"/>
    <cellStyle name="20% - Accent1 47 4" xfId="8650" xr:uid="{00000000-0005-0000-0000-000067030000}"/>
    <cellStyle name="20% - Accent1 47 4 2" xfId="19938" xr:uid="{00000000-0005-0000-0000-000068030000}"/>
    <cellStyle name="20% - Accent1 47 5" xfId="6656" xr:uid="{00000000-0005-0000-0000-000069030000}"/>
    <cellStyle name="20% - Accent1 47 5 2" xfId="17944" xr:uid="{00000000-0005-0000-0000-00006A030000}"/>
    <cellStyle name="20% - Accent1 47 6" xfId="4662" xr:uid="{00000000-0005-0000-0000-00006B030000}"/>
    <cellStyle name="20% - Accent1 47 6 2" xfId="15950" xr:uid="{00000000-0005-0000-0000-00006C030000}"/>
    <cellStyle name="20% - Accent1 47 7" xfId="13956" xr:uid="{00000000-0005-0000-0000-00006D030000}"/>
    <cellStyle name="20% - Accent1 47 8" xfId="12642" xr:uid="{00000000-0005-0000-0000-00006E030000}"/>
    <cellStyle name="20% - Accent1 48" xfId="707" xr:uid="{00000000-0005-0000-0000-00006F030000}"/>
    <cellStyle name="20% - Accent1 48 2" xfId="3663" xr:uid="{00000000-0005-0000-0000-000070030000}"/>
    <cellStyle name="20% - Accent1 48 2 2" xfId="11642" xr:uid="{00000000-0005-0000-0000-000071030000}"/>
    <cellStyle name="20% - Accent1 48 2 2 2" xfId="22930" xr:uid="{00000000-0005-0000-0000-000072030000}"/>
    <cellStyle name="20% - Accent1 48 2 3" xfId="9648" xr:uid="{00000000-0005-0000-0000-000073030000}"/>
    <cellStyle name="20% - Accent1 48 2 3 2" xfId="20936" xr:uid="{00000000-0005-0000-0000-000074030000}"/>
    <cellStyle name="20% - Accent1 48 2 4" xfId="7654" xr:uid="{00000000-0005-0000-0000-000075030000}"/>
    <cellStyle name="20% - Accent1 48 2 4 2" xfId="18942" xr:uid="{00000000-0005-0000-0000-000076030000}"/>
    <cellStyle name="20% - Accent1 48 2 5" xfId="5660" xr:uid="{00000000-0005-0000-0000-000077030000}"/>
    <cellStyle name="20% - Accent1 48 2 5 2" xfId="16948" xr:uid="{00000000-0005-0000-0000-000078030000}"/>
    <cellStyle name="20% - Accent1 48 2 6" xfId="14954" xr:uid="{00000000-0005-0000-0000-000079030000}"/>
    <cellStyle name="20% - Accent1 48 3" xfId="10645" xr:uid="{00000000-0005-0000-0000-00007A030000}"/>
    <cellStyle name="20% - Accent1 48 3 2" xfId="21933" xr:uid="{00000000-0005-0000-0000-00007B030000}"/>
    <cellStyle name="20% - Accent1 48 4" xfId="8651" xr:uid="{00000000-0005-0000-0000-00007C030000}"/>
    <cellStyle name="20% - Accent1 48 4 2" xfId="19939" xr:uid="{00000000-0005-0000-0000-00007D030000}"/>
    <cellStyle name="20% - Accent1 48 5" xfId="6657" xr:uid="{00000000-0005-0000-0000-00007E030000}"/>
    <cellStyle name="20% - Accent1 48 5 2" xfId="17945" xr:uid="{00000000-0005-0000-0000-00007F030000}"/>
    <cellStyle name="20% - Accent1 48 6" xfId="4663" xr:uid="{00000000-0005-0000-0000-000080030000}"/>
    <cellStyle name="20% - Accent1 48 6 2" xfId="15951" xr:uid="{00000000-0005-0000-0000-000081030000}"/>
    <cellStyle name="20% - Accent1 48 7" xfId="13957" xr:uid="{00000000-0005-0000-0000-000082030000}"/>
    <cellStyle name="20% - Accent1 48 8" xfId="12643" xr:uid="{00000000-0005-0000-0000-000083030000}"/>
    <cellStyle name="20% - Accent1 49" xfId="708" xr:uid="{00000000-0005-0000-0000-000084030000}"/>
    <cellStyle name="20% - Accent1 49 2" xfId="3664" xr:uid="{00000000-0005-0000-0000-000085030000}"/>
    <cellStyle name="20% - Accent1 49 2 2" xfId="11643" xr:uid="{00000000-0005-0000-0000-000086030000}"/>
    <cellStyle name="20% - Accent1 49 2 2 2" xfId="22931" xr:uid="{00000000-0005-0000-0000-000087030000}"/>
    <cellStyle name="20% - Accent1 49 2 3" xfId="9649" xr:uid="{00000000-0005-0000-0000-000088030000}"/>
    <cellStyle name="20% - Accent1 49 2 3 2" xfId="20937" xr:uid="{00000000-0005-0000-0000-000089030000}"/>
    <cellStyle name="20% - Accent1 49 2 4" xfId="7655" xr:uid="{00000000-0005-0000-0000-00008A030000}"/>
    <cellStyle name="20% - Accent1 49 2 4 2" xfId="18943" xr:uid="{00000000-0005-0000-0000-00008B030000}"/>
    <cellStyle name="20% - Accent1 49 2 5" xfId="5661" xr:uid="{00000000-0005-0000-0000-00008C030000}"/>
    <cellStyle name="20% - Accent1 49 2 5 2" xfId="16949" xr:uid="{00000000-0005-0000-0000-00008D030000}"/>
    <cellStyle name="20% - Accent1 49 2 6" xfId="14955" xr:uid="{00000000-0005-0000-0000-00008E030000}"/>
    <cellStyle name="20% - Accent1 49 3" xfId="10646" xr:uid="{00000000-0005-0000-0000-00008F030000}"/>
    <cellStyle name="20% - Accent1 49 3 2" xfId="21934" xr:uid="{00000000-0005-0000-0000-000090030000}"/>
    <cellStyle name="20% - Accent1 49 4" xfId="8652" xr:uid="{00000000-0005-0000-0000-000091030000}"/>
    <cellStyle name="20% - Accent1 49 4 2" xfId="19940" xr:uid="{00000000-0005-0000-0000-000092030000}"/>
    <cellStyle name="20% - Accent1 49 5" xfId="6658" xr:uid="{00000000-0005-0000-0000-000093030000}"/>
    <cellStyle name="20% - Accent1 49 5 2" xfId="17946" xr:uid="{00000000-0005-0000-0000-000094030000}"/>
    <cellStyle name="20% - Accent1 49 6" xfId="4664" xr:uid="{00000000-0005-0000-0000-000095030000}"/>
    <cellStyle name="20% - Accent1 49 6 2" xfId="15952" xr:uid="{00000000-0005-0000-0000-000096030000}"/>
    <cellStyle name="20% - Accent1 49 7" xfId="13958" xr:uid="{00000000-0005-0000-0000-000097030000}"/>
    <cellStyle name="20% - Accent1 49 8" xfId="12644" xr:uid="{00000000-0005-0000-0000-000098030000}"/>
    <cellStyle name="20% - Accent1 5" xfId="709" xr:uid="{00000000-0005-0000-0000-000099030000}"/>
    <cellStyle name="20% - Accent1 5 10" xfId="24562" xr:uid="{00000000-0005-0000-0000-00009A030000}"/>
    <cellStyle name="20% - Accent1 5 11" xfId="24952" xr:uid="{00000000-0005-0000-0000-00009B030000}"/>
    <cellStyle name="20% - Accent1 5 2" xfId="3665" xr:uid="{00000000-0005-0000-0000-00009C030000}"/>
    <cellStyle name="20% - Accent1 5 2 2" xfId="11644" xr:uid="{00000000-0005-0000-0000-00009D030000}"/>
    <cellStyle name="20% - Accent1 5 2 2 2" xfId="22932" xr:uid="{00000000-0005-0000-0000-00009E030000}"/>
    <cellStyle name="20% - Accent1 5 2 3" xfId="9650" xr:uid="{00000000-0005-0000-0000-00009F030000}"/>
    <cellStyle name="20% - Accent1 5 2 3 2" xfId="20938" xr:uid="{00000000-0005-0000-0000-0000A0030000}"/>
    <cellStyle name="20% - Accent1 5 2 4" xfId="7656" xr:uid="{00000000-0005-0000-0000-0000A1030000}"/>
    <cellStyle name="20% - Accent1 5 2 4 2" xfId="18944" xr:uid="{00000000-0005-0000-0000-0000A2030000}"/>
    <cellStyle name="20% - Accent1 5 2 5" xfId="5662" xr:uid="{00000000-0005-0000-0000-0000A3030000}"/>
    <cellStyle name="20% - Accent1 5 2 5 2" xfId="16950" xr:uid="{00000000-0005-0000-0000-0000A4030000}"/>
    <cellStyle name="20% - Accent1 5 2 6" xfId="14956" xr:uid="{00000000-0005-0000-0000-0000A5030000}"/>
    <cellStyle name="20% - Accent1 5 2 7" xfId="24323" xr:uid="{00000000-0005-0000-0000-0000A6030000}"/>
    <cellStyle name="20% - Accent1 5 2 8" xfId="24787" xr:uid="{00000000-0005-0000-0000-0000A7030000}"/>
    <cellStyle name="20% - Accent1 5 2 9" xfId="25154" xr:uid="{00000000-0005-0000-0000-0000A8030000}"/>
    <cellStyle name="20% - Accent1 5 3" xfId="10647" xr:uid="{00000000-0005-0000-0000-0000A9030000}"/>
    <cellStyle name="20% - Accent1 5 3 2" xfId="21935" xr:uid="{00000000-0005-0000-0000-0000AA030000}"/>
    <cellStyle name="20% - Accent1 5 4" xfId="8653" xr:uid="{00000000-0005-0000-0000-0000AB030000}"/>
    <cellStyle name="20% - Accent1 5 4 2" xfId="19941" xr:uid="{00000000-0005-0000-0000-0000AC030000}"/>
    <cellStyle name="20% - Accent1 5 5" xfId="6659" xr:uid="{00000000-0005-0000-0000-0000AD030000}"/>
    <cellStyle name="20% - Accent1 5 5 2" xfId="17947" xr:uid="{00000000-0005-0000-0000-0000AE030000}"/>
    <cellStyle name="20% - Accent1 5 6" xfId="4665" xr:uid="{00000000-0005-0000-0000-0000AF030000}"/>
    <cellStyle name="20% - Accent1 5 6 2" xfId="15953" xr:uid="{00000000-0005-0000-0000-0000B0030000}"/>
    <cellStyle name="20% - Accent1 5 7" xfId="13959" xr:uid="{00000000-0005-0000-0000-0000B1030000}"/>
    <cellStyle name="20% - Accent1 5 8" xfId="12645" xr:uid="{00000000-0005-0000-0000-0000B2030000}"/>
    <cellStyle name="20% - Accent1 5 9" xfId="23935" xr:uid="{00000000-0005-0000-0000-0000B3030000}"/>
    <cellStyle name="20% - Accent1 50" xfId="710" xr:uid="{00000000-0005-0000-0000-0000B4030000}"/>
    <cellStyle name="20% - Accent1 50 2" xfId="3666" xr:uid="{00000000-0005-0000-0000-0000B5030000}"/>
    <cellStyle name="20% - Accent1 50 2 2" xfId="11645" xr:uid="{00000000-0005-0000-0000-0000B6030000}"/>
    <cellStyle name="20% - Accent1 50 2 2 2" xfId="22933" xr:uid="{00000000-0005-0000-0000-0000B7030000}"/>
    <cellStyle name="20% - Accent1 50 2 3" xfId="9651" xr:uid="{00000000-0005-0000-0000-0000B8030000}"/>
    <cellStyle name="20% - Accent1 50 2 3 2" xfId="20939" xr:uid="{00000000-0005-0000-0000-0000B9030000}"/>
    <cellStyle name="20% - Accent1 50 2 4" xfId="7657" xr:uid="{00000000-0005-0000-0000-0000BA030000}"/>
    <cellStyle name="20% - Accent1 50 2 4 2" xfId="18945" xr:uid="{00000000-0005-0000-0000-0000BB030000}"/>
    <cellStyle name="20% - Accent1 50 2 5" xfId="5663" xr:uid="{00000000-0005-0000-0000-0000BC030000}"/>
    <cellStyle name="20% - Accent1 50 2 5 2" xfId="16951" xr:uid="{00000000-0005-0000-0000-0000BD030000}"/>
    <cellStyle name="20% - Accent1 50 2 6" xfId="14957" xr:uid="{00000000-0005-0000-0000-0000BE030000}"/>
    <cellStyle name="20% - Accent1 50 3" xfId="10648" xr:uid="{00000000-0005-0000-0000-0000BF030000}"/>
    <cellStyle name="20% - Accent1 50 3 2" xfId="21936" xr:uid="{00000000-0005-0000-0000-0000C0030000}"/>
    <cellStyle name="20% - Accent1 50 4" xfId="8654" xr:uid="{00000000-0005-0000-0000-0000C1030000}"/>
    <cellStyle name="20% - Accent1 50 4 2" xfId="19942" xr:uid="{00000000-0005-0000-0000-0000C2030000}"/>
    <cellStyle name="20% - Accent1 50 5" xfId="6660" xr:uid="{00000000-0005-0000-0000-0000C3030000}"/>
    <cellStyle name="20% - Accent1 50 5 2" xfId="17948" xr:uid="{00000000-0005-0000-0000-0000C4030000}"/>
    <cellStyle name="20% - Accent1 50 6" xfId="4666" xr:uid="{00000000-0005-0000-0000-0000C5030000}"/>
    <cellStyle name="20% - Accent1 50 6 2" xfId="15954" xr:uid="{00000000-0005-0000-0000-0000C6030000}"/>
    <cellStyle name="20% - Accent1 50 7" xfId="13960" xr:uid="{00000000-0005-0000-0000-0000C7030000}"/>
    <cellStyle name="20% - Accent1 50 8" xfId="12646" xr:uid="{00000000-0005-0000-0000-0000C8030000}"/>
    <cellStyle name="20% - Accent1 51" xfId="711" xr:uid="{00000000-0005-0000-0000-0000C9030000}"/>
    <cellStyle name="20% - Accent1 51 2" xfId="3667" xr:uid="{00000000-0005-0000-0000-0000CA030000}"/>
    <cellStyle name="20% - Accent1 51 2 2" xfId="11646" xr:uid="{00000000-0005-0000-0000-0000CB030000}"/>
    <cellStyle name="20% - Accent1 51 2 2 2" xfId="22934" xr:uid="{00000000-0005-0000-0000-0000CC030000}"/>
    <cellStyle name="20% - Accent1 51 2 3" xfId="9652" xr:uid="{00000000-0005-0000-0000-0000CD030000}"/>
    <cellStyle name="20% - Accent1 51 2 3 2" xfId="20940" xr:uid="{00000000-0005-0000-0000-0000CE030000}"/>
    <cellStyle name="20% - Accent1 51 2 4" xfId="7658" xr:uid="{00000000-0005-0000-0000-0000CF030000}"/>
    <cellStyle name="20% - Accent1 51 2 4 2" xfId="18946" xr:uid="{00000000-0005-0000-0000-0000D0030000}"/>
    <cellStyle name="20% - Accent1 51 2 5" xfId="5664" xr:uid="{00000000-0005-0000-0000-0000D1030000}"/>
    <cellStyle name="20% - Accent1 51 2 5 2" xfId="16952" xr:uid="{00000000-0005-0000-0000-0000D2030000}"/>
    <cellStyle name="20% - Accent1 51 2 6" xfId="14958" xr:uid="{00000000-0005-0000-0000-0000D3030000}"/>
    <cellStyle name="20% - Accent1 51 3" xfId="10649" xr:uid="{00000000-0005-0000-0000-0000D4030000}"/>
    <cellStyle name="20% - Accent1 51 3 2" xfId="21937" xr:uid="{00000000-0005-0000-0000-0000D5030000}"/>
    <cellStyle name="20% - Accent1 51 4" xfId="8655" xr:uid="{00000000-0005-0000-0000-0000D6030000}"/>
    <cellStyle name="20% - Accent1 51 4 2" xfId="19943" xr:uid="{00000000-0005-0000-0000-0000D7030000}"/>
    <cellStyle name="20% - Accent1 51 5" xfId="6661" xr:uid="{00000000-0005-0000-0000-0000D8030000}"/>
    <cellStyle name="20% - Accent1 51 5 2" xfId="17949" xr:uid="{00000000-0005-0000-0000-0000D9030000}"/>
    <cellStyle name="20% - Accent1 51 6" xfId="4667" xr:uid="{00000000-0005-0000-0000-0000DA030000}"/>
    <cellStyle name="20% - Accent1 51 6 2" xfId="15955" xr:uid="{00000000-0005-0000-0000-0000DB030000}"/>
    <cellStyle name="20% - Accent1 51 7" xfId="13961" xr:uid="{00000000-0005-0000-0000-0000DC030000}"/>
    <cellStyle name="20% - Accent1 51 8" xfId="12647" xr:uid="{00000000-0005-0000-0000-0000DD030000}"/>
    <cellStyle name="20% - Accent1 52" xfId="712" xr:uid="{00000000-0005-0000-0000-0000DE030000}"/>
    <cellStyle name="20% - Accent1 52 2" xfId="3668" xr:uid="{00000000-0005-0000-0000-0000DF030000}"/>
    <cellStyle name="20% - Accent1 52 2 2" xfId="11647" xr:uid="{00000000-0005-0000-0000-0000E0030000}"/>
    <cellStyle name="20% - Accent1 52 2 2 2" xfId="22935" xr:uid="{00000000-0005-0000-0000-0000E1030000}"/>
    <cellStyle name="20% - Accent1 52 2 3" xfId="9653" xr:uid="{00000000-0005-0000-0000-0000E2030000}"/>
    <cellStyle name="20% - Accent1 52 2 3 2" xfId="20941" xr:uid="{00000000-0005-0000-0000-0000E3030000}"/>
    <cellStyle name="20% - Accent1 52 2 4" xfId="7659" xr:uid="{00000000-0005-0000-0000-0000E4030000}"/>
    <cellStyle name="20% - Accent1 52 2 4 2" xfId="18947" xr:uid="{00000000-0005-0000-0000-0000E5030000}"/>
    <cellStyle name="20% - Accent1 52 2 5" xfId="5665" xr:uid="{00000000-0005-0000-0000-0000E6030000}"/>
    <cellStyle name="20% - Accent1 52 2 5 2" xfId="16953" xr:uid="{00000000-0005-0000-0000-0000E7030000}"/>
    <cellStyle name="20% - Accent1 52 2 6" xfId="14959" xr:uid="{00000000-0005-0000-0000-0000E8030000}"/>
    <cellStyle name="20% - Accent1 52 3" xfId="10650" xr:uid="{00000000-0005-0000-0000-0000E9030000}"/>
    <cellStyle name="20% - Accent1 52 3 2" xfId="21938" xr:uid="{00000000-0005-0000-0000-0000EA030000}"/>
    <cellStyle name="20% - Accent1 52 4" xfId="8656" xr:uid="{00000000-0005-0000-0000-0000EB030000}"/>
    <cellStyle name="20% - Accent1 52 4 2" xfId="19944" xr:uid="{00000000-0005-0000-0000-0000EC030000}"/>
    <cellStyle name="20% - Accent1 52 5" xfId="6662" xr:uid="{00000000-0005-0000-0000-0000ED030000}"/>
    <cellStyle name="20% - Accent1 52 5 2" xfId="17950" xr:uid="{00000000-0005-0000-0000-0000EE030000}"/>
    <cellStyle name="20% - Accent1 52 6" xfId="4668" xr:uid="{00000000-0005-0000-0000-0000EF030000}"/>
    <cellStyle name="20% - Accent1 52 6 2" xfId="15956" xr:uid="{00000000-0005-0000-0000-0000F0030000}"/>
    <cellStyle name="20% - Accent1 52 7" xfId="13962" xr:uid="{00000000-0005-0000-0000-0000F1030000}"/>
    <cellStyle name="20% - Accent1 52 8" xfId="12648" xr:uid="{00000000-0005-0000-0000-0000F2030000}"/>
    <cellStyle name="20% - Accent1 53" xfId="713" xr:uid="{00000000-0005-0000-0000-0000F3030000}"/>
    <cellStyle name="20% - Accent1 53 2" xfId="3669" xr:uid="{00000000-0005-0000-0000-0000F4030000}"/>
    <cellStyle name="20% - Accent1 53 2 2" xfId="11648" xr:uid="{00000000-0005-0000-0000-0000F5030000}"/>
    <cellStyle name="20% - Accent1 53 2 2 2" xfId="22936" xr:uid="{00000000-0005-0000-0000-0000F6030000}"/>
    <cellStyle name="20% - Accent1 53 2 3" xfId="9654" xr:uid="{00000000-0005-0000-0000-0000F7030000}"/>
    <cellStyle name="20% - Accent1 53 2 3 2" xfId="20942" xr:uid="{00000000-0005-0000-0000-0000F8030000}"/>
    <cellStyle name="20% - Accent1 53 2 4" xfId="7660" xr:uid="{00000000-0005-0000-0000-0000F9030000}"/>
    <cellStyle name="20% - Accent1 53 2 4 2" xfId="18948" xr:uid="{00000000-0005-0000-0000-0000FA030000}"/>
    <cellStyle name="20% - Accent1 53 2 5" xfId="5666" xr:uid="{00000000-0005-0000-0000-0000FB030000}"/>
    <cellStyle name="20% - Accent1 53 2 5 2" xfId="16954" xr:uid="{00000000-0005-0000-0000-0000FC030000}"/>
    <cellStyle name="20% - Accent1 53 2 6" xfId="14960" xr:uid="{00000000-0005-0000-0000-0000FD030000}"/>
    <cellStyle name="20% - Accent1 53 3" xfId="10651" xr:uid="{00000000-0005-0000-0000-0000FE030000}"/>
    <cellStyle name="20% - Accent1 53 3 2" xfId="21939" xr:uid="{00000000-0005-0000-0000-0000FF030000}"/>
    <cellStyle name="20% - Accent1 53 4" xfId="8657" xr:uid="{00000000-0005-0000-0000-000000040000}"/>
    <cellStyle name="20% - Accent1 53 4 2" xfId="19945" xr:uid="{00000000-0005-0000-0000-000001040000}"/>
    <cellStyle name="20% - Accent1 53 5" xfId="6663" xr:uid="{00000000-0005-0000-0000-000002040000}"/>
    <cellStyle name="20% - Accent1 53 5 2" xfId="17951" xr:uid="{00000000-0005-0000-0000-000003040000}"/>
    <cellStyle name="20% - Accent1 53 6" xfId="4669" xr:uid="{00000000-0005-0000-0000-000004040000}"/>
    <cellStyle name="20% - Accent1 53 6 2" xfId="15957" xr:uid="{00000000-0005-0000-0000-000005040000}"/>
    <cellStyle name="20% - Accent1 53 7" xfId="13963" xr:uid="{00000000-0005-0000-0000-000006040000}"/>
    <cellStyle name="20% - Accent1 53 8" xfId="12649" xr:uid="{00000000-0005-0000-0000-000007040000}"/>
    <cellStyle name="20% - Accent1 54" xfId="714" xr:uid="{00000000-0005-0000-0000-000008040000}"/>
    <cellStyle name="20% - Accent1 54 2" xfId="3670" xr:uid="{00000000-0005-0000-0000-000009040000}"/>
    <cellStyle name="20% - Accent1 54 2 2" xfId="11649" xr:uid="{00000000-0005-0000-0000-00000A040000}"/>
    <cellStyle name="20% - Accent1 54 2 2 2" xfId="22937" xr:uid="{00000000-0005-0000-0000-00000B040000}"/>
    <cellStyle name="20% - Accent1 54 2 3" xfId="9655" xr:uid="{00000000-0005-0000-0000-00000C040000}"/>
    <cellStyle name="20% - Accent1 54 2 3 2" xfId="20943" xr:uid="{00000000-0005-0000-0000-00000D040000}"/>
    <cellStyle name="20% - Accent1 54 2 4" xfId="7661" xr:uid="{00000000-0005-0000-0000-00000E040000}"/>
    <cellStyle name="20% - Accent1 54 2 4 2" xfId="18949" xr:uid="{00000000-0005-0000-0000-00000F040000}"/>
    <cellStyle name="20% - Accent1 54 2 5" xfId="5667" xr:uid="{00000000-0005-0000-0000-000010040000}"/>
    <cellStyle name="20% - Accent1 54 2 5 2" xfId="16955" xr:uid="{00000000-0005-0000-0000-000011040000}"/>
    <cellStyle name="20% - Accent1 54 2 6" xfId="14961" xr:uid="{00000000-0005-0000-0000-000012040000}"/>
    <cellStyle name="20% - Accent1 54 3" xfId="10652" xr:uid="{00000000-0005-0000-0000-000013040000}"/>
    <cellStyle name="20% - Accent1 54 3 2" xfId="21940" xr:uid="{00000000-0005-0000-0000-000014040000}"/>
    <cellStyle name="20% - Accent1 54 4" xfId="8658" xr:uid="{00000000-0005-0000-0000-000015040000}"/>
    <cellStyle name="20% - Accent1 54 4 2" xfId="19946" xr:uid="{00000000-0005-0000-0000-000016040000}"/>
    <cellStyle name="20% - Accent1 54 5" xfId="6664" xr:uid="{00000000-0005-0000-0000-000017040000}"/>
    <cellStyle name="20% - Accent1 54 5 2" xfId="17952" xr:uid="{00000000-0005-0000-0000-000018040000}"/>
    <cellStyle name="20% - Accent1 54 6" xfId="4670" xr:uid="{00000000-0005-0000-0000-000019040000}"/>
    <cellStyle name="20% - Accent1 54 6 2" xfId="15958" xr:uid="{00000000-0005-0000-0000-00001A040000}"/>
    <cellStyle name="20% - Accent1 54 7" xfId="13964" xr:uid="{00000000-0005-0000-0000-00001B040000}"/>
    <cellStyle name="20% - Accent1 54 8" xfId="12650" xr:uid="{00000000-0005-0000-0000-00001C040000}"/>
    <cellStyle name="20% - Accent1 55" xfId="715" xr:uid="{00000000-0005-0000-0000-00001D040000}"/>
    <cellStyle name="20% - Accent1 55 2" xfId="3671" xr:uid="{00000000-0005-0000-0000-00001E040000}"/>
    <cellStyle name="20% - Accent1 55 2 2" xfId="11650" xr:uid="{00000000-0005-0000-0000-00001F040000}"/>
    <cellStyle name="20% - Accent1 55 2 2 2" xfId="22938" xr:uid="{00000000-0005-0000-0000-000020040000}"/>
    <cellStyle name="20% - Accent1 55 2 3" xfId="9656" xr:uid="{00000000-0005-0000-0000-000021040000}"/>
    <cellStyle name="20% - Accent1 55 2 3 2" xfId="20944" xr:uid="{00000000-0005-0000-0000-000022040000}"/>
    <cellStyle name="20% - Accent1 55 2 4" xfId="7662" xr:uid="{00000000-0005-0000-0000-000023040000}"/>
    <cellStyle name="20% - Accent1 55 2 4 2" xfId="18950" xr:uid="{00000000-0005-0000-0000-000024040000}"/>
    <cellStyle name="20% - Accent1 55 2 5" xfId="5668" xr:uid="{00000000-0005-0000-0000-000025040000}"/>
    <cellStyle name="20% - Accent1 55 2 5 2" xfId="16956" xr:uid="{00000000-0005-0000-0000-000026040000}"/>
    <cellStyle name="20% - Accent1 55 2 6" xfId="14962" xr:uid="{00000000-0005-0000-0000-000027040000}"/>
    <cellStyle name="20% - Accent1 55 3" xfId="10653" xr:uid="{00000000-0005-0000-0000-000028040000}"/>
    <cellStyle name="20% - Accent1 55 3 2" xfId="21941" xr:uid="{00000000-0005-0000-0000-000029040000}"/>
    <cellStyle name="20% - Accent1 55 4" xfId="8659" xr:uid="{00000000-0005-0000-0000-00002A040000}"/>
    <cellStyle name="20% - Accent1 55 4 2" xfId="19947" xr:uid="{00000000-0005-0000-0000-00002B040000}"/>
    <cellStyle name="20% - Accent1 55 5" xfId="6665" xr:uid="{00000000-0005-0000-0000-00002C040000}"/>
    <cellStyle name="20% - Accent1 55 5 2" xfId="17953" xr:uid="{00000000-0005-0000-0000-00002D040000}"/>
    <cellStyle name="20% - Accent1 55 6" xfId="4671" xr:uid="{00000000-0005-0000-0000-00002E040000}"/>
    <cellStyle name="20% - Accent1 55 6 2" xfId="15959" xr:uid="{00000000-0005-0000-0000-00002F040000}"/>
    <cellStyle name="20% - Accent1 55 7" xfId="13965" xr:uid="{00000000-0005-0000-0000-000030040000}"/>
    <cellStyle name="20% - Accent1 55 8" xfId="12651" xr:uid="{00000000-0005-0000-0000-000031040000}"/>
    <cellStyle name="20% - Accent1 56" xfId="716" xr:uid="{00000000-0005-0000-0000-000032040000}"/>
    <cellStyle name="20% - Accent1 56 2" xfId="3672" xr:uid="{00000000-0005-0000-0000-000033040000}"/>
    <cellStyle name="20% - Accent1 56 2 2" xfId="11651" xr:uid="{00000000-0005-0000-0000-000034040000}"/>
    <cellStyle name="20% - Accent1 56 2 2 2" xfId="22939" xr:uid="{00000000-0005-0000-0000-000035040000}"/>
    <cellStyle name="20% - Accent1 56 2 3" xfId="9657" xr:uid="{00000000-0005-0000-0000-000036040000}"/>
    <cellStyle name="20% - Accent1 56 2 3 2" xfId="20945" xr:uid="{00000000-0005-0000-0000-000037040000}"/>
    <cellStyle name="20% - Accent1 56 2 4" xfId="7663" xr:uid="{00000000-0005-0000-0000-000038040000}"/>
    <cellStyle name="20% - Accent1 56 2 4 2" xfId="18951" xr:uid="{00000000-0005-0000-0000-000039040000}"/>
    <cellStyle name="20% - Accent1 56 2 5" xfId="5669" xr:uid="{00000000-0005-0000-0000-00003A040000}"/>
    <cellStyle name="20% - Accent1 56 2 5 2" xfId="16957" xr:uid="{00000000-0005-0000-0000-00003B040000}"/>
    <cellStyle name="20% - Accent1 56 2 6" xfId="14963" xr:uid="{00000000-0005-0000-0000-00003C040000}"/>
    <cellStyle name="20% - Accent1 56 3" xfId="10654" xr:uid="{00000000-0005-0000-0000-00003D040000}"/>
    <cellStyle name="20% - Accent1 56 3 2" xfId="21942" xr:uid="{00000000-0005-0000-0000-00003E040000}"/>
    <cellStyle name="20% - Accent1 56 4" xfId="8660" xr:uid="{00000000-0005-0000-0000-00003F040000}"/>
    <cellStyle name="20% - Accent1 56 4 2" xfId="19948" xr:uid="{00000000-0005-0000-0000-000040040000}"/>
    <cellStyle name="20% - Accent1 56 5" xfId="6666" xr:uid="{00000000-0005-0000-0000-000041040000}"/>
    <cellStyle name="20% - Accent1 56 5 2" xfId="17954" xr:uid="{00000000-0005-0000-0000-000042040000}"/>
    <cellStyle name="20% - Accent1 56 6" xfId="4672" xr:uid="{00000000-0005-0000-0000-000043040000}"/>
    <cellStyle name="20% - Accent1 56 6 2" xfId="15960" xr:uid="{00000000-0005-0000-0000-000044040000}"/>
    <cellStyle name="20% - Accent1 56 7" xfId="13966" xr:uid="{00000000-0005-0000-0000-000045040000}"/>
    <cellStyle name="20% - Accent1 56 8" xfId="12652" xr:uid="{00000000-0005-0000-0000-000046040000}"/>
    <cellStyle name="20% - Accent1 57" xfId="717" xr:uid="{00000000-0005-0000-0000-000047040000}"/>
    <cellStyle name="20% - Accent1 57 2" xfId="3673" xr:uid="{00000000-0005-0000-0000-000048040000}"/>
    <cellStyle name="20% - Accent1 57 2 2" xfId="11652" xr:uid="{00000000-0005-0000-0000-000049040000}"/>
    <cellStyle name="20% - Accent1 57 2 2 2" xfId="22940" xr:uid="{00000000-0005-0000-0000-00004A040000}"/>
    <cellStyle name="20% - Accent1 57 2 3" xfId="9658" xr:uid="{00000000-0005-0000-0000-00004B040000}"/>
    <cellStyle name="20% - Accent1 57 2 3 2" xfId="20946" xr:uid="{00000000-0005-0000-0000-00004C040000}"/>
    <cellStyle name="20% - Accent1 57 2 4" xfId="7664" xr:uid="{00000000-0005-0000-0000-00004D040000}"/>
    <cellStyle name="20% - Accent1 57 2 4 2" xfId="18952" xr:uid="{00000000-0005-0000-0000-00004E040000}"/>
    <cellStyle name="20% - Accent1 57 2 5" xfId="5670" xr:uid="{00000000-0005-0000-0000-00004F040000}"/>
    <cellStyle name="20% - Accent1 57 2 5 2" xfId="16958" xr:uid="{00000000-0005-0000-0000-000050040000}"/>
    <cellStyle name="20% - Accent1 57 2 6" xfId="14964" xr:uid="{00000000-0005-0000-0000-000051040000}"/>
    <cellStyle name="20% - Accent1 57 3" xfId="10655" xr:uid="{00000000-0005-0000-0000-000052040000}"/>
    <cellStyle name="20% - Accent1 57 3 2" xfId="21943" xr:uid="{00000000-0005-0000-0000-000053040000}"/>
    <cellStyle name="20% - Accent1 57 4" xfId="8661" xr:uid="{00000000-0005-0000-0000-000054040000}"/>
    <cellStyle name="20% - Accent1 57 4 2" xfId="19949" xr:uid="{00000000-0005-0000-0000-000055040000}"/>
    <cellStyle name="20% - Accent1 57 5" xfId="6667" xr:uid="{00000000-0005-0000-0000-000056040000}"/>
    <cellStyle name="20% - Accent1 57 5 2" xfId="17955" xr:uid="{00000000-0005-0000-0000-000057040000}"/>
    <cellStyle name="20% - Accent1 57 6" xfId="4673" xr:uid="{00000000-0005-0000-0000-000058040000}"/>
    <cellStyle name="20% - Accent1 57 6 2" xfId="15961" xr:uid="{00000000-0005-0000-0000-000059040000}"/>
    <cellStyle name="20% - Accent1 57 7" xfId="13967" xr:uid="{00000000-0005-0000-0000-00005A040000}"/>
    <cellStyle name="20% - Accent1 57 8" xfId="12653" xr:uid="{00000000-0005-0000-0000-00005B040000}"/>
    <cellStyle name="20% - Accent1 58" xfId="718" xr:uid="{00000000-0005-0000-0000-00005C040000}"/>
    <cellStyle name="20% - Accent1 58 2" xfId="3674" xr:uid="{00000000-0005-0000-0000-00005D040000}"/>
    <cellStyle name="20% - Accent1 58 2 2" xfId="11653" xr:uid="{00000000-0005-0000-0000-00005E040000}"/>
    <cellStyle name="20% - Accent1 58 2 2 2" xfId="22941" xr:uid="{00000000-0005-0000-0000-00005F040000}"/>
    <cellStyle name="20% - Accent1 58 2 3" xfId="9659" xr:uid="{00000000-0005-0000-0000-000060040000}"/>
    <cellStyle name="20% - Accent1 58 2 3 2" xfId="20947" xr:uid="{00000000-0005-0000-0000-000061040000}"/>
    <cellStyle name="20% - Accent1 58 2 4" xfId="7665" xr:uid="{00000000-0005-0000-0000-000062040000}"/>
    <cellStyle name="20% - Accent1 58 2 4 2" xfId="18953" xr:uid="{00000000-0005-0000-0000-000063040000}"/>
    <cellStyle name="20% - Accent1 58 2 5" xfId="5671" xr:uid="{00000000-0005-0000-0000-000064040000}"/>
    <cellStyle name="20% - Accent1 58 2 5 2" xfId="16959" xr:uid="{00000000-0005-0000-0000-000065040000}"/>
    <cellStyle name="20% - Accent1 58 2 6" xfId="14965" xr:uid="{00000000-0005-0000-0000-000066040000}"/>
    <cellStyle name="20% - Accent1 58 3" xfId="10656" xr:uid="{00000000-0005-0000-0000-000067040000}"/>
    <cellStyle name="20% - Accent1 58 3 2" xfId="21944" xr:uid="{00000000-0005-0000-0000-000068040000}"/>
    <cellStyle name="20% - Accent1 58 4" xfId="8662" xr:uid="{00000000-0005-0000-0000-000069040000}"/>
    <cellStyle name="20% - Accent1 58 4 2" xfId="19950" xr:uid="{00000000-0005-0000-0000-00006A040000}"/>
    <cellStyle name="20% - Accent1 58 5" xfId="6668" xr:uid="{00000000-0005-0000-0000-00006B040000}"/>
    <cellStyle name="20% - Accent1 58 5 2" xfId="17956" xr:uid="{00000000-0005-0000-0000-00006C040000}"/>
    <cellStyle name="20% - Accent1 58 6" xfId="4674" xr:uid="{00000000-0005-0000-0000-00006D040000}"/>
    <cellStyle name="20% - Accent1 58 6 2" xfId="15962" xr:uid="{00000000-0005-0000-0000-00006E040000}"/>
    <cellStyle name="20% - Accent1 58 7" xfId="13968" xr:uid="{00000000-0005-0000-0000-00006F040000}"/>
    <cellStyle name="20% - Accent1 58 8" xfId="12654" xr:uid="{00000000-0005-0000-0000-000070040000}"/>
    <cellStyle name="20% - Accent1 59" xfId="719" xr:uid="{00000000-0005-0000-0000-000071040000}"/>
    <cellStyle name="20% - Accent1 59 2" xfId="3675" xr:uid="{00000000-0005-0000-0000-000072040000}"/>
    <cellStyle name="20% - Accent1 59 2 2" xfId="11654" xr:uid="{00000000-0005-0000-0000-000073040000}"/>
    <cellStyle name="20% - Accent1 59 2 2 2" xfId="22942" xr:uid="{00000000-0005-0000-0000-000074040000}"/>
    <cellStyle name="20% - Accent1 59 2 3" xfId="9660" xr:uid="{00000000-0005-0000-0000-000075040000}"/>
    <cellStyle name="20% - Accent1 59 2 3 2" xfId="20948" xr:uid="{00000000-0005-0000-0000-000076040000}"/>
    <cellStyle name="20% - Accent1 59 2 4" xfId="7666" xr:uid="{00000000-0005-0000-0000-000077040000}"/>
    <cellStyle name="20% - Accent1 59 2 4 2" xfId="18954" xr:uid="{00000000-0005-0000-0000-000078040000}"/>
    <cellStyle name="20% - Accent1 59 2 5" xfId="5672" xr:uid="{00000000-0005-0000-0000-000079040000}"/>
    <cellStyle name="20% - Accent1 59 2 5 2" xfId="16960" xr:uid="{00000000-0005-0000-0000-00007A040000}"/>
    <cellStyle name="20% - Accent1 59 2 6" xfId="14966" xr:uid="{00000000-0005-0000-0000-00007B040000}"/>
    <cellStyle name="20% - Accent1 59 3" xfId="10657" xr:uid="{00000000-0005-0000-0000-00007C040000}"/>
    <cellStyle name="20% - Accent1 59 3 2" xfId="21945" xr:uid="{00000000-0005-0000-0000-00007D040000}"/>
    <cellStyle name="20% - Accent1 59 4" xfId="8663" xr:uid="{00000000-0005-0000-0000-00007E040000}"/>
    <cellStyle name="20% - Accent1 59 4 2" xfId="19951" xr:uid="{00000000-0005-0000-0000-00007F040000}"/>
    <cellStyle name="20% - Accent1 59 5" xfId="6669" xr:uid="{00000000-0005-0000-0000-000080040000}"/>
    <cellStyle name="20% - Accent1 59 5 2" xfId="17957" xr:uid="{00000000-0005-0000-0000-000081040000}"/>
    <cellStyle name="20% - Accent1 59 6" xfId="4675" xr:uid="{00000000-0005-0000-0000-000082040000}"/>
    <cellStyle name="20% - Accent1 59 6 2" xfId="15963" xr:uid="{00000000-0005-0000-0000-000083040000}"/>
    <cellStyle name="20% - Accent1 59 7" xfId="13969" xr:uid="{00000000-0005-0000-0000-000084040000}"/>
    <cellStyle name="20% - Accent1 59 8" xfId="12655" xr:uid="{00000000-0005-0000-0000-000085040000}"/>
    <cellStyle name="20% - Accent1 6" xfId="720" xr:uid="{00000000-0005-0000-0000-000086040000}"/>
    <cellStyle name="20% - Accent1 6 10" xfId="24563" xr:uid="{00000000-0005-0000-0000-000087040000}"/>
    <cellStyle name="20% - Accent1 6 11" xfId="24953" xr:uid="{00000000-0005-0000-0000-000088040000}"/>
    <cellStyle name="20% - Accent1 6 2" xfId="3676" xr:uid="{00000000-0005-0000-0000-000089040000}"/>
    <cellStyle name="20% - Accent1 6 2 2" xfId="11655" xr:uid="{00000000-0005-0000-0000-00008A040000}"/>
    <cellStyle name="20% - Accent1 6 2 2 2" xfId="22943" xr:uid="{00000000-0005-0000-0000-00008B040000}"/>
    <cellStyle name="20% - Accent1 6 2 3" xfId="9661" xr:uid="{00000000-0005-0000-0000-00008C040000}"/>
    <cellStyle name="20% - Accent1 6 2 3 2" xfId="20949" xr:uid="{00000000-0005-0000-0000-00008D040000}"/>
    <cellStyle name="20% - Accent1 6 2 4" xfId="7667" xr:uid="{00000000-0005-0000-0000-00008E040000}"/>
    <cellStyle name="20% - Accent1 6 2 4 2" xfId="18955" xr:uid="{00000000-0005-0000-0000-00008F040000}"/>
    <cellStyle name="20% - Accent1 6 2 5" xfId="5673" xr:uid="{00000000-0005-0000-0000-000090040000}"/>
    <cellStyle name="20% - Accent1 6 2 5 2" xfId="16961" xr:uid="{00000000-0005-0000-0000-000091040000}"/>
    <cellStyle name="20% - Accent1 6 2 6" xfId="14967" xr:uid="{00000000-0005-0000-0000-000092040000}"/>
    <cellStyle name="20% - Accent1 6 2 7" xfId="24324" xr:uid="{00000000-0005-0000-0000-000093040000}"/>
    <cellStyle name="20% - Accent1 6 2 8" xfId="24788" xr:uid="{00000000-0005-0000-0000-000094040000}"/>
    <cellStyle name="20% - Accent1 6 2 9" xfId="25155" xr:uid="{00000000-0005-0000-0000-000095040000}"/>
    <cellStyle name="20% - Accent1 6 3" xfId="10658" xr:uid="{00000000-0005-0000-0000-000096040000}"/>
    <cellStyle name="20% - Accent1 6 3 2" xfId="21946" xr:uid="{00000000-0005-0000-0000-000097040000}"/>
    <cellStyle name="20% - Accent1 6 4" xfId="8664" xr:uid="{00000000-0005-0000-0000-000098040000}"/>
    <cellStyle name="20% - Accent1 6 4 2" xfId="19952" xr:uid="{00000000-0005-0000-0000-000099040000}"/>
    <cellStyle name="20% - Accent1 6 5" xfId="6670" xr:uid="{00000000-0005-0000-0000-00009A040000}"/>
    <cellStyle name="20% - Accent1 6 5 2" xfId="17958" xr:uid="{00000000-0005-0000-0000-00009B040000}"/>
    <cellStyle name="20% - Accent1 6 6" xfId="4676" xr:uid="{00000000-0005-0000-0000-00009C040000}"/>
    <cellStyle name="20% - Accent1 6 6 2" xfId="15964" xr:uid="{00000000-0005-0000-0000-00009D040000}"/>
    <cellStyle name="20% - Accent1 6 7" xfId="13970" xr:uid="{00000000-0005-0000-0000-00009E040000}"/>
    <cellStyle name="20% - Accent1 6 8" xfId="12656" xr:uid="{00000000-0005-0000-0000-00009F040000}"/>
    <cellStyle name="20% - Accent1 6 9" xfId="23936" xr:uid="{00000000-0005-0000-0000-0000A0040000}"/>
    <cellStyle name="20% - Accent1 60" xfId="721" xr:uid="{00000000-0005-0000-0000-0000A1040000}"/>
    <cellStyle name="20% - Accent1 60 2" xfId="3677" xr:uid="{00000000-0005-0000-0000-0000A2040000}"/>
    <cellStyle name="20% - Accent1 60 2 2" xfId="11656" xr:uid="{00000000-0005-0000-0000-0000A3040000}"/>
    <cellStyle name="20% - Accent1 60 2 2 2" xfId="22944" xr:uid="{00000000-0005-0000-0000-0000A4040000}"/>
    <cellStyle name="20% - Accent1 60 2 3" xfId="9662" xr:uid="{00000000-0005-0000-0000-0000A5040000}"/>
    <cellStyle name="20% - Accent1 60 2 3 2" xfId="20950" xr:uid="{00000000-0005-0000-0000-0000A6040000}"/>
    <cellStyle name="20% - Accent1 60 2 4" xfId="7668" xr:uid="{00000000-0005-0000-0000-0000A7040000}"/>
    <cellStyle name="20% - Accent1 60 2 4 2" xfId="18956" xr:uid="{00000000-0005-0000-0000-0000A8040000}"/>
    <cellStyle name="20% - Accent1 60 2 5" xfId="5674" xr:uid="{00000000-0005-0000-0000-0000A9040000}"/>
    <cellStyle name="20% - Accent1 60 2 5 2" xfId="16962" xr:uid="{00000000-0005-0000-0000-0000AA040000}"/>
    <cellStyle name="20% - Accent1 60 2 6" xfId="14968" xr:uid="{00000000-0005-0000-0000-0000AB040000}"/>
    <cellStyle name="20% - Accent1 60 3" xfId="10659" xr:uid="{00000000-0005-0000-0000-0000AC040000}"/>
    <cellStyle name="20% - Accent1 60 3 2" xfId="21947" xr:uid="{00000000-0005-0000-0000-0000AD040000}"/>
    <cellStyle name="20% - Accent1 60 4" xfId="8665" xr:uid="{00000000-0005-0000-0000-0000AE040000}"/>
    <cellStyle name="20% - Accent1 60 4 2" xfId="19953" xr:uid="{00000000-0005-0000-0000-0000AF040000}"/>
    <cellStyle name="20% - Accent1 60 5" xfId="6671" xr:uid="{00000000-0005-0000-0000-0000B0040000}"/>
    <cellStyle name="20% - Accent1 60 5 2" xfId="17959" xr:uid="{00000000-0005-0000-0000-0000B1040000}"/>
    <cellStyle name="20% - Accent1 60 6" xfId="4677" xr:uid="{00000000-0005-0000-0000-0000B2040000}"/>
    <cellStyle name="20% - Accent1 60 6 2" xfId="15965" xr:uid="{00000000-0005-0000-0000-0000B3040000}"/>
    <cellStyle name="20% - Accent1 60 7" xfId="13971" xr:uid="{00000000-0005-0000-0000-0000B4040000}"/>
    <cellStyle name="20% - Accent1 60 8" xfId="12657" xr:uid="{00000000-0005-0000-0000-0000B5040000}"/>
    <cellStyle name="20% - Accent1 61" xfId="722" xr:uid="{00000000-0005-0000-0000-0000B6040000}"/>
    <cellStyle name="20% - Accent1 61 2" xfId="3678" xr:uid="{00000000-0005-0000-0000-0000B7040000}"/>
    <cellStyle name="20% - Accent1 61 2 2" xfId="11657" xr:uid="{00000000-0005-0000-0000-0000B8040000}"/>
    <cellStyle name="20% - Accent1 61 2 2 2" xfId="22945" xr:uid="{00000000-0005-0000-0000-0000B9040000}"/>
    <cellStyle name="20% - Accent1 61 2 3" xfId="9663" xr:uid="{00000000-0005-0000-0000-0000BA040000}"/>
    <cellStyle name="20% - Accent1 61 2 3 2" xfId="20951" xr:uid="{00000000-0005-0000-0000-0000BB040000}"/>
    <cellStyle name="20% - Accent1 61 2 4" xfId="7669" xr:uid="{00000000-0005-0000-0000-0000BC040000}"/>
    <cellStyle name="20% - Accent1 61 2 4 2" xfId="18957" xr:uid="{00000000-0005-0000-0000-0000BD040000}"/>
    <cellStyle name="20% - Accent1 61 2 5" xfId="5675" xr:uid="{00000000-0005-0000-0000-0000BE040000}"/>
    <cellStyle name="20% - Accent1 61 2 5 2" xfId="16963" xr:uid="{00000000-0005-0000-0000-0000BF040000}"/>
    <cellStyle name="20% - Accent1 61 2 6" xfId="14969" xr:uid="{00000000-0005-0000-0000-0000C0040000}"/>
    <cellStyle name="20% - Accent1 61 3" xfId="10660" xr:uid="{00000000-0005-0000-0000-0000C1040000}"/>
    <cellStyle name="20% - Accent1 61 3 2" xfId="21948" xr:uid="{00000000-0005-0000-0000-0000C2040000}"/>
    <cellStyle name="20% - Accent1 61 4" xfId="8666" xr:uid="{00000000-0005-0000-0000-0000C3040000}"/>
    <cellStyle name="20% - Accent1 61 4 2" xfId="19954" xr:uid="{00000000-0005-0000-0000-0000C4040000}"/>
    <cellStyle name="20% - Accent1 61 5" xfId="6672" xr:uid="{00000000-0005-0000-0000-0000C5040000}"/>
    <cellStyle name="20% - Accent1 61 5 2" xfId="17960" xr:uid="{00000000-0005-0000-0000-0000C6040000}"/>
    <cellStyle name="20% - Accent1 61 6" xfId="4678" xr:uid="{00000000-0005-0000-0000-0000C7040000}"/>
    <cellStyle name="20% - Accent1 61 6 2" xfId="15966" xr:uid="{00000000-0005-0000-0000-0000C8040000}"/>
    <cellStyle name="20% - Accent1 61 7" xfId="13972" xr:uid="{00000000-0005-0000-0000-0000C9040000}"/>
    <cellStyle name="20% - Accent1 61 8" xfId="12658" xr:uid="{00000000-0005-0000-0000-0000CA040000}"/>
    <cellStyle name="20% - Accent1 62" xfId="723" xr:uid="{00000000-0005-0000-0000-0000CB040000}"/>
    <cellStyle name="20% - Accent1 62 2" xfId="3679" xr:uid="{00000000-0005-0000-0000-0000CC040000}"/>
    <cellStyle name="20% - Accent1 62 2 2" xfId="11658" xr:uid="{00000000-0005-0000-0000-0000CD040000}"/>
    <cellStyle name="20% - Accent1 62 2 2 2" xfId="22946" xr:uid="{00000000-0005-0000-0000-0000CE040000}"/>
    <cellStyle name="20% - Accent1 62 2 3" xfId="9664" xr:uid="{00000000-0005-0000-0000-0000CF040000}"/>
    <cellStyle name="20% - Accent1 62 2 3 2" xfId="20952" xr:uid="{00000000-0005-0000-0000-0000D0040000}"/>
    <cellStyle name="20% - Accent1 62 2 4" xfId="7670" xr:uid="{00000000-0005-0000-0000-0000D1040000}"/>
    <cellStyle name="20% - Accent1 62 2 4 2" xfId="18958" xr:uid="{00000000-0005-0000-0000-0000D2040000}"/>
    <cellStyle name="20% - Accent1 62 2 5" xfId="5676" xr:uid="{00000000-0005-0000-0000-0000D3040000}"/>
    <cellStyle name="20% - Accent1 62 2 5 2" xfId="16964" xr:uid="{00000000-0005-0000-0000-0000D4040000}"/>
    <cellStyle name="20% - Accent1 62 2 6" xfId="14970" xr:uid="{00000000-0005-0000-0000-0000D5040000}"/>
    <cellStyle name="20% - Accent1 62 3" xfId="10661" xr:uid="{00000000-0005-0000-0000-0000D6040000}"/>
    <cellStyle name="20% - Accent1 62 3 2" xfId="21949" xr:uid="{00000000-0005-0000-0000-0000D7040000}"/>
    <cellStyle name="20% - Accent1 62 4" xfId="8667" xr:uid="{00000000-0005-0000-0000-0000D8040000}"/>
    <cellStyle name="20% - Accent1 62 4 2" xfId="19955" xr:uid="{00000000-0005-0000-0000-0000D9040000}"/>
    <cellStyle name="20% - Accent1 62 5" xfId="6673" xr:uid="{00000000-0005-0000-0000-0000DA040000}"/>
    <cellStyle name="20% - Accent1 62 5 2" xfId="17961" xr:uid="{00000000-0005-0000-0000-0000DB040000}"/>
    <cellStyle name="20% - Accent1 62 6" xfId="4679" xr:uid="{00000000-0005-0000-0000-0000DC040000}"/>
    <cellStyle name="20% - Accent1 62 6 2" xfId="15967" xr:uid="{00000000-0005-0000-0000-0000DD040000}"/>
    <cellStyle name="20% - Accent1 62 7" xfId="13973" xr:uid="{00000000-0005-0000-0000-0000DE040000}"/>
    <cellStyle name="20% - Accent1 62 8" xfId="12659" xr:uid="{00000000-0005-0000-0000-0000DF040000}"/>
    <cellStyle name="20% - Accent1 63" xfId="724" xr:uid="{00000000-0005-0000-0000-0000E0040000}"/>
    <cellStyle name="20% - Accent1 63 2" xfId="3680" xr:uid="{00000000-0005-0000-0000-0000E1040000}"/>
    <cellStyle name="20% - Accent1 63 2 2" xfId="11659" xr:uid="{00000000-0005-0000-0000-0000E2040000}"/>
    <cellStyle name="20% - Accent1 63 2 2 2" xfId="22947" xr:uid="{00000000-0005-0000-0000-0000E3040000}"/>
    <cellStyle name="20% - Accent1 63 2 3" xfId="9665" xr:uid="{00000000-0005-0000-0000-0000E4040000}"/>
    <cellStyle name="20% - Accent1 63 2 3 2" xfId="20953" xr:uid="{00000000-0005-0000-0000-0000E5040000}"/>
    <cellStyle name="20% - Accent1 63 2 4" xfId="7671" xr:uid="{00000000-0005-0000-0000-0000E6040000}"/>
    <cellStyle name="20% - Accent1 63 2 4 2" xfId="18959" xr:uid="{00000000-0005-0000-0000-0000E7040000}"/>
    <cellStyle name="20% - Accent1 63 2 5" xfId="5677" xr:uid="{00000000-0005-0000-0000-0000E8040000}"/>
    <cellStyle name="20% - Accent1 63 2 5 2" xfId="16965" xr:uid="{00000000-0005-0000-0000-0000E9040000}"/>
    <cellStyle name="20% - Accent1 63 2 6" xfId="14971" xr:uid="{00000000-0005-0000-0000-0000EA040000}"/>
    <cellStyle name="20% - Accent1 63 3" xfId="10662" xr:uid="{00000000-0005-0000-0000-0000EB040000}"/>
    <cellStyle name="20% - Accent1 63 3 2" xfId="21950" xr:uid="{00000000-0005-0000-0000-0000EC040000}"/>
    <cellStyle name="20% - Accent1 63 4" xfId="8668" xr:uid="{00000000-0005-0000-0000-0000ED040000}"/>
    <cellStyle name="20% - Accent1 63 4 2" xfId="19956" xr:uid="{00000000-0005-0000-0000-0000EE040000}"/>
    <cellStyle name="20% - Accent1 63 5" xfId="6674" xr:uid="{00000000-0005-0000-0000-0000EF040000}"/>
    <cellStyle name="20% - Accent1 63 5 2" xfId="17962" xr:uid="{00000000-0005-0000-0000-0000F0040000}"/>
    <cellStyle name="20% - Accent1 63 6" xfId="4680" xr:uid="{00000000-0005-0000-0000-0000F1040000}"/>
    <cellStyle name="20% - Accent1 63 6 2" xfId="15968" xr:uid="{00000000-0005-0000-0000-0000F2040000}"/>
    <cellStyle name="20% - Accent1 63 7" xfId="13974" xr:uid="{00000000-0005-0000-0000-0000F3040000}"/>
    <cellStyle name="20% - Accent1 63 8" xfId="12660" xr:uid="{00000000-0005-0000-0000-0000F4040000}"/>
    <cellStyle name="20% - Accent1 64" xfId="725" xr:uid="{00000000-0005-0000-0000-0000F5040000}"/>
    <cellStyle name="20% - Accent1 64 2" xfId="3681" xr:uid="{00000000-0005-0000-0000-0000F6040000}"/>
    <cellStyle name="20% - Accent1 64 2 2" xfId="11660" xr:uid="{00000000-0005-0000-0000-0000F7040000}"/>
    <cellStyle name="20% - Accent1 64 2 2 2" xfId="22948" xr:uid="{00000000-0005-0000-0000-0000F8040000}"/>
    <cellStyle name="20% - Accent1 64 2 3" xfId="9666" xr:uid="{00000000-0005-0000-0000-0000F9040000}"/>
    <cellStyle name="20% - Accent1 64 2 3 2" xfId="20954" xr:uid="{00000000-0005-0000-0000-0000FA040000}"/>
    <cellStyle name="20% - Accent1 64 2 4" xfId="7672" xr:uid="{00000000-0005-0000-0000-0000FB040000}"/>
    <cellStyle name="20% - Accent1 64 2 4 2" xfId="18960" xr:uid="{00000000-0005-0000-0000-0000FC040000}"/>
    <cellStyle name="20% - Accent1 64 2 5" xfId="5678" xr:uid="{00000000-0005-0000-0000-0000FD040000}"/>
    <cellStyle name="20% - Accent1 64 2 5 2" xfId="16966" xr:uid="{00000000-0005-0000-0000-0000FE040000}"/>
    <cellStyle name="20% - Accent1 64 2 6" xfId="14972" xr:uid="{00000000-0005-0000-0000-0000FF040000}"/>
    <cellStyle name="20% - Accent1 64 3" xfId="10663" xr:uid="{00000000-0005-0000-0000-000000050000}"/>
    <cellStyle name="20% - Accent1 64 3 2" xfId="21951" xr:uid="{00000000-0005-0000-0000-000001050000}"/>
    <cellStyle name="20% - Accent1 64 4" xfId="8669" xr:uid="{00000000-0005-0000-0000-000002050000}"/>
    <cellStyle name="20% - Accent1 64 4 2" xfId="19957" xr:uid="{00000000-0005-0000-0000-000003050000}"/>
    <cellStyle name="20% - Accent1 64 5" xfId="6675" xr:uid="{00000000-0005-0000-0000-000004050000}"/>
    <cellStyle name="20% - Accent1 64 5 2" xfId="17963" xr:uid="{00000000-0005-0000-0000-000005050000}"/>
    <cellStyle name="20% - Accent1 64 6" xfId="4681" xr:uid="{00000000-0005-0000-0000-000006050000}"/>
    <cellStyle name="20% - Accent1 64 6 2" xfId="15969" xr:uid="{00000000-0005-0000-0000-000007050000}"/>
    <cellStyle name="20% - Accent1 64 7" xfId="13975" xr:uid="{00000000-0005-0000-0000-000008050000}"/>
    <cellStyle name="20% - Accent1 64 8" xfId="12661" xr:uid="{00000000-0005-0000-0000-000009050000}"/>
    <cellStyle name="20% - Accent1 65" xfId="726" xr:uid="{00000000-0005-0000-0000-00000A050000}"/>
    <cellStyle name="20% - Accent1 65 2" xfId="3682" xr:uid="{00000000-0005-0000-0000-00000B050000}"/>
    <cellStyle name="20% - Accent1 65 2 2" xfId="11661" xr:uid="{00000000-0005-0000-0000-00000C050000}"/>
    <cellStyle name="20% - Accent1 65 2 2 2" xfId="22949" xr:uid="{00000000-0005-0000-0000-00000D050000}"/>
    <cellStyle name="20% - Accent1 65 2 3" xfId="9667" xr:uid="{00000000-0005-0000-0000-00000E050000}"/>
    <cellStyle name="20% - Accent1 65 2 3 2" xfId="20955" xr:uid="{00000000-0005-0000-0000-00000F050000}"/>
    <cellStyle name="20% - Accent1 65 2 4" xfId="7673" xr:uid="{00000000-0005-0000-0000-000010050000}"/>
    <cellStyle name="20% - Accent1 65 2 4 2" xfId="18961" xr:uid="{00000000-0005-0000-0000-000011050000}"/>
    <cellStyle name="20% - Accent1 65 2 5" xfId="5679" xr:uid="{00000000-0005-0000-0000-000012050000}"/>
    <cellStyle name="20% - Accent1 65 2 5 2" xfId="16967" xr:uid="{00000000-0005-0000-0000-000013050000}"/>
    <cellStyle name="20% - Accent1 65 2 6" xfId="14973" xr:uid="{00000000-0005-0000-0000-000014050000}"/>
    <cellStyle name="20% - Accent1 65 3" xfId="10664" xr:uid="{00000000-0005-0000-0000-000015050000}"/>
    <cellStyle name="20% - Accent1 65 3 2" xfId="21952" xr:uid="{00000000-0005-0000-0000-000016050000}"/>
    <cellStyle name="20% - Accent1 65 4" xfId="8670" xr:uid="{00000000-0005-0000-0000-000017050000}"/>
    <cellStyle name="20% - Accent1 65 4 2" xfId="19958" xr:uid="{00000000-0005-0000-0000-000018050000}"/>
    <cellStyle name="20% - Accent1 65 5" xfId="6676" xr:uid="{00000000-0005-0000-0000-000019050000}"/>
    <cellStyle name="20% - Accent1 65 5 2" xfId="17964" xr:uid="{00000000-0005-0000-0000-00001A050000}"/>
    <cellStyle name="20% - Accent1 65 6" xfId="4682" xr:uid="{00000000-0005-0000-0000-00001B050000}"/>
    <cellStyle name="20% - Accent1 65 6 2" xfId="15970" xr:uid="{00000000-0005-0000-0000-00001C050000}"/>
    <cellStyle name="20% - Accent1 65 7" xfId="13976" xr:uid="{00000000-0005-0000-0000-00001D050000}"/>
    <cellStyle name="20% - Accent1 65 8" xfId="12662" xr:uid="{00000000-0005-0000-0000-00001E050000}"/>
    <cellStyle name="20% - Accent1 66" xfId="727" xr:uid="{00000000-0005-0000-0000-00001F050000}"/>
    <cellStyle name="20% - Accent1 66 2" xfId="3683" xr:uid="{00000000-0005-0000-0000-000020050000}"/>
    <cellStyle name="20% - Accent1 66 2 2" xfId="11662" xr:uid="{00000000-0005-0000-0000-000021050000}"/>
    <cellStyle name="20% - Accent1 66 2 2 2" xfId="22950" xr:uid="{00000000-0005-0000-0000-000022050000}"/>
    <cellStyle name="20% - Accent1 66 2 3" xfId="9668" xr:uid="{00000000-0005-0000-0000-000023050000}"/>
    <cellStyle name="20% - Accent1 66 2 3 2" xfId="20956" xr:uid="{00000000-0005-0000-0000-000024050000}"/>
    <cellStyle name="20% - Accent1 66 2 4" xfId="7674" xr:uid="{00000000-0005-0000-0000-000025050000}"/>
    <cellStyle name="20% - Accent1 66 2 4 2" xfId="18962" xr:uid="{00000000-0005-0000-0000-000026050000}"/>
    <cellStyle name="20% - Accent1 66 2 5" xfId="5680" xr:uid="{00000000-0005-0000-0000-000027050000}"/>
    <cellStyle name="20% - Accent1 66 2 5 2" xfId="16968" xr:uid="{00000000-0005-0000-0000-000028050000}"/>
    <cellStyle name="20% - Accent1 66 2 6" xfId="14974" xr:uid="{00000000-0005-0000-0000-000029050000}"/>
    <cellStyle name="20% - Accent1 66 3" xfId="10665" xr:uid="{00000000-0005-0000-0000-00002A050000}"/>
    <cellStyle name="20% - Accent1 66 3 2" xfId="21953" xr:uid="{00000000-0005-0000-0000-00002B050000}"/>
    <cellStyle name="20% - Accent1 66 4" xfId="8671" xr:uid="{00000000-0005-0000-0000-00002C050000}"/>
    <cellStyle name="20% - Accent1 66 4 2" xfId="19959" xr:uid="{00000000-0005-0000-0000-00002D050000}"/>
    <cellStyle name="20% - Accent1 66 5" xfId="6677" xr:uid="{00000000-0005-0000-0000-00002E050000}"/>
    <cellStyle name="20% - Accent1 66 5 2" xfId="17965" xr:uid="{00000000-0005-0000-0000-00002F050000}"/>
    <cellStyle name="20% - Accent1 66 6" xfId="4683" xr:uid="{00000000-0005-0000-0000-000030050000}"/>
    <cellStyle name="20% - Accent1 66 6 2" xfId="15971" xr:uid="{00000000-0005-0000-0000-000031050000}"/>
    <cellStyle name="20% - Accent1 66 7" xfId="13977" xr:uid="{00000000-0005-0000-0000-000032050000}"/>
    <cellStyle name="20% - Accent1 66 8" xfId="12663" xr:uid="{00000000-0005-0000-0000-000033050000}"/>
    <cellStyle name="20% - Accent1 67" xfId="728" xr:uid="{00000000-0005-0000-0000-000034050000}"/>
    <cellStyle name="20% - Accent1 67 2" xfId="3684" xr:uid="{00000000-0005-0000-0000-000035050000}"/>
    <cellStyle name="20% - Accent1 67 2 2" xfId="11663" xr:uid="{00000000-0005-0000-0000-000036050000}"/>
    <cellStyle name="20% - Accent1 67 2 2 2" xfId="22951" xr:uid="{00000000-0005-0000-0000-000037050000}"/>
    <cellStyle name="20% - Accent1 67 2 3" xfId="9669" xr:uid="{00000000-0005-0000-0000-000038050000}"/>
    <cellStyle name="20% - Accent1 67 2 3 2" xfId="20957" xr:uid="{00000000-0005-0000-0000-000039050000}"/>
    <cellStyle name="20% - Accent1 67 2 4" xfId="7675" xr:uid="{00000000-0005-0000-0000-00003A050000}"/>
    <cellStyle name="20% - Accent1 67 2 4 2" xfId="18963" xr:uid="{00000000-0005-0000-0000-00003B050000}"/>
    <cellStyle name="20% - Accent1 67 2 5" xfId="5681" xr:uid="{00000000-0005-0000-0000-00003C050000}"/>
    <cellStyle name="20% - Accent1 67 2 5 2" xfId="16969" xr:uid="{00000000-0005-0000-0000-00003D050000}"/>
    <cellStyle name="20% - Accent1 67 2 6" xfId="14975" xr:uid="{00000000-0005-0000-0000-00003E050000}"/>
    <cellStyle name="20% - Accent1 67 3" xfId="10666" xr:uid="{00000000-0005-0000-0000-00003F050000}"/>
    <cellStyle name="20% - Accent1 67 3 2" xfId="21954" xr:uid="{00000000-0005-0000-0000-000040050000}"/>
    <cellStyle name="20% - Accent1 67 4" xfId="8672" xr:uid="{00000000-0005-0000-0000-000041050000}"/>
    <cellStyle name="20% - Accent1 67 4 2" xfId="19960" xr:uid="{00000000-0005-0000-0000-000042050000}"/>
    <cellStyle name="20% - Accent1 67 5" xfId="6678" xr:uid="{00000000-0005-0000-0000-000043050000}"/>
    <cellStyle name="20% - Accent1 67 5 2" xfId="17966" xr:uid="{00000000-0005-0000-0000-000044050000}"/>
    <cellStyle name="20% - Accent1 67 6" xfId="4684" xr:uid="{00000000-0005-0000-0000-000045050000}"/>
    <cellStyle name="20% - Accent1 67 6 2" xfId="15972" xr:uid="{00000000-0005-0000-0000-000046050000}"/>
    <cellStyle name="20% - Accent1 67 7" xfId="13978" xr:uid="{00000000-0005-0000-0000-000047050000}"/>
    <cellStyle name="20% - Accent1 67 8" xfId="12664" xr:uid="{00000000-0005-0000-0000-000048050000}"/>
    <cellStyle name="20% - Accent1 68" xfId="729" xr:uid="{00000000-0005-0000-0000-000049050000}"/>
    <cellStyle name="20% - Accent1 68 2" xfId="3685" xr:uid="{00000000-0005-0000-0000-00004A050000}"/>
    <cellStyle name="20% - Accent1 68 2 2" xfId="11664" xr:uid="{00000000-0005-0000-0000-00004B050000}"/>
    <cellStyle name="20% - Accent1 68 2 2 2" xfId="22952" xr:uid="{00000000-0005-0000-0000-00004C050000}"/>
    <cellStyle name="20% - Accent1 68 2 3" xfId="9670" xr:uid="{00000000-0005-0000-0000-00004D050000}"/>
    <cellStyle name="20% - Accent1 68 2 3 2" xfId="20958" xr:uid="{00000000-0005-0000-0000-00004E050000}"/>
    <cellStyle name="20% - Accent1 68 2 4" xfId="7676" xr:uid="{00000000-0005-0000-0000-00004F050000}"/>
    <cellStyle name="20% - Accent1 68 2 4 2" xfId="18964" xr:uid="{00000000-0005-0000-0000-000050050000}"/>
    <cellStyle name="20% - Accent1 68 2 5" xfId="5682" xr:uid="{00000000-0005-0000-0000-000051050000}"/>
    <cellStyle name="20% - Accent1 68 2 5 2" xfId="16970" xr:uid="{00000000-0005-0000-0000-000052050000}"/>
    <cellStyle name="20% - Accent1 68 2 6" xfId="14976" xr:uid="{00000000-0005-0000-0000-000053050000}"/>
    <cellStyle name="20% - Accent1 68 3" xfId="10667" xr:uid="{00000000-0005-0000-0000-000054050000}"/>
    <cellStyle name="20% - Accent1 68 3 2" xfId="21955" xr:uid="{00000000-0005-0000-0000-000055050000}"/>
    <cellStyle name="20% - Accent1 68 4" xfId="8673" xr:uid="{00000000-0005-0000-0000-000056050000}"/>
    <cellStyle name="20% - Accent1 68 4 2" xfId="19961" xr:uid="{00000000-0005-0000-0000-000057050000}"/>
    <cellStyle name="20% - Accent1 68 5" xfId="6679" xr:uid="{00000000-0005-0000-0000-000058050000}"/>
    <cellStyle name="20% - Accent1 68 5 2" xfId="17967" xr:uid="{00000000-0005-0000-0000-000059050000}"/>
    <cellStyle name="20% - Accent1 68 6" xfId="4685" xr:uid="{00000000-0005-0000-0000-00005A050000}"/>
    <cellStyle name="20% - Accent1 68 6 2" xfId="15973" xr:uid="{00000000-0005-0000-0000-00005B050000}"/>
    <cellStyle name="20% - Accent1 68 7" xfId="13979" xr:uid="{00000000-0005-0000-0000-00005C050000}"/>
    <cellStyle name="20% - Accent1 68 8" xfId="12665" xr:uid="{00000000-0005-0000-0000-00005D050000}"/>
    <cellStyle name="20% - Accent1 69" xfId="730" xr:uid="{00000000-0005-0000-0000-00005E050000}"/>
    <cellStyle name="20% - Accent1 69 2" xfId="3686" xr:uid="{00000000-0005-0000-0000-00005F050000}"/>
    <cellStyle name="20% - Accent1 69 2 2" xfId="11665" xr:uid="{00000000-0005-0000-0000-000060050000}"/>
    <cellStyle name="20% - Accent1 69 2 2 2" xfId="22953" xr:uid="{00000000-0005-0000-0000-000061050000}"/>
    <cellStyle name="20% - Accent1 69 2 3" xfId="9671" xr:uid="{00000000-0005-0000-0000-000062050000}"/>
    <cellStyle name="20% - Accent1 69 2 3 2" xfId="20959" xr:uid="{00000000-0005-0000-0000-000063050000}"/>
    <cellStyle name="20% - Accent1 69 2 4" xfId="7677" xr:uid="{00000000-0005-0000-0000-000064050000}"/>
    <cellStyle name="20% - Accent1 69 2 4 2" xfId="18965" xr:uid="{00000000-0005-0000-0000-000065050000}"/>
    <cellStyle name="20% - Accent1 69 2 5" xfId="5683" xr:uid="{00000000-0005-0000-0000-000066050000}"/>
    <cellStyle name="20% - Accent1 69 2 5 2" xfId="16971" xr:uid="{00000000-0005-0000-0000-000067050000}"/>
    <cellStyle name="20% - Accent1 69 2 6" xfId="14977" xr:uid="{00000000-0005-0000-0000-000068050000}"/>
    <cellStyle name="20% - Accent1 69 3" xfId="10668" xr:uid="{00000000-0005-0000-0000-000069050000}"/>
    <cellStyle name="20% - Accent1 69 3 2" xfId="21956" xr:uid="{00000000-0005-0000-0000-00006A050000}"/>
    <cellStyle name="20% - Accent1 69 4" xfId="8674" xr:uid="{00000000-0005-0000-0000-00006B050000}"/>
    <cellStyle name="20% - Accent1 69 4 2" xfId="19962" xr:uid="{00000000-0005-0000-0000-00006C050000}"/>
    <cellStyle name="20% - Accent1 69 5" xfId="6680" xr:uid="{00000000-0005-0000-0000-00006D050000}"/>
    <cellStyle name="20% - Accent1 69 5 2" xfId="17968" xr:uid="{00000000-0005-0000-0000-00006E050000}"/>
    <cellStyle name="20% - Accent1 69 6" xfId="4686" xr:uid="{00000000-0005-0000-0000-00006F050000}"/>
    <cellStyle name="20% - Accent1 69 6 2" xfId="15974" xr:uid="{00000000-0005-0000-0000-000070050000}"/>
    <cellStyle name="20% - Accent1 69 7" xfId="13980" xr:uid="{00000000-0005-0000-0000-000071050000}"/>
    <cellStyle name="20% - Accent1 69 8" xfId="12666" xr:uid="{00000000-0005-0000-0000-000072050000}"/>
    <cellStyle name="20% - Accent1 7" xfId="731" xr:uid="{00000000-0005-0000-0000-000073050000}"/>
    <cellStyle name="20% - Accent1 7 10" xfId="24564" xr:uid="{00000000-0005-0000-0000-000074050000}"/>
    <cellStyle name="20% - Accent1 7 11" xfId="24954" xr:uid="{00000000-0005-0000-0000-000075050000}"/>
    <cellStyle name="20% - Accent1 7 2" xfId="3687" xr:uid="{00000000-0005-0000-0000-000076050000}"/>
    <cellStyle name="20% - Accent1 7 2 2" xfId="11666" xr:uid="{00000000-0005-0000-0000-000077050000}"/>
    <cellStyle name="20% - Accent1 7 2 2 2" xfId="22954" xr:uid="{00000000-0005-0000-0000-000078050000}"/>
    <cellStyle name="20% - Accent1 7 2 3" xfId="9672" xr:uid="{00000000-0005-0000-0000-000079050000}"/>
    <cellStyle name="20% - Accent1 7 2 3 2" xfId="20960" xr:uid="{00000000-0005-0000-0000-00007A050000}"/>
    <cellStyle name="20% - Accent1 7 2 4" xfId="7678" xr:uid="{00000000-0005-0000-0000-00007B050000}"/>
    <cellStyle name="20% - Accent1 7 2 4 2" xfId="18966" xr:uid="{00000000-0005-0000-0000-00007C050000}"/>
    <cellStyle name="20% - Accent1 7 2 5" xfId="5684" xr:uid="{00000000-0005-0000-0000-00007D050000}"/>
    <cellStyle name="20% - Accent1 7 2 5 2" xfId="16972" xr:uid="{00000000-0005-0000-0000-00007E050000}"/>
    <cellStyle name="20% - Accent1 7 2 6" xfId="14978" xr:uid="{00000000-0005-0000-0000-00007F050000}"/>
    <cellStyle name="20% - Accent1 7 2 7" xfId="24325" xr:uid="{00000000-0005-0000-0000-000080050000}"/>
    <cellStyle name="20% - Accent1 7 2 8" xfId="24789" xr:uid="{00000000-0005-0000-0000-000081050000}"/>
    <cellStyle name="20% - Accent1 7 2 9" xfId="25156" xr:uid="{00000000-0005-0000-0000-000082050000}"/>
    <cellStyle name="20% - Accent1 7 3" xfId="10669" xr:uid="{00000000-0005-0000-0000-000083050000}"/>
    <cellStyle name="20% - Accent1 7 3 2" xfId="21957" xr:uid="{00000000-0005-0000-0000-000084050000}"/>
    <cellStyle name="20% - Accent1 7 4" xfId="8675" xr:uid="{00000000-0005-0000-0000-000085050000}"/>
    <cellStyle name="20% - Accent1 7 4 2" xfId="19963" xr:uid="{00000000-0005-0000-0000-000086050000}"/>
    <cellStyle name="20% - Accent1 7 5" xfId="6681" xr:uid="{00000000-0005-0000-0000-000087050000}"/>
    <cellStyle name="20% - Accent1 7 5 2" xfId="17969" xr:uid="{00000000-0005-0000-0000-000088050000}"/>
    <cellStyle name="20% - Accent1 7 6" xfId="4687" xr:uid="{00000000-0005-0000-0000-000089050000}"/>
    <cellStyle name="20% - Accent1 7 6 2" xfId="15975" xr:uid="{00000000-0005-0000-0000-00008A050000}"/>
    <cellStyle name="20% - Accent1 7 7" xfId="13981" xr:uid="{00000000-0005-0000-0000-00008B050000}"/>
    <cellStyle name="20% - Accent1 7 8" xfId="12667" xr:uid="{00000000-0005-0000-0000-00008C050000}"/>
    <cellStyle name="20% - Accent1 7 9" xfId="23937" xr:uid="{00000000-0005-0000-0000-00008D050000}"/>
    <cellStyle name="20% - Accent1 70" xfId="732" xr:uid="{00000000-0005-0000-0000-00008E050000}"/>
    <cellStyle name="20% - Accent1 70 2" xfId="3688" xr:uid="{00000000-0005-0000-0000-00008F050000}"/>
    <cellStyle name="20% - Accent1 70 2 2" xfId="11667" xr:uid="{00000000-0005-0000-0000-000090050000}"/>
    <cellStyle name="20% - Accent1 70 2 2 2" xfId="22955" xr:uid="{00000000-0005-0000-0000-000091050000}"/>
    <cellStyle name="20% - Accent1 70 2 3" xfId="9673" xr:uid="{00000000-0005-0000-0000-000092050000}"/>
    <cellStyle name="20% - Accent1 70 2 3 2" xfId="20961" xr:uid="{00000000-0005-0000-0000-000093050000}"/>
    <cellStyle name="20% - Accent1 70 2 4" xfId="7679" xr:uid="{00000000-0005-0000-0000-000094050000}"/>
    <cellStyle name="20% - Accent1 70 2 4 2" xfId="18967" xr:uid="{00000000-0005-0000-0000-000095050000}"/>
    <cellStyle name="20% - Accent1 70 2 5" xfId="5685" xr:uid="{00000000-0005-0000-0000-000096050000}"/>
    <cellStyle name="20% - Accent1 70 2 5 2" xfId="16973" xr:uid="{00000000-0005-0000-0000-000097050000}"/>
    <cellStyle name="20% - Accent1 70 2 6" xfId="14979" xr:uid="{00000000-0005-0000-0000-000098050000}"/>
    <cellStyle name="20% - Accent1 70 3" xfId="10670" xr:uid="{00000000-0005-0000-0000-000099050000}"/>
    <cellStyle name="20% - Accent1 70 3 2" xfId="21958" xr:uid="{00000000-0005-0000-0000-00009A050000}"/>
    <cellStyle name="20% - Accent1 70 4" xfId="8676" xr:uid="{00000000-0005-0000-0000-00009B050000}"/>
    <cellStyle name="20% - Accent1 70 4 2" xfId="19964" xr:uid="{00000000-0005-0000-0000-00009C050000}"/>
    <cellStyle name="20% - Accent1 70 5" xfId="6682" xr:uid="{00000000-0005-0000-0000-00009D050000}"/>
    <cellStyle name="20% - Accent1 70 5 2" xfId="17970" xr:uid="{00000000-0005-0000-0000-00009E050000}"/>
    <cellStyle name="20% - Accent1 70 6" xfId="4688" xr:uid="{00000000-0005-0000-0000-00009F050000}"/>
    <cellStyle name="20% - Accent1 70 6 2" xfId="15976" xr:uid="{00000000-0005-0000-0000-0000A0050000}"/>
    <cellStyle name="20% - Accent1 70 7" xfId="13982" xr:uid="{00000000-0005-0000-0000-0000A1050000}"/>
    <cellStyle name="20% - Accent1 70 8" xfId="12668" xr:uid="{00000000-0005-0000-0000-0000A2050000}"/>
    <cellStyle name="20% - Accent1 71" xfId="733" xr:uid="{00000000-0005-0000-0000-0000A3050000}"/>
    <cellStyle name="20% - Accent1 71 2" xfId="3689" xr:uid="{00000000-0005-0000-0000-0000A4050000}"/>
    <cellStyle name="20% - Accent1 71 2 2" xfId="11668" xr:uid="{00000000-0005-0000-0000-0000A5050000}"/>
    <cellStyle name="20% - Accent1 71 2 2 2" xfId="22956" xr:uid="{00000000-0005-0000-0000-0000A6050000}"/>
    <cellStyle name="20% - Accent1 71 2 3" xfId="9674" xr:uid="{00000000-0005-0000-0000-0000A7050000}"/>
    <cellStyle name="20% - Accent1 71 2 3 2" xfId="20962" xr:uid="{00000000-0005-0000-0000-0000A8050000}"/>
    <cellStyle name="20% - Accent1 71 2 4" xfId="7680" xr:uid="{00000000-0005-0000-0000-0000A9050000}"/>
    <cellStyle name="20% - Accent1 71 2 4 2" xfId="18968" xr:uid="{00000000-0005-0000-0000-0000AA050000}"/>
    <cellStyle name="20% - Accent1 71 2 5" xfId="5686" xr:uid="{00000000-0005-0000-0000-0000AB050000}"/>
    <cellStyle name="20% - Accent1 71 2 5 2" xfId="16974" xr:uid="{00000000-0005-0000-0000-0000AC050000}"/>
    <cellStyle name="20% - Accent1 71 2 6" xfId="14980" xr:uid="{00000000-0005-0000-0000-0000AD050000}"/>
    <cellStyle name="20% - Accent1 71 3" xfId="10671" xr:uid="{00000000-0005-0000-0000-0000AE050000}"/>
    <cellStyle name="20% - Accent1 71 3 2" xfId="21959" xr:uid="{00000000-0005-0000-0000-0000AF050000}"/>
    <cellStyle name="20% - Accent1 71 4" xfId="8677" xr:uid="{00000000-0005-0000-0000-0000B0050000}"/>
    <cellStyle name="20% - Accent1 71 4 2" xfId="19965" xr:uid="{00000000-0005-0000-0000-0000B1050000}"/>
    <cellStyle name="20% - Accent1 71 5" xfId="6683" xr:uid="{00000000-0005-0000-0000-0000B2050000}"/>
    <cellStyle name="20% - Accent1 71 5 2" xfId="17971" xr:uid="{00000000-0005-0000-0000-0000B3050000}"/>
    <cellStyle name="20% - Accent1 71 6" xfId="4689" xr:uid="{00000000-0005-0000-0000-0000B4050000}"/>
    <cellStyle name="20% - Accent1 71 6 2" xfId="15977" xr:uid="{00000000-0005-0000-0000-0000B5050000}"/>
    <cellStyle name="20% - Accent1 71 7" xfId="13983" xr:uid="{00000000-0005-0000-0000-0000B6050000}"/>
    <cellStyle name="20% - Accent1 71 8" xfId="12669" xr:uid="{00000000-0005-0000-0000-0000B7050000}"/>
    <cellStyle name="20% - Accent1 72" xfId="734" xr:uid="{00000000-0005-0000-0000-0000B8050000}"/>
    <cellStyle name="20% - Accent1 72 2" xfId="3690" xr:uid="{00000000-0005-0000-0000-0000B9050000}"/>
    <cellStyle name="20% - Accent1 72 2 2" xfId="11669" xr:uid="{00000000-0005-0000-0000-0000BA050000}"/>
    <cellStyle name="20% - Accent1 72 2 2 2" xfId="22957" xr:uid="{00000000-0005-0000-0000-0000BB050000}"/>
    <cellStyle name="20% - Accent1 72 2 3" xfId="9675" xr:uid="{00000000-0005-0000-0000-0000BC050000}"/>
    <cellStyle name="20% - Accent1 72 2 3 2" xfId="20963" xr:uid="{00000000-0005-0000-0000-0000BD050000}"/>
    <cellStyle name="20% - Accent1 72 2 4" xfId="7681" xr:uid="{00000000-0005-0000-0000-0000BE050000}"/>
    <cellStyle name="20% - Accent1 72 2 4 2" xfId="18969" xr:uid="{00000000-0005-0000-0000-0000BF050000}"/>
    <cellStyle name="20% - Accent1 72 2 5" xfId="5687" xr:uid="{00000000-0005-0000-0000-0000C0050000}"/>
    <cellStyle name="20% - Accent1 72 2 5 2" xfId="16975" xr:uid="{00000000-0005-0000-0000-0000C1050000}"/>
    <cellStyle name="20% - Accent1 72 2 6" xfId="14981" xr:uid="{00000000-0005-0000-0000-0000C2050000}"/>
    <cellStyle name="20% - Accent1 72 3" xfId="10672" xr:uid="{00000000-0005-0000-0000-0000C3050000}"/>
    <cellStyle name="20% - Accent1 72 3 2" xfId="21960" xr:uid="{00000000-0005-0000-0000-0000C4050000}"/>
    <cellStyle name="20% - Accent1 72 4" xfId="8678" xr:uid="{00000000-0005-0000-0000-0000C5050000}"/>
    <cellStyle name="20% - Accent1 72 4 2" xfId="19966" xr:uid="{00000000-0005-0000-0000-0000C6050000}"/>
    <cellStyle name="20% - Accent1 72 5" xfId="6684" xr:uid="{00000000-0005-0000-0000-0000C7050000}"/>
    <cellStyle name="20% - Accent1 72 5 2" xfId="17972" xr:uid="{00000000-0005-0000-0000-0000C8050000}"/>
    <cellStyle name="20% - Accent1 72 6" xfId="4690" xr:uid="{00000000-0005-0000-0000-0000C9050000}"/>
    <cellStyle name="20% - Accent1 72 6 2" xfId="15978" xr:uid="{00000000-0005-0000-0000-0000CA050000}"/>
    <cellStyle name="20% - Accent1 72 7" xfId="13984" xr:uid="{00000000-0005-0000-0000-0000CB050000}"/>
    <cellStyle name="20% - Accent1 72 8" xfId="12670" xr:uid="{00000000-0005-0000-0000-0000CC050000}"/>
    <cellStyle name="20% - Accent1 8" xfId="735" xr:uid="{00000000-0005-0000-0000-0000CD050000}"/>
    <cellStyle name="20% - Accent1 8 2" xfId="3691" xr:uid="{00000000-0005-0000-0000-0000CE050000}"/>
    <cellStyle name="20% - Accent1 8 2 2" xfId="11670" xr:uid="{00000000-0005-0000-0000-0000CF050000}"/>
    <cellStyle name="20% - Accent1 8 2 2 2" xfId="22958" xr:uid="{00000000-0005-0000-0000-0000D0050000}"/>
    <cellStyle name="20% - Accent1 8 2 3" xfId="9676" xr:uid="{00000000-0005-0000-0000-0000D1050000}"/>
    <cellStyle name="20% - Accent1 8 2 3 2" xfId="20964" xr:uid="{00000000-0005-0000-0000-0000D2050000}"/>
    <cellStyle name="20% - Accent1 8 2 4" xfId="7682" xr:uid="{00000000-0005-0000-0000-0000D3050000}"/>
    <cellStyle name="20% - Accent1 8 2 4 2" xfId="18970" xr:uid="{00000000-0005-0000-0000-0000D4050000}"/>
    <cellStyle name="20% - Accent1 8 2 5" xfId="5688" xr:uid="{00000000-0005-0000-0000-0000D5050000}"/>
    <cellStyle name="20% - Accent1 8 2 5 2" xfId="16976" xr:uid="{00000000-0005-0000-0000-0000D6050000}"/>
    <cellStyle name="20% - Accent1 8 2 6" xfId="14982" xr:uid="{00000000-0005-0000-0000-0000D7050000}"/>
    <cellStyle name="20% - Accent1 8 3" xfId="10673" xr:uid="{00000000-0005-0000-0000-0000D8050000}"/>
    <cellStyle name="20% - Accent1 8 3 2" xfId="21961" xr:uid="{00000000-0005-0000-0000-0000D9050000}"/>
    <cellStyle name="20% - Accent1 8 4" xfId="8679" xr:uid="{00000000-0005-0000-0000-0000DA050000}"/>
    <cellStyle name="20% - Accent1 8 4 2" xfId="19967" xr:uid="{00000000-0005-0000-0000-0000DB050000}"/>
    <cellStyle name="20% - Accent1 8 5" xfId="6685" xr:uid="{00000000-0005-0000-0000-0000DC050000}"/>
    <cellStyle name="20% - Accent1 8 5 2" xfId="17973" xr:uid="{00000000-0005-0000-0000-0000DD050000}"/>
    <cellStyle name="20% - Accent1 8 6" xfId="4691" xr:uid="{00000000-0005-0000-0000-0000DE050000}"/>
    <cellStyle name="20% - Accent1 8 6 2" xfId="15979" xr:uid="{00000000-0005-0000-0000-0000DF050000}"/>
    <cellStyle name="20% - Accent1 8 7" xfId="13985" xr:uid="{00000000-0005-0000-0000-0000E0050000}"/>
    <cellStyle name="20% - Accent1 8 8" xfId="12671" xr:uid="{00000000-0005-0000-0000-0000E1050000}"/>
    <cellStyle name="20% - Accent1 9" xfId="736" xr:uid="{00000000-0005-0000-0000-0000E2050000}"/>
    <cellStyle name="20% - Accent1 9 2" xfId="3692" xr:uid="{00000000-0005-0000-0000-0000E3050000}"/>
    <cellStyle name="20% - Accent1 9 2 2" xfId="11671" xr:uid="{00000000-0005-0000-0000-0000E4050000}"/>
    <cellStyle name="20% - Accent1 9 2 2 2" xfId="22959" xr:uid="{00000000-0005-0000-0000-0000E5050000}"/>
    <cellStyle name="20% - Accent1 9 2 3" xfId="9677" xr:uid="{00000000-0005-0000-0000-0000E6050000}"/>
    <cellStyle name="20% - Accent1 9 2 3 2" xfId="20965" xr:uid="{00000000-0005-0000-0000-0000E7050000}"/>
    <cellStyle name="20% - Accent1 9 2 4" xfId="7683" xr:uid="{00000000-0005-0000-0000-0000E8050000}"/>
    <cellStyle name="20% - Accent1 9 2 4 2" xfId="18971" xr:uid="{00000000-0005-0000-0000-0000E9050000}"/>
    <cellStyle name="20% - Accent1 9 2 5" xfId="5689" xr:uid="{00000000-0005-0000-0000-0000EA050000}"/>
    <cellStyle name="20% - Accent1 9 2 5 2" xfId="16977" xr:uid="{00000000-0005-0000-0000-0000EB050000}"/>
    <cellStyle name="20% - Accent1 9 2 6" xfId="14983" xr:uid="{00000000-0005-0000-0000-0000EC050000}"/>
    <cellStyle name="20% - Accent1 9 3" xfId="10674" xr:uid="{00000000-0005-0000-0000-0000ED050000}"/>
    <cellStyle name="20% - Accent1 9 3 2" xfId="21962" xr:uid="{00000000-0005-0000-0000-0000EE050000}"/>
    <cellStyle name="20% - Accent1 9 4" xfId="8680" xr:uid="{00000000-0005-0000-0000-0000EF050000}"/>
    <cellStyle name="20% - Accent1 9 4 2" xfId="19968" xr:uid="{00000000-0005-0000-0000-0000F0050000}"/>
    <cellStyle name="20% - Accent1 9 5" xfId="6686" xr:uid="{00000000-0005-0000-0000-0000F1050000}"/>
    <cellStyle name="20% - Accent1 9 5 2" xfId="17974" xr:uid="{00000000-0005-0000-0000-0000F2050000}"/>
    <cellStyle name="20% - Accent1 9 6" xfId="4692" xr:uid="{00000000-0005-0000-0000-0000F3050000}"/>
    <cellStyle name="20% - Accent1 9 6 2" xfId="15980" xr:uid="{00000000-0005-0000-0000-0000F4050000}"/>
    <cellStyle name="20% - Accent1 9 7" xfId="13986" xr:uid="{00000000-0005-0000-0000-0000F5050000}"/>
    <cellStyle name="20% - Accent1 9 8" xfId="12672" xr:uid="{00000000-0005-0000-0000-0000F6050000}"/>
    <cellStyle name="20% - Accent2 10" xfId="737" xr:uid="{00000000-0005-0000-0000-0000F7050000}"/>
    <cellStyle name="20% - Accent2 10 2" xfId="3693" xr:uid="{00000000-0005-0000-0000-0000F8050000}"/>
    <cellStyle name="20% - Accent2 10 2 2" xfId="11672" xr:uid="{00000000-0005-0000-0000-0000F9050000}"/>
    <cellStyle name="20% - Accent2 10 2 2 2" xfId="22960" xr:uid="{00000000-0005-0000-0000-0000FA050000}"/>
    <cellStyle name="20% - Accent2 10 2 3" xfId="9678" xr:uid="{00000000-0005-0000-0000-0000FB050000}"/>
    <cellStyle name="20% - Accent2 10 2 3 2" xfId="20966" xr:uid="{00000000-0005-0000-0000-0000FC050000}"/>
    <cellStyle name="20% - Accent2 10 2 4" xfId="7684" xr:uid="{00000000-0005-0000-0000-0000FD050000}"/>
    <cellStyle name="20% - Accent2 10 2 4 2" xfId="18972" xr:uid="{00000000-0005-0000-0000-0000FE050000}"/>
    <cellStyle name="20% - Accent2 10 2 5" xfId="5690" xr:uid="{00000000-0005-0000-0000-0000FF050000}"/>
    <cellStyle name="20% - Accent2 10 2 5 2" xfId="16978" xr:uid="{00000000-0005-0000-0000-000000060000}"/>
    <cellStyle name="20% - Accent2 10 2 6" xfId="14984" xr:uid="{00000000-0005-0000-0000-000001060000}"/>
    <cellStyle name="20% - Accent2 10 3" xfId="10675" xr:uid="{00000000-0005-0000-0000-000002060000}"/>
    <cellStyle name="20% - Accent2 10 3 2" xfId="21963" xr:uid="{00000000-0005-0000-0000-000003060000}"/>
    <cellStyle name="20% - Accent2 10 4" xfId="8681" xr:uid="{00000000-0005-0000-0000-000004060000}"/>
    <cellStyle name="20% - Accent2 10 4 2" xfId="19969" xr:uid="{00000000-0005-0000-0000-000005060000}"/>
    <cellStyle name="20% - Accent2 10 5" xfId="6687" xr:uid="{00000000-0005-0000-0000-000006060000}"/>
    <cellStyle name="20% - Accent2 10 5 2" xfId="17975" xr:uid="{00000000-0005-0000-0000-000007060000}"/>
    <cellStyle name="20% - Accent2 10 6" xfId="4693" xr:uid="{00000000-0005-0000-0000-000008060000}"/>
    <cellStyle name="20% - Accent2 10 6 2" xfId="15981" xr:uid="{00000000-0005-0000-0000-000009060000}"/>
    <cellStyle name="20% - Accent2 10 7" xfId="13987" xr:uid="{00000000-0005-0000-0000-00000A060000}"/>
    <cellStyle name="20% - Accent2 10 8" xfId="12673" xr:uid="{00000000-0005-0000-0000-00000B060000}"/>
    <cellStyle name="20% - Accent2 11" xfId="738" xr:uid="{00000000-0005-0000-0000-00000C060000}"/>
    <cellStyle name="20% - Accent2 11 2" xfId="3694" xr:uid="{00000000-0005-0000-0000-00000D060000}"/>
    <cellStyle name="20% - Accent2 11 2 2" xfId="11673" xr:uid="{00000000-0005-0000-0000-00000E060000}"/>
    <cellStyle name="20% - Accent2 11 2 2 2" xfId="22961" xr:uid="{00000000-0005-0000-0000-00000F060000}"/>
    <cellStyle name="20% - Accent2 11 2 3" xfId="9679" xr:uid="{00000000-0005-0000-0000-000010060000}"/>
    <cellStyle name="20% - Accent2 11 2 3 2" xfId="20967" xr:uid="{00000000-0005-0000-0000-000011060000}"/>
    <cellStyle name="20% - Accent2 11 2 4" xfId="7685" xr:uid="{00000000-0005-0000-0000-000012060000}"/>
    <cellStyle name="20% - Accent2 11 2 4 2" xfId="18973" xr:uid="{00000000-0005-0000-0000-000013060000}"/>
    <cellStyle name="20% - Accent2 11 2 5" xfId="5691" xr:uid="{00000000-0005-0000-0000-000014060000}"/>
    <cellStyle name="20% - Accent2 11 2 5 2" xfId="16979" xr:uid="{00000000-0005-0000-0000-000015060000}"/>
    <cellStyle name="20% - Accent2 11 2 6" xfId="14985" xr:uid="{00000000-0005-0000-0000-000016060000}"/>
    <cellStyle name="20% - Accent2 11 3" xfId="10676" xr:uid="{00000000-0005-0000-0000-000017060000}"/>
    <cellStyle name="20% - Accent2 11 3 2" xfId="21964" xr:uid="{00000000-0005-0000-0000-000018060000}"/>
    <cellStyle name="20% - Accent2 11 4" xfId="8682" xr:uid="{00000000-0005-0000-0000-000019060000}"/>
    <cellStyle name="20% - Accent2 11 4 2" xfId="19970" xr:uid="{00000000-0005-0000-0000-00001A060000}"/>
    <cellStyle name="20% - Accent2 11 5" xfId="6688" xr:uid="{00000000-0005-0000-0000-00001B060000}"/>
    <cellStyle name="20% - Accent2 11 5 2" xfId="17976" xr:uid="{00000000-0005-0000-0000-00001C060000}"/>
    <cellStyle name="20% - Accent2 11 6" xfId="4694" xr:uid="{00000000-0005-0000-0000-00001D060000}"/>
    <cellStyle name="20% - Accent2 11 6 2" xfId="15982" xr:uid="{00000000-0005-0000-0000-00001E060000}"/>
    <cellStyle name="20% - Accent2 11 7" xfId="13988" xr:uid="{00000000-0005-0000-0000-00001F060000}"/>
    <cellStyle name="20% - Accent2 11 8" xfId="12674" xr:uid="{00000000-0005-0000-0000-000020060000}"/>
    <cellStyle name="20% - Accent2 12" xfId="739" xr:uid="{00000000-0005-0000-0000-000021060000}"/>
    <cellStyle name="20% - Accent2 12 2" xfId="3695" xr:uid="{00000000-0005-0000-0000-000022060000}"/>
    <cellStyle name="20% - Accent2 12 2 2" xfId="11674" xr:uid="{00000000-0005-0000-0000-000023060000}"/>
    <cellStyle name="20% - Accent2 12 2 2 2" xfId="22962" xr:uid="{00000000-0005-0000-0000-000024060000}"/>
    <cellStyle name="20% - Accent2 12 2 3" xfId="9680" xr:uid="{00000000-0005-0000-0000-000025060000}"/>
    <cellStyle name="20% - Accent2 12 2 3 2" xfId="20968" xr:uid="{00000000-0005-0000-0000-000026060000}"/>
    <cellStyle name="20% - Accent2 12 2 4" xfId="7686" xr:uid="{00000000-0005-0000-0000-000027060000}"/>
    <cellStyle name="20% - Accent2 12 2 4 2" xfId="18974" xr:uid="{00000000-0005-0000-0000-000028060000}"/>
    <cellStyle name="20% - Accent2 12 2 5" xfId="5692" xr:uid="{00000000-0005-0000-0000-000029060000}"/>
    <cellStyle name="20% - Accent2 12 2 5 2" xfId="16980" xr:uid="{00000000-0005-0000-0000-00002A060000}"/>
    <cellStyle name="20% - Accent2 12 2 6" xfId="14986" xr:uid="{00000000-0005-0000-0000-00002B060000}"/>
    <cellStyle name="20% - Accent2 12 3" xfId="10677" xr:uid="{00000000-0005-0000-0000-00002C060000}"/>
    <cellStyle name="20% - Accent2 12 3 2" xfId="21965" xr:uid="{00000000-0005-0000-0000-00002D060000}"/>
    <cellStyle name="20% - Accent2 12 4" xfId="8683" xr:uid="{00000000-0005-0000-0000-00002E060000}"/>
    <cellStyle name="20% - Accent2 12 4 2" xfId="19971" xr:uid="{00000000-0005-0000-0000-00002F060000}"/>
    <cellStyle name="20% - Accent2 12 5" xfId="6689" xr:uid="{00000000-0005-0000-0000-000030060000}"/>
    <cellStyle name="20% - Accent2 12 5 2" xfId="17977" xr:uid="{00000000-0005-0000-0000-000031060000}"/>
    <cellStyle name="20% - Accent2 12 6" xfId="4695" xr:uid="{00000000-0005-0000-0000-000032060000}"/>
    <cellStyle name="20% - Accent2 12 6 2" xfId="15983" xr:uid="{00000000-0005-0000-0000-000033060000}"/>
    <cellStyle name="20% - Accent2 12 7" xfId="13989" xr:uid="{00000000-0005-0000-0000-000034060000}"/>
    <cellStyle name="20% - Accent2 12 8" xfId="12675" xr:uid="{00000000-0005-0000-0000-000035060000}"/>
    <cellStyle name="20% - Accent2 13" xfId="740" xr:uid="{00000000-0005-0000-0000-000036060000}"/>
    <cellStyle name="20% - Accent2 13 2" xfId="3696" xr:uid="{00000000-0005-0000-0000-000037060000}"/>
    <cellStyle name="20% - Accent2 13 2 2" xfId="11675" xr:uid="{00000000-0005-0000-0000-000038060000}"/>
    <cellStyle name="20% - Accent2 13 2 2 2" xfId="22963" xr:uid="{00000000-0005-0000-0000-000039060000}"/>
    <cellStyle name="20% - Accent2 13 2 3" xfId="9681" xr:uid="{00000000-0005-0000-0000-00003A060000}"/>
    <cellStyle name="20% - Accent2 13 2 3 2" xfId="20969" xr:uid="{00000000-0005-0000-0000-00003B060000}"/>
    <cellStyle name="20% - Accent2 13 2 4" xfId="7687" xr:uid="{00000000-0005-0000-0000-00003C060000}"/>
    <cellStyle name="20% - Accent2 13 2 4 2" xfId="18975" xr:uid="{00000000-0005-0000-0000-00003D060000}"/>
    <cellStyle name="20% - Accent2 13 2 5" xfId="5693" xr:uid="{00000000-0005-0000-0000-00003E060000}"/>
    <cellStyle name="20% - Accent2 13 2 5 2" xfId="16981" xr:uid="{00000000-0005-0000-0000-00003F060000}"/>
    <cellStyle name="20% - Accent2 13 2 6" xfId="14987" xr:uid="{00000000-0005-0000-0000-000040060000}"/>
    <cellStyle name="20% - Accent2 13 3" xfId="10678" xr:uid="{00000000-0005-0000-0000-000041060000}"/>
    <cellStyle name="20% - Accent2 13 3 2" xfId="21966" xr:uid="{00000000-0005-0000-0000-000042060000}"/>
    <cellStyle name="20% - Accent2 13 4" xfId="8684" xr:uid="{00000000-0005-0000-0000-000043060000}"/>
    <cellStyle name="20% - Accent2 13 4 2" xfId="19972" xr:uid="{00000000-0005-0000-0000-000044060000}"/>
    <cellStyle name="20% - Accent2 13 5" xfId="6690" xr:uid="{00000000-0005-0000-0000-000045060000}"/>
    <cellStyle name="20% - Accent2 13 5 2" xfId="17978" xr:uid="{00000000-0005-0000-0000-000046060000}"/>
    <cellStyle name="20% - Accent2 13 6" xfId="4696" xr:uid="{00000000-0005-0000-0000-000047060000}"/>
    <cellStyle name="20% - Accent2 13 6 2" xfId="15984" xr:uid="{00000000-0005-0000-0000-000048060000}"/>
    <cellStyle name="20% - Accent2 13 7" xfId="13990" xr:uid="{00000000-0005-0000-0000-000049060000}"/>
    <cellStyle name="20% - Accent2 13 8" xfId="12676" xr:uid="{00000000-0005-0000-0000-00004A060000}"/>
    <cellStyle name="20% - Accent2 14" xfId="741" xr:uid="{00000000-0005-0000-0000-00004B060000}"/>
    <cellStyle name="20% - Accent2 14 2" xfId="3697" xr:uid="{00000000-0005-0000-0000-00004C060000}"/>
    <cellStyle name="20% - Accent2 14 2 2" xfId="11676" xr:uid="{00000000-0005-0000-0000-00004D060000}"/>
    <cellStyle name="20% - Accent2 14 2 2 2" xfId="22964" xr:uid="{00000000-0005-0000-0000-00004E060000}"/>
    <cellStyle name="20% - Accent2 14 2 3" xfId="9682" xr:uid="{00000000-0005-0000-0000-00004F060000}"/>
    <cellStyle name="20% - Accent2 14 2 3 2" xfId="20970" xr:uid="{00000000-0005-0000-0000-000050060000}"/>
    <cellStyle name="20% - Accent2 14 2 4" xfId="7688" xr:uid="{00000000-0005-0000-0000-000051060000}"/>
    <cellStyle name="20% - Accent2 14 2 4 2" xfId="18976" xr:uid="{00000000-0005-0000-0000-000052060000}"/>
    <cellStyle name="20% - Accent2 14 2 5" xfId="5694" xr:uid="{00000000-0005-0000-0000-000053060000}"/>
    <cellStyle name="20% - Accent2 14 2 5 2" xfId="16982" xr:uid="{00000000-0005-0000-0000-000054060000}"/>
    <cellStyle name="20% - Accent2 14 2 6" xfId="14988" xr:uid="{00000000-0005-0000-0000-000055060000}"/>
    <cellStyle name="20% - Accent2 14 3" xfId="10679" xr:uid="{00000000-0005-0000-0000-000056060000}"/>
    <cellStyle name="20% - Accent2 14 3 2" xfId="21967" xr:uid="{00000000-0005-0000-0000-000057060000}"/>
    <cellStyle name="20% - Accent2 14 4" xfId="8685" xr:uid="{00000000-0005-0000-0000-000058060000}"/>
    <cellStyle name="20% - Accent2 14 4 2" xfId="19973" xr:uid="{00000000-0005-0000-0000-000059060000}"/>
    <cellStyle name="20% - Accent2 14 5" xfId="6691" xr:uid="{00000000-0005-0000-0000-00005A060000}"/>
    <cellStyle name="20% - Accent2 14 5 2" xfId="17979" xr:uid="{00000000-0005-0000-0000-00005B060000}"/>
    <cellStyle name="20% - Accent2 14 6" xfId="4697" xr:uid="{00000000-0005-0000-0000-00005C060000}"/>
    <cellStyle name="20% - Accent2 14 6 2" xfId="15985" xr:uid="{00000000-0005-0000-0000-00005D060000}"/>
    <cellStyle name="20% - Accent2 14 7" xfId="13991" xr:uid="{00000000-0005-0000-0000-00005E060000}"/>
    <cellStyle name="20% - Accent2 14 8" xfId="12677" xr:uid="{00000000-0005-0000-0000-00005F060000}"/>
    <cellStyle name="20% - Accent2 15" xfId="742" xr:uid="{00000000-0005-0000-0000-000060060000}"/>
    <cellStyle name="20% - Accent2 15 2" xfId="3698" xr:uid="{00000000-0005-0000-0000-000061060000}"/>
    <cellStyle name="20% - Accent2 15 2 2" xfId="11677" xr:uid="{00000000-0005-0000-0000-000062060000}"/>
    <cellStyle name="20% - Accent2 15 2 2 2" xfId="22965" xr:uid="{00000000-0005-0000-0000-000063060000}"/>
    <cellStyle name="20% - Accent2 15 2 3" xfId="9683" xr:uid="{00000000-0005-0000-0000-000064060000}"/>
    <cellStyle name="20% - Accent2 15 2 3 2" xfId="20971" xr:uid="{00000000-0005-0000-0000-000065060000}"/>
    <cellStyle name="20% - Accent2 15 2 4" xfId="7689" xr:uid="{00000000-0005-0000-0000-000066060000}"/>
    <cellStyle name="20% - Accent2 15 2 4 2" xfId="18977" xr:uid="{00000000-0005-0000-0000-000067060000}"/>
    <cellStyle name="20% - Accent2 15 2 5" xfId="5695" xr:uid="{00000000-0005-0000-0000-000068060000}"/>
    <cellStyle name="20% - Accent2 15 2 5 2" xfId="16983" xr:uid="{00000000-0005-0000-0000-000069060000}"/>
    <cellStyle name="20% - Accent2 15 2 6" xfId="14989" xr:uid="{00000000-0005-0000-0000-00006A060000}"/>
    <cellStyle name="20% - Accent2 15 3" xfId="10680" xr:uid="{00000000-0005-0000-0000-00006B060000}"/>
    <cellStyle name="20% - Accent2 15 3 2" xfId="21968" xr:uid="{00000000-0005-0000-0000-00006C060000}"/>
    <cellStyle name="20% - Accent2 15 4" xfId="8686" xr:uid="{00000000-0005-0000-0000-00006D060000}"/>
    <cellStyle name="20% - Accent2 15 4 2" xfId="19974" xr:uid="{00000000-0005-0000-0000-00006E060000}"/>
    <cellStyle name="20% - Accent2 15 5" xfId="6692" xr:uid="{00000000-0005-0000-0000-00006F060000}"/>
    <cellStyle name="20% - Accent2 15 5 2" xfId="17980" xr:uid="{00000000-0005-0000-0000-000070060000}"/>
    <cellStyle name="20% - Accent2 15 6" xfId="4698" xr:uid="{00000000-0005-0000-0000-000071060000}"/>
    <cellStyle name="20% - Accent2 15 6 2" xfId="15986" xr:uid="{00000000-0005-0000-0000-000072060000}"/>
    <cellStyle name="20% - Accent2 15 7" xfId="13992" xr:uid="{00000000-0005-0000-0000-000073060000}"/>
    <cellStyle name="20% - Accent2 15 8" xfId="12678" xr:uid="{00000000-0005-0000-0000-000074060000}"/>
    <cellStyle name="20% - Accent2 16" xfId="743" xr:uid="{00000000-0005-0000-0000-000075060000}"/>
    <cellStyle name="20% - Accent2 16 2" xfId="3699" xr:uid="{00000000-0005-0000-0000-000076060000}"/>
    <cellStyle name="20% - Accent2 16 2 2" xfId="11678" xr:uid="{00000000-0005-0000-0000-000077060000}"/>
    <cellStyle name="20% - Accent2 16 2 2 2" xfId="22966" xr:uid="{00000000-0005-0000-0000-000078060000}"/>
    <cellStyle name="20% - Accent2 16 2 3" xfId="9684" xr:uid="{00000000-0005-0000-0000-000079060000}"/>
    <cellStyle name="20% - Accent2 16 2 3 2" xfId="20972" xr:uid="{00000000-0005-0000-0000-00007A060000}"/>
    <cellStyle name="20% - Accent2 16 2 4" xfId="7690" xr:uid="{00000000-0005-0000-0000-00007B060000}"/>
    <cellStyle name="20% - Accent2 16 2 4 2" xfId="18978" xr:uid="{00000000-0005-0000-0000-00007C060000}"/>
    <cellStyle name="20% - Accent2 16 2 5" xfId="5696" xr:uid="{00000000-0005-0000-0000-00007D060000}"/>
    <cellStyle name="20% - Accent2 16 2 5 2" xfId="16984" xr:uid="{00000000-0005-0000-0000-00007E060000}"/>
    <cellStyle name="20% - Accent2 16 2 6" xfId="14990" xr:uid="{00000000-0005-0000-0000-00007F060000}"/>
    <cellStyle name="20% - Accent2 16 3" xfId="10681" xr:uid="{00000000-0005-0000-0000-000080060000}"/>
    <cellStyle name="20% - Accent2 16 3 2" xfId="21969" xr:uid="{00000000-0005-0000-0000-000081060000}"/>
    <cellStyle name="20% - Accent2 16 4" xfId="8687" xr:uid="{00000000-0005-0000-0000-000082060000}"/>
    <cellStyle name="20% - Accent2 16 4 2" xfId="19975" xr:uid="{00000000-0005-0000-0000-000083060000}"/>
    <cellStyle name="20% - Accent2 16 5" xfId="6693" xr:uid="{00000000-0005-0000-0000-000084060000}"/>
    <cellStyle name="20% - Accent2 16 5 2" xfId="17981" xr:uid="{00000000-0005-0000-0000-000085060000}"/>
    <cellStyle name="20% - Accent2 16 6" xfId="4699" xr:uid="{00000000-0005-0000-0000-000086060000}"/>
    <cellStyle name="20% - Accent2 16 6 2" xfId="15987" xr:uid="{00000000-0005-0000-0000-000087060000}"/>
    <cellStyle name="20% - Accent2 16 7" xfId="13993" xr:uid="{00000000-0005-0000-0000-000088060000}"/>
    <cellStyle name="20% - Accent2 16 8" xfId="12679" xr:uid="{00000000-0005-0000-0000-000089060000}"/>
    <cellStyle name="20% - Accent2 17" xfId="744" xr:uid="{00000000-0005-0000-0000-00008A060000}"/>
    <cellStyle name="20% - Accent2 17 2" xfId="3700" xr:uid="{00000000-0005-0000-0000-00008B060000}"/>
    <cellStyle name="20% - Accent2 17 2 2" xfId="11679" xr:uid="{00000000-0005-0000-0000-00008C060000}"/>
    <cellStyle name="20% - Accent2 17 2 2 2" xfId="22967" xr:uid="{00000000-0005-0000-0000-00008D060000}"/>
    <cellStyle name="20% - Accent2 17 2 3" xfId="9685" xr:uid="{00000000-0005-0000-0000-00008E060000}"/>
    <cellStyle name="20% - Accent2 17 2 3 2" xfId="20973" xr:uid="{00000000-0005-0000-0000-00008F060000}"/>
    <cellStyle name="20% - Accent2 17 2 4" xfId="7691" xr:uid="{00000000-0005-0000-0000-000090060000}"/>
    <cellStyle name="20% - Accent2 17 2 4 2" xfId="18979" xr:uid="{00000000-0005-0000-0000-000091060000}"/>
    <cellStyle name="20% - Accent2 17 2 5" xfId="5697" xr:uid="{00000000-0005-0000-0000-000092060000}"/>
    <cellStyle name="20% - Accent2 17 2 5 2" xfId="16985" xr:uid="{00000000-0005-0000-0000-000093060000}"/>
    <cellStyle name="20% - Accent2 17 2 6" xfId="14991" xr:uid="{00000000-0005-0000-0000-000094060000}"/>
    <cellStyle name="20% - Accent2 17 3" xfId="10682" xr:uid="{00000000-0005-0000-0000-000095060000}"/>
    <cellStyle name="20% - Accent2 17 3 2" xfId="21970" xr:uid="{00000000-0005-0000-0000-000096060000}"/>
    <cellStyle name="20% - Accent2 17 4" xfId="8688" xr:uid="{00000000-0005-0000-0000-000097060000}"/>
    <cellStyle name="20% - Accent2 17 4 2" xfId="19976" xr:uid="{00000000-0005-0000-0000-000098060000}"/>
    <cellStyle name="20% - Accent2 17 5" xfId="6694" xr:uid="{00000000-0005-0000-0000-000099060000}"/>
    <cellStyle name="20% - Accent2 17 5 2" xfId="17982" xr:uid="{00000000-0005-0000-0000-00009A060000}"/>
    <cellStyle name="20% - Accent2 17 6" xfId="4700" xr:uid="{00000000-0005-0000-0000-00009B060000}"/>
    <cellStyle name="20% - Accent2 17 6 2" xfId="15988" xr:uid="{00000000-0005-0000-0000-00009C060000}"/>
    <cellStyle name="20% - Accent2 17 7" xfId="13994" xr:uid="{00000000-0005-0000-0000-00009D060000}"/>
    <cellStyle name="20% - Accent2 17 8" xfId="12680" xr:uid="{00000000-0005-0000-0000-00009E060000}"/>
    <cellStyle name="20% - Accent2 18" xfId="745" xr:uid="{00000000-0005-0000-0000-00009F060000}"/>
    <cellStyle name="20% - Accent2 18 2" xfId="3701" xr:uid="{00000000-0005-0000-0000-0000A0060000}"/>
    <cellStyle name="20% - Accent2 18 2 2" xfId="11680" xr:uid="{00000000-0005-0000-0000-0000A1060000}"/>
    <cellStyle name="20% - Accent2 18 2 2 2" xfId="22968" xr:uid="{00000000-0005-0000-0000-0000A2060000}"/>
    <cellStyle name="20% - Accent2 18 2 3" xfId="9686" xr:uid="{00000000-0005-0000-0000-0000A3060000}"/>
    <cellStyle name="20% - Accent2 18 2 3 2" xfId="20974" xr:uid="{00000000-0005-0000-0000-0000A4060000}"/>
    <cellStyle name="20% - Accent2 18 2 4" xfId="7692" xr:uid="{00000000-0005-0000-0000-0000A5060000}"/>
    <cellStyle name="20% - Accent2 18 2 4 2" xfId="18980" xr:uid="{00000000-0005-0000-0000-0000A6060000}"/>
    <cellStyle name="20% - Accent2 18 2 5" xfId="5698" xr:uid="{00000000-0005-0000-0000-0000A7060000}"/>
    <cellStyle name="20% - Accent2 18 2 5 2" xfId="16986" xr:uid="{00000000-0005-0000-0000-0000A8060000}"/>
    <cellStyle name="20% - Accent2 18 2 6" xfId="14992" xr:uid="{00000000-0005-0000-0000-0000A9060000}"/>
    <cellStyle name="20% - Accent2 18 3" xfId="10683" xr:uid="{00000000-0005-0000-0000-0000AA060000}"/>
    <cellStyle name="20% - Accent2 18 3 2" xfId="21971" xr:uid="{00000000-0005-0000-0000-0000AB060000}"/>
    <cellStyle name="20% - Accent2 18 4" xfId="8689" xr:uid="{00000000-0005-0000-0000-0000AC060000}"/>
    <cellStyle name="20% - Accent2 18 4 2" xfId="19977" xr:uid="{00000000-0005-0000-0000-0000AD060000}"/>
    <cellStyle name="20% - Accent2 18 5" xfId="6695" xr:uid="{00000000-0005-0000-0000-0000AE060000}"/>
    <cellStyle name="20% - Accent2 18 5 2" xfId="17983" xr:uid="{00000000-0005-0000-0000-0000AF060000}"/>
    <cellStyle name="20% - Accent2 18 6" xfId="4701" xr:uid="{00000000-0005-0000-0000-0000B0060000}"/>
    <cellStyle name="20% - Accent2 18 6 2" xfId="15989" xr:uid="{00000000-0005-0000-0000-0000B1060000}"/>
    <cellStyle name="20% - Accent2 18 7" xfId="13995" xr:uid="{00000000-0005-0000-0000-0000B2060000}"/>
    <cellStyle name="20% - Accent2 18 8" xfId="12681" xr:uid="{00000000-0005-0000-0000-0000B3060000}"/>
    <cellStyle name="20% - Accent2 19" xfId="746" xr:uid="{00000000-0005-0000-0000-0000B4060000}"/>
    <cellStyle name="20% - Accent2 19 2" xfId="3702" xr:uid="{00000000-0005-0000-0000-0000B5060000}"/>
    <cellStyle name="20% - Accent2 19 2 2" xfId="11681" xr:uid="{00000000-0005-0000-0000-0000B6060000}"/>
    <cellStyle name="20% - Accent2 19 2 2 2" xfId="22969" xr:uid="{00000000-0005-0000-0000-0000B7060000}"/>
    <cellStyle name="20% - Accent2 19 2 3" xfId="9687" xr:uid="{00000000-0005-0000-0000-0000B8060000}"/>
    <cellStyle name="20% - Accent2 19 2 3 2" xfId="20975" xr:uid="{00000000-0005-0000-0000-0000B9060000}"/>
    <cellStyle name="20% - Accent2 19 2 4" xfId="7693" xr:uid="{00000000-0005-0000-0000-0000BA060000}"/>
    <cellStyle name="20% - Accent2 19 2 4 2" xfId="18981" xr:uid="{00000000-0005-0000-0000-0000BB060000}"/>
    <cellStyle name="20% - Accent2 19 2 5" xfId="5699" xr:uid="{00000000-0005-0000-0000-0000BC060000}"/>
    <cellStyle name="20% - Accent2 19 2 5 2" xfId="16987" xr:uid="{00000000-0005-0000-0000-0000BD060000}"/>
    <cellStyle name="20% - Accent2 19 2 6" xfId="14993" xr:uid="{00000000-0005-0000-0000-0000BE060000}"/>
    <cellStyle name="20% - Accent2 19 3" xfId="10684" xr:uid="{00000000-0005-0000-0000-0000BF060000}"/>
    <cellStyle name="20% - Accent2 19 3 2" xfId="21972" xr:uid="{00000000-0005-0000-0000-0000C0060000}"/>
    <cellStyle name="20% - Accent2 19 4" xfId="8690" xr:uid="{00000000-0005-0000-0000-0000C1060000}"/>
    <cellStyle name="20% - Accent2 19 4 2" xfId="19978" xr:uid="{00000000-0005-0000-0000-0000C2060000}"/>
    <cellStyle name="20% - Accent2 19 5" xfId="6696" xr:uid="{00000000-0005-0000-0000-0000C3060000}"/>
    <cellStyle name="20% - Accent2 19 5 2" xfId="17984" xr:uid="{00000000-0005-0000-0000-0000C4060000}"/>
    <cellStyle name="20% - Accent2 19 6" xfId="4702" xr:uid="{00000000-0005-0000-0000-0000C5060000}"/>
    <cellStyle name="20% - Accent2 19 6 2" xfId="15990" xr:uid="{00000000-0005-0000-0000-0000C6060000}"/>
    <cellStyle name="20% - Accent2 19 7" xfId="13996" xr:uid="{00000000-0005-0000-0000-0000C7060000}"/>
    <cellStyle name="20% - Accent2 19 8" xfId="12682" xr:uid="{00000000-0005-0000-0000-0000C8060000}"/>
    <cellStyle name="20% - Accent2 2" xfId="747" xr:uid="{00000000-0005-0000-0000-0000C9060000}"/>
    <cellStyle name="20% - Accent2 2 10" xfId="24565" xr:uid="{00000000-0005-0000-0000-0000CA060000}"/>
    <cellStyle name="20% - Accent2 2 11" xfId="24955" xr:uid="{00000000-0005-0000-0000-0000CB060000}"/>
    <cellStyle name="20% - Accent2 2 2" xfId="3703" xr:uid="{00000000-0005-0000-0000-0000CC060000}"/>
    <cellStyle name="20% - Accent2 2 2 2" xfId="11682" xr:uid="{00000000-0005-0000-0000-0000CD060000}"/>
    <cellStyle name="20% - Accent2 2 2 2 2" xfId="22970" xr:uid="{00000000-0005-0000-0000-0000CE060000}"/>
    <cellStyle name="20% - Accent2 2 2 3" xfId="9688" xr:uid="{00000000-0005-0000-0000-0000CF060000}"/>
    <cellStyle name="20% - Accent2 2 2 3 2" xfId="20976" xr:uid="{00000000-0005-0000-0000-0000D0060000}"/>
    <cellStyle name="20% - Accent2 2 2 4" xfId="7694" xr:uid="{00000000-0005-0000-0000-0000D1060000}"/>
    <cellStyle name="20% - Accent2 2 2 4 2" xfId="18982" xr:uid="{00000000-0005-0000-0000-0000D2060000}"/>
    <cellStyle name="20% - Accent2 2 2 5" xfId="5700" xr:uid="{00000000-0005-0000-0000-0000D3060000}"/>
    <cellStyle name="20% - Accent2 2 2 5 2" xfId="16988" xr:uid="{00000000-0005-0000-0000-0000D4060000}"/>
    <cellStyle name="20% - Accent2 2 2 6" xfId="14994" xr:uid="{00000000-0005-0000-0000-0000D5060000}"/>
    <cellStyle name="20% - Accent2 2 2 7" xfId="24326" xr:uid="{00000000-0005-0000-0000-0000D6060000}"/>
    <cellStyle name="20% - Accent2 2 2 8" xfId="24790" xr:uid="{00000000-0005-0000-0000-0000D7060000}"/>
    <cellStyle name="20% - Accent2 2 2 9" xfId="25157" xr:uid="{00000000-0005-0000-0000-0000D8060000}"/>
    <cellStyle name="20% - Accent2 2 3" xfId="10685" xr:uid="{00000000-0005-0000-0000-0000D9060000}"/>
    <cellStyle name="20% - Accent2 2 3 2" xfId="21973" xr:uid="{00000000-0005-0000-0000-0000DA060000}"/>
    <cellStyle name="20% - Accent2 2 4" xfId="8691" xr:uid="{00000000-0005-0000-0000-0000DB060000}"/>
    <cellStyle name="20% - Accent2 2 4 2" xfId="19979" xr:uid="{00000000-0005-0000-0000-0000DC060000}"/>
    <cellStyle name="20% - Accent2 2 5" xfId="6697" xr:uid="{00000000-0005-0000-0000-0000DD060000}"/>
    <cellStyle name="20% - Accent2 2 5 2" xfId="17985" xr:uid="{00000000-0005-0000-0000-0000DE060000}"/>
    <cellStyle name="20% - Accent2 2 6" xfId="4703" xr:uid="{00000000-0005-0000-0000-0000DF060000}"/>
    <cellStyle name="20% - Accent2 2 6 2" xfId="15991" xr:uid="{00000000-0005-0000-0000-0000E0060000}"/>
    <cellStyle name="20% - Accent2 2 7" xfId="13997" xr:uid="{00000000-0005-0000-0000-0000E1060000}"/>
    <cellStyle name="20% - Accent2 2 8" xfId="12683" xr:uid="{00000000-0005-0000-0000-0000E2060000}"/>
    <cellStyle name="20% - Accent2 2 9" xfId="23938" xr:uid="{00000000-0005-0000-0000-0000E3060000}"/>
    <cellStyle name="20% - Accent2 20" xfId="748" xr:uid="{00000000-0005-0000-0000-0000E4060000}"/>
    <cellStyle name="20% - Accent2 20 2" xfId="3704" xr:uid="{00000000-0005-0000-0000-0000E5060000}"/>
    <cellStyle name="20% - Accent2 20 2 2" xfId="11683" xr:uid="{00000000-0005-0000-0000-0000E6060000}"/>
    <cellStyle name="20% - Accent2 20 2 2 2" xfId="22971" xr:uid="{00000000-0005-0000-0000-0000E7060000}"/>
    <cellStyle name="20% - Accent2 20 2 3" xfId="9689" xr:uid="{00000000-0005-0000-0000-0000E8060000}"/>
    <cellStyle name="20% - Accent2 20 2 3 2" xfId="20977" xr:uid="{00000000-0005-0000-0000-0000E9060000}"/>
    <cellStyle name="20% - Accent2 20 2 4" xfId="7695" xr:uid="{00000000-0005-0000-0000-0000EA060000}"/>
    <cellStyle name="20% - Accent2 20 2 4 2" xfId="18983" xr:uid="{00000000-0005-0000-0000-0000EB060000}"/>
    <cellStyle name="20% - Accent2 20 2 5" xfId="5701" xr:uid="{00000000-0005-0000-0000-0000EC060000}"/>
    <cellStyle name="20% - Accent2 20 2 5 2" xfId="16989" xr:uid="{00000000-0005-0000-0000-0000ED060000}"/>
    <cellStyle name="20% - Accent2 20 2 6" xfId="14995" xr:uid="{00000000-0005-0000-0000-0000EE060000}"/>
    <cellStyle name="20% - Accent2 20 3" xfId="10686" xr:uid="{00000000-0005-0000-0000-0000EF060000}"/>
    <cellStyle name="20% - Accent2 20 3 2" xfId="21974" xr:uid="{00000000-0005-0000-0000-0000F0060000}"/>
    <cellStyle name="20% - Accent2 20 4" xfId="8692" xr:uid="{00000000-0005-0000-0000-0000F1060000}"/>
    <cellStyle name="20% - Accent2 20 4 2" xfId="19980" xr:uid="{00000000-0005-0000-0000-0000F2060000}"/>
    <cellStyle name="20% - Accent2 20 5" xfId="6698" xr:uid="{00000000-0005-0000-0000-0000F3060000}"/>
    <cellStyle name="20% - Accent2 20 5 2" xfId="17986" xr:uid="{00000000-0005-0000-0000-0000F4060000}"/>
    <cellStyle name="20% - Accent2 20 6" xfId="4704" xr:uid="{00000000-0005-0000-0000-0000F5060000}"/>
    <cellStyle name="20% - Accent2 20 6 2" xfId="15992" xr:uid="{00000000-0005-0000-0000-0000F6060000}"/>
    <cellStyle name="20% - Accent2 20 7" xfId="13998" xr:uid="{00000000-0005-0000-0000-0000F7060000}"/>
    <cellStyle name="20% - Accent2 20 8" xfId="12684" xr:uid="{00000000-0005-0000-0000-0000F8060000}"/>
    <cellStyle name="20% - Accent2 21" xfId="749" xr:uid="{00000000-0005-0000-0000-0000F9060000}"/>
    <cellStyle name="20% - Accent2 21 2" xfId="3705" xr:uid="{00000000-0005-0000-0000-0000FA060000}"/>
    <cellStyle name="20% - Accent2 21 2 2" xfId="11684" xr:uid="{00000000-0005-0000-0000-0000FB060000}"/>
    <cellStyle name="20% - Accent2 21 2 2 2" xfId="22972" xr:uid="{00000000-0005-0000-0000-0000FC060000}"/>
    <cellStyle name="20% - Accent2 21 2 3" xfId="9690" xr:uid="{00000000-0005-0000-0000-0000FD060000}"/>
    <cellStyle name="20% - Accent2 21 2 3 2" xfId="20978" xr:uid="{00000000-0005-0000-0000-0000FE060000}"/>
    <cellStyle name="20% - Accent2 21 2 4" xfId="7696" xr:uid="{00000000-0005-0000-0000-0000FF060000}"/>
    <cellStyle name="20% - Accent2 21 2 4 2" xfId="18984" xr:uid="{00000000-0005-0000-0000-000000070000}"/>
    <cellStyle name="20% - Accent2 21 2 5" xfId="5702" xr:uid="{00000000-0005-0000-0000-000001070000}"/>
    <cellStyle name="20% - Accent2 21 2 5 2" xfId="16990" xr:uid="{00000000-0005-0000-0000-000002070000}"/>
    <cellStyle name="20% - Accent2 21 2 6" xfId="14996" xr:uid="{00000000-0005-0000-0000-000003070000}"/>
    <cellStyle name="20% - Accent2 21 3" xfId="10687" xr:uid="{00000000-0005-0000-0000-000004070000}"/>
    <cellStyle name="20% - Accent2 21 3 2" xfId="21975" xr:uid="{00000000-0005-0000-0000-000005070000}"/>
    <cellStyle name="20% - Accent2 21 4" xfId="8693" xr:uid="{00000000-0005-0000-0000-000006070000}"/>
    <cellStyle name="20% - Accent2 21 4 2" xfId="19981" xr:uid="{00000000-0005-0000-0000-000007070000}"/>
    <cellStyle name="20% - Accent2 21 5" xfId="6699" xr:uid="{00000000-0005-0000-0000-000008070000}"/>
    <cellStyle name="20% - Accent2 21 5 2" xfId="17987" xr:uid="{00000000-0005-0000-0000-000009070000}"/>
    <cellStyle name="20% - Accent2 21 6" xfId="4705" xr:uid="{00000000-0005-0000-0000-00000A070000}"/>
    <cellStyle name="20% - Accent2 21 6 2" xfId="15993" xr:uid="{00000000-0005-0000-0000-00000B070000}"/>
    <cellStyle name="20% - Accent2 21 7" xfId="13999" xr:uid="{00000000-0005-0000-0000-00000C070000}"/>
    <cellStyle name="20% - Accent2 21 8" xfId="12685" xr:uid="{00000000-0005-0000-0000-00000D070000}"/>
    <cellStyle name="20% - Accent2 22" xfId="750" xr:uid="{00000000-0005-0000-0000-00000E070000}"/>
    <cellStyle name="20% - Accent2 22 2" xfId="3706" xr:uid="{00000000-0005-0000-0000-00000F070000}"/>
    <cellStyle name="20% - Accent2 22 2 2" xfId="11685" xr:uid="{00000000-0005-0000-0000-000010070000}"/>
    <cellStyle name="20% - Accent2 22 2 2 2" xfId="22973" xr:uid="{00000000-0005-0000-0000-000011070000}"/>
    <cellStyle name="20% - Accent2 22 2 3" xfId="9691" xr:uid="{00000000-0005-0000-0000-000012070000}"/>
    <cellStyle name="20% - Accent2 22 2 3 2" xfId="20979" xr:uid="{00000000-0005-0000-0000-000013070000}"/>
    <cellStyle name="20% - Accent2 22 2 4" xfId="7697" xr:uid="{00000000-0005-0000-0000-000014070000}"/>
    <cellStyle name="20% - Accent2 22 2 4 2" xfId="18985" xr:uid="{00000000-0005-0000-0000-000015070000}"/>
    <cellStyle name="20% - Accent2 22 2 5" xfId="5703" xr:uid="{00000000-0005-0000-0000-000016070000}"/>
    <cellStyle name="20% - Accent2 22 2 5 2" xfId="16991" xr:uid="{00000000-0005-0000-0000-000017070000}"/>
    <cellStyle name="20% - Accent2 22 2 6" xfId="14997" xr:uid="{00000000-0005-0000-0000-000018070000}"/>
    <cellStyle name="20% - Accent2 22 3" xfId="10688" xr:uid="{00000000-0005-0000-0000-000019070000}"/>
    <cellStyle name="20% - Accent2 22 3 2" xfId="21976" xr:uid="{00000000-0005-0000-0000-00001A070000}"/>
    <cellStyle name="20% - Accent2 22 4" xfId="8694" xr:uid="{00000000-0005-0000-0000-00001B070000}"/>
    <cellStyle name="20% - Accent2 22 4 2" xfId="19982" xr:uid="{00000000-0005-0000-0000-00001C070000}"/>
    <cellStyle name="20% - Accent2 22 5" xfId="6700" xr:uid="{00000000-0005-0000-0000-00001D070000}"/>
    <cellStyle name="20% - Accent2 22 5 2" xfId="17988" xr:uid="{00000000-0005-0000-0000-00001E070000}"/>
    <cellStyle name="20% - Accent2 22 6" xfId="4706" xr:uid="{00000000-0005-0000-0000-00001F070000}"/>
    <cellStyle name="20% - Accent2 22 6 2" xfId="15994" xr:uid="{00000000-0005-0000-0000-000020070000}"/>
    <cellStyle name="20% - Accent2 22 7" xfId="14000" xr:uid="{00000000-0005-0000-0000-000021070000}"/>
    <cellStyle name="20% - Accent2 22 8" xfId="12686" xr:uid="{00000000-0005-0000-0000-000022070000}"/>
    <cellStyle name="20% - Accent2 23" xfId="751" xr:uid="{00000000-0005-0000-0000-000023070000}"/>
    <cellStyle name="20% - Accent2 23 2" xfId="3707" xr:uid="{00000000-0005-0000-0000-000024070000}"/>
    <cellStyle name="20% - Accent2 23 2 2" xfId="11686" xr:uid="{00000000-0005-0000-0000-000025070000}"/>
    <cellStyle name="20% - Accent2 23 2 2 2" xfId="22974" xr:uid="{00000000-0005-0000-0000-000026070000}"/>
    <cellStyle name="20% - Accent2 23 2 3" xfId="9692" xr:uid="{00000000-0005-0000-0000-000027070000}"/>
    <cellStyle name="20% - Accent2 23 2 3 2" xfId="20980" xr:uid="{00000000-0005-0000-0000-000028070000}"/>
    <cellStyle name="20% - Accent2 23 2 4" xfId="7698" xr:uid="{00000000-0005-0000-0000-000029070000}"/>
    <cellStyle name="20% - Accent2 23 2 4 2" xfId="18986" xr:uid="{00000000-0005-0000-0000-00002A070000}"/>
    <cellStyle name="20% - Accent2 23 2 5" xfId="5704" xr:uid="{00000000-0005-0000-0000-00002B070000}"/>
    <cellStyle name="20% - Accent2 23 2 5 2" xfId="16992" xr:uid="{00000000-0005-0000-0000-00002C070000}"/>
    <cellStyle name="20% - Accent2 23 2 6" xfId="14998" xr:uid="{00000000-0005-0000-0000-00002D070000}"/>
    <cellStyle name="20% - Accent2 23 3" xfId="10689" xr:uid="{00000000-0005-0000-0000-00002E070000}"/>
    <cellStyle name="20% - Accent2 23 3 2" xfId="21977" xr:uid="{00000000-0005-0000-0000-00002F070000}"/>
    <cellStyle name="20% - Accent2 23 4" xfId="8695" xr:uid="{00000000-0005-0000-0000-000030070000}"/>
    <cellStyle name="20% - Accent2 23 4 2" xfId="19983" xr:uid="{00000000-0005-0000-0000-000031070000}"/>
    <cellStyle name="20% - Accent2 23 5" xfId="6701" xr:uid="{00000000-0005-0000-0000-000032070000}"/>
    <cellStyle name="20% - Accent2 23 5 2" xfId="17989" xr:uid="{00000000-0005-0000-0000-000033070000}"/>
    <cellStyle name="20% - Accent2 23 6" xfId="4707" xr:uid="{00000000-0005-0000-0000-000034070000}"/>
    <cellStyle name="20% - Accent2 23 6 2" xfId="15995" xr:uid="{00000000-0005-0000-0000-000035070000}"/>
    <cellStyle name="20% - Accent2 23 7" xfId="14001" xr:uid="{00000000-0005-0000-0000-000036070000}"/>
    <cellStyle name="20% - Accent2 23 8" xfId="12687" xr:uid="{00000000-0005-0000-0000-000037070000}"/>
    <cellStyle name="20% - Accent2 24" xfId="752" xr:uid="{00000000-0005-0000-0000-000038070000}"/>
    <cellStyle name="20% - Accent2 24 2" xfId="3708" xr:uid="{00000000-0005-0000-0000-000039070000}"/>
    <cellStyle name="20% - Accent2 24 2 2" xfId="11687" xr:uid="{00000000-0005-0000-0000-00003A070000}"/>
    <cellStyle name="20% - Accent2 24 2 2 2" xfId="22975" xr:uid="{00000000-0005-0000-0000-00003B070000}"/>
    <cellStyle name="20% - Accent2 24 2 3" xfId="9693" xr:uid="{00000000-0005-0000-0000-00003C070000}"/>
    <cellStyle name="20% - Accent2 24 2 3 2" xfId="20981" xr:uid="{00000000-0005-0000-0000-00003D070000}"/>
    <cellStyle name="20% - Accent2 24 2 4" xfId="7699" xr:uid="{00000000-0005-0000-0000-00003E070000}"/>
    <cellStyle name="20% - Accent2 24 2 4 2" xfId="18987" xr:uid="{00000000-0005-0000-0000-00003F070000}"/>
    <cellStyle name="20% - Accent2 24 2 5" xfId="5705" xr:uid="{00000000-0005-0000-0000-000040070000}"/>
    <cellStyle name="20% - Accent2 24 2 5 2" xfId="16993" xr:uid="{00000000-0005-0000-0000-000041070000}"/>
    <cellStyle name="20% - Accent2 24 2 6" xfId="14999" xr:uid="{00000000-0005-0000-0000-000042070000}"/>
    <cellStyle name="20% - Accent2 24 3" xfId="10690" xr:uid="{00000000-0005-0000-0000-000043070000}"/>
    <cellStyle name="20% - Accent2 24 3 2" xfId="21978" xr:uid="{00000000-0005-0000-0000-000044070000}"/>
    <cellStyle name="20% - Accent2 24 4" xfId="8696" xr:uid="{00000000-0005-0000-0000-000045070000}"/>
    <cellStyle name="20% - Accent2 24 4 2" xfId="19984" xr:uid="{00000000-0005-0000-0000-000046070000}"/>
    <cellStyle name="20% - Accent2 24 5" xfId="6702" xr:uid="{00000000-0005-0000-0000-000047070000}"/>
    <cellStyle name="20% - Accent2 24 5 2" xfId="17990" xr:uid="{00000000-0005-0000-0000-000048070000}"/>
    <cellStyle name="20% - Accent2 24 6" xfId="4708" xr:uid="{00000000-0005-0000-0000-000049070000}"/>
    <cellStyle name="20% - Accent2 24 6 2" xfId="15996" xr:uid="{00000000-0005-0000-0000-00004A070000}"/>
    <cellStyle name="20% - Accent2 24 7" xfId="14002" xr:uid="{00000000-0005-0000-0000-00004B070000}"/>
    <cellStyle name="20% - Accent2 24 8" xfId="12688" xr:uid="{00000000-0005-0000-0000-00004C070000}"/>
    <cellStyle name="20% - Accent2 25" xfId="753" xr:uid="{00000000-0005-0000-0000-00004D070000}"/>
    <cellStyle name="20% - Accent2 25 2" xfId="3709" xr:uid="{00000000-0005-0000-0000-00004E070000}"/>
    <cellStyle name="20% - Accent2 25 2 2" xfId="11688" xr:uid="{00000000-0005-0000-0000-00004F070000}"/>
    <cellStyle name="20% - Accent2 25 2 2 2" xfId="22976" xr:uid="{00000000-0005-0000-0000-000050070000}"/>
    <cellStyle name="20% - Accent2 25 2 3" xfId="9694" xr:uid="{00000000-0005-0000-0000-000051070000}"/>
    <cellStyle name="20% - Accent2 25 2 3 2" xfId="20982" xr:uid="{00000000-0005-0000-0000-000052070000}"/>
    <cellStyle name="20% - Accent2 25 2 4" xfId="7700" xr:uid="{00000000-0005-0000-0000-000053070000}"/>
    <cellStyle name="20% - Accent2 25 2 4 2" xfId="18988" xr:uid="{00000000-0005-0000-0000-000054070000}"/>
    <cellStyle name="20% - Accent2 25 2 5" xfId="5706" xr:uid="{00000000-0005-0000-0000-000055070000}"/>
    <cellStyle name="20% - Accent2 25 2 5 2" xfId="16994" xr:uid="{00000000-0005-0000-0000-000056070000}"/>
    <cellStyle name="20% - Accent2 25 2 6" xfId="15000" xr:uid="{00000000-0005-0000-0000-000057070000}"/>
    <cellStyle name="20% - Accent2 25 3" xfId="10691" xr:uid="{00000000-0005-0000-0000-000058070000}"/>
    <cellStyle name="20% - Accent2 25 3 2" xfId="21979" xr:uid="{00000000-0005-0000-0000-000059070000}"/>
    <cellStyle name="20% - Accent2 25 4" xfId="8697" xr:uid="{00000000-0005-0000-0000-00005A070000}"/>
    <cellStyle name="20% - Accent2 25 4 2" xfId="19985" xr:uid="{00000000-0005-0000-0000-00005B070000}"/>
    <cellStyle name="20% - Accent2 25 5" xfId="6703" xr:uid="{00000000-0005-0000-0000-00005C070000}"/>
    <cellStyle name="20% - Accent2 25 5 2" xfId="17991" xr:uid="{00000000-0005-0000-0000-00005D070000}"/>
    <cellStyle name="20% - Accent2 25 6" xfId="4709" xr:uid="{00000000-0005-0000-0000-00005E070000}"/>
    <cellStyle name="20% - Accent2 25 6 2" xfId="15997" xr:uid="{00000000-0005-0000-0000-00005F070000}"/>
    <cellStyle name="20% - Accent2 25 7" xfId="14003" xr:uid="{00000000-0005-0000-0000-000060070000}"/>
    <cellStyle name="20% - Accent2 25 8" xfId="12689" xr:uid="{00000000-0005-0000-0000-000061070000}"/>
    <cellStyle name="20% - Accent2 26" xfId="754" xr:uid="{00000000-0005-0000-0000-000062070000}"/>
    <cellStyle name="20% - Accent2 26 2" xfId="3710" xr:uid="{00000000-0005-0000-0000-000063070000}"/>
    <cellStyle name="20% - Accent2 26 2 2" xfId="11689" xr:uid="{00000000-0005-0000-0000-000064070000}"/>
    <cellStyle name="20% - Accent2 26 2 2 2" xfId="22977" xr:uid="{00000000-0005-0000-0000-000065070000}"/>
    <cellStyle name="20% - Accent2 26 2 3" xfId="9695" xr:uid="{00000000-0005-0000-0000-000066070000}"/>
    <cellStyle name="20% - Accent2 26 2 3 2" xfId="20983" xr:uid="{00000000-0005-0000-0000-000067070000}"/>
    <cellStyle name="20% - Accent2 26 2 4" xfId="7701" xr:uid="{00000000-0005-0000-0000-000068070000}"/>
    <cellStyle name="20% - Accent2 26 2 4 2" xfId="18989" xr:uid="{00000000-0005-0000-0000-000069070000}"/>
    <cellStyle name="20% - Accent2 26 2 5" xfId="5707" xr:uid="{00000000-0005-0000-0000-00006A070000}"/>
    <cellStyle name="20% - Accent2 26 2 5 2" xfId="16995" xr:uid="{00000000-0005-0000-0000-00006B070000}"/>
    <cellStyle name="20% - Accent2 26 2 6" xfId="15001" xr:uid="{00000000-0005-0000-0000-00006C070000}"/>
    <cellStyle name="20% - Accent2 26 3" xfId="10692" xr:uid="{00000000-0005-0000-0000-00006D070000}"/>
    <cellStyle name="20% - Accent2 26 3 2" xfId="21980" xr:uid="{00000000-0005-0000-0000-00006E070000}"/>
    <cellStyle name="20% - Accent2 26 4" xfId="8698" xr:uid="{00000000-0005-0000-0000-00006F070000}"/>
    <cellStyle name="20% - Accent2 26 4 2" xfId="19986" xr:uid="{00000000-0005-0000-0000-000070070000}"/>
    <cellStyle name="20% - Accent2 26 5" xfId="6704" xr:uid="{00000000-0005-0000-0000-000071070000}"/>
    <cellStyle name="20% - Accent2 26 5 2" xfId="17992" xr:uid="{00000000-0005-0000-0000-000072070000}"/>
    <cellStyle name="20% - Accent2 26 6" xfId="4710" xr:uid="{00000000-0005-0000-0000-000073070000}"/>
    <cellStyle name="20% - Accent2 26 6 2" xfId="15998" xr:uid="{00000000-0005-0000-0000-000074070000}"/>
    <cellStyle name="20% - Accent2 26 7" xfId="14004" xr:uid="{00000000-0005-0000-0000-000075070000}"/>
    <cellStyle name="20% - Accent2 26 8" xfId="12690" xr:uid="{00000000-0005-0000-0000-000076070000}"/>
    <cellStyle name="20% - Accent2 27" xfId="755" xr:uid="{00000000-0005-0000-0000-000077070000}"/>
    <cellStyle name="20% - Accent2 27 2" xfId="3711" xr:uid="{00000000-0005-0000-0000-000078070000}"/>
    <cellStyle name="20% - Accent2 27 2 2" xfId="11690" xr:uid="{00000000-0005-0000-0000-000079070000}"/>
    <cellStyle name="20% - Accent2 27 2 2 2" xfId="22978" xr:uid="{00000000-0005-0000-0000-00007A070000}"/>
    <cellStyle name="20% - Accent2 27 2 3" xfId="9696" xr:uid="{00000000-0005-0000-0000-00007B070000}"/>
    <cellStyle name="20% - Accent2 27 2 3 2" xfId="20984" xr:uid="{00000000-0005-0000-0000-00007C070000}"/>
    <cellStyle name="20% - Accent2 27 2 4" xfId="7702" xr:uid="{00000000-0005-0000-0000-00007D070000}"/>
    <cellStyle name="20% - Accent2 27 2 4 2" xfId="18990" xr:uid="{00000000-0005-0000-0000-00007E070000}"/>
    <cellStyle name="20% - Accent2 27 2 5" xfId="5708" xr:uid="{00000000-0005-0000-0000-00007F070000}"/>
    <cellStyle name="20% - Accent2 27 2 5 2" xfId="16996" xr:uid="{00000000-0005-0000-0000-000080070000}"/>
    <cellStyle name="20% - Accent2 27 2 6" xfId="15002" xr:uid="{00000000-0005-0000-0000-000081070000}"/>
    <cellStyle name="20% - Accent2 27 3" xfId="10693" xr:uid="{00000000-0005-0000-0000-000082070000}"/>
    <cellStyle name="20% - Accent2 27 3 2" xfId="21981" xr:uid="{00000000-0005-0000-0000-000083070000}"/>
    <cellStyle name="20% - Accent2 27 4" xfId="8699" xr:uid="{00000000-0005-0000-0000-000084070000}"/>
    <cellStyle name="20% - Accent2 27 4 2" xfId="19987" xr:uid="{00000000-0005-0000-0000-000085070000}"/>
    <cellStyle name="20% - Accent2 27 5" xfId="6705" xr:uid="{00000000-0005-0000-0000-000086070000}"/>
    <cellStyle name="20% - Accent2 27 5 2" xfId="17993" xr:uid="{00000000-0005-0000-0000-000087070000}"/>
    <cellStyle name="20% - Accent2 27 6" xfId="4711" xr:uid="{00000000-0005-0000-0000-000088070000}"/>
    <cellStyle name="20% - Accent2 27 6 2" xfId="15999" xr:uid="{00000000-0005-0000-0000-000089070000}"/>
    <cellStyle name="20% - Accent2 27 7" xfId="14005" xr:uid="{00000000-0005-0000-0000-00008A070000}"/>
    <cellStyle name="20% - Accent2 27 8" xfId="12691" xr:uid="{00000000-0005-0000-0000-00008B070000}"/>
    <cellStyle name="20% - Accent2 28" xfId="756" xr:uid="{00000000-0005-0000-0000-00008C070000}"/>
    <cellStyle name="20% - Accent2 28 2" xfId="3712" xr:uid="{00000000-0005-0000-0000-00008D070000}"/>
    <cellStyle name="20% - Accent2 28 2 2" xfId="11691" xr:uid="{00000000-0005-0000-0000-00008E070000}"/>
    <cellStyle name="20% - Accent2 28 2 2 2" xfId="22979" xr:uid="{00000000-0005-0000-0000-00008F070000}"/>
    <cellStyle name="20% - Accent2 28 2 3" xfId="9697" xr:uid="{00000000-0005-0000-0000-000090070000}"/>
    <cellStyle name="20% - Accent2 28 2 3 2" xfId="20985" xr:uid="{00000000-0005-0000-0000-000091070000}"/>
    <cellStyle name="20% - Accent2 28 2 4" xfId="7703" xr:uid="{00000000-0005-0000-0000-000092070000}"/>
    <cellStyle name="20% - Accent2 28 2 4 2" xfId="18991" xr:uid="{00000000-0005-0000-0000-000093070000}"/>
    <cellStyle name="20% - Accent2 28 2 5" xfId="5709" xr:uid="{00000000-0005-0000-0000-000094070000}"/>
    <cellStyle name="20% - Accent2 28 2 5 2" xfId="16997" xr:uid="{00000000-0005-0000-0000-000095070000}"/>
    <cellStyle name="20% - Accent2 28 2 6" xfId="15003" xr:uid="{00000000-0005-0000-0000-000096070000}"/>
    <cellStyle name="20% - Accent2 28 3" xfId="10694" xr:uid="{00000000-0005-0000-0000-000097070000}"/>
    <cellStyle name="20% - Accent2 28 3 2" xfId="21982" xr:uid="{00000000-0005-0000-0000-000098070000}"/>
    <cellStyle name="20% - Accent2 28 4" xfId="8700" xr:uid="{00000000-0005-0000-0000-000099070000}"/>
    <cellStyle name="20% - Accent2 28 4 2" xfId="19988" xr:uid="{00000000-0005-0000-0000-00009A070000}"/>
    <cellStyle name="20% - Accent2 28 5" xfId="6706" xr:uid="{00000000-0005-0000-0000-00009B070000}"/>
    <cellStyle name="20% - Accent2 28 5 2" xfId="17994" xr:uid="{00000000-0005-0000-0000-00009C070000}"/>
    <cellStyle name="20% - Accent2 28 6" xfId="4712" xr:uid="{00000000-0005-0000-0000-00009D070000}"/>
    <cellStyle name="20% - Accent2 28 6 2" xfId="16000" xr:uid="{00000000-0005-0000-0000-00009E070000}"/>
    <cellStyle name="20% - Accent2 28 7" xfId="14006" xr:uid="{00000000-0005-0000-0000-00009F070000}"/>
    <cellStyle name="20% - Accent2 28 8" xfId="12692" xr:uid="{00000000-0005-0000-0000-0000A0070000}"/>
    <cellStyle name="20% - Accent2 29" xfId="757" xr:uid="{00000000-0005-0000-0000-0000A1070000}"/>
    <cellStyle name="20% - Accent2 29 2" xfId="3713" xr:uid="{00000000-0005-0000-0000-0000A2070000}"/>
    <cellStyle name="20% - Accent2 29 2 2" xfId="11692" xr:uid="{00000000-0005-0000-0000-0000A3070000}"/>
    <cellStyle name="20% - Accent2 29 2 2 2" xfId="22980" xr:uid="{00000000-0005-0000-0000-0000A4070000}"/>
    <cellStyle name="20% - Accent2 29 2 3" xfId="9698" xr:uid="{00000000-0005-0000-0000-0000A5070000}"/>
    <cellStyle name="20% - Accent2 29 2 3 2" xfId="20986" xr:uid="{00000000-0005-0000-0000-0000A6070000}"/>
    <cellStyle name="20% - Accent2 29 2 4" xfId="7704" xr:uid="{00000000-0005-0000-0000-0000A7070000}"/>
    <cellStyle name="20% - Accent2 29 2 4 2" xfId="18992" xr:uid="{00000000-0005-0000-0000-0000A8070000}"/>
    <cellStyle name="20% - Accent2 29 2 5" xfId="5710" xr:uid="{00000000-0005-0000-0000-0000A9070000}"/>
    <cellStyle name="20% - Accent2 29 2 5 2" xfId="16998" xr:uid="{00000000-0005-0000-0000-0000AA070000}"/>
    <cellStyle name="20% - Accent2 29 2 6" xfId="15004" xr:uid="{00000000-0005-0000-0000-0000AB070000}"/>
    <cellStyle name="20% - Accent2 29 3" xfId="10695" xr:uid="{00000000-0005-0000-0000-0000AC070000}"/>
    <cellStyle name="20% - Accent2 29 3 2" xfId="21983" xr:uid="{00000000-0005-0000-0000-0000AD070000}"/>
    <cellStyle name="20% - Accent2 29 4" xfId="8701" xr:uid="{00000000-0005-0000-0000-0000AE070000}"/>
    <cellStyle name="20% - Accent2 29 4 2" xfId="19989" xr:uid="{00000000-0005-0000-0000-0000AF070000}"/>
    <cellStyle name="20% - Accent2 29 5" xfId="6707" xr:uid="{00000000-0005-0000-0000-0000B0070000}"/>
    <cellStyle name="20% - Accent2 29 5 2" xfId="17995" xr:uid="{00000000-0005-0000-0000-0000B1070000}"/>
    <cellStyle name="20% - Accent2 29 6" xfId="4713" xr:uid="{00000000-0005-0000-0000-0000B2070000}"/>
    <cellStyle name="20% - Accent2 29 6 2" xfId="16001" xr:uid="{00000000-0005-0000-0000-0000B3070000}"/>
    <cellStyle name="20% - Accent2 29 7" xfId="14007" xr:uid="{00000000-0005-0000-0000-0000B4070000}"/>
    <cellStyle name="20% - Accent2 29 8" xfId="12693" xr:uid="{00000000-0005-0000-0000-0000B5070000}"/>
    <cellStyle name="20% - Accent2 3" xfId="758" xr:uid="{00000000-0005-0000-0000-0000B6070000}"/>
    <cellStyle name="20% - Accent2 3 10" xfId="24566" xr:uid="{00000000-0005-0000-0000-0000B7070000}"/>
    <cellStyle name="20% - Accent2 3 11" xfId="24956" xr:uid="{00000000-0005-0000-0000-0000B8070000}"/>
    <cellStyle name="20% - Accent2 3 2" xfId="3714" xr:uid="{00000000-0005-0000-0000-0000B9070000}"/>
    <cellStyle name="20% - Accent2 3 2 2" xfId="11693" xr:uid="{00000000-0005-0000-0000-0000BA070000}"/>
    <cellStyle name="20% - Accent2 3 2 2 2" xfId="22981" xr:uid="{00000000-0005-0000-0000-0000BB070000}"/>
    <cellStyle name="20% - Accent2 3 2 3" xfId="9699" xr:uid="{00000000-0005-0000-0000-0000BC070000}"/>
    <cellStyle name="20% - Accent2 3 2 3 2" xfId="20987" xr:uid="{00000000-0005-0000-0000-0000BD070000}"/>
    <cellStyle name="20% - Accent2 3 2 4" xfId="7705" xr:uid="{00000000-0005-0000-0000-0000BE070000}"/>
    <cellStyle name="20% - Accent2 3 2 4 2" xfId="18993" xr:uid="{00000000-0005-0000-0000-0000BF070000}"/>
    <cellStyle name="20% - Accent2 3 2 5" xfId="5711" xr:uid="{00000000-0005-0000-0000-0000C0070000}"/>
    <cellStyle name="20% - Accent2 3 2 5 2" xfId="16999" xr:uid="{00000000-0005-0000-0000-0000C1070000}"/>
    <cellStyle name="20% - Accent2 3 2 6" xfId="15005" xr:uid="{00000000-0005-0000-0000-0000C2070000}"/>
    <cellStyle name="20% - Accent2 3 2 7" xfId="24327" xr:uid="{00000000-0005-0000-0000-0000C3070000}"/>
    <cellStyle name="20% - Accent2 3 2 8" xfId="24791" xr:uid="{00000000-0005-0000-0000-0000C4070000}"/>
    <cellStyle name="20% - Accent2 3 2 9" xfId="25158" xr:uid="{00000000-0005-0000-0000-0000C5070000}"/>
    <cellStyle name="20% - Accent2 3 3" xfId="10696" xr:uid="{00000000-0005-0000-0000-0000C6070000}"/>
    <cellStyle name="20% - Accent2 3 3 2" xfId="21984" xr:uid="{00000000-0005-0000-0000-0000C7070000}"/>
    <cellStyle name="20% - Accent2 3 4" xfId="8702" xr:uid="{00000000-0005-0000-0000-0000C8070000}"/>
    <cellStyle name="20% - Accent2 3 4 2" xfId="19990" xr:uid="{00000000-0005-0000-0000-0000C9070000}"/>
    <cellStyle name="20% - Accent2 3 5" xfId="6708" xr:uid="{00000000-0005-0000-0000-0000CA070000}"/>
    <cellStyle name="20% - Accent2 3 5 2" xfId="17996" xr:uid="{00000000-0005-0000-0000-0000CB070000}"/>
    <cellStyle name="20% - Accent2 3 6" xfId="4714" xr:uid="{00000000-0005-0000-0000-0000CC070000}"/>
    <cellStyle name="20% - Accent2 3 6 2" xfId="16002" xr:uid="{00000000-0005-0000-0000-0000CD070000}"/>
    <cellStyle name="20% - Accent2 3 7" xfId="14008" xr:uid="{00000000-0005-0000-0000-0000CE070000}"/>
    <cellStyle name="20% - Accent2 3 8" xfId="12694" xr:uid="{00000000-0005-0000-0000-0000CF070000}"/>
    <cellStyle name="20% - Accent2 3 9" xfId="23939" xr:uid="{00000000-0005-0000-0000-0000D0070000}"/>
    <cellStyle name="20% - Accent2 30" xfId="759" xr:uid="{00000000-0005-0000-0000-0000D1070000}"/>
    <cellStyle name="20% - Accent2 30 2" xfId="3715" xr:uid="{00000000-0005-0000-0000-0000D2070000}"/>
    <cellStyle name="20% - Accent2 30 2 2" xfId="11694" xr:uid="{00000000-0005-0000-0000-0000D3070000}"/>
    <cellStyle name="20% - Accent2 30 2 2 2" xfId="22982" xr:uid="{00000000-0005-0000-0000-0000D4070000}"/>
    <cellStyle name="20% - Accent2 30 2 3" xfId="9700" xr:uid="{00000000-0005-0000-0000-0000D5070000}"/>
    <cellStyle name="20% - Accent2 30 2 3 2" xfId="20988" xr:uid="{00000000-0005-0000-0000-0000D6070000}"/>
    <cellStyle name="20% - Accent2 30 2 4" xfId="7706" xr:uid="{00000000-0005-0000-0000-0000D7070000}"/>
    <cellStyle name="20% - Accent2 30 2 4 2" xfId="18994" xr:uid="{00000000-0005-0000-0000-0000D8070000}"/>
    <cellStyle name="20% - Accent2 30 2 5" xfId="5712" xr:uid="{00000000-0005-0000-0000-0000D9070000}"/>
    <cellStyle name="20% - Accent2 30 2 5 2" xfId="17000" xr:uid="{00000000-0005-0000-0000-0000DA070000}"/>
    <cellStyle name="20% - Accent2 30 2 6" xfId="15006" xr:uid="{00000000-0005-0000-0000-0000DB070000}"/>
    <cellStyle name="20% - Accent2 30 3" xfId="10697" xr:uid="{00000000-0005-0000-0000-0000DC070000}"/>
    <cellStyle name="20% - Accent2 30 3 2" xfId="21985" xr:uid="{00000000-0005-0000-0000-0000DD070000}"/>
    <cellStyle name="20% - Accent2 30 4" xfId="8703" xr:uid="{00000000-0005-0000-0000-0000DE070000}"/>
    <cellStyle name="20% - Accent2 30 4 2" xfId="19991" xr:uid="{00000000-0005-0000-0000-0000DF070000}"/>
    <cellStyle name="20% - Accent2 30 5" xfId="6709" xr:uid="{00000000-0005-0000-0000-0000E0070000}"/>
    <cellStyle name="20% - Accent2 30 5 2" xfId="17997" xr:uid="{00000000-0005-0000-0000-0000E1070000}"/>
    <cellStyle name="20% - Accent2 30 6" xfId="4715" xr:uid="{00000000-0005-0000-0000-0000E2070000}"/>
    <cellStyle name="20% - Accent2 30 6 2" xfId="16003" xr:uid="{00000000-0005-0000-0000-0000E3070000}"/>
    <cellStyle name="20% - Accent2 30 7" xfId="14009" xr:uid="{00000000-0005-0000-0000-0000E4070000}"/>
    <cellStyle name="20% - Accent2 30 8" xfId="12695" xr:uid="{00000000-0005-0000-0000-0000E5070000}"/>
    <cellStyle name="20% - Accent2 31" xfId="760" xr:uid="{00000000-0005-0000-0000-0000E6070000}"/>
    <cellStyle name="20% - Accent2 31 2" xfId="3716" xr:uid="{00000000-0005-0000-0000-0000E7070000}"/>
    <cellStyle name="20% - Accent2 31 2 2" xfId="11695" xr:uid="{00000000-0005-0000-0000-0000E8070000}"/>
    <cellStyle name="20% - Accent2 31 2 2 2" xfId="22983" xr:uid="{00000000-0005-0000-0000-0000E9070000}"/>
    <cellStyle name="20% - Accent2 31 2 3" xfId="9701" xr:uid="{00000000-0005-0000-0000-0000EA070000}"/>
    <cellStyle name="20% - Accent2 31 2 3 2" xfId="20989" xr:uid="{00000000-0005-0000-0000-0000EB070000}"/>
    <cellStyle name="20% - Accent2 31 2 4" xfId="7707" xr:uid="{00000000-0005-0000-0000-0000EC070000}"/>
    <cellStyle name="20% - Accent2 31 2 4 2" xfId="18995" xr:uid="{00000000-0005-0000-0000-0000ED070000}"/>
    <cellStyle name="20% - Accent2 31 2 5" xfId="5713" xr:uid="{00000000-0005-0000-0000-0000EE070000}"/>
    <cellStyle name="20% - Accent2 31 2 5 2" xfId="17001" xr:uid="{00000000-0005-0000-0000-0000EF070000}"/>
    <cellStyle name="20% - Accent2 31 2 6" xfId="15007" xr:uid="{00000000-0005-0000-0000-0000F0070000}"/>
    <cellStyle name="20% - Accent2 31 3" xfId="10698" xr:uid="{00000000-0005-0000-0000-0000F1070000}"/>
    <cellStyle name="20% - Accent2 31 3 2" xfId="21986" xr:uid="{00000000-0005-0000-0000-0000F2070000}"/>
    <cellStyle name="20% - Accent2 31 4" xfId="8704" xr:uid="{00000000-0005-0000-0000-0000F3070000}"/>
    <cellStyle name="20% - Accent2 31 4 2" xfId="19992" xr:uid="{00000000-0005-0000-0000-0000F4070000}"/>
    <cellStyle name="20% - Accent2 31 5" xfId="6710" xr:uid="{00000000-0005-0000-0000-0000F5070000}"/>
    <cellStyle name="20% - Accent2 31 5 2" xfId="17998" xr:uid="{00000000-0005-0000-0000-0000F6070000}"/>
    <cellStyle name="20% - Accent2 31 6" xfId="4716" xr:uid="{00000000-0005-0000-0000-0000F7070000}"/>
    <cellStyle name="20% - Accent2 31 6 2" xfId="16004" xr:uid="{00000000-0005-0000-0000-0000F8070000}"/>
    <cellStyle name="20% - Accent2 31 7" xfId="14010" xr:uid="{00000000-0005-0000-0000-0000F9070000}"/>
    <cellStyle name="20% - Accent2 31 8" xfId="12696" xr:uid="{00000000-0005-0000-0000-0000FA070000}"/>
    <cellStyle name="20% - Accent2 32" xfId="761" xr:uid="{00000000-0005-0000-0000-0000FB070000}"/>
    <cellStyle name="20% - Accent2 32 2" xfId="3717" xr:uid="{00000000-0005-0000-0000-0000FC070000}"/>
    <cellStyle name="20% - Accent2 32 2 2" xfId="11696" xr:uid="{00000000-0005-0000-0000-0000FD070000}"/>
    <cellStyle name="20% - Accent2 32 2 2 2" xfId="22984" xr:uid="{00000000-0005-0000-0000-0000FE070000}"/>
    <cellStyle name="20% - Accent2 32 2 3" xfId="9702" xr:uid="{00000000-0005-0000-0000-0000FF070000}"/>
    <cellStyle name="20% - Accent2 32 2 3 2" xfId="20990" xr:uid="{00000000-0005-0000-0000-000000080000}"/>
    <cellStyle name="20% - Accent2 32 2 4" xfId="7708" xr:uid="{00000000-0005-0000-0000-000001080000}"/>
    <cellStyle name="20% - Accent2 32 2 4 2" xfId="18996" xr:uid="{00000000-0005-0000-0000-000002080000}"/>
    <cellStyle name="20% - Accent2 32 2 5" xfId="5714" xr:uid="{00000000-0005-0000-0000-000003080000}"/>
    <cellStyle name="20% - Accent2 32 2 5 2" xfId="17002" xr:uid="{00000000-0005-0000-0000-000004080000}"/>
    <cellStyle name="20% - Accent2 32 2 6" xfId="15008" xr:uid="{00000000-0005-0000-0000-000005080000}"/>
    <cellStyle name="20% - Accent2 32 3" xfId="10699" xr:uid="{00000000-0005-0000-0000-000006080000}"/>
    <cellStyle name="20% - Accent2 32 3 2" xfId="21987" xr:uid="{00000000-0005-0000-0000-000007080000}"/>
    <cellStyle name="20% - Accent2 32 4" xfId="8705" xr:uid="{00000000-0005-0000-0000-000008080000}"/>
    <cellStyle name="20% - Accent2 32 4 2" xfId="19993" xr:uid="{00000000-0005-0000-0000-000009080000}"/>
    <cellStyle name="20% - Accent2 32 5" xfId="6711" xr:uid="{00000000-0005-0000-0000-00000A080000}"/>
    <cellStyle name="20% - Accent2 32 5 2" xfId="17999" xr:uid="{00000000-0005-0000-0000-00000B080000}"/>
    <cellStyle name="20% - Accent2 32 6" xfId="4717" xr:uid="{00000000-0005-0000-0000-00000C080000}"/>
    <cellStyle name="20% - Accent2 32 6 2" xfId="16005" xr:uid="{00000000-0005-0000-0000-00000D080000}"/>
    <cellStyle name="20% - Accent2 32 7" xfId="14011" xr:uid="{00000000-0005-0000-0000-00000E080000}"/>
    <cellStyle name="20% - Accent2 32 8" xfId="12697" xr:uid="{00000000-0005-0000-0000-00000F080000}"/>
    <cellStyle name="20% - Accent2 33" xfId="762" xr:uid="{00000000-0005-0000-0000-000010080000}"/>
    <cellStyle name="20% - Accent2 33 2" xfId="3718" xr:uid="{00000000-0005-0000-0000-000011080000}"/>
    <cellStyle name="20% - Accent2 33 2 2" xfId="11697" xr:uid="{00000000-0005-0000-0000-000012080000}"/>
    <cellStyle name="20% - Accent2 33 2 2 2" xfId="22985" xr:uid="{00000000-0005-0000-0000-000013080000}"/>
    <cellStyle name="20% - Accent2 33 2 3" xfId="9703" xr:uid="{00000000-0005-0000-0000-000014080000}"/>
    <cellStyle name="20% - Accent2 33 2 3 2" xfId="20991" xr:uid="{00000000-0005-0000-0000-000015080000}"/>
    <cellStyle name="20% - Accent2 33 2 4" xfId="7709" xr:uid="{00000000-0005-0000-0000-000016080000}"/>
    <cellStyle name="20% - Accent2 33 2 4 2" xfId="18997" xr:uid="{00000000-0005-0000-0000-000017080000}"/>
    <cellStyle name="20% - Accent2 33 2 5" xfId="5715" xr:uid="{00000000-0005-0000-0000-000018080000}"/>
    <cellStyle name="20% - Accent2 33 2 5 2" xfId="17003" xr:uid="{00000000-0005-0000-0000-000019080000}"/>
    <cellStyle name="20% - Accent2 33 2 6" xfId="15009" xr:uid="{00000000-0005-0000-0000-00001A080000}"/>
    <cellStyle name="20% - Accent2 33 3" xfId="10700" xr:uid="{00000000-0005-0000-0000-00001B080000}"/>
    <cellStyle name="20% - Accent2 33 3 2" xfId="21988" xr:uid="{00000000-0005-0000-0000-00001C080000}"/>
    <cellStyle name="20% - Accent2 33 4" xfId="8706" xr:uid="{00000000-0005-0000-0000-00001D080000}"/>
    <cellStyle name="20% - Accent2 33 4 2" xfId="19994" xr:uid="{00000000-0005-0000-0000-00001E080000}"/>
    <cellStyle name="20% - Accent2 33 5" xfId="6712" xr:uid="{00000000-0005-0000-0000-00001F080000}"/>
    <cellStyle name="20% - Accent2 33 5 2" xfId="18000" xr:uid="{00000000-0005-0000-0000-000020080000}"/>
    <cellStyle name="20% - Accent2 33 6" xfId="4718" xr:uid="{00000000-0005-0000-0000-000021080000}"/>
    <cellStyle name="20% - Accent2 33 6 2" xfId="16006" xr:uid="{00000000-0005-0000-0000-000022080000}"/>
    <cellStyle name="20% - Accent2 33 7" xfId="14012" xr:uid="{00000000-0005-0000-0000-000023080000}"/>
    <cellStyle name="20% - Accent2 33 8" xfId="12698" xr:uid="{00000000-0005-0000-0000-000024080000}"/>
    <cellStyle name="20% - Accent2 34" xfId="763" xr:uid="{00000000-0005-0000-0000-000025080000}"/>
    <cellStyle name="20% - Accent2 34 2" xfId="3719" xr:uid="{00000000-0005-0000-0000-000026080000}"/>
    <cellStyle name="20% - Accent2 34 2 2" xfId="11698" xr:uid="{00000000-0005-0000-0000-000027080000}"/>
    <cellStyle name="20% - Accent2 34 2 2 2" xfId="22986" xr:uid="{00000000-0005-0000-0000-000028080000}"/>
    <cellStyle name="20% - Accent2 34 2 3" xfId="9704" xr:uid="{00000000-0005-0000-0000-000029080000}"/>
    <cellStyle name="20% - Accent2 34 2 3 2" xfId="20992" xr:uid="{00000000-0005-0000-0000-00002A080000}"/>
    <cellStyle name="20% - Accent2 34 2 4" xfId="7710" xr:uid="{00000000-0005-0000-0000-00002B080000}"/>
    <cellStyle name="20% - Accent2 34 2 4 2" xfId="18998" xr:uid="{00000000-0005-0000-0000-00002C080000}"/>
    <cellStyle name="20% - Accent2 34 2 5" xfId="5716" xr:uid="{00000000-0005-0000-0000-00002D080000}"/>
    <cellStyle name="20% - Accent2 34 2 5 2" xfId="17004" xr:uid="{00000000-0005-0000-0000-00002E080000}"/>
    <cellStyle name="20% - Accent2 34 2 6" xfId="15010" xr:uid="{00000000-0005-0000-0000-00002F080000}"/>
    <cellStyle name="20% - Accent2 34 3" xfId="10701" xr:uid="{00000000-0005-0000-0000-000030080000}"/>
    <cellStyle name="20% - Accent2 34 3 2" xfId="21989" xr:uid="{00000000-0005-0000-0000-000031080000}"/>
    <cellStyle name="20% - Accent2 34 4" xfId="8707" xr:uid="{00000000-0005-0000-0000-000032080000}"/>
    <cellStyle name="20% - Accent2 34 4 2" xfId="19995" xr:uid="{00000000-0005-0000-0000-000033080000}"/>
    <cellStyle name="20% - Accent2 34 5" xfId="6713" xr:uid="{00000000-0005-0000-0000-000034080000}"/>
    <cellStyle name="20% - Accent2 34 5 2" xfId="18001" xr:uid="{00000000-0005-0000-0000-000035080000}"/>
    <cellStyle name="20% - Accent2 34 6" xfId="4719" xr:uid="{00000000-0005-0000-0000-000036080000}"/>
    <cellStyle name="20% - Accent2 34 6 2" xfId="16007" xr:uid="{00000000-0005-0000-0000-000037080000}"/>
    <cellStyle name="20% - Accent2 34 7" xfId="14013" xr:uid="{00000000-0005-0000-0000-000038080000}"/>
    <cellStyle name="20% - Accent2 34 8" xfId="12699" xr:uid="{00000000-0005-0000-0000-000039080000}"/>
    <cellStyle name="20% - Accent2 35" xfId="764" xr:uid="{00000000-0005-0000-0000-00003A080000}"/>
    <cellStyle name="20% - Accent2 35 2" xfId="3720" xr:uid="{00000000-0005-0000-0000-00003B080000}"/>
    <cellStyle name="20% - Accent2 35 2 2" xfId="11699" xr:uid="{00000000-0005-0000-0000-00003C080000}"/>
    <cellStyle name="20% - Accent2 35 2 2 2" xfId="22987" xr:uid="{00000000-0005-0000-0000-00003D080000}"/>
    <cellStyle name="20% - Accent2 35 2 3" xfId="9705" xr:uid="{00000000-0005-0000-0000-00003E080000}"/>
    <cellStyle name="20% - Accent2 35 2 3 2" xfId="20993" xr:uid="{00000000-0005-0000-0000-00003F080000}"/>
    <cellStyle name="20% - Accent2 35 2 4" xfId="7711" xr:uid="{00000000-0005-0000-0000-000040080000}"/>
    <cellStyle name="20% - Accent2 35 2 4 2" xfId="18999" xr:uid="{00000000-0005-0000-0000-000041080000}"/>
    <cellStyle name="20% - Accent2 35 2 5" xfId="5717" xr:uid="{00000000-0005-0000-0000-000042080000}"/>
    <cellStyle name="20% - Accent2 35 2 5 2" xfId="17005" xr:uid="{00000000-0005-0000-0000-000043080000}"/>
    <cellStyle name="20% - Accent2 35 2 6" xfId="15011" xr:uid="{00000000-0005-0000-0000-000044080000}"/>
    <cellStyle name="20% - Accent2 35 3" xfId="10702" xr:uid="{00000000-0005-0000-0000-000045080000}"/>
    <cellStyle name="20% - Accent2 35 3 2" xfId="21990" xr:uid="{00000000-0005-0000-0000-000046080000}"/>
    <cellStyle name="20% - Accent2 35 4" xfId="8708" xr:uid="{00000000-0005-0000-0000-000047080000}"/>
    <cellStyle name="20% - Accent2 35 4 2" xfId="19996" xr:uid="{00000000-0005-0000-0000-000048080000}"/>
    <cellStyle name="20% - Accent2 35 5" xfId="6714" xr:uid="{00000000-0005-0000-0000-000049080000}"/>
    <cellStyle name="20% - Accent2 35 5 2" xfId="18002" xr:uid="{00000000-0005-0000-0000-00004A080000}"/>
    <cellStyle name="20% - Accent2 35 6" xfId="4720" xr:uid="{00000000-0005-0000-0000-00004B080000}"/>
    <cellStyle name="20% - Accent2 35 6 2" xfId="16008" xr:uid="{00000000-0005-0000-0000-00004C080000}"/>
    <cellStyle name="20% - Accent2 35 7" xfId="14014" xr:uid="{00000000-0005-0000-0000-00004D080000}"/>
    <cellStyle name="20% - Accent2 35 8" xfId="12700" xr:uid="{00000000-0005-0000-0000-00004E080000}"/>
    <cellStyle name="20% - Accent2 36" xfId="765" xr:uid="{00000000-0005-0000-0000-00004F080000}"/>
    <cellStyle name="20% - Accent2 36 2" xfId="3721" xr:uid="{00000000-0005-0000-0000-000050080000}"/>
    <cellStyle name="20% - Accent2 36 2 2" xfId="11700" xr:uid="{00000000-0005-0000-0000-000051080000}"/>
    <cellStyle name="20% - Accent2 36 2 2 2" xfId="22988" xr:uid="{00000000-0005-0000-0000-000052080000}"/>
    <cellStyle name="20% - Accent2 36 2 3" xfId="9706" xr:uid="{00000000-0005-0000-0000-000053080000}"/>
    <cellStyle name="20% - Accent2 36 2 3 2" xfId="20994" xr:uid="{00000000-0005-0000-0000-000054080000}"/>
    <cellStyle name="20% - Accent2 36 2 4" xfId="7712" xr:uid="{00000000-0005-0000-0000-000055080000}"/>
    <cellStyle name="20% - Accent2 36 2 4 2" xfId="19000" xr:uid="{00000000-0005-0000-0000-000056080000}"/>
    <cellStyle name="20% - Accent2 36 2 5" xfId="5718" xr:uid="{00000000-0005-0000-0000-000057080000}"/>
    <cellStyle name="20% - Accent2 36 2 5 2" xfId="17006" xr:uid="{00000000-0005-0000-0000-000058080000}"/>
    <cellStyle name="20% - Accent2 36 2 6" xfId="15012" xr:uid="{00000000-0005-0000-0000-000059080000}"/>
    <cellStyle name="20% - Accent2 36 3" xfId="10703" xr:uid="{00000000-0005-0000-0000-00005A080000}"/>
    <cellStyle name="20% - Accent2 36 3 2" xfId="21991" xr:uid="{00000000-0005-0000-0000-00005B080000}"/>
    <cellStyle name="20% - Accent2 36 4" xfId="8709" xr:uid="{00000000-0005-0000-0000-00005C080000}"/>
    <cellStyle name="20% - Accent2 36 4 2" xfId="19997" xr:uid="{00000000-0005-0000-0000-00005D080000}"/>
    <cellStyle name="20% - Accent2 36 5" xfId="6715" xr:uid="{00000000-0005-0000-0000-00005E080000}"/>
    <cellStyle name="20% - Accent2 36 5 2" xfId="18003" xr:uid="{00000000-0005-0000-0000-00005F080000}"/>
    <cellStyle name="20% - Accent2 36 6" xfId="4721" xr:uid="{00000000-0005-0000-0000-000060080000}"/>
    <cellStyle name="20% - Accent2 36 6 2" xfId="16009" xr:uid="{00000000-0005-0000-0000-000061080000}"/>
    <cellStyle name="20% - Accent2 36 7" xfId="14015" xr:uid="{00000000-0005-0000-0000-000062080000}"/>
    <cellStyle name="20% - Accent2 36 8" xfId="12701" xr:uid="{00000000-0005-0000-0000-000063080000}"/>
    <cellStyle name="20% - Accent2 37" xfId="766" xr:uid="{00000000-0005-0000-0000-000064080000}"/>
    <cellStyle name="20% - Accent2 37 2" xfId="3722" xr:uid="{00000000-0005-0000-0000-000065080000}"/>
    <cellStyle name="20% - Accent2 37 2 2" xfId="11701" xr:uid="{00000000-0005-0000-0000-000066080000}"/>
    <cellStyle name="20% - Accent2 37 2 2 2" xfId="22989" xr:uid="{00000000-0005-0000-0000-000067080000}"/>
    <cellStyle name="20% - Accent2 37 2 3" xfId="9707" xr:uid="{00000000-0005-0000-0000-000068080000}"/>
    <cellStyle name="20% - Accent2 37 2 3 2" xfId="20995" xr:uid="{00000000-0005-0000-0000-000069080000}"/>
    <cellStyle name="20% - Accent2 37 2 4" xfId="7713" xr:uid="{00000000-0005-0000-0000-00006A080000}"/>
    <cellStyle name="20% - Accent2 37 2 4 2" xfId="19001" xr:uid="{00000000-0005-0000-0000-00006B080000}"/>
    <cellStyle name="20% - Accent2 37 2 5" xfId="5719" xr:uid="{00000000-0005-0000-0000-00006C080000}"/>
    <cellStyle name="20% - Accent2 37 2 5 2" xfId="17007" xr:uid="{00000000-0005-0000-0000-00006D080000}"/>
    <cellStyle name="20% - Accent2 37 2 6" xfId="15013" xr:uid="{00000000-0005-0000-0000-00006E080000}"/>
    <cellStyle name="20% - Accent2 37 3" xfId="10704" xr:uid="{00000000-0005-0000-0000-00006F080000}"/>
    <cellStyle name="20% - Accent2 37 3 2" xfId="21992" xr:uid="{00000000-0005-0000-0000-000070080000}"/>
    <cellStyle name="20% - Accent2 37 4" xfId="8710" xr:uid="{00000000-0005-0000-0000-000071080000}"/>
    <cellStyle name="20% - Accent2 37 4 2" xfId="19998" xr:uid="{00000000-0005-0000-0000-000072080000}"/>
    <cellStyle name="20% - Accent2 37 5" xfId="6716" xr:uid="{00000000-0005-0000-0000-000073080000}"/>
    <cellStyle name="20% - Accent2 37 5 2" xfId="18004" xr:uid="{00000000-0005-0000-0000-000074080000}"/>
    <cellStyle name="20% - Accent2 37 6" xfId="4722" xr:uid="{00000000-0005-0000-0000-000075080000}"/>
    <cellStyle name="20% - Accent2 37 6 2" xfId="16010" xr:uid="{00000000-0005-0000-0000-000076080000}"/>
    <cellStyle name="20% - Accent2 37 7" xfId="14016" xr:uid="{00000000-0005-0000-0000-000077080000}"/>
    <cellStyle name="20% - Accent2 37 8" xfId="12702" xr:uid="{00000000-0005-0000-0000-000078080000}"/>
    <cellStyle name="20% - Accent2 38" xfId="767" xr:uid="{00000000-0005-0000-0000-000079080000}"/>
    <cellStyle name="20% - Accent2 38 2" xfId="3723" xr:uid="{00000000-0005-0000-0000-00007A080000}"/>
    <cellStyle name="20% - Accent2 38 2 2" xfId="11702" xr:uid="{00000000-0005-0000-0000-00007B080000}"/>
    <cellStyle name="20% - Accent2 38 2 2 2" xfId="22990" xr:uid="{00000000-0005-0000-0000-00007C080000}"/>
    <cellStyle name="20% - Accent2 38 2 3" xfId="9708" xr:uid="{00000000-0005-0000-0000-00007D080000}"/>
    <cellStyle name="20% - Accent2 38 2 3 2" xfId="20996" xr:uid="{00000000-0005-0000-0000-00007E080000}"/>
    <cellStyle name="20% - Accent2 38 2 4" xfId="7714" xr:uid="{00000000-0005-0000-0000-00007F080000}"/>
    <cellStyle name="20% - Accent2 38 2 4 2" xfId="19002" xr:uid="{00000000-0005-0000-0000-000080080000}"/>
    <cellStyle name="20% - Accent2 38 2 5" xfId="5720" xr:uid="{00000000-0005-0000-0000-000081080000}"/>
    <cellStyle name="20% - Accent2 38 2 5 2" xfId="17008" xr:uid="{00000000-0005-0000-0000-000082080000}"/>
    <cellStyle name="20% - Accent2 38 2 6" xfId="15014" xr:uid="{00000000-0005-0000-0000-000083080000}"/>
    <cellStyle name="20% - Accent2 38 3" xfId="10705" xr:uid="{00000000-0005-0000-0000-000084080000}"/>
    <cellStyle name="20% - Accent2 38 3 2" xfId="21993" xr:uid="{00000000-0005-0000-0000-000085080000}"/>
    <cellStyle name="20% - Accent2 38 4" xfId="8711" xr:uid="{00000000-0005-0000-0000-000086080000}"/>
    <cellStyle name="20% - Accent2 38 4 2" xfId="19999" xr:uid="{00000000-0005-0000-0000-000087080000}"/>
    <cellStyle name="20% - Accent2 38 5" xfId="6717" xr:uid="{00000000-0005-0000-0000-000088080000}"/>
    <cellStyle name="20% - Accent2 38 5 2" xfId="18005" xr:uid="{00000000-0005-0000-0000-000089080000}"/>
    <cellStyle name="20% - Accent2 38 6" xfId="4723" xr:uid="{00000000-0005-0000-0000-00008A080000}"/>
    <cellStyle name="20% - Accent2 38 6 2" xfId="16011" xr:uid="{00000000-0005-0000-0000-00008B080000}"/>
    <cellStyle name="20% - Accent2 38 7" xfId="14017" xr:uid="{00000000-0005-0000-0000-00008C080000}"/>
    <cellStyle name="20% - Accent2 38 8" xfId="12703" xr:uid="{00000000-0005-0000-0000-00008D080000}"/>
    <cellStyle name="20% - Accent2 39" xfId="768" xr:uid="{00000000-0005-0000-0000-00008E080000}"/>
    <cellStyle name="20% - Accent2 39 2" xfId="3724" xr:uid="{00000000-0005-0000-0000-00008F080000}"/>
    <cellStyle name="20% - Accent2 39 2 2" xfId="11703" xr:uid="{00000000-0005-0000-0000-000090080000}"/>
    <cellStyle name="20% - Accent2 39 2 2 2" xfId="22991" xr:uid="{00000000-0005-0000-0000-000091080000}"/>
    <cellStyle name="20% - Accent2 39 2 3" xfId="9709" xr:uid="{00000000-0005-0000-0000-000092080000}"/>
    <cellStyle name="20% - Accent2 39 2 3 2" xfId="20997" xr:uid="{00000000-0005-0000-0000-000093080000}"/>
    <cellStyle name="20% - Accent2 39 2 4" xfId="7715" xr:uid="{00000000-0005-0000-0000-000094080000}"/>
    <cellStyle name="20% - Accent2 39 2 4 2" xfId="19003" xr:uid="{00000000-0005-0000-0000-000095080000}"/>
    <cellStyle name="20% - Accent2 39 2 5" xfId="5721" xr:uid="{00000000-0005-0000-0000-000096080000}"/>
    <cellStyle name="20% - Accent2 39 2 5 2" xfId="17009" xr:uid="{00000000-0005-0000-0000-000097080000}"/>
    <cellStyle name="20% - Accent2 39 2 6" xfId="15015" xr:uid="{00000000-0005-0000-0000-000098080000}"/>
    <cellStyle name="20% - Accent2 39 3" xfId="10706" xr:uid="{00000000-0005-0000-0000-000099080000}"/>
    <cellStyle name="20% - Accent2 39 3 2" xfId="21994" xr:uid="{00000000-0005-0000-0000-00009A080000}"/>
    <cellStyle name="20% - Accent2 39 4" xfId="8712" xr:uid="{00000000-0005-0000-0000-00009B080000}"/>
    <cellStyle name="20% - Accent2 39 4 2" xfId="20000" xr:uid="{00000000-0005-0000-0000-00009C080000}"/>
    <cellStyle name="20% - Accent2 39 5" xfId="6718" xr:uid="{00000000-0005-0000-0000-00009D080000}"/>
    <cellStyle name="20% - Accent2 39 5 2" xfId="18006" xr:uid="{00000000-0005-0000-0000-00009E080000}"/>
    <cellStyle name="20% - Accent2 39 6" xfId="4724" xr:uid="{00000000-0005-0000-0000-00009F080000}"/>
    <cellStyle name="20% - Accent2 39 6 2" xfId="16012" xr:uid="{00000000-0005-0000-0000-0000A0080000}"/>
    <cellStyle name="20% - Accent2 39 7" xfId="14018" xr:uid="{00000000-0005-0000-0000-0000A1080000}"/>
    <cellStyle name="20% - Accent2 39 8" xfId="12704" xr:uid="{00000000-0005-0000-0000-0000A2080000}"/>
    <cellStyle name="20% - Accent2 4" xfId="769" xr:uid="{00000000-0005-0000-0000-0000A3080000}"/>
    <cellStyle name="20% - Accent2 4 10" xfId="24567" xr:uid="{00000000-0005-0000-0000-0000A4080000}"/>
    <cellStyle name="20% - Accent2 4 11" xfId="24957" xr:uid="{00000000-0005-0000-0000-0000A5080000}"/>
    <cellStyle name="20% - Accent2 4 2" xfId="3725" xr:uid="{00000000-0005-0000-0000-0000A6080000}"/>
    <cellStyle name="20% - Accent2 4 2 2" xfId="11704" xr:uid="{00000000-0005-0000-0000-0000A7080000}"/>
    <cellStyle name="20% - Accent2 4 2 2 2" xfId="22992" xr:uid="{00000000-0005-0000-0000-0000A8080000}"/>
    <cellStyle name="20% - Accent2 4 2 3" xfId="9710" xr:uid="{00000000-0005-0000-0000-0000A9080000}"/>
    <cellStyle name="20% - Accent2 4 2 3 2" xfId="20998" xr:uid="{00000000-0005-0000-0000-0000AA080000}"/>
    <cellStyle name="20% - Accent2 4 2 4" xfId="7716" xr:uid="{00000000-0005-0000-0000-0000AB080000}"/>
    <cellStyle name="20% - Accent2 4 2 4 2" xfId="19004" xr:uid="{00000000-0005-0000-0000-0000AC080000}"/>
    <cellStyle name="20% - Accent2 4 2 5" xfId="5722" xr:uid="{00000000-0005-0000-0000-0000AD080000}"/>
    <cellStyle name="20% - Accent2 4 2 5 2" xfId="17010" xr:uid="{00000000-0005-0000-0000-0000AE080000}"/>
    <cellStyle name="20% - Accent2 4 2 6" xfId="15016" xr:uid="{00000000-0005-0000-0000-0000AF080000}"/>
    <cellStyle name="20% - Accent2 4 2 7" xfId="24328" xr:uid="{00000000-0005-0000-0000-0000B0080000}"/>
    <cellStyle name="20% - Accent2 4 2 8" xfId="24792" xr:uid="{00000000-0005-0000-0000-0000B1080000}"/>
    <cellStyle name="20% - Accent2 4 2 9" xfId="25159" xr:uid="{00000000-0005-0000-0000-0000B2080000}"/>
    <cellStyle name="20% - Accent2 4 3" xfId="10707" xr:uid="{00000000-0005-0000-0000-0000B3080000}"/>
    <cellStyle name="20% - Accent2 4 3 2" xfId="21995" xr:uid="{00000000-0005-0000-0000-0000B4080000}"/>
    <cellStyle name="20% - Accent2 4 4" xfId="8713" xr:uid="{00000000-0005-0000-0000-0000B5080000}"/>
    <cellStyle name="20% - Accent2 4 4 2" xfId="20001" xr:uid="{00000000-0005-0000-0000-0000B6080000}"/>
    <cellStyle name="20% - Accent2 4 5" xfId="6719" xr:uid="{00000000-0005-0000-0000-0000B7080000}"/>
    <cellStyle name="20% - Accent2 4 5 2" xfId="18007" xr:uid="{00000000-0005-0000-0000-0000B8080000}"/>
    <cellStyle name="20% - Accent2 4 6" xfId="4725" xr:uid="{00000000-0005-0000-0000-0000B9080000}"/>
    <cellStyle name="20% - Accent2 4 6 2" xfId="16013" xr:uid="{00000000-0005-0000-0000-0000BA080000}"/>
    <cellStyle name="20% - Accent2 4 7" xfId="14019" xr:uid="{00000000-0005-0000-0000-0000BB080000}"/>
    <cellStyle name="20% - Accent2 4 8" xfId="12705" xr:uid="{00000000-0005-0000-0000-0000BC080000}"/>
    <cellStyle name="20% - Accent2 4 9" xfId="23940" xr:uid="{00000000-0005-0000-0000-0000BD080000}"/>
    <cellStyle name="20% - Accent2 40" xfId="770" xr:uid="{00000000-0005-0000-0000-0000BE080000}"/>
    <cellStyle name="20% - Accent2 40 2" xfId="3726" xr:uid="{00000000-0005-0000-0000-0000BF080000}"/>
    <cellStyle name="20% - Accent2 40 2 2" xfId="11705" xr:uid="{00000000-0005-0000-0000-0000C0080000}"/>
    <cellStyle name="20% - Accent2 40 2 2 2" xfId="22993" xr:uid="{00000000-0005-0000-0000-0000C1080000}"/>
    <cellStyle name="20% - Accent2 40 2 3" xfId="9711" xr:uid="{00000000-0005-0000-0000-0000C2080000}"/>
    <cellStyle name="20% - Accent2 40 2 3 2" xfId="20999" xr:uid="{00000000-0005-0000-0000-0000C3080000}"/>
    <cellStyle name="20% - Accent2 40 2 4" xfId="7717" xr:uid="{00000000-0005-0000-0000-0000C4080000}"/>
    <cellStyle name="20% - Accent2 40 2 4 2" xfId="19005" xr:uid="{00000000-0005-0000-0000-0000C5080000}"/>
    <cellStyle name="20% - Accent2 40 2 5" xfId="5723" xr:uid="{00000000-0005-0000-0000-0000C6080000}"/>
    <cellStyle name="20% - Accent2 40 2 5 2" xfId="17011" xr:uid="{00000000-0005-0000-0000-0000C7080000}"/>
    <cellStyle name="20% - Accent2 40 2 6" xfId="15017" xr:uid="{00000000-0005-0000-0000-0000C8080000}"/>
    <cellStyle name="20% - Accent2 40 3" xfId="10708" xr:uid="{00000000-0005-0000-0000-0000C9080000}"/>
    <cellStyle name="20% - Accent2 40 3 2" xfId="21996" xr:uid="{00000000-0005-0000-0000-0000CA080000}"/>
    <cellStyle name="20% - Accent2 40 4" xfId="8714" xr:uid="{00000000-0005-0000-0000-0000CB080000}"/>
    <cellStyle name="20% - Accent2 40 4 2" xfId="20002" xr:uid="{00000000-0005-0000-0000-0000CC080000}"/>
    <cellStyle name="20% - Accent2 40 5" xfId="6720" xr:uid="{00000000-0005-0000-0000-0000CD080000}"/>
    <cellStyle name="20% - Accent2 40 5 2" xfId="18008" xr:uid="{00000000-0005-0000-0000-0000CE080000}"/>
    <cellStyle name="20% - Accent2 40 6" xfId="4726" xr:uid="{00000000-0005-0000-0000-0000CF080000}"/>
    <cellStyle name="20% - Accent2 40 6 2" xfId="16014" xr:uid="{00000000-0005-0000-0000-0000D0080000}"/>
    <cellStyle name="20% - Accent2 40 7" xfId="14020" xr:uid="{00000000-0005-0000-0000-0000D1080000}"/>
    <cellStyle name="20% - Accent2 40 8" xfId="12706" xr:uid="{00000000-0005-0000-0000-0000D2080000}"/>
    <cellStyle name="20% - Accent2 41" xfId="771" xr:uid="{00000000-0005-0000-0000-0000D3080000}"/>
    <cellStyle name="20% - Accent2 41 2" xfId="3727" xr:uid="{00000000-0005-0000-0000-0000D4080000}"/>
    <cellStyle name="20% - Accent2 41 2 2" xfId="11706" xr:uid="{00000000-0005-0000-0000-0000D5080000}"/>
    <cellStyle name="20% - Accent2 41 2 2 2" xfId="22994" xr:uid="{00000000-0005-0000-0000-0000D6080000}"/>
    <cellStyle name="20% - Accent2 41 2 3" xfId="9712" xr:uid="{00000000-0005-0000-0000-0000D7080000}"/>
    <cellStyle name="20% - Accent2 41 2 3 2" xfId="21000" xr:uid="{00000000-0005-0000-0000-0000D8080000}"/>
    <cellStyle name="20% - Accent2 41 2 4" xfId="7718" xr:uid="{00000000-0005-0000-0000-0000D9080000}"/>
    <cellStyle name="20% - Accent2 41 2 4 2" xfId="19006" xr:uid="{00000000-0005-0000-0000-0000DA080000}"/>
    <cellStyle name="20% - Accent2 41 2 5" xfId="5724" xr:uid="{00000000-0005-0000-0000-0000DB080000}"/>
    <cellStyle name="20% - Accent2 41 2 5 2" xfId="17012" xr:uid="{00000000-0005-0000-0000-0000DC080000}"/>
    <cellStyle name="20% - Accent2 41 2 6" xfId="15018" xr:uid="{00000000-0005-0000-0000-0000DD080000}"/>
    <cellStyle name="20% - Accent2 41 3" xfId="10709" xr:uid="{00000000-0005-0000-0000-0000DE080000}"/>
    <cellStyle name="20% - Accent2 41 3 2" xfId="21997" xr:uid="{00000000-0005-0000-0000-0000DF080000}"/>
    <cellStyle name="20% - Accent2 41 4" xfId="8715" xr:uid="{00000000-0005-0000-0000-0000E0080000}"/>
    <cellStyle name="20% - Accent2 41 4 2" xfId="20003" xr:uid="{00000000-0005-0000-0000-0000E1080000}"/>
    <cellStyle name="20% - Accent2 41 5" xfId="6721" xr:uid="{00000000-0005-0000-0000-0000E2080000}"/>
    <cellStyle name="20% - Accent2 41 5 2" xfId="18009" xr:uid="{00000000-0005-0000-0000-0000E3080000}"/>
    <cellStyle name="20% - Accent2 41 6" xfId="4727" xr:uid="{00000000-0005-0000-0000-0000E4080000}"/>
    <cellStyle name="20% - Accent2 41 6 2" xfId="16015" xr:uid="{00000000-0005-0000-0000-0000E5080000}"/>
    <cellStyle name="20% - Accent2 41 7" xfId="14021" xr:uid="{00000000-0005-0000-0000-0000E6080000}"/>
    <cellStyle name="20% - Accent2 41 8" xfId="12707" xr:uid="{00000000-0005-0000-0000-0000E7080000}"/>
    <cellStyle name="20% - Accent2 42" xfId="772" xr:uid="{00000000-0005-0000-0000-0000E8080000}"/>
    <cellStyle name="20% - Accent2 42 2" xfId="3728" xr:uid="{00000000-0005-0000-0000-0000E9080000}"/>
    <cellStyle name="20% - Accent2 42 2 2" xfId="11707" xr:uid="{00000000-0005-0000-0000-0000EA080000}"/>
    <cellStyle name="20% - Accent2 42 2 2 2" xfId="22995" xr:uid="{00000000-0005-0000-0000-0000EB080000}"/>
    <cellStyle name="20% - Accent2 42 2 3" xfId="9713" xr:uid="{00000000-0005-0000-0000-0000EC080000}"/>
    <cellStyle name="20% - Accent2 42 2 3 2" xfId="21001" xr:uid="{00000000-0005-0000-0000-0000ED080000}"/>
    <cellStyle name="20% - Accent2 42 2 4" xfId="7719" xr:uid="{00000000-0005-0000-0000-0000EE080000}"/>
    <cellStyle name="20% - Accent2 42 2 4 2" xfId="19007" xr:uid="{00000000-0005-0000-0000-0000EF080000}"/>
    <cellStyle name="20% - Accent2 42 2 5" xfId="5725" xr:uid="{00000000-0005-0000-0000-0000F0080000}"/>
    <cellStyle name="20% - Accent2 42 2 5 2" xfId="17013" xr:uid="{00000000-0005-0000-0000-0000F1080000}"/>
    <cellStyle name="20% - Accent2 42 2 6" xfId="15019" xr:uid="{00000000-0005-0000-0000-0000F2080000}"/>
    <cellStyle name="20% - Accent2 42 3" xfId="10710" xr:uid="{00000000-0005-0000-0000-0000F3080000}"/>
    <cellStyle name="20% - Accent2 42 3 2" xfId="21998" xr:uid="{00000000-0005-0000-0000-0000F4080000}"/>
    <cellStyle name="20% - Accent2 42 4" xfId="8716" xr:uid="{00000000-0005-0000-0000-0000F5080000}"/>
    <cellStyle name="20% - Accent2 42 4 2" xfId="20004" xr:uid="{00000000-0005-0000-0000-0000F6080000}"/>
    <cellStyle name="20% - Accent2 42 5" xfId="6722" xr:uid="{00000000-0005-0000-0000-0000F7080000}"/>
    <cellStyle name="20% - Accent2 42 5 2" xfId="18010" xr:uid="{00000000-0005-0000-0000-0000F8080000}"/>
    <cellStyle name="20% - Accent2 42 6" xfId="4728" xr:uid="{00000000-0005-0000-0000-0000F9080000}"/>
    <cellStyle name="20% - Accent2 42 6 2" xfId="16016" xr:uid="{00000000-0005-0000-0000-0000FA080000}"/>
    <cellStyle name="20% - Accent2 42 7" xfId="14022" xr:uid="{00000000-0005-0000-0000-0000FB080000}"/>
    <cellStyle name="20% - Accent2 42 8" xfId="12708" xr:uid="{00000000-0005-0000-0000-0000FC080000}"/>
    <cellStyle name="20% - Accent2 43" xfId="773" xr:uid="{00000000-0005-0000-0000-0000FD080000}"/>
    <cellStyle name="20% - Accent2 43 2" xfId="3729" xr:uid="{00000000-0005-0000-0000-0000FE080000}"/>
    <cellStyle name="20% - Accent2 43 2 2" xfId="11708" xr:uid="{00000000-0005-0000-0000-0000FF080000}"/>
    <cellStyle name="20% - Accent2 43 2 2 2" xfId="22996" xr:uid="{00000000-0005-0000-0000-000000090000}"/>
    <cellStyle name="20% - Accent2 43 2 3" xfId="9714" xr:uid="{00000000-0005-0000-0000-000001090000}"/>
    <cellStyle name="20% - Accent2 43 2 3 2" xfId="21002" xr:uid="{00000000-0005-0000-0000-000002090000}"/>
    <cellStyle name="20% - Accent2 43 2 4" xfId="7720" xr:uid="{00000000-0005-0000-0000-000003090000}"/>
    <cellStyle name="20% - Accent2 43 2 4 2" xfId="19008" xr:uid="{00000000-0005-0000-0000-000004090000}"/>
    <cellStyle name="20% - Accent2 43 2 5" xfId="5726" xr:uid="{00000000-0005-0000-0000-000005090000}"/>
    <cellStyle name="20% - Accent2 43 2 5 2" xfId="17014" xr:uid="{00000000-0005-0000-0000-000006090000}"/>
    <cellStyle name="20% - Accent2 43 2 6" xfId="15020" xr:uid="{00000000-0005-0000-0000-000007090000}"/>
    <cellStyle name="20% - Accent2 43 3" xfId="10711" xr:uid="{00000000-0005-0000-0000-000008090000}"/>
    <cellStyle name="20% - Accent2 43 3 2" xfId="21999" xr:uid="{00000000-0005-0000-0000-000009090000}"/>
    <cellStyle name="20% - Accent2 43 4" xfId="8717" xr:uid="{00000000-0005-0000-0000-00000A090000}"/>
    <cellStyle name="20% - Accent2 43 4 2" xfId="20005" xr:uid="{00000000-0005-0000-0000-00000B090000}"/>
    <cellStyle name="20% - Accent2 43 5" xfId="6723" xr:uid="{00000000-0005-0000-0000-00000C090000}"/>
    <cellStyle name="20% - Accent2 43 5 2" xfId="18011" xr:uid="{00000000-0005-0000-0000-00000D090000}"/>
    <cellStyle name="20% - Accent2 43 6" xfId="4729" xr:uid="{00000000-0005-0000-0000-00000E090000}"/>
    <cellStyle name="20% - Accent2 43 6 2" xfId="16017" xr:uid="{00000000-0005-0000-0000-00000F090000}"/>
    <cellStyle name="20% - Accent2 43 7" xfId="14023" xr:uid="{00000000-0005-0000-0000-000010090000}"/>
    <cellStyle name="20% - Accent2 43 8" xfId="12709" xr:uid="{00000000-0005-0000-0000-000011090000}"/>
    <cellStyle name="20% - Accent2 44" xfId="774" xr:uid="{00000000-0005-0000-0000-000012090000}"/>
    <cellStyle name="20% - Accent2 44 2" xfId="3730" xr:uid="{00000000-0005-0000-0000-000013090000}"/>
    <cellStyle name="20% - Accent2 44 2 2" xfId="11709" xr:uid="{00000000-0005-0000-0000-000014090000}"/>
    <cellStyle name="20% - Accent2 44 2 2 2" xfId="22997" xr:uid="{00000000-0005-0000-0000-000015090000}"/>
    <cellStyle name="20% - Accent2 44 2 3" xfId="9715" xr:uid="{00000000-0005-0000-0000-000016090000}"/>
    <cellStyle name="20% - Accent2 44 2 3 2" xfId="21003" xr:uid="{00000000-0005-0000-0000-000017090000}"/>
    <cellStyle name="20% - Accent2 44 2 4" xfId="7721" xr:uid="{00000000-0005-0000-0000-000018090000}"/>
    <cellStyle name="20% - Accent2 44 2 4 2" xfId="19009" xr:uid="{00000000-0005-0000-0000-000019090000}"/>
    <cellStyle name="20% - Accent2 44 2 5" xfId="5727" xr:uid="{00000000-0005-0000-0000-00001A090000}"/>
    <cellStyle name="20% - Accent2 44 2 5 2" xfId="17015" xr:uid="{00000000-0005-0000-0000-00001B090000}"/>
    <cellStyle name="20% - Accent2 44 2 6" xfId="15021" xr:uid="{00000000-0005-0000-0000-00001C090000}"/>
    <cellStyle name="20% - Accent2 44 3" xfId="10712" xr:uid="{00000000-0005-0000-0000-00001D090000}"/>
    <cellStyle name="20% - Accent2 44 3 2" xfId="22000" xr:uid="{00000000-0005-0000-0000-00001E090000}"/>
    <cellStyle name="20% - Accent2 44 4" xfId="8718" xr:uid="{00000000-0005-0000-0000-00001F090000}"/>
    <cellStyle name="20% - Accent2 44 4 2" xfId="20006" xr:uid="{00000000-0005-0000-0000-000020090000}"/>
    <cellStyle name="20% - Accent2 44 5" xfId="6724" xr:uid="{00000000-0005-0000-0000-000021090000}"/>
    <cellStyle name="20% - Accent2 44 5 2" xfId="18012" xr:uid="{00000000-0005-0000-0000-000022090000}"/>
    <cellStyle name="20% - Accent2 44 6" xfId="4730" xr:uid="{00000000-0005-0000-0000-000023090000}"/>
    <cellStyle name="20% - Accent2 44 6 2" xfId="16018" xr:uid="{00000000-0005-0000-0000-000024090000}"/>
    <cellStyle name="20% - Accent2 44 7" xfId="14024" xr:uid="{00000000-0005-0000-0000-000025090000}"/>
    <cellStyle name="20% - Accent2 44 8" xfId="12710" xr:uid="{00000000-0005-0000-0000-000026090000}"/>
    <cellStyle name="20% - Accent2 45" xfId="775" xr:uid="{00000000-0005-0000-0000-000027090000}"/>
    <cellStyle name="20% - Accent2 45 2" xfId="3731" xr:uid="{00000000-0005-0000-0000-000028090000}"/>
    <cellStyle name="20% - Accent2 45 2 2" xfId="11710" xr:uid="{00000000-0005-0000-0000-000029090000}"/>
    <cellStyle name="20% - Accent2 45 2 2 2" xfId="22998" xr:uid="{00000000-0005-0000-0000-00002A090000}"/>
    <cellStyle name="20% - Accent2 45 2 3" xfId="9716" xr:uid="{00000000-0005-0000-0000-00002B090000}"/>
    <cellStyle name="20% - Accent2 45 2 3 2" xfId="21004" xr:uid="{00000000-0005-0000-0000-00002C090000}"/>
    <cellStyle name="20% - Accent2 45 2 4" xfId="7722" xr:uid="{00000000-0005-0000-0000-00002D090000}"/>
    <cellStyle name="20% - Accent2 45 2 4 2" xfId="19010" xr:uid="{00000000-0005-0000-0000-00002E090000}"/>
    <cellStyle name="20% - Accent2 45 2 5" xfId="5728" xr:uid="{00000000-0005-0000-0000-00002F090000}"/>
    <cellStyle name="20% - Accent2 45 2 5 2" xfId="17016" xr:uid="{00000000-0005-0000-0000-000030090000}"/>
    <cellStyle name="20% - Accent2 45 2 6" xfId="15022" xr:uid="{00000000-0005-0000-0000-000031090000}"/>
    <cellStyle name="20% - Accent2 45 3" xfId="10713" xr:uid="{00000000-0005-0000-0000-000032090000}"/>
    <cellStyle name="20% - Accent2 45 3 2" xfId="22001" xr:uid="{00000000-0005-0000-0000-000033090000}"/>
    <cellStyle name="20% - Accent2 45 4" xfId="8719" xr:uid="{00000000-0005-0000-0000-000034090000}"/>
    <cellStyle name="20% - Accent2 45 4 2" xfId="20007" xr:uid="{00000000-0005-0000-0000-000035090000}"/>
    <cellStyle name="20% - Accent2 45 5" xfId="6725" xr:uid="{00000000-0005-0000-0000-000036090000}"/>
    <cellStyle name="20% - Accent2 45 5 2" xfId="18013" xr:uid="{00000000-0005-0000-0000-000037090000}"/>
    <cellStyle name="20% - Accent2 45 6" xfId="4731" xr:uid="{00000000-0005-0000-0000-000038090000}"/>
    <cellStyle name="20% - Accent2 45 6 2" xfId="16019" xr:uid="{00000000-0005-0000-0000-000039090000}"/>
    <cellStyle name="20% - Accent2 45 7" xfId="14025" xr:uid="{00000000-0005-0000-0000-00003A090000}"/>
    <cellStyle name="20% - Accent2 45 8" xfId="12711" xr:uid="{00000000-0005-0000-0000-00003B090000}"/>
    <cellStyle name="20% - Accent2 46" xfId="776" xr:uid="{00000000-0005-0000-0000-00003C090000}"/>
    <cellStyle name="20% - Accent2 46 2" xfId="3732" xr:uid="{00000000-0005-0000-0000-00003D090000}"/>
    <cellStyle name="20% - Accent2 46 2 2" xfId="11711" xr:uid="{00000000-0005-0000-0000-00003E090000}"/>
    <cellStyle name="20% - Accent2 46 2 2 2" xfId="22999" xr:uid="{00000000-0005-0000-0000-00003F090000}"/>
    <cellStyle name="20% - Accent2 46 2 3" xfId="9717" xr:uid="{00000000-0005-0000-0000-000040090000}"/>
    <cellStyle name="20% - Accent2 46 2 3 2" xfId="21005" xr:uid="{00000000-0005-0000-0000-000041090000}"/>
    <cellStyle name="20% - Accent2 46 2 4" xfId="7723" xr:uid="{00000000-0005-0000-0000-000042090000}"/>
    <cellStyle name="20% - Accent2 46 2 4 2" xfId="19011" xr:uid="{00000000-0005-0000-0000-000043090000}"/>
    <cellStyle name="20% - Accent2 46 2 5" xfId="5729" xr:uid="{00000000-0005-0000-0000-000044090000}"/>
    <cellStyle name="20% - Accent2 46 2 5 2" xfId="17017" xr:uid="{00000000-0005-0000-0000-000045090000}"/>
    <cellStyle name="20% - Accent2 46 2 6" xfId="15023" xr:uid="{00000000-0005-0000-0000-000046090000}"/>
    <cellStyle name="20% - Accent2 46 3" xfId="10714" xr:uid="{00000000-0005-0000-0000-000047090000}"/>
    <cellStyle name="20% - Accent2 46 3 2" xfId="22002" xr:uid="{00000000-0005-0000-0000-000048090000}"/>
    <cellStyle name="20% - Accent2 46 4" xfId="8720" xr:uid="{00000000-0005-0000-0000-000049090000}"/>
    <cellStyle name="20% - Accent2 46 4 2" xfId="20008" xr:uid="{00000000-0005-0000-0000-00004A090000}"/>
    <cellStyle name="20% - Accent2 46 5" xfId="6726" xr:uid="{00000000-0005-0000-0000-00004B090000}"/>
    <cellStyle name="20% - Accent2 46 5 2" xfId="18014" xr:uid="{00000000-0005-0000-0000-00004C090000}"/>
    <cellStyle name="20% - Accent2 46 6" xfId="4732" xr:uid="{00000000-0005-0000-0000-00004D090000}"/>
    <cellStyle name="20% - Accent2 46 6 2" xfId="16020" xr:uid="{00000000-0005-0000-0000-00004E090000}"/>
    <cellStyle name="20% - Accent2 46 7" xfId="14026" xr:uid="{00000000-0005-0000-0000-00004F090000}"/>
    <cellStyle name="20% - Accent2 46 8" xfId="12712" xr:uid="{00000000-0005-0000-0000-000050090000}"/>
    <cellStyle name="20% - Accent2 47" xfId="777" xr:uid="{00000000-0005-0000-0000-000051090000}"/>
    <cellStyle name="20% - Accent2 47 2" xfId="3733" xr:uid="{00000000-0005-0000-0000-000052090000}"/>
    <cellStyle name="20% - Accent2 47 2 2" xfId="11712" xr:uid="{00000000-0005-0000-0000-000053090000}"/>
    <cellStyle name="20% - Accent2 47 2 2 2" xfId="23000" xr:uid="{00000000-0005-0000-0000-000054090000}"/>
    <cellStyle name="20% - Accent2 47 2 3" xfId="9718" xr:uid="{00000000-0005-0000-0000-000055090000}"/>
    <cellStyle name="20% - Accent2 47 2 3 2" xfId="21006" xr:uid="{00000000-0005-0000-0000-000056090000}"/>
    <cellStyle name="20% - Accent2 47 2 4" xfId="7724" xr:uid="{00000000-0005-0000-0000-000057090000}"/>
    <cellStyle name="20% - Accent2 47 2 4 2" xfId="19012" xr:uid="{00000000-0005-0000-0000-000058090000}"/>
    <cellStyle name="20% - Accent2 47 2 5" xfId="5730" xr:uid="{00000000-0005-0000-0000-000059090000}"/>
    <cellStyle name="20% - Accent2 47 2 5 2" xfId="17018" xr:uid="{00000000-0005-0000-0000-00005A090000}"/>
    <cellStyle name="20% - Accent2 47 2 6" xfId="15024" xr:uid="{00000000-0005-0000-0000-00005B090000}"/>
    <cellStyle name="20% - Accent2 47 3" xfId="10715" xr:uid="{00000000-0005-0000-0000-00005C090000}"/>
    <cellStyle name="20% - Accent2 47 3 2" xfId="22003" xr:uid="{00000000-0005-0000-0000-00005D090000}"/>
    <cellStyle name="20% - Accent2 47 4" xfId="8721" xr:uid="{00000000-0005-0000-0000-00005E090000}"/>
    <cellStyle name="20% - Accent2 47 4 2" xfId="20009" xr:uid="{00000000-0005-0000-0000-00005F090000}"/>
    <cellStyle name="20% - Accent2 47 5" xfId="6727" xr:uid="{00000000-0005-0000-0000-000060090000}"/>
    <cellStyle name="20% - Accent2 47 5 2" xfId="18015" xr:uid="{00000000-0005-0000-0000-000061090000}"/>
    <cellStyle name="20% - Accent2 47 6" xfId="4733" xr:uid="{00000000-0005-0000-0000-000062090000}"/>
    <cellStyle name="20% - Accent2 47 6 2" xfId="16021" xr:uid="{00000000-0005-0000-0000-000063090000}"/>
    <cellStyle name="20% - Accent2 47 7" xfId="14027" xr:uid="{00000000-0005-0000-0000-000064090000}"/>
    <cellStyle name="20% - Accent2 47 8" xfId="12713" xr:uid="{00000000-0005-0000-0000-000065090000}"/>
    <cellStyle name="20% - Accent2 48" xfId="778" xr:uid="{00000000-0005-0000-0000-000066090000}"/>
    <cellStyle name="20% - Accent2 48 2" xfId="3734" xr:uid="{00000000-0005-0000-0000-000067090000}"/>
    <cellStyle name="20% - Accent2 48 2 2" xfId="11713" xr:uid="{00000000-0005-0000-0000-000068090000}"/>
    <cellStyle name="20% - Accent2 48 2 2 2" xfId="23001" xr:uid="{00000000-0005-0000-0000-000069090000}"/>
    <cellStyle name="20% - Accent2 48 2 3" xfId="9719" xr:uid="{00000000-0005-0000-0000-00006A090000}"/>
    <cellStyle name="20% - Accent2 48 2 3 2" xfId="21007" xr:uid="{00000000-0005-0000-0000-00006B090000}"/>
    <cellStyle name="20% - Accent2 48 2 4" xfId="7725" xr:uid="{00000000-0005-0000-0000-00006C090000}"/>
    <cellStyle name="20% - Accent2 48 2 4 2" xfId="19013" xr:uid="{00000000-0005-0000-0000-00006D090000}"/>
    <cellStyle name="20% - Accent2 48 2 5" xfId="5731" xr:uid="{00000000-0005-0000-0000-00006E090000}"/>
    <cellStyle name="20% - Accent2 48 2 5 2" xfId="17019" xr:uid="{00000000-0005-0000-0000-00006F090000}"/>
    <cellStyle name="20% - Accent2 48 2 6" xfId="15025" xr:uid="{00000000-0005-0000-0000-000070090000}"/>
    <cellStyle name="20% - Accent2 48 3" xfId="10716" xr:uid="{00000000-0005-0000-0000-000071090000}"/>
    <cellStyle name="20% - Accent2 48 3 2" xfId="22004" xr:uid="{00000000-0005-0000-0000-000072090000}"/>
    <cellStyle name="20% - Accent2 48 4" xfId="8722" xr:uid="{00000000-0005-0000-0000-000073090000}"/>
    <cellStyle name="20% - Accent2 48 4 2" xfId="20010" xr:uid="{00000000-0005-0000-0000-000074090000}"/>
    <cellStyle name="20% - Accent2 48 5" xfId="6728" xr:uid="{00000000-0005-0000-0000-000075090000}"/>
    <cellStyle name="20% - Accent2 48 5 2" xfId="18016" xr:uid="{00000000-0005-0000-0000-000076090000}"/>
    <cellStyle name="20% - Accent2 48 6" xfId="4734" xr:uid="{00000000-0005-0000-0000-000077090000}"/>
    <cellStyle name="20% - Accent2 48 6 2" xfId="16022" xr:uid="{00000000-0005-0000-0000-000078090000}"/>
    <cellStyle name="20% - Accent2 48 7" xfId="14028" xr:uid="{00000000-0005-0000-0000-000079090000}"/>
    <cellStyle name="20% - Accent2 48 8" xfId="12714" xr:uid="{00000000-0005-0000-0000-00007A090000}"/>
    <cellStyle name="20% - Accent2 49" xfId="779" xr:uid="{00000000-0005-0000-0000-00007B090000}"/>
    <cellStyle name="20% - Accent2 49 2" xfId="3735" xr:uid="{00000000-0005-0000-0000-00007C090000}"/>
    <cellStyle name="20% - Accent2 49 2 2" xfId="11714" xr:uid="{00000000-0005-0000-0000-00007D090000}"/>
    <cellStyle name="20% - Accent2 49 2 2 2" xfId="23002" xr:uid="{00000000-0005-0000-0000-00007E090000}"/>
    <cellStyle name="20% - Accent2 49 2 3" xfId="9720" xr:uid="{00000000-0005-0000-0000-00007F090000}"/>
    <cellStyle name="20% - Accent2 49 2 3 2" xfId="21008" xr:uid="{00000000-0005-0000-0000-000080090000}"/>
    <cellStyle name="20% - Accent2 49 2 4" xfId="7726" xr:uid="{00000000-0005-0000-0000-000081090000}"/>
    <cellStyle name="20% - Accent2 49 2 4 2" xfId="19014" xr:uid="{00000000-0005-0000-0000-000082090000}"/>
    <cellStyle name="20% - Accent2 49 2 5" xfId="5732" xr:uid="{00000000-0005-0000-0000-000083090000}"/>
    <cellStyle name="20% - Accent2 49 2 5 2" xfId="17020" xr:uid="{00000000-0005-0000-0000-000084090000}"/>
    <cellStyle name="20% - Accent2 49 2 6" xfId="15026" xr:uid="{00000000-0005-0000-0000-000085090000}"/>
    <cellStyle name="20% - Accent2 49 3" xfId="10717" xr:uid="{00000000-0005-0000-0000-000086090000}"/>
    <cellStyle name="20% - Accent2 49 3 2" xfId="22005" xr:uid="{00000000-0005-0000-0000-000087090000}"/>
    <cellStyle name="20% - Accent2 49 4" xfId="8723" xr:uid="{00000000-0005-0000-0000-000088090000}"/>
    <cellStyle name="20% - Accent2 49 4 2" xfId="20011" xr:uid="{00000000-0005-0000-0000-000089090000}"/>
    <cellStyle name="20% - Accent2 49 5" xfId="6729" xr:uid="{00000000-0005-0000-0000-00008A090000}"/>
    <cellStyle name="20% - Accent2 49 5 2" xfId="18017" xr:uid="{00000000-0005-0000-0000-00008B090000}"/>
    <cellStyle name="20% - Accent2 49 6" xfId="4735" xr:uid="{00000000-0005-0000-0000-00008C090000}"/>
    <cellStyle name="20% - Accent2 49 6 2" xfId="16023" xr:uid="{00000000-0005-0000-0000-00008D090000}"/>
    <cellStyle name="20% - Accent2 49 7" xfId="14029" xr:uid="{00000000-0005-0000-0000-00008E090000}"/>
    <cellStyle name="20% - Accent2 49 8" xfId="12715" xr:uid="{00000000-0005-0000-0000-00008F090000}"/>
    <cellStyle name="20% - Accent2 5" xfId="780" xr:uid="{00000000-0005-0000-0000-000090090000}"/>
    <cellStyle name="20% - Accent2 5 10" xfId="24568" xr:uid="{00000000-0005-0000-0000-000091090000}"/>
    <cellStyle name="20% - Accent2 5 11" xfId="24958" xr:uid="{00000000-0005-0000-0000-000092090000}"/>
    <cellStyle name="20% - Accent2 5 2" xfId="3736" xr:uid="{00000000-0005-0000-0000-000093090000}"/>
    <cellStyle name="20% - Accent2 5 2 2" xfId="11715" xr:uid="{00000000-0005-0000-0000-000094090000}"/>
    <cellStyle name="20% - Accent2 5 2 2 2" xfId="23003" xr:uid="{00000000-0005-0000-0000-000095090000}"/>
    <cellStyle name="20% - Accent2 5 2 3" xfId="9721" xr:uid="{00000000-0005-0000-0000-000096090000}"/>
    <cellStyle name="20% - Accent2 5 2 3 2" xfId="21009" xr:uid="{00000000-0005-0000-0000-000097090000}"/>
    <cellStyle name="20% - Accent2 5 2 4" xfId="7727" xr:uid="{00000000-0005-0000-0000-000098090000}"/>
    <cellStyle name="20% - Accent2 5 2 4 2" xfId="19015" xr:uid="{00000000-0005-0000-0000-000099090000}"/>
    <cellStyle name="20% - Accent2 5 2 5" xfId="5733" xr:uid="{00000000-0005-0000-0000-00009A090000}"/>
    <cellStyle name="20% - Accent2 5 2 5 2" xfId="17021" xr:uid="{00000000-0005-0000-0000-00009B090000}"/>
    <cellStyle name="20% - Accent2 5 2 6" xfId="15027" xr:uid="{00000000-0005-0000-0000-00009C090000}"/>
    <cellStyle name="20% - Accent2 5 2 7" xfId="24329" xr:uid="{00000000-0005-0000-0000-00009D090000}"/>
    <cellStyle name="20% - Accent2 5 2 8" xfId="24793" xr:uid="{00000000-0005-0000-0000-00009E090000}"/>
    <cellStyle name="20% - Accent2 5 2 9" xfId="25160" xr:uid="{00000000-0005-0000-0000-00009F090000}"/>
    <cellStyle name="20% - Accent2 5 3" xfId="10718" xr:uid="{00000000-0005-0000-0000-0000A0090000}"/>
    <cellStyle name="20% - Accent2 5 3 2" xfId="22006" xr:uid="{00000000-0005-0000-0000-0000A1090000}"/>
    <cellStyle name="20% - Accent2 5 4" xfId="8724" xr:uid="{00000000-0005-0000-0000-0000A2090000}"/>
    <cellStyle name="20% - Accent2 5 4 2" xfId="20012" xr:uid="{00000000-0005-0000-0000-0000A3090000}"/>
    <cellStyle name="20% - Accent2 5 5" xfId="6730" xr:uid="{00000000-0005-0000-0000-0000A4090000}"/>
    <cellStyle name="20% - Accent2 5 5 2" xfId="18018" xr:uid="{00000000-0005-0000-0000-0000A5090000}"/>
    <cellStyle name="20% - Accent2 5 6" xfId="4736" xr:uid="{00000000-0005-0000-0000-0000A6090000}"/>
    <cellStyle name="20% - Accent2 5 6 2" xfId="16024" xr:uid="{00000000-0005-0000-0000-0000A7090000}"/>
    <cellStyle name="20% - Accent2 5 7" xfId="14030" xr:uid="{00000000-0005-0000-0000-0000A8090000}"/>
    <cellStyle name="20% - Accent2 5 8" xfId="12716" xr:uid="{00000000-0005-0000-0000-0000A9090000}"/>
    <cellStyle name="20% - Accent2 5 9" xfId="23941" xr:uid="{00000000-0005-0000-0000-0000AA090000}"/>
    <cellStyle name="20% - Accent2 50" xfId="781" xr:uid="{00000000-0005-0000-0000-0000AB090000}"/>
    <cellStyle name="20% - Accent2 50 2" xfId="3737" xr:uid="{00000000-0005-0000-0000-0000AC090000}"/>
    <cellStyle name="20% - Accent2 50 2 2" xfId="11716" xr:uid="{00000000-0005-0000-0000-0000AD090000}"/>
    <cellStyle name="20% - Accent2 50 2 2 2" xfId="23004" xr:uid="{00000000-0005-0000-0000-0000AE090000}"/>
    <cellStyle name="20% - Accent2 50 2 3" xfId="9722" xr:uid="{00000000-0005-0000-0000-0000AF090000}"/>
    <cellStyle name="20% - Accent2 50 2 3 2" xfId="21010" xr:uid="{00000000-0005-0000-0000-0000B0090000}"/>
    <cellStyle name="20% - Accent2 50 2 4" xfId="7728" xr:uid="{00000000-0005-0000-0000-0000B1090000}"/>
    <cellStyle name="20% - Accent2 50 2 4 2" xfId="19016" xr:uid="{00000000-0005-0000-0000-0000B2090000}"/>
    <cellStyle name="20% - Accent2 50 2 5" xfId="5734" xr:uid="{00000000-0005-0000-0000-0000B3090000}"/>
    <cellStyle name="20% - Accent2 50 2 5 2" xfId="17022" xr:uid="{00000000-0005-0000-0000-0000B4090000}"/>
    <cellStyle name="20% - Accent2 50 2 6" xfId="15028" xr:uid="{00000000-0005-0000-0000-0000B5090000}"/>
    <cellStyle name="20% - Accent2 50 3" xfId="10719" xr:uid="{00000000-0005-0000-0000-0000B6090000}"/>
    <cellStyle name="20% - Accent2 50 3 2" xfId="22007" xr:uid="{00000000-0005-0000-0000-0000B7090000}"/>
    <cellStyle name="20% - Accent2 50 4" xfId="8725" xr:uid="{00000000-0005-0000-0000-0000B8090000}"/>
    <cellStyle name="20% - Accent2 50 4 2" xfId="20013" xr:uid="{00000000-0005-0000-0000-0000B9090000}"/>
    <cellStyle name="20% - Accent2 50 5" xfId="6731" xr:uid="{00000000-0005-0000-0000-0000BA090000}"/>
    <cellStyle name="20% - Accent2 50 5 2" xfId="18019" xr:uid="{00000000-0005-0000-0000-0000BB090000}"/>
    <cellStyle name="20% - Accent2 50 6" xfId="4737" xr:uid="{00000000-0005-0000-0000-0000BC090000}"/>
    <cellStyle name="20% - Accent2 50 6 2" xfId="16025" xr:uid="{00000000-0005-0000-0000-0000BD090000}"/>
    <cellStyle name="20% - Accent2 50 7" xfId="14031" xr:uid="{00000000-0005-0000-0000-0000BE090000}"/>
    <cellStyle name="20% - Accent2 50 8" xfId="12717" xr:uid="{00000000-0005-0000-0000-0000BF090000}"/>
    <cellStyle name="20% - Accent2 51" xfId="782" xr:uid="{00000000-0005-0000-0000-0000C0090000}"/>
    <cellStyle name="20% - Accent2 51 2" xfId="3738" xr:uid="{00000000-0005-0000-0000-0000C1090000}"/>
    <cellStyle name="20% - Accent2 51 2 2" xfId="11717" xr:uid="{00000000-0005-0000-0000-0000C2090000}"/>
    <cellStyle name="20% - Accent2 51 2 2 2" xfId="23005" xr:uid="{00000000-0005-0000-0000-0000C3090000}"/>
    <cellStyle name="20% - Accent2 51 2 3" xfId="9723" xr:uid="{00000000-0005-0000-0000-0000C4090000}"/>
    <cellStyle name="20% - Accent2 51 2 3 2" xfId="21011" xr:uid="{00000000-0005-0000-0000-0000C5090000}"/>
    <cellStyle name="20% - Accent2 51 2 4" xfId="7729" xr:uid="{00000000-0005-0000-0000-0000C6090000}"/>
    <cellStyle name="20% - Accent2 51 2 4 2" xfId="19017" xr:uid="{00000000-0005-0000-0000-0000C7090000}"/>
    <cellStyle name="20% - Accent2 51 2 5" xfId="5735" xr:uid="{00000000-0005-0000-0000-0000C8090000}"/>
    <cellStyle name="20% - Accent2 51 2 5 2" xfId="17023" xr:uid="{00000000-0005-0000-0000-0000C9090000}"/>
    <cellStyle name="20% - Accent2 51 2 6" xfId="15029" xr:uid="{00000000-0005-0000-0000-0000CA090000}"/>
    <cellStyle name="20% - Accent2 51 3" xfId="10720" xr:uid="{00000000-0005-0000-0000-0000CB090000}"/>
    <cellStyle name="20% - Accent2 51 3 2" xfId="22008" xr:uid="{00000000-0005-0000-0000-0000CC090000}"/>
    <cellStyle name="20% - Accent2 51 4" xfId="8726" xr:uid="{00000000-0005-0000-0000-0000CD090000}"/>
    <cellStyle name="20% - Accent2 51 4 2" xfId="20014" xr:uid="{00000000-0005-0000-0000-0000CE090000}"/>
    <cellStyle name="20% - Accent2 51 5" xfId="6732" xr:uid="{00000000-0005-0000-0000-0000CF090000}"/>
    <cellStyle name="20% - Accent2 51 5 2" xfId="18020" xr:uid="{00000000-0005-0000-0000-0000D0090000}"/>
    <cellStyle name="20% - Accent2 51 6" xfId="4738" xr:uid="{00000000-0005-0000-0000-0000D1090000}"/>
    <cellStyle name="20% - Accent2 51 6 2" xfId="16026" xr:uid="{00000000-0005-0000-0000-0000D2090000}"/>
    <cellStyle name="20% - Accent2 51 7" xfId="14032" xr:uid="{00000000-0005-0000-0000-0000D3090000}"/>
    <cellStyle name="20% - Accent2 51 8" xfId="12718" xr:uid="{00000000-0005-0000-0000-0000D4090000}"/>
    <cellStyle name="20% - Accent2 52" xfId="783" xr:uid="{00000000-0005-0000-0000-0000D5090000}"/>
    <cellStyle name="20% - Accent2 52 2" xfId="3739" xr:uid="{00000000-0005-0000-0000-0000D6090000}"/>
    <cellStyle name="20% - Accent2 52 2 2" xfId="11718" xr:uid="{00000000-0005-0000-0000-0000D7090000}"/>
    <cellStyle name="20% - Accent2 52 2 2 2" xfId="23006" xr:uid="{00000000-0005-0000-0000-0000D8090000}"/>
    <cellStyle name="20% - Accent2 52 2 3" xfId="9724" xr:uid="{00000000-0005-0000-0000-0000D9090000}"/>
    <cellStyle name="20% - Accent2 52 2 3 2" xfId="21012" xr:uid="{00000000-0005-0000-0000-0000DA090000}"/>
    <cellStyle name="20% - Accent2 52 2 4" xfId="7730" xr:uid="{00000000-0005-0000-0000-0000DB090000}"/>
    <cellStyle name="20% - Accent2 52 2 4 2" xfId="19018" xr:uid="{00000000-0005-0000-0000-0000DC090000}"/>
    <cellStyle name="20% - Accent2 52 2 5" xfId="5736" xr:uid="{00000000-0005-0000-0000-0000DD090000}"/>
    <cellStyle name="20% - Accent2 52 2 5 2" xfId="17024" xr:uid="{00000000-0005-0000-0000-0000DE090000}"/>
    <cellStyle name="20% - Accent2 52 2 6" xfId="15030" xr:uid="{00000000-0005-0000-0000-0000DF090000}"/>
    <cellStyle name="20% - Accent2 52 3" xfId="10721" xr:uid="{00000000-0005-0000-0000-0000E0090000}"/>
    <cellStyle name="20% - Accent2 52 3 2" xfId="22009" xr:uid="{00000000-0005-0000-0000-0000E1090000}"/>
    <cellStyle name="20% - Accent2 52 4" xfId="8727" xr:uid="{00000000-0005-0000-0000-0000E2090000}"/>
    <cellStyle name="20% - Accent2 52 4 2" xfId="20015" xr:uid="{00000000-0005-0000-0000-0000E3090000}"/>
    <cellStyle name="20% - Accent2 52 5" xfId="6733" xr:uid="{00000000-0005-0000-0000-0000E4090000}"/>
    <cellStyle name="20% - Accent2 52 5 2" xfId="18021" xr:uid="{00000000-0005-0000-0000-0000E5090000}"/>
    <cellStyle name="20% - Accent2 52 6" xfId="4739" xr:uid="{00000000-0005-0000-0000-0000E6090000}"/>
    <cellStyle name="20% - Accent2 52 6 2" xfId="16027" xr:uid="{00000000-0005-0000-0000-0000E7090000}"/>
    <cellStyle name="20% - Accent2 52 7" xfId="14033" xr:uid="{00000000-0005-0000-0000-0000E8090000}"/>
    <cellStyle name="20% - Accent2 52 8" xfId="12719" xr:uid="{00000000-0005-0000-0000-0000E9090000}"/>
    <cellStyle name="20% - Accent2 53" xfId="784" xr:uid="{00000000-0005-0000-0000-0000EA090000}"/>
    <cellStyle name="20% - Accent2 53 2" xfId="3740" xr:uid="{00000000-0005-0000-0000-0000EB090000}"/>
    <cellStyle name="20% - Accent2 53 2 2" xfId="11719" xr:uid="{00000000-0005-0000-0000-0000EC090000}"/>
    <cellStyle name="20% - Accent2 53 2 2 2" xfId="23007" xr:uid="{00000000-0005-0000-0000-0000ED090000}"/>
    <cellStyle name="20% - Accent2 53 2 3" xfId="9725" xr:uid="{00000000-0005-0000-0000-0000EE090000}"/>
    <cellStyle name="20% - Accent2 53 2 3 2" xfId="21013" xr:uid="{00000000-0005-0000-0000-0000EF090000}"/>
    <cellStyle name="20% - Accent2 53 2 4" xfId="7731" xr:uid="{00000000-0005-0000-0000-0000F0090000}"/>
    <cellStyle name="20% - Accent2 53 2 4 2" xfId="19019" xr:uid="{00000000-0005-0000-0000-0000F1090000}"/>
    <cellStyle name="20% - Accent2 53 2 5" xfId="5737" xr:uid="{00000000-0005-0000-0000-0000F2090000}"/>
    <cellStyle name="20% - Accent2 53 2 5 2" xfId="17025" xr:uid="{00000000-0005-0000-0000-0000F3090000}"/>
    <cellStyle name="20% - Accent2 53 2 6" xfId="15031" xr:uid="{00000000-0005-0000-0000-0000F4090000}"/>
    <cellStyle name="20% - Accent2 53 3" xfId="10722" xr:uid="{00000000-0005-0000-0000-0000F5090000}"/>
    <cellStyle name="20% - Accent2 53 3 2" xfId="22010" xr:uid="{00000000-0005-0000-0000-0000F6090000}"/>
    <cellStyle name="20% - Accent2 53 4" xfId="8728" xr:uid="{00000000-0005-0000-0000-0000F7090000}"/>
    <cellStyle name="20% - Accent2 53 4 2" xfId="20016" xr:uid="{00000000-0005-0000-0000-0000F8090000}"/>
    <cellStyle name="20% - Accent2 53 5" xfId="6734" xr:uid="{00000000-0005-0000-0000-0000F9090000}"/>
    <cellStyle name="20% - Accent2 53 5 2" xfId="18022" xr:uid="{00000000-0005-0000-0000-0000FA090000}"/>
    <cellStyle name="20% - Accent2 53 6" xfId="4740" xr:uid="{00000000-0005-0000-0000-0000FB090000}"/>
    <cellStyle name="20% - Accent2 53 6 2" xfId="16028" xr:uid="{00000000-0005-0000-0000-0000FC090000}"/>
    <cellStyle name="20% - Accent2 53 7" xfId="14034" xr:uid="{00000000-0005-0000-0000-0000FD090000}"/>
    <cellStyle name="20% - Accent2 53 8" xfId="12720" xr:uid="{00000000-0005-0000-0000-0000FE090000}"/>
    <cellStyle name="20% - Accent2 54" xfId="785" xr:uid="{00000000-0005-0000-0000-0000FF090000}"/>
    <cellStyle name="20% - Accent2 54 2" xfId="3741" xr:uid="{00000000-0005-0000-0000-0000000A0000}"/>
    <cellStyle name="20% - Accent2 54 2 2" xfId="11720" xr:uid="{00000000-0005-0000-0000-0000010A0000}"/>
    <cellStyle name="20% - Accent2 54 2 2 2" xfId="23008" xr:uid="{00000000-0005-0000-0000-0000020A0000}"/>
    <cellStyle name="20% - Accent2 54 2 3" xfId="9726" xr:uid="{00000000-0005-0000-0000-0000030A0000}"/>
    <cellStyle name="20% - Accent2 54 2 3 2" xfId="21014" xr:uid="{00000000-0005-0000-0000-0000040A0000}"/>
    <cellStyle name="20% - Accent2 54 2 4" xfId="7732" xr:uid="{00000000-0005-0000-0000-0000050A0000}"/>
    <cellStyle name="20% - Accent2 54 2 4 2" xfId="19020" xr:uid="{00000000-0005-0000-0000-0000060A0000}"/>
    <cellStyle name="20% - Accent2 54 2 5" xfId="5738" xr:uid="{00000000-0005-0000-0000-0000070A0000}"/>
    <cellStyle name="20% - Accent2 54 2 5 2" xfId="17026" xr:uid="{00000000-0005-0000-0000-0000080A0000}"/>
    <cellStyle name="20% - Accent2 54 2 6" xfId="15032" xr:uid="{00000000-0005-0000-0000-0000090A0000}"/>
    <cellStyle name="20% - Accent2 54 3" xfId="10723" xr:uid="{00000000-0005-0000-0000-00000A0A0000}"/>
    <cellStyle name="20% - Accent2 54 3 2" xfId="22011" xr:uid="{00000000-0005-0000-0000-00000B0A0000}"/>
    <cellStyle name="20% - Accent2 54 4" xfId="8729" xr:uid="{00000000-0005-0000-0000-00000C0A0000}"/>
    <cellStyle name="20% - Accent2 54 4 2" xfId="20017" xr:uid="{00000000-0005-0000-0000-00000D0A0000}"/>
    <cellStyle name="20% - Accent2 54 5" xfId="6735" xr:uid="{00000000-0005-0000-0000-00000E0A0000}"/>
    <cellStyle name="20% - Accent2 54 5 2" xfId="18023" xr:uid="{00000000-0005-0000-0000-00000F0A0000}"/>
    <cellStyle name="20% - Accent2 54 6" xfId="4741" xr:uid="{00000000-0005-0000-0000-0000100A0000}"/>
    <cellStyle name="20% - Accent2 54 6 2" xfId="16029" xr:uid="{00000000-0005-0000-0000-0000110A0000}"/>
    <cellStyle name="20% - Accent2 54 7" xfId="14035" xr:uid="{00000000-0005-0000-0000-0000120A0000}"/>
    <cellStyle name="20% - Accent2 54 8" xfId="12721" xr:uid="{00000000-0005-0000-0000-0000130A0000}"/>
    <cellStyle name="20% - Accent2 55" xfId="786" xr:uid="{00000000-0005-0000-0000-0000140A0000}"/>
    <cellStyle name="20% - Accent2 55 2" xfId="3742" xr:uid="{00000000-0005-0000-0000-0000150A0000}"/>
    <cellStyle name="20% - Accent2 55 2 2" xfId="11721" xr:uid="{00000000-0005-0000-0000-0000160A0000}"/>
    <cellStyle name="20% - Accent2 55 2 2 2" xfId="23009" xr:uid="{00000000-0005-0000-0000-0000170A0000}"/>
    <cellStyle name="20% - Accent2 55 2 3" xfId="9727" xr:uid="{00000000-0005-0000-0000-0000180A0000}"/>
    <cellStyle name="20% - Accent2 55 2 3 2" xfId="21015" xr:uid="{00000000-0005-0000-0000-0000190A0000}"/>
    <cellStyle name="20% - Accent2 55 2 4" xfId="7733" xr:uid="{00000000-0005-0000-0000-00001A0A0000}"/>
    <cellStyle name="20% - Accent2 55 2 4 2" xfId="19021" xr:uid="{00000000-0005-0000-0000-00001B0A0000}"/>
    <cellStyle name="20% - Accent2 55 2 5" xfId="5739" xr:uid="{00000000-0005-0000-0000-00001C0A0000}"/>
    <cellStyle name="20% - Accent2 55 2 5 2" xfId="17027" xr:uid="{00000000-0005-0000-0000-00001D0A0000}"/>
    <cellStyle name="20% - Accent2 55 2 6" xfId="15033" xr:uid="{00000000-0005-0000-0000-00001E0A0000}"/>
    <cellStyle name="20% - Accent2 55 3" xfId="10724" xr:uid="{00000000-0005-0000-0000-00001F0A0000}"/>
    <cellStyle name="20% - Accent2 55 3 2" xfId="22012" xr:uid="{00000000-0005-0000-0000-0000200A0000}"/>
    <cellStyle name="20% - Accent2 55 4" xfId="8730" xr:uid="{00000000-0005-0000-0000-0000210A0000}"/>
    <cellStyle name="20% - Accent2 55 4 2" xfId="20018" xr:uid="{00000000-0005-0000-0000-0000220A0000}"/>
    <cellStyle name="20% - Accent2 55 5" xfId="6736" xr:uid="{00000000-0005-0000-0000-0000230A0000}"/>
    <cellStyle name="20% - Accent2 55 5 2" xfId="18024" xr:uid="{00000000-0005-0000-0000-0000240A0000}"/>
    <cellStyle name="20% - Accent2 55 6" xfId="4742" xr:uid="{00000000-0005-0000-0000-0000250A0000}"/>
    <cellStyle name="20% - Accent2 55 6 2" xfId="16030" xr:uid="{00000000-0005-0000-0000-0000260A0000}"/>
    <cellStyle name="20% - Accent2 55 7" xfId="14036" xr:uid="{00000000-0005-0000-0000-0000270A0000}"/>
    <cellStyle name="20% - Accent2 55 8" xfId="12722" xr:uid="{00000000-0005-0000-0000-0000280A0000}"/>
    <cellStyle name="20% - Accent2 56" xfId="787" xr:uid="{00000000-0005-0000-0000-0000290A0000}"/>
    <cellStyle name="20% - Accent2 56 2" xfId="3743" xr:uid="{00000000-0005-0000-0000-00002A0A0000}"/>
    <cellStyle name="20% - Accent2 56 2 2" xfId="11722" xr:uid="{00000000-0005-0000-0000-00002B0A0000}"/>
    <cellStyle name="20% - Accent2 56 2 2 2" xfId="23010" xr:uid="{00000000-0005-0000-0000-00002C0A0000}"/>
    <cellStyle name="20% - Accent2 56 2 3" xfId="9728" xr:uid="{00000000-0005-0000-0000-00002D0A0000}"/>
    <cellStyle name="20% - Accent2 56 2 3 2" xfId="21016" xr:uid="{00000000-0005-0000-0000-00002E0A0000}"/>
    <cellStyle name="20% - Accent2 56 2 4" xfId="7734" xr:uid="{00000000-0005-0000-0000-00002F0A0000}"/>
    <cellStyle name="20% - Accent2 56 2 4 2" xfId="19022" xr:uid="{00000000-0005-0000-0000-0000300A0000}"/>
    <cellStyle name="20% - Accent2 56 2 5" xfId="5740" xr:uid="{00000000-0005-0000-0000-0000310A0000}"/>
    <cellStyle name="20% - Accent2 56 2 5 2" xfId="17028" xr:uid="{00000000-0005-0000-0000-0000320A0000}"/>
    <cellStyle name="20% - Accent2 56 2 6" xfId="15034" xr:uid="{00000000-0005-0000-0000-0000330A0000}"/>
    <cellStyle name="20% - Accent2 56 3" xfId="10725" xr:uid="{00000000-0005-0000-0000-0000340A0000}"/>
    <cellStyle name="20% - Accent2 56 3 2" xfId="22013" xr:uid="{00000000-0005-0000-0000-0000350A0000}"/>
    <cellStyle name="20% - Accent2 56 4" xfId="8731" xr:uid="{00000000-0005-0000-0000-0000360A0000}"/>
    <cellStyle name="20% - Accent2 56 4 2" xfId="20019" xr:uid="{00000000-0005-0000-0000-0000370A0000}"/>
    <cellStyle name="20% - Accent2 56 5" xfId="6737" xr:uid="{00000000-0005-0000-0000-0000380A0000}"/>
    <cellStyle name="20% - Accent2 56 5 2" xfId="18025" xr:uid="{00000000-0005-0000-0000-0000390A0000}"/>
    <cellStyle name="20% - Accent2 56 6" xfId="4743" xr:uid="{00000000-0005-0000-0000-00003A0A0000}"/>
    <cellStyle name="20% - Accent2 56 6 2" xfId="16031" xr:uid="{00000000-0005-0000-0000-00003B0A0000}"/>
    <cellStyle name="20% - Accent2 56 7" xfId="14037" xr:uid="{00000000-0005-0000-0000-00003C0A0000}"/>
    <cellStyle name="20% - Accent2 56 8" xfId="12723" xr:uid="{00000000-0005-0000-0000-00003D0A0000}"/>
    <cellStyle name="20% - Accent2 57" xfId="788" xr:uid="{00000000-0005-0000-0000-00003E0A0000}"/>
    <cellStyle name="20% - Accent2 57 2" xfId="3744" xr:uid="{00000000-0005-0000-0000-00003F0A0000}"/>
    <cellStyle name="20% - Accent2 57 2 2" xfId="11723" xr:uid="{00000000-0005-0000-0000-0000400A0000}"/>
    <cellStyle name="20% - Accent2 57 2 2 2" xfId="23011" xr:uid="{00000000-0005-0000-0000-0000410A0000}"/>
    <cellStyle name="20% - Accent2 57 2 3" xfId="9729" xr:uid="{00000000-0005-0000-0000-0000420A0000}"/>
    <cellStyle name="20% - Accent2 57 2 3 2" xfId="21017" xr:uid="{00000000-0005-0000-0000-0000430A0000}"/>
    <cellStyle name="20% - Accent2 57 2 4" xfId="7735" xr:uid="{00000000-0005-0000-0000-0000440A0000}"/>
    <cellStyle name="20% - Accent2 57 2 4 2" xfId="19023" xr:uid="{00000000-0005-0000-0000-0000450A0000}"/>
    <cellStyle name="20% - Accent2 57 2 5" xfId="5741" xr:uid="{00000000-0005-0000-0000-0000460A0000}"/>
    <cellStyle name="20% - Accent2 57 2 5 2" xfId="17029" xr:uid="{00000000-0005-0000-0000-0000470A0000}"/>
    <cellStyle name="20% - Accent2 57 2 6" xfId="15035" xr:uid="{00000000-0005-0000-0000-0000480A0000}"/>
    <cellStyle name="20% - Accent2 57 3" xfId="10726" xr:uid="{00000000-0005-0000-0000-0000490A0000}"/>
    <cellStyle name="20% - Accent2 57 3 2" xfId="22014" xr:uid="{00000000-0005-0000-0000-00004A0A0000}"/>
    <cellStyle name="20% - Accent2 57 4" xfId="8732" xr:uid="{00000000-0005-0000-0000-00004B0A0000}"/>
    <cellStyle name="20% - Accent2 57 4 2" xfId="20020" xr:uid="{00000000-0005-0000-0000-00004C0A0000}"/>
    <cellStyle name="20% - Accent2 57 5" xfId="6738" xr:uid="{00000000-0005-0000-0000-00004D0A0000}"/>
    <cellStyle name="20% - Accent2 57 5 2" xfId="18026" xr:uid="{00000000-0005-0000-0000-00004E0A0000}"/>
    <cellStyle name="20% - Accent2 57 6" xfId="4744" xr:uid="{00000000-0005-0000-0000-00004F0A0000}"/>
    <cellStyle name="20% - Accent2 57 6 2" xfId="16032" xr:uid="{00000000-0005-0000-0000-0000500A0000}"/>
    <cellStyle name="20% - Accent2 57 7" xfId="14038" xr:uid="{00000000-0005-0000-0000-0000510A0000}"/>
    <cellStyle name="20% - Accent2 57 8" xfId="12724" xr:uid="{00000000-0005-0000-0000-0000520A0000}"/>
    <cellStyle name="20% - Accent2 58" xfId="789" xr:uid="{00000000-0005-0000-0000-0000530A0000}"/>
    <cellStyle name="20% - Accent2 58 2" xfId="3745" xr:uid="{00000000-0005-0000-0000-0000540A0000}"/>
    <cellStyle name="20% - Accent2 58 2 2" xfId="11724" xr:uid="{00000000-0005-0000-0000-0000550A0000}"/>
    <cellStyle name="20% - Accent2 58 2 2 2" xfId="23012" xr:uid="{00000000-0005-0000-0000-0000560A0000}"/>
    <cellStyle name="20% - Accent2 58 2 3" xfId="9730" xr:uid="{00000000-0005-0000-0000-0000570A0000}"/>
    <cellStyle name="20% - Accent2 58 2 3 2" xfId="21018" xr:uid="{00000000-0005-0000-0000-0000580A0000}"/>
    <cellStyle name="20% - Accent2 58 2 4" xfId="7736" xr:uid="{00000000-0005-0000-0000-0000590A0000}"/>
    <cellStyle name="20% - Accent2 58 2 4 2" xfId="19024" xr:uid="{00000000-0005-0000-0000-00005A0A0000}"/>
    <cellStyle name="20% - Accent2 58 2 5" xfId="5742" xr:uid="{00000000-0005-0000-0000-00005B0A0000}"/>
    <cellStyle name="20% - Accent2 58 2 5 2" xfId="17030" xr:uid="{00000000-0005-0000-0000-00005C0A0000}"/>
    <cellStyle name="20% - Accent2 58 2 6" xfId="15036" xr:uid="{00000000-0005-0000-0000-00005D0A0000}"/>
    <cellStyle name="20% - Accent2 58 3" xfId="10727" xr:uid="{00000000-0005-0000-0000-00005E0A0000}"/>
    <cellStyle name="20% - Accent2 58 3 2" xfId="22015" xr:uid="{00000000-0005-0000-0000-00005F0A0000}"/>
    <cellStyle name="20% - Accent2 58 4" xfId="8733" xr:uid="{00000000-0005-0000-0000-0000600A0000}"/>
    <cellStyle name="20% - Accent2 58 4 2" xfId="20021" xr:uid="{00000000-0005-0000-0000-0000610A0000}"/>
    <cellStyle name="20% - Accent2 58 5" xfId="6739" xr:uid="{00000000-0005-0000-0000-0000620A0000}"/>
    <cellStyle name="20% - Accent2 58 5 2" xfId="18027" xr:uid="{00000000-0005-0000-0000-0000630A0000}"/>
    <cellStyle name="20% - Accent2 58 6" xfId="4745" xr:uid="{00000000-0005-0000-0000-0000640A0000}"/>
    <cellStyle name="20% - Accent2 58 6 2" xfId="16033" xr:uid="{00000000-0005-0000-0000-0000650A0000}"/>
    <cellStyle name="20% - Accent2 58 7" xfId="14039" xr:uid="{00000000-0005-0000-0000-0000660A0000}"/>
    <cellStyle name="20% - Accent2 58 8" xfId="12725" xr:uid="{00000000-0005-0000-0000-0000670A0000}"/>
    <cellStyle name="20% - Accent2 59" xfId="790" xr:uid="{00000000-0005-0000-0000-0000680A0000}"/>
    <cellStyle name="20% - Accent2 59 2" xfId="3746" xr:uid="{00000000-0005-0000-0000-0000690A0000}"/>
    <cellStyle name="20% - Accent2 59 2 2" xfId="11725" xr:uid="{00000000-0005-0000-0000-00006A0A0000}"/>
    <cellStyle name="20% - Accent2 59 2 2 2" xfId="23013" xr:uid="{00000000-0005-0000-0000-00006B0A0000}"/>
    <cellStyle name="20% - Accent2 59 2 3" xfId="9731" xr:uid="{00000000-0005-0000-0000-00006C0A0000}"/>
    <cellStyle name="20% - Accent2 59 2 3 2" xfId="21019" xr:uid="{00000000-0005-0000-0000-00006D0A0000}"/>
    <cellStyle name="20% - Accent2 59 2 4" xfId="7737" xr:uid="{00000000-0005-0000-0000-00006E0A0000}"/>
    <cellStyle name="20% - Accent2 59 2 4 2" xfId="19025" xr:uid="{00000000-0005-0000-0000-00006F0A0000}"/>
    <cellStyle name="20% - Accent2 59 2 5" xfId="5743" xr:uid="{00000000-0005-0000-0000-0000700A0000}"/>
    <cellStyle name="20% - Accent2 59 2 5 2" xfId="17031" xr:uid="{00000000-0005-0000-0000-0000710A0000}"/>
    <cellStyle name="20% - Accent2 59 2 6" xfId="15037" xr:uid="{00000000-0005-0000-0000-0000720A0000}"/>
    <cellStyle name="20% - Accent2 59 3" xfId="10728" xr:uid="{00000000-0005-0000-0000-0000730A0000}"/>
    <cellStyle name="20% - Accent2 59 3 2" xfId="22016" xr:uid="{00000000-0005-0000-0000-0000740A0000}"/>
    <cellStyle name="20% - Accent2 59 4" xfId="8734" xr:uid="{00000000-0005-0000-0000-0000750A0000}"/>
    <cellStyle name="20% - Accent2 59 4 2" xfId="20022" xr:uid="{00000000-0005-0000-0000-0000760A0000}"/>
    <cellStyle name="20% - Accent2 59 5" xfId="6740" xr:uid="{00000000-0005-0000-0000-0000770A0000}"/>
    <cellStyle name="20% - Accent2 59 5 2" xfId="18028" xr:uid="{00000000-0005-0000-0000-0000780A0000}"/>
    <cellStyle name="20% - Accent2 59 6" xfId="4746" xr:uid="{00000000-0005-0000-0000-0000790A0000}"/>
    <cellStyle name="20% - Accent2 59 6 2" xfId="16034" xr:uid="{00000000-0005-0000-0000-00007A0A0000}"/>
    <cellStyle name="20% - Accent2 59 7" xfId="14040" xr:uid="{00000000-0005-0000-0000-00007B0A0000}"/>
    <cellStyle name="20% - Accent2 59 8" xfId="12726" xr:uid="{00000000-0005-0000-0000-00007C0A0000}"/>
    <cellStyle name="20% - Accent2 6" xfId="791" xr:uid="{00000000-0005-0000-0000-00007D0A0000}"/>
    <cellStyle name="20% - Accent2 6 10" xfId="24569" xr:uid="{00000000-0005-0000-0000-00007E0A0000}"/>
    <cellStyle name="20% - Accent2 6 11" xfId="24959" xr:uid="{00000000-0005-0000-0000-00007F0A0000}"/>
    <cellStyle name="20% - Accent2 6 2" xfId="3747" xr:uid="{00000000-0005-0000-0000-0000800A0000}"/>
    <cellStyle name="20% - Accent2 6 2 2" xfId="11726" xr:uid="{00000000-0005-0000-0000-0000810A0000}"/>
    <cellStyle name="20% - Accent2 6 2 2 2" xfId="23014" xr:uid="{00000000-0005-0000-0000-0000820A0000}"/>
    <cellStyle name="20% - Accent2 6 2 3" xfId="9732" xr:uid="{00000000-0005-0000-0000-0000830A0000}"/>
    <cellStyle name="20% - Accent2 6 2 3 2" xfId="21020" xr:uid="{00000000-0005-0000-0000-0000840A0000}"/>
    <cellStyle name="20% - Accent2 6 2 4" xfId="7738" xr:uid="{00000000-0005-0000-0000-0000850A0000}"/>
    <cellStyle name="20% - Accent2 6 2 4 2" xfId="19026" xr:uid="{00000000-0005-0000-0000-0000860A0000}"/>
    <cellStyle name="20% - Accent2 6 2 5" xfId="5744" xr:uid="{00000000-0005-0000-0000-0000870A0000}"/>
    <cellStyle name="20% - Accent2 6 2 5 2" xfId="17032" xr:uid="{00000000-0005-0000-0000-0000880A0000}"/>
    <cellStyle name="20% - Accent2 6 2 6" xfId="15038" xr:uid="{00000000-0005-0000-0000-0000890A0000}"/>
    <cellStyle name="20% - Accent2 6 2 7" xfId="24330" xr:uid="{00000000-0005-0000-0000-00008A0A0000}"/>
    <cellStyle name="20% - Accent2 6 2 8" xfId="24794" xr:uid="{00000000-0005-0000-0000-00008B0A0000}"/>
    <cellStyle name="20% - Accent2 6 2 9" xfId="25161" xr:uid="{00000000-0005-0000-0000-00008C0A0000}"/>
    <cellStyle name="20% - Accent2 6 3" xfId="10729" xr:uid="{00000000-0005-0000-0000-00008D0A0000}"/>
    <cellStyle name="20% - Accent2 6 3 2" xfId="22017" xr:uid="{00000000-0005-0000-0000-00008E0A0000}"/>
    <cellStyle name="20% - Accent2 6 4" xfId="8735" xr:uid="{00000000-0005-0000-0000-00008F0A0000}"/>
    <cellStyle name="20% - Accent2 6 4 2" xfId="20023" xr:uid="{00000000-0005-0000-0000-0000900A0000}"/>
    <cellStyle name="20% - Accent2 6 5" xfId="6741" xr:uid="{00000000-0005-0000-0000-0000910A0000}"/>
    <cellStyle name="20% - Accent2 6 5 2" xfId="18029" xr:uid="{00000000-0005-0000-0000-0000920A0000}"/>
    <cellStyle name="20% - Accent2 6 6" xfId="4747" xr:uid="{00000000-0005-0000-0000-0000930A0000}"/>
    <cellStyle name="20% - Accent2 6 6 2" xfId="16035" xr:uid="{00000000-0005-0000-0000-0000940A0000}"/>
    <cellStyle name="20% - Accent2 6 7" xfId="14041" xr:uid="{00000000-0005-0000-0000-0000950A0000}"/>
    <cellStyle name="20% - Accent2 6 8" xfId="12727" xr:uid="{00000000-0005-0000-0000-0000960A0000}"/>
    <cellStyle name="20% - Accent2 6 9" xfId="23942" xr:uid="{00000000-0005-0000-0000-0000970A0000}"/>
    <cellStyle name="20% - Accent2 60" xfId="792" xr:uid="{00000000-0005-0000-0000-0000980A0000}"/>
    <cellStyle name="20% - Accent2 60 2" xfId="3748" xr:uid="{00000000-0005-0000-0000-0000990A0000}"/>
    <cellStyle name="20% - Accent2 60 2 2" xfId="11727" xr:uid="{00000000-0005-0000-0000-00009A0A0000}"/>
    <cellStyle name="20% - Accent2 60 2 2 2" xfId="23015" xr:uid="{00000000-0005-0000-0000-00009B0A0000}"/>
    <cellStyle name="20% - Accent2 60 2 3" xfId="9733" xr:uid="{00000000-0005-0000-0000-00009C0A0000}"/>
    <cellStyle name="20% - Accent2 60 2 3 2" xfId="21021" xr:uid="{00000000-0005-0000-0000-00009D0A0000}"/>
    <cellStyle name="20% - Accent2 60 2 4" xfId="7739" xr:uid="{00000000-0005-0000-0000-00009E0A0000}"/>
    <cellStyle name="20% - Accent2 60 2 4 2" xfId="19027" xr:uid="{00000000-0005-0000-0000-00009F0A0000}"/>
    <cellStyle name="20% - Accent2 60 2 5" xfId="5745" xr:uid="{00000000-0005-0000-0000-0000A00A0000}"/>
    <cellStyle name="20% - Accent2 60 2 5 2" xfId="17033" xr:uid="{00000000-0005-0000-0000-0000A10A0000}"/>
    <cellStyle name="20% - Accent2 60 2 6" xfId="15039" xr:uid="{00000000-0005-0000-0000-0000A20A0000}"/>
    <cellStyle name="20% - Accent2 60 3" xfId="10730" xr:uid="{00000000-0005-0000-0000-0000A30A0000}"/>
    <cellStyle name="20% - Accent2 60 3 2" xfId="22018" xr:uid="{00000000-0005-0000-0000-0000A40A0000}"/>
    <cellStyle name="20% - Accent2 60 4" xfId="8736" xr:uid="{00000000-0005-0000-0000-0000A50A0000}"/>
    <cellStyle name="20% - Accent2 60 4 2" xfId="20024" xr:uid="{00000000-0005-0000-0000-0000A60A0000}"/>
    <cellStyle name="20% - Accent2 60 5" xfId="6742" xr:uid="{00000000-0005-0000-0000-0000A70A0000}"/>
    <cellStyle name="20% - Accent2 60 5 2" xfId="18030" xr:uid="{00000000-0005-0000-0000-0000A80A0000}"/>
    <cellStyle name="20% - Accent2 60 6" xfId="4748" xr:uid="{00000000-0005-0000-0000-0000A90A0000}"/>
    <cellStyle name="20% - Accent2 60 6 2" xfId="16036" xr:uid="{00000000-0005-0000-0000-0000AA0A0000}"/>
    <cellStyle name="20% - Accent2 60 7" xfId="14042" xr:uid="{00000000-0005-0000-0000-0000AB0A0000}"/>
    <cellStyle name="20% - Accent2 60 8" xfId="12728" xr:uid="{00000000-0005-0000-0000-0000AC0A0000}"/>
    <cellStyle name="20% - Accent2 61" xfId="793" xr:uid="{00000000-0005-0000-0000-0000AD0A0000}"/>
    <cellStyle name="20% - Accent2 61 2" xfId="3749" xr:uid="{00000000-0005-0000-0000-0000AE0A0000}"/>
    <cellStyle name="20% - Accent2 61 2 2" xfId="11728" xr:uid="{00000000-0005-0000-0000-0000AF0A0000}"/>
    <cellStyle name="20% - Accent2 61 2 2 2" xfId="23016" xr:uid="{00000000-0005-0000-0000-0000B00A0000}"/>
    <cellStyle name="20% - Accent2 61 2 3" xfId="9734" xr:uid="{00000000-0005-0000-0000-0000B10A0000}"/>
    <cellStyle name="20% - Accent2 61 2 3 2" xfId="21022" xr:uid="{00000000-0005-0000-0000-0000B20A0000}"/>
    <cellStyle name="20% - Accent2 61 2 4" xfId="7740" xr:uid="{00000000-0005-0000-0000-0000B30A0000}"/>
    <cellStyle name="20% - Accent2 61 2 4 2" xfId="19028" xr:uid="{00000000-0005-0000-0000-0000B40A0000}"/>
    <cellStyle name="20% - Accent2 61 2 5" xfId="5746" xr:uid="{00000000-0005-0000-0000-0000B50A0000}"/>
    <cellStyle name="20% - Accent2 61 2 5 2" xfId="17034" xr:uid="{00000000-0005-0000-0000-0000B60A0000}"/>
    <cellStyle name="20% - Accent2 61 2 6" xfId="15040" xr:uid="{00000000-0005-0000-0000-0000B70A0000}"/>
    <cellStyle name="20% - Accent2 61 3" xfId="10731" xr:uid="{00000000-0005-0000-0000-0000B80A0000}"/>
    <cellStyle name="20% - Accent2 61 3 2" xfId="22019" xr:uid="{00000000-0005-0000-0000-0000B90A0000}"/>
    <cellStyle name="20% - Accent2 61 4" xfId="8737" xr:uid="{00000000-0005-0000-0000-0000BA0A0000}"/>
    <cellStyle name="20% - Accent2 61 4 2" xfId="20025" xr:uid="{00000000-0005-0000-0000-0000BB0A0000}"/>
    <cellStyle name="20% - Accent2 61 5" xfId="6743" xr:uid="{00000000-0005-0000-0000-0000BC0A0000}"/>
    <cellStyle name="20% - Accent2 61 5 2" xfId="18031" xr:uid="{00000000-0005-0000-0000-0000BD0A0000}"/>
    <cellStyle name="20% - Accent2 61 6" xfId="4749" xr:uid="{00000000-0005-0000-0000-0000BE0A0000}"/>
    <cellStyle name="20% - Accent2 61 6 2" xfId="16037" xr:uid="{00000000-0005-0000-0000-0000BF0A0000}"/>
    <cellStyle name="20% - Accent2 61 7" xfId="14043" xr:uid="{00000000-0005-0000-0000-0000C00A0000}"/>
    <cellStyle name="20% - Accent2 61 8" xfId="12729" xr:uid="{00000000-0005-0000-0000-0000C10A0000}"/>
    <cellStyle name="20% - Accent2 62" xfId="794" xr:uid="{00000000-0005-0000-0000-0000C20A0000}"/>
    <cellStyle name="20% - Accent2 62 2" xfId="3750" xr:uid="{00000000-0005-0000-0000-0000C30A0000}"/>
    <cellStyle name="20% - Accent2 62 2 2" xfId="11729" xr:uid="{00000000-0005-0000-0000-0000C40A0000}"/>
    <cellStyle name="20% - Accent2 62 2 2 2" xfId="23017" xr:uid="{00000000-0005-0000-0000-0000C50A0000}"/>
    <cellStyle name="20% - Accent2 62 2 3" xfId="9735" xr:uid="{00000000-0005-0000-0000-0000C60A0000}"/>
    <cellStyle name="20% - Accent2 62 2 3 2" xfId="21023" xr:uid="{00000000-0005-0000-0000-0000C70A0000}"/>
    <cellStyle name="20% - Accent2 62 2 4" xfId="7741" xr:uid="{00000000-0005-0000-0000-0000C80A0000}"/>
    <cellStyle name="20% - Accent2 62 2 4 2" xfId="19029" xr:uid="{00000000-0005-0000-0000-0000C90A0000}"/>
    <cellStyle name="20% - Accent2 62 2 5" xfId="5747" xr:uid="{00000000-0005-0000-0000-0000CA0A0000}"/>
    <cellStyle name="20% - Accent2 62 2 5 2" xfId="17035" xr:uid="{00000000-0005-0000-0000-0000CB0A0000}"/>
    <cellStyle name="20% - Accent2 62 2 6" xfId="15041" xr:uid="{00000000-0005-0000-0000-0000CC0A0000}"/>
    <cellStyle name="20% - Accent2 62 3" xfId="10732" xr:uid="{00000000-0005-0000-0000-0000CD0A0000}"/>
    <cellStyle name="20% - Accent2 62 3 2" xfId="22020" xr:uid="{00000000-0005-0000-0000-0000CE0A0000}"/>
    <cellStyle name="20% - Accent2 62 4" xfId="8738" xr:uid="{00000000-0005-0000-0000-0000CF0A0000}"/>
    <cellStyle name="20% - Accent2 62 4 2" xfId="20026" xr:uid="{00000000-0005-0000-0000-0000D00A0000}"/>
    <cellStyle name="20% - Accent2 62 5" xfId="6744" xr:uid="{00000000-0005-0000-0000-0000D10A0000}"/>
    <cellStyle name="20% - Accent2 62 5 2" xfId="18032" xr:uid="{00000000-0005-0000-0000-0000D20A0000}"/>
    <cellStyle name="20% - Accent2 62 6" xfId="4750" xr:uid="{00000000-0005-0000-0000-0000D30A0000}"/>
    <cellStyle name="20% - Accent2 62 6 2" xfId="16038" xr:uid="{00000000-0005-0000-0000-0000D40A0000}"/>
    <cellStyle name="20% - Accent2 62 7" xfId="14044" xr:uid="{00000000-0005-0000-0000-0000D50A0000}"/>
    <cellStyle name="20% - Accent2 62 8" xfId="12730" xr:uid="{00000000-0005-0000-0000-0000D60A0000}"/>
    <cellStyle name="20% - Accent2 63" xfId="795" xr:uid="{00000000-0005-0000-0000-0000D70A0000}"/>
    <cellStyle name="20% - Accent2 63 2" xfId="3751" xr:uid="{00000000-0005-0000-0000-0000D80A0000}"/>
    <cellStyle name="20% - Accent2 63 2 2" xfId="11730" xr:uid="{00000000-0005-0000-0000-0000D90A0000}"/>
    <cellStyle name="20% - Accent2 63 2 2 2" xfId="23018" xr:uid="{00000000-0005-0000-0000-0000DA0A0000}"/>
    <cellStyle name="20% - Accent2 63 2 3" xfId="9736" xr:uid="{00000000-0005-0000-0000-0000DB0A0000}"/>
    <cellStyle name="20% - Accent2 63 2 3 2" xfId="21024" xr:uid="{00000000-0005-0000-0000-0000DC0A0000}"/>
    <cellStyle name="20% - Accent2 63 2 4" xfId="7742" xr:uid="{00000000-0005-0000-0000-0000DD0A0000}"/>
    <cellStyle name="20% - Accent2 63 2 4 2" xfId="19030" xr:uid="{00000000-0005-0000-0000-0000DE0A0000}"/>
    <cellStyle name="20% - Accent2 63 2 5" xfId="5748" xr:uid="{00000000-0005-0000-0000-0000DF0A0000}"/>
    <cellStyle name="20% - Accent2 63 2 5 2" xfId="17036" xr:uid="{00000000-0005-0000-0000-0000E00A0000}"/>
    <cellStyle name="20% - Accent2 63 2 6" xfId="15042" xr:uid="{00000000-0005-0000-0000-0000E10A0000}"/>
    <cellStyle name="20% - Accent2 63 3" xfId="10733" xr:uid="{00000000-0005-0000-0000-0000E20A0000}"/>
    <cellStyle name="20% - Accent2 63 3 2" xfId="22021" xr:uid="{00000000-0005-0000-0000-0000E30A0000}"/>
    <cellStyle name="20% - Accent2 63 4" xfId="8739" xr:uid="{00000000-0005-0000-0000-0000E40A0000}"/>
    <cellStyle name="20% - Accent2 63 4 2" xfId="20027" xr:uid="{00000000-0005-0000-0000-0000E50A0000}"/>
    <cellStyle name="20% - Accent2 63 5" xfId="6745" xr:uid="{00000000-0005-0000-0000-0000E60A0000}"/>
    <cellStyle name="20% - Accent2 63 5 2" xfId="18033" xr:uid="{00000000-0005-0000-0000-0000E70A0000}"/>
    <cellStyle name="20% - Accent2 63 6" xfId="4751" xr:uid="{00000000-0005-0000-0000-0000E80A0000}"/>
    <cellStyle name="20% - Accent2 63 6 2" xfId="16039" xr:uid="{00000000-0005-0000-0000-0000E90A0000}"/>
    <cellStyle name="20% - Accent2 63 7" xfId="14045" xr:uid="{00000000-0005-0000-0000-0000EA0A0000}"/>
    <cellStyle name="20% - Accent2 63 8" xfId="12731" xr:uid="{00000000-0005-0000-0000-0000EB0A0000}"/>
    <cellStyle name="20% - Accent2 64" xfId="796" xr:uid="{00000000-0005-0000-0000-0000EC0A0000}"/>
    <cellStyle name="20% - Accent2 64 2" xfId="3752" xr:uid="{00000000-0005-0000-0000-0000ED0A0000}"/>
    <cellStyle name="20% - Accent2 64 2 2" xfId="11731" xr:uid="{00000000-0005-0000-0000-0000EE0A0000}"/>
    <cellStyle name="20% - Accent2 64 2 2 2" xfId="23019" xr:uid="{00000000-0005-0000-0000-0000EF0A0000}"/>
    <cellStyle name="20% - Accent2 64 2 3" xfId="9737" xr:uid="{00000000-0005-0000-0000-0000F00A0000}"/>
    <cellStyle name="20% - Accent2 64 2 3 2" xfId="21025" xr:uid="{00000000-0005-0000-0000-0000F10A0000}"/>
    <cellStyle name="20% - Accent2 64 2 4" xfId="7743" xr:uid="{00000000-0005-0000-0000-0000F20A0000}"/>
    <cellStyle name="20% - Accent2 64 2 4 2" xfId="19031" xr:uid="{00000000-0005-0000-0000-0000F30A0000}"/>
    <cellStyle name="20% - Accent2 64 2 5" xfId="5749" xr:uid="{00000000-0005-0000-0000-0000F40A0000}"/>
    <cellStyle name="20% - Accent2 64 2 5 2" xfId="17037" xr:uid="{00000000-0005-0000-0000-0000F50A0000}"/>
    <cellStyle name="20% - Accent2 64 2 6" xfId="15043" xr:uid="{00000000-0005-0000-0000-0000F60A0000}"/>
    <cellStyle name="20% - Accent2 64 3" xfId="10734" xr:uid="{00000000-0005-0000-0000-0000F70A0000}"/>
    <cellStyle name="20% - Accent2 64 3 2" xfId="22022" xr:uid="{00000000-0005-0000-0000-0000F80A0000}"/>
    <cellStyle name="20% - Accent2 64 4" xfId="8740" xr:uid="{00000000-0005-0000-0000-0000F90A0000}"/>
    <cellStyle name="20% - Accent2 64 4 2" xfId="20028" xr:uid="{00000000-0005-0000-0000-0000FA0A0000}"/>
    <cellStyle name="20% - Accent2 64 5" xfId="6746" xr:uid="{00000000-0005-0000-0000-0000FB0A0000}"/>
    <cellStyle name="20% - Accent2 64 5 2" xfId="18034" xr:uid="{00000000-0005-0000-0000-0000FC0A0000}"/>
    <cellStyle name="20% - Accent2 64 6" xfId="4752" xr:uid="{00000000-0005-0000-0000-0000FD0A0000}"/>
    <cellStyle name="20% - Accent2 64 6 2" xfId="16040" xr:uid="{00000000-0005-0000-0000-0000FE0A0000}"/>
    <cellStyle name="20% - Accent2 64 7" xfId="14046" xr:uid="{00000000-0005-0000-0000-0000FF0A0000}"/>
    <cellStyle name="20% - Accent2 64 8" xfId="12732" xr:uid="{00000000-0005-0000-0000-0000000B0000}"/>
    <cellStyle name="20% - Accent2 65" xfId="797" xr:uid="{00000000-0005-0000-0000-0000010B0000}"/>
    <cellStyle name="20% - Accent2 65 2" xfId="3753" xr:uid="{00000000-0005-0000-0000-0000020B0000}"/>
    <cellStyle name="20% - Accent2 65 2 2" xfId="11732" xr:uid="{00000000-0005-0000-0000-0000030B0000}"/>
    <cellStyle name="20% - Accent2 65 2 2 2" xfId="23020" xr:uid="{00000000-0005-0000-0000-0000040B0000}"/>
    <cellStyle name="20% - Accent2 65 2 3" xfId="9738" xr:uid="{00000000-0005-0000-0000-0000050B0000}"/>
    <cellStyle name="20% - Accent2 65 2 3 2" xfId="21026" xr:uid="{00000000-0005-0000-0000-0000060B0000}"/>
    <cellStyle name="20% - Accent2 65 2 4" xfId="7744" xr:uid="{00000000-0005-0000-0000-0000070B0000}"/>
    <cellStyle name="20% - Accent2 65 2 4 2" xfId="19032" xr:uid="{00000000-0005-0000-0000-0000080B0000}"/>
    <cellStyle name="20% - Accent2 65 2 5" xfId="5750" xr:uid="{00000000-0005-0000-0000-0000090B0000}"/>
    <cellStyle name="20% - Accent2 65 2 5 2" xfId="17038" xr:uid="{00000000-0005-0000-0000-00000A0B0000}"/>
    <cellStyle name="20% - Accent2 65 2 6" xfId="15044" xr:uid="{00000000-0005-0000-0000-00000B0B0000}"/>
    <cellStyle name="20% - Accent2 65 3" xfId="10735" xr:uid="{00000000-0005-0000-0000-00000C0B0000}"/>
    <cellStyle name="20% - Accent2 65 3 2" xfId="22023" xr:uid="{00000000-0005-0000-0000-00000D0B0000}"/>
    <cellStyle name="20% - Accent2 65 4" xfId="8741" xr:uid="{00000000-0005-0000-0000-00000E0B0000}"/>
    <cellStyle name="20% - Accent2 65 4 2" xfId="20029" xr:uid="{00000000-0005-0000-0000-00000F0B0000}"/>
    <cellStyle name="20% - Accent2 65 5" xfId="6747" xr:uid="{00000000-0005-0000-0000-0000100B0000}"/>
    <cellStyle name="20% - Accent2 65 5 2" xfId="18035" xr:uid="{00000000-0005-0000-0000-0000110B0000}"/>
    <cellStyle name="20% - Accent2 65 6" xfId="4753" xr:uid="{00000000-0005-0000-0000-0000120B0000}"/>
    <cellStyle name="20% - Accent2 65 6 2" xfId="16041" xr:uid="{00000000-0005-0000-0000-0000130B0000}"/>
    <cellStyle name="20% - Accent2 65 7" xfId="14047" xr:uid="{00000000-0005-0000-0000-0000140B0000}"/>
    <cellStyle name="20% - Accent2 65 8" xfId="12733" xr:uid="{00000000-0005-0000-0000-0000150B0000}"/>
    <cellStyle name="20% - Accent2 66" xfId="798" xr:uid="{00000000-0005-0000-0000-0000160B0000}"/>
    <cellStyle name="20% - Accent2 66 2" xfId="3754" xr:uid="{00000000-0005-0000-0000-0000170B0000}"/>
    <cellStyle name="20% - Accent2 66 2 2" xfId="11733" xr:uid="{00000000-0005-0000-0000-0000180B0000}"/>
    <cellStyle name="20% - Accent2 66 2 2 2" xfId="23021" xr:uid="{00000000-0005-0000-0000-0000190B0000}"/>
    <cellStyle name="20% - Accent2 66 2 3" xfId="9739" xr:uid="{00000000-0005-0000-0000-00001A0B0000}"/>
    <cellStyle name="20% - Accent2 66 2 3 2" xfId="21027" xr:uid="{00000000-0005-0000-0000-00001B0B0000}"/>
    <cellStyle name="20% - Accent2 66 2 4" xfId="7745" xr:uid="{00000000-0005-0000-0000-00001C0B0000}"/>
    <cellStyle name="20% - Accent2 66 2 4 2" xfId="19033" xr:uid="{00000000-0005-0000-0000-00001D0B0000}"/>
    <cellStyle name="20% - Accent2 66 2 5" xfId="5751" xr:uid="{00000000-0005-0000-0000-00001E0B0000}"/>
    <cellStyle name="20% - Accent2 66 2 5 2" xfId="17039" xr:uid="{00000000-0005-0000-0000-00001F0B0000}"/>
    <cellStyle name="20% - Accent2 66 2 6" xfId="15045" xr:uid="{00000000-0005-0000-0000-0000200B0000}"/>
    <cellStyle name="20% - Accent2 66 3" xfId="10736" xr:uid="{00000000-0005-0000-0000-0000210B0000}"/>
    <cellStyle name="20% - Accent2 66 3 2" xfId="22024" xr:uid="{00000000-0005-0000-0000-0000220B0000}"/>
    <cellStyle name="20% - Accent2 66 4" xfId="8742" xr:uid="{00000000-0005-0000-0000-0000230B0000}"/>
    <cellStyle name="20% - Accent2 66 4 2" xfId="20030" xr:uid="{00000000-0005-0000-0000-0000240B0000}"/>
    <cellStyle name="20% - Accent2 66 5" xfId="6748" xr:uid="{00000000-0005-0000-0000-0000250B0000}"/>
    <cellStyle name="20% - Accent2 66 5 2" xfId="18036" xr:uid="{00000000-0005-0000-0000-0000260B0000}"/>
    <cellStyle name="20% - Accent2 66 6" xfId="4754" xr:uid="{00000000-0005-0000-0000-0000270B0000}"/>
    <cellStyle name="20% - Accent2 66 6 2" xfId="16042" xr:uid="{00000000-0005-0000-0000-0000280B0000}"/>
    <cellStyle name="20% - Accent2 66 7" xfId="14048" xr:uid="{00000000-0005-0000-0000-0000290B0000}"/>
    <cellStyle name="20% - Accent2 66 8" xfId="12734" xr:uid="{00000000-0005-0000-0000-00002A0B0000}"/>
    <cellStyle name="20% - Accent2 67" xfId="799" xr:uid="{00000000-0005-0000-0000-00002B0B0000}"/>
    <cellStyle name="20% - Accent2 67 2" xfId="3755" xr:uid="{00000000-0005-0000-0000-00002C0B0000}"/>
    <cellStyle name="20% - Accent2 67 2 2" xfId="11734" xr:uid="{00000000-0005-0000-0000-00002D0B0000}"/>
    <cellStyle name="20% - Accent2 67 2 2 2" xfId="23022" xr:uid="{00000000-0005-0000-0000-00002E0B0000}"/>
    <cellStyle name="20% - Accent2 67 2 3" xfId="9740" xr:uid="{00000000-0005-0000-0000-00002F0B0000}"/>
    <cellStyle name="20% - Accent2 67 2 3 2" xfId="21028" xr:uid="{00000000-0005-0000-0000-0000300B0000}"/>
    <cellStyle name="20% - Accent2 67 2 4" xfId="7746" xr:uid="{00000000-0005-0000-0000-0000310B0000}"/>
    <cellStyle name="20% - Accent2 67 2 4 2" xfId="19034" xr:uid="{00000000-0005-0000-0000-0000320B0000}"/>
    <cellStyle name="20% - Accent2 67 2 5" xfId="5752" xr:uid="{00000000-0005-0000-0000-0000330B0000}"/>
    <cellStyle name="20% - Accent2 67 2 5 2" xfId="17040" xr:uid="{00000000-0005-0000-0000-0000340B0000}"/>
    <cellStyle name="20% - Accent2 67 2 6" xfId="15046" xr:uid="{00000000-0005-0000-0000-0000350B0000}"/>
    <cellStyle name="20% - Accent2 67 3" xfId="10737" xr:uid="{00000000-0005-0000-0000-0000360B0000}"/>
    <cellStyle name="20% - Accent2 67 3 2" xfId="22025" xr:uid="{00000000-0005-0000-0000-0000370B0000}"/>
    <cellStyle name="20% - Accent2 67 4" xfId="8743" xr:uid="{00000000-0005-0000-0000-0000380B0000}"/>
    <cellStyle name="20% - Accent2 67 4 2" xfId="20031" xr:uid="{00000000-0005-0000-0000-0000390B0000}"/>
    <cellStyle name="20% - Accent2 67 5" xfId="6749" xr:uid="{00000000-0005-0000-0000-00003A0B0000}"/>
    <cellStyle name="20% - Accent2 67 5 2" xfId="18037" xr:uid="{00000000-0005-0000-0000-00003B0B0000}"/>
    <cellStyle name="20% - Accent2 67 6" xfId="4755" xr:uid="{00000000-0005-0000-0000-00003C0B0000}"/>
    <cellStyle name="20% - Accent2 67 6 2" xfId="16043" xr:uid="{00000000-0005-0000-0000-00003D0B0000}"/>
    <cellStyle name="20% - Accent2 67 7" xfId="14049" xr:uid="{00000000-0005-0000-0000-00003E0B0000}"/>
    <cellStyle name="20% - Accent2 67 8" xfId="12735" xr:uid="{00000000-0005-0000-0000-00003F0B0000}"/>
    <cellStyle name="20% - Accent2 68" xfId="800" xr:uid="{00000000-0005-0000-0000-0000400B0000}"/>
    <cellStyle name="20% - Accent2 68 2" xfId="3756" xr:uid="{00000000-0005-0000-0000-0000410B0000}"/>
    <cellStyle name="20% - Accent2 68 2 2" xfId="11735" xr:uid="{00000000-0005-0000-0000-0000420B0000}"/>
    <cellStyle name="20% - Accent2 68 2 2 2" xfId="23023" xr:uid="{00000000-0005-0000-0000-0000430B0000}"/>
    <cellStyle name="20% - Accent2 68 2 3" xfId="9741" xr:uid="{00000000-0005-0000-0000-0000440B0000}"/>
    <cellStyle name="20% - Accent2 68 2 3 2" xfId="21029" xr:uid="{00000000-0005-0000-0000-0000450B0000}"/>
    <cellStyle name="20% - Accent2 68 2 4" xfId="7747" xr:uid="{00000000-0005-0000-0000-0000460B0000}"/>
    <cellStyle name="20% - Accent2 68 2 4 2" xfId="19035" xr:uid="{00000000-0005-0000-0000-0000470B0000}"/>
    <cellStyle name="20% - Accent2 68 2 5" xfId="5753" xr:uid="{00000000-0005-0000-0000-0000480B0000}"/>
    <cellStyle name="20% - Accent2 68 2 5 2" xfId="17041" xr:uid="{00000000-0005-0000-0000-0000490B0000}"/>
    <cellStyle name="20% - Accent2 68 2 6" xfId="15047" xr:uid="{00000000-0005-0000-0000-00004A0B0000}"/>
    <cellStyle name="20% - Accent2 68 3" xfId="10738" xr:uid="{00000000-0005-0000-0000-00004B0B0000}"/>
    <cellStyle name="20% - Accent2 68 3 2" xfId="22026" xr:uid="{00000000-0005-0000-0000-00004C0B0000}"/>
    <cellStyle name="20% - Accent2 68 4" xfId="8744" xr:uid="{00000000-0005-0000-0000-00004D0B0000}"/>
    <cellStyle name="20% - Accent2 68 4 2" xfId="20032" xr:uid="{00000000-0005-0000-0000-00004E0B0000}"/>
    <cellStyle name="20% - Accent2 68 5" xfId="6750" xr:uid="{00000000-0005-0000-0000-00004F0B0000}"/>
    <cellStyle name="20% - Accent2 68 5 2" xfId="18038" xr:uid="{00000000-0005-0000-0000-0000500B0000}"/>
    <cellStyle name="20% - Accent2 68 6" xfId="4756" xr:uid="{00000000-0005-0000-0000-0000510B0000}"/>
    <cellStyle name="20% - Accent2 68 6 2" xfId="16044" xr:uid="{00000000-0005-0000-0000-0000520B0000}"/>
    <cellStyle name="20% - Accent2 68 7" xfId="14050" xr:uid="{00000000-0005-0000-0000-0000530B0000}"/>
    <cellStyle name="20% - Accent2 68 8" xfId="12736" xr:uid="{00000000-0005-0000-0000-0000540B0000}"/>
    <cellStyle name="20% - Accent2 69" xfId="801" xr:uid="{00000000-0005-0000-0000-0000550B0000}"/>
    <cellStyle name="20% - Accent2 69 2" xfId="3757" xr:uid="{00000000-0005-0000-0000-0000560B0000}"/>
    <cellStyle name="20% - Accent2 69 2 2" xfId="11736" xr:uid="{00000000-0005-0000-0000-0000570B0000}"/>
    <cellStyle name="20% - Accent2 69 2 2 2" xfId="23024" xr:uid="{00000000-0005-0000-0000-0000580B0000}"/>
    <cellStyle name="20% - Accent2 69 2 3" xfId="9742" xr:uid="{00000000-0005-0000-0000-0000590B0000}"/>
    <cellStyle name="20% - Accent2 69 2 3 2" xfId="21030" xr:uid="{00000000-0005-0000-0000-00005A0B0000}"/>
    <cellStyle name="20% - Accent2 69 2 4" xfId="7748" xr:uid="{00000000-0005-0000-0000-00005B0B0000}"/>
    <cellStyle name="20% - Accent2 69 2 4 2" xfId="19036" xr:uid="{00000000-0005-0000-0000-00005C0B0000}"/>
    <cellStyle name="20% - Accent2 69 2 5" xfId="5754" xr:uid="{00000000-0005-0000-0000-00005D0B0000}"/>
    <cellStyle name="20% - Accent2 69 2 5 2" xfId="17042" xr:uid="{00000000-0005-0000-0000-00005E0B0000}"/>
    <cellStyle name="20% - Accent2 69 2 6" xfId="15048" xr:uid="{00000000-0005-0000-0000-00005F0B0000}"/>
    <cellStyle name="20% - Accent2 69 3" xfId="10739" xr:uid="{00000000-0005-0000-0000-0000600B0000}"/>
    <cellStyle name="20% - Accent2 69 3 2" xfId="22027" xr:uid="{00000000-0005-0000-0000-0000610B0000}"/>
    <cellStyle name="20% - Accent2 69 4" xfId="8745" xr:uid="{00000000-0005-0000-0000-0000620B0000}"/>
    <cellStyle name="20% - Accent2 69 4 2" xfId="20033" xr:uid="{00000000-0005-0000-0000-0000630B0000}"/>
    <cellStyle name="20% - Accent2 69 5" xfId="6751" xr:uid="{00000000-0005-0000-0000-0000640B0000}"/>
    <cellStyle name="20% - Accent2 69 5 2" xfId="18039" xr:uid="{00000000-0005-0000-0000-0000650B0000}"/>
    <cellStyle name="20% - Accent2 69 6" xfId="4757" xr:uid="{00000000-0005-0000-0000-0000660B0000}"/>
    <cellStyle name="20% - Accent2 69 6 2" xfId="16045" xr:uid="{00000000-0005-0000-0000-0000670B0000}"/>
    <cellStyle name="20% - Accent2 69 7" xfId="14051" xr:uid="{00000000-0005-0000-0000-0000680B0000}"/>
    <cellStyle name="20% - Accent2 69 8" xfId="12737" xr:uid="{00000000-0005-0000-0000-0000690B0000}"/>
    <cellStyle name="20% - Accent2 7" xfId="802" xr:uid="{00000000-0005-0000-0000-00006A0B0000}"/>
    <cellStyle name="20% - Accent2 7 10" xfId="24570" xr:uid="{00000000-0005-0000-0000-00006B0B0000}"/>
    <cellStyle name="20% - Accent2 7 11" xfId="24960" xr:uid="{00000000-0005-0000-0000-00006C0B0000}"/>
    <cellStyle name="20% - Accent2 7 2" xfId="3758" xr:uid="{00000000-0005-0000-0000-00006D0B0000}"/>
    <cellStyle name="20% - Accent2 7 2 2" xfId="11737" xr:uid="{00000000-0005-0000-0000-00006E0B0000}"/>
    <cellStyle name="20% - Accent2 7 2 2 2" xfId="23025" xr:uid="{00000000-0005-0000-0000-00006F0B0000}"/>
    <cellStyle name="20% - Accent2 7 2 3" xfId="9743" xr:uid="{00000000-0005-0000-0000-0000700B0000}"/>
    <cellStyle name="20% - Accent2 7 2 3 2" xfId="21031" xr:uid="{00000000-0005-0000-0000-0000710B0000}"/>
    <cellStyle name="20% - Accent2 7 2 4" xfId="7749" xr:uid="{00000000-0005-0000-0000-0000720B0000}"/>
    <cellStyle name="20% - Accent2 7 2 4 2" xfId="19037" xr:uid="{00000000-0005-0000-0000-0000730B0000}"/>
    <cellStyle name="20% - Accent2 7 2 5" xfId="5755" xr:uid="{00000000-0005-0000-0000-0000740B0000}"/>
    <cellStyle name="20% - Accent2 7 2 5 2" xfId="17043" xr:uid="{00000000-0005-0000-0000-0000750B0000}"/>
    <cellStyle name="20% - Accent2 7 2 6" xfId="15049" xr:uid="{00000000-0005-0000-0000-0000760B0000}"/>
    <cellStyle name="20% - Accent2 7 2 7" xfId="24331" xr:uid="{00000000-0005-0000-0000-0000770B0000}"/>
    <cellStyle name="20% - Accent2 7 2 8" xfId="24795" xr:uid="{00000000-0005-0000-0000-0000780B0000}"/>
    <cellStyle name="20% - Accent2 7 2 9" xfId="25162" xr:uid="{00000000-0005-0000-0000-0000790B0000}"/>
    <cellStyle name="20% - Accent2 7 3" xfId="10740" xr:uid="{00000000-0005-0000-0000-00007A0B0000}"/>
    <cellStyle name="20% - Accent2 7 3 2" xfId="22028" xr:uid="{00000000-0005-0000-0000-00007B0B0000}"/>
    <cellStyle name="20% - Accent2 7 4" xfId="8746" xr:uid="{00000000-0005-0000-0000-00007C0B0000}"/>
    <cellStyle name="20% - Accent2 7 4 2" xfId="20034" xr:uid="{00000000-0005-0000-0000-00007D0B0000}"/>
    <cellStyle name="20% - Accent2 7 5" xfId="6752" xr:uid="{00000000-0005-0000-0000-00007E0B0000}"/>
    <cellStyle name="20% - Accent2 7 5 2" xfId="18040" xr:uid="{00000000-0005-0000-0000-00007F0B0000}"/>
    <cellStyle name="20% - Accent2 7 6" xfId="4758" xr:uid="{00000000-0005-0000-0000-0000800B0000}"/>
    <cellStyle name="20% - Accent2 7 6 2" xfId="16046" xr:uid="{00000000-0005-0000-0000-0000810B0000}"/>
    <cellStyle name="20% - Accent2 7 7" xfId="14052" xr:uid="{00000000-0005-0000-0000-0000820B0000}"/>
    <cellStyle name="20% - Accent2 7 8" xfId="12738" xr:uid="{00000000-0005-0000-0000-0000830B0000}"/>
    <cellStyle name="20% - Accent2 7 9" xfId="23943" xr:uid="{00000000-0005-0000-0000-0000840B0000}"/>
    <cellStyle name="20% - Accent2 70" xfId="803" xr:uid="{00000000-0005-0000-0000-0000850B0000}"/>
    <cellStyle name="20% - Accent2 70 2" xfId="3759" xr:uid="{00000000-0005-0000-0000-0000860B0000}"/>
    <cellStyle name="20% - Accent2 70 2 2" xfId="11738" xr:uid="{00000000-0005-0000-0000-0000870B0000}"/>
    <cellStyle name="20% - Accent2 70 2 2 2" xfId="23026" xr:uid="{00000000-0005-0000-0000-0000880B0000}"/>
    <cellStyle name="20% - Accent2 70 2 3" xfId="9744" xr:uid="{00000000-0005-0000-0000-0000890B0000}"/>
    <cellStyle name="20% - Accent2 70 2 3 2" xfId="21032" xr:uid="{00000000-0005-0000-0000-00008A0B0000}"/>
    <cellStyle name="20% - Accent2 70 2 4" xfId="7750" xr:uid="{00000000-0005-0000-0000-00008B0B0000}"/>
    <cellStyle name="20% - Accent2 70 2 4 2" xfId="19038" xr:uid="{00000000-0005-0000-0000-00008C0B0000}"/>
    <cellStyle name="20% - Accent2 70 2 5" xfId="5756" xr:uid="{00000000-0005-0000-0000-00008D0B0000}"/>
    <cellStyle name="20% - Accent2 70 2 5 2" xfId="17044" xr:uid="{00000000-0005-0000-0000-00008E0B0000}"/>
    <cellStyle name="20% - Accent2 70 2 6" xfId="15050" xr:uid="{00000000-0005-0000-0000-00008F0B0000}"/>
    <cellStyle name="20% - Accent2 70 3" xfId="10741" xr:uid="{00000000-0005-0000-0000-0000900B0000}"/>
    <cellStyle name="20% - Accent2 70 3 2" xfId="22029" xr:uid="{00000000-0005-0000-0000-0000910B0000}"/>
    <cellStyle name="20% - Accent2 70 4" xfId="8747" xr:uid="{00000000-0005-0000-0000-0000920B0000}"/>
    <cellStyle name="20% - Accent2 70 4 2" xfId="20035" xr:uid="{00000000-0005-0000-0000-0000930B0000}"/>
    <cellStyle name="20% - Accent2 70 5" xfId="6753" xr:uid="{00000000-0005-0000-0000-0000940B0000}"/>
    <cellStyle name="20% - Accent2 70 5 2" xfId="18041" xr:uid="{00000000-0005-0000-0000-0000950B0000}"/>
    <cellStyle name="20% - Accent2 70 6" xfId="4759" xr:uid="{00000000-0005-0000-0000-0000960B0000}"/>
    <cellStyle name="20% - Accent2 70 6 2" xfId="16047" xr:uid="{00000000-0005-0000-0000-0000970B0000}"/>
    <cellStyle name="20% - Accent2 70 7" xfId="14053" xr:uid="{00000000-0005-0000-0000-0000980B0000}"/>
    <cellStyle name="20% - Accent2 70 8" xfId="12739" xr:uid="{00000000-0005-0000-0000-0000990B0000}"/>
    <cellStyle name="20% - Accent2 71" xfId="804" xr:uid="{00000000-0005-0000-0000-00009A0B0000}"/>
    <cellStyle name="20% - Accent2 71 2" xfId="3760" xr:uid="{00000000-0005-0000-0000-00009B0B0000}"/>
    <cellStyle name="20% - Accent2 71 2 2" xfId="11739" xr:uid="{00000000-0005-0000-0000-00009C0B0000}"/>
    <cellStyle name="20% - Accent2 71 2 2 2" xfId="23027" xr:uid="{00000000-0005-0000-0000-00009D0B0000}"/>
    <cellStyle name="20% - Accent2 71 2 3" xfId="9745" xr:uid="{00000000-0005-0000-0000-00009E0B0000}"/>
    <cellStyle name="20% - Accent2 71 2 3 2" xfId="21033" xr:uid="{00000000-0005-0000-0000-00009F0B0000}"/>
    <cellStyle name="20% - Accent2 71 2 4" xfId="7751" xr:uid="{00000000-0005-0000-0000-0000A00B0000}"/>
    <cellStyle name="20% - Accent2 71 2 4 2" xfId="19039" xr:uid="{00000000-0005-0000-0000-0000A10B0000}"/>
    <cellStyle name="20% - Accent2 71 2 5" xfId="5757" xr:uid="{00000000-0005-0000-0000-0000A20B0000}"/>
    <cellStyle name="20% - Accent2 71 2 5 2" xfId="17045" xr:uid="{00000000-0005-0000-0000-0000A30B0000}"/>
    <cellStyle name="20% - Accent2 71 2 6" xfId="15051" xr:uid="{00000000-0005-0000-0000-0000A40B0000}"/>
    <cellStyle name="20% - Accent2 71 3" xfId="10742" xr:uid="{00000000-0005-0000-0000-0000A50B0000}"/>
    <cellStyle name="20% - Accent2 71 3 2" xfId="22030" xr:uid="{00000000-0005-0000-0000-0000A60B0000}"/>
    <cellStyle name="20% - Accent2 71 4" xfId="8748" xr:uid="{00000000-0005-0000-0000-0000A70B0000}"/>
    <cellStyle name="20% - Accent2 71 4 2" xfId="20036" xr:uid="{00000000-0005-0000-0000-0000A80B0000}"/>
    <cellStyle name="20% - Accent2 71 5" xfId="6754" xr:uid="{00000000-0005-0000-0000-0000A90B0000}"/>
    <cellStyle name="20% - Accent2 71 5 2" xfId="18042" xr:uid="{00000000-0005-0000-0000-0000AA0B0000}"/>
    <cellStyle name="20% - Accent2 71 6" xfId="4760" xr:uid="{00000000-0005-0000-0000-0000AB0B0000}"/>
    <cellStyle name="20% - Accent2 71 6 2" xfId="16048" xr:uid="{00000000-0005-0000-0000-0000AC0B0000}"/>
    <cellStyle name="20% - Accent2 71 7" xfId="14054" xr:uid="{00000000-0005-0000-0000-0000AD0B0000}"/>
    <cellStyle name="20% - Accent2 71 8" xfId="12740" xr:uid="{00000000-0005-0000-0000-0000AE0B0000}"/>
    <cellStyle name="20% - Accent2 72" xfId="805" xr:uid="{00000000-0005-0000-0000-0000AF0B0000}"/>
    <cellStyle name="20% - Accent2 72 2" xfId="3761" xr:uid="{00000000-0005-0000-0000-0000B00B0000}"/>
    <cellStyle name="20% - Accent2 72 2 2" xfId="11740" xr:uid="{00000000-0005-0000-0000-0000B10B0000}"/>
    <cellStyle name="20% - Accent2 72 2 2 2" xfId="23028" xr:uid="{00000000-0005-0000-0000-0000B20B0000}"/>
    <cellStyle name="20% - Accent2 72 2 3" xfId="9746" xr:uid="{00000000-0005-0000-0000-0000B30B0000}"/>
    <cellStyle name="20% - Accent2 72 2 3 2" xfId="21034" xr:uid="{00000000-0005-0000-0000-0000B40B0000}"/>
    <cellStyle name="20% - Accent2 72 2 4" xfId="7752" xr:uid="{00000000-0005-0000-0000-0000B50B0000}"/>
    <cellStyle name="20% - Accent2 72 2 4 2" xfId="19040" xr:uid="{00000000-0005-0000-0000-0000B60B0000}"/>
    <cellStyle name="20% - Accent2 72 2 5" xfId="5758" xr:uid="{00000000-0005-0000-0000-0000B70B0000}"/>
    <cellStyle name="20% - Accent2 72 2 5 2" xfId="17046" xr:uid="{00000000-0005-0000-0000-0000B80B0000}"/>
    <cellStyle name="20% - Accent2 72 2 6" xfId="15052" xr:uid="{00000000-0005-0000-0000-0000B90B0000}"/>
    <cellStyle name="20% - Accent2 72 3" xfId="10743" xr:uid="{00000000-0005-0000-0000-0000BA0B0000}"/>
    <cellStyle name="20% - Accent2 72 3 2" xfId="22031" xr:uid="{00000000-0005-0000-0000-0000BB0B0000}"/>
    <cellStyle name="20% - Accent2 72 4" xfId="8749" xr:uid="{00000000-0005-0000-0000-0000BC0B0000}"/>
    <cellStyle name="20% - Accent2 72 4 2" xfId="20037" xr:uid="{00000000-0005-0000-0000-0000BD0B0000}"/>
    <cellStyle name="20% - Accent2 72 5" xfId="6755" xr:uid="{00000000-0005-0000-0000-0000BE0B0000}"/>
    <cellStyle name="20% - Accent2 72 5 2" xfId="18043" xr:uid="{00000000-0005-0000-0000-0000BF0B0000}"/>
    <cellStyle name="20% - Accent2 72 6" xfId="4761" xr:uid="{00000000-0005-0000-0000-0000C00B0000}"/>
    <cellStyle name="20% - Accent2 72 6 2" xfId="16049" xr:uid="{00000000-0005-0000-0000-0000C10B0000}"/>
    <cellStyle name="20% - Accent2 72 7" xfId="14055" xr:uid="{00000000-0005-0000-0000-0000C20B0000}"/>
    <cellStyle name="20% - Accent2 72 8" xfId="12741" xr:uid="{00000000-0005-0000-0000-0000C30B0000}"/>
    <cellStyle name="20% - Accent2 8" xfId="806" xr:uid="{00000000-0005-0000-0000-0000C40B0000}"/>
    <cellStyle name="20% - Accent2 8 2" xfId="3762" xr:uid="{00000000-0005-0000-0000-0000C50B0000}"/>
    <cellStyle name="20% - Accent2 8 2 2" xfId="11741" xr:uid="{00000000-0005-0000-0000-0000C60B0000}"/>
    <cellStyle name="20% - Accent2 8 2 2 2" xfId="23029" xr:uid="{00000000-0005-0000-0000-0000C70B0000}"/>
    <cellStyle name="20% - Accent2 8 2 3" xfId="9747" xr:uid="{00000000-0005-0000-0000-0000C80B0000}"/>
    <cellStyle name="20% - Accent2 8 2 3 2" xfId="21035" xr:uid="{00000000-0005-0000-0000-0000C90B0000}"/>
    <cellStyle name="20% - Accent2 8 2 4" xfId="7753" xr:uid="{00000000-0005-0000-0000-0000CA0B0000}"/>
    <cellStyle name="20% - Accent2 8 2 4 2" xfId="19041" xr:uid="{00000000-0005-0000-0000-0000CB0B0000}"/>
    <cellStyle name="20% - Accent2 8 2 5" xfId="5759" xr:uid="{00000000-0005-0000-0000-0000CC0B0000}"/>
    <cellStyle name="20% - Accent2 8 2 5 2" xfId="17047" xr:uid="{00000000-0005-0000-0000-0000CD0B0000}"/>
    <cellStyle name="20% - Accent2 8 2 6" xfId="15053" xr:uid="{00000000-0005-0000-0000-0000CE0B0000}"/>
    <cellStyle name="20% - Accent2 8 3" xfId="10744" xr:uid="{00000000-0005-0000-0000-0000CF0B0000}"/>
    <cellStyle name="20% - Accent2 8 3 2" xfId="22032" xr:uid="{00000000-0005-0000-0000-0000D00B0000}"/>
    <cellStyle name="20% - Accent2 8 4" xfId="8750" xr:uid="{00000000-0005-0000-0000-0000D10B0000}"/>
    <cellStyle name="20% - Accent2 8 4 2" xfId="20038" xr:uid="{00000000-0005-0000-0000-0000D20B0000}"/>
    <cellStyle name="20% - Accent2 8 5" xfId="6756" xr:uid="{00000000-0005-0000-0000-0000D30B0000}"/>
    <cellStyle name="20% - Accent2 8 5 2" xfId="18044" xr:uid="{00000000-0005-0000-0000-0000D40B0000}"/>
    <cellStyle name="20% - Accent2 8 6" xfId="4762" xr:uid="{00000000-0005-0000-0000-0000D50B0000}"/>
    <cellStyle name="20% - Accent2 8 6 2" xfId="16050" xr:uid="{00000000-0005-0000-0000-0000D60B0000}"/>
    <cellStyle name="20% - Accent2 8 7" xfId="14056" xr:uid="{00000000-0005-0000-0000-0000D70B0000}"/>
    <cellStyle name="20% - Accent2 8 8" xfId="12742" xr:uid="{00000000-0005-0000-0000-0000D80B0000}"/>
    <cellStyle name="20% - Accent2 9" xfId="807" xr:uid="{00000000-0005-0000-0000-0000D90B0000}"/>
    <cellStyle name="20% - Accent2 9 2" xfId="3763" xr:uid="{00000000-0005-0000-0000-0000DA0B0000}"/>
    <cellStyle name="20% - Accent2 9 2 2" xfId="11742" xr:uid="{00000000-0005-0000-0000-0000DB0B0000}"/>
    <cellStyle name="20% - Accent2 9 2 2 2" xfId="23030" xr:uid="{00000000-0005-0000-0000-0000DC0B0000}"/>
    <cellStyle name="20% - Accent2 9 2 3" xfId="9748" xr:uid="{00000000-0005-0000-0000-0000DD0B0000}"/>
    <cellStyle name="20% - Accent2 9 2 3 2" xfId="21036" xr:uid="{00000000-0005-0000-0000-0000DE0B0000}"/>
    <cellStyle name="20% - Accent2 9 2 4" xfId="7754" xr:uid="{00000000-0005-0000-0000-0000DF0B0000}"/>
    <cellStyle name="20% - Accent2 9 2 4 2" xfId="19042" xr:uid="{00000000-0005-0000-0000-0000E00B0000}"/>
    <cellStyle name="20% - Accent2 9 2 5" xfId="5760" xr:uid="{00000000-0005-0000-0000-0000E10B0000}"/>
    <cellStyle name="20% - Accent2 9 2 5 2" xfId="17048" xr:uid="{00000000-0005-0000-0000-0000E20B0000}"/>
    <cellStyle name="20% - Accent2 9 2 6" xfId="15054" xr:uid="{00000000-0005-0000-0000-0000E30B0000}"/>
    <cellStyle name="20% - Accent2 9 3" xfId="10745" xr:uid="{00000000-0005-0000-0000-0000E40B0000}"/>
    <cellStyle name="20% - Accent2 9 3 2" xfId="22033" xr:uid="{00000000-0005-0000-0000-0000E50B0000}"/>
    <cellStyle name="20% - Accent2 9 4" xfId="8751" xr:uid="{00000000-0005-0000-0000-0000E60B0000}"/>
    <cellStyle name="20% - Accent2 9 4 2" xfId="20039" xr:uid="{00000000-0005-0000-0000-0000E70B0000}"/>
    <cellStyle name="20% - Accent2 9 5" xfId="6757" xr:uid="{00000000-0005-0000-0000-0000E80B0000}"/>
    <cellStyle name="20% - Accent2 9 5 2" xfId="18045" xr:uid="{00000000-0005-0000-0000-0000E90B0000}"/>
    <cellStyle name="20% - Accent2 9 6" xfId="4763" xr:uid="{00000000-0005-0000-0000-0000EA0B0000}"/>
    <cellStyle name="20% - Accent2 9 6 2" xfId="16051" xr:uid="{00000000-0005-0000-0000-0000EB0B0000}"/>
    <cellStyle name="20% - Accent2 9 7" xfId="14057" xr:uid="{00000000-0005-0000-0000-0000EC0B0000}"/>
    <cellStyle name="20% - Accent2 9 8" xfId="12743" xr:uid="{00000000-0005-0000-0000-0000ED0B0000}"/>
    <cellStyle name="20% - Accent3 10" xfId="808" xr:uid="{00000000-0005-0000-0000-0000EE0B0000}"/>
    <cellStyle name="20% - Accent3 10 2" xfId="3764" xr:uid="{00000000-0005-0000-0000-0000EF0B0000}"/>
    <cellStyle name="20% - Accent3 10 2 2" xfId="11743" xr:uid="{00000000-0005-0000-0000-0000F00B0000}"/>
    <cellStyle name="20% - Accent3 10 2 2 2" xfId="23031" xr:uid="{00000000-0005-0000-0000-0000F10B0000}"/>
    <cellStyle name="20% - Accent3 10 2 3" xfId="9749" xr:uid="{00000000-0005-0000-0000-0000F20B0000}"/>
    <cellStyle name="20% - Accent3 10 2 3 2" xfId="21037" xr:uid="{00000000-0005-0000-0000-0000F30B0000}"/>
    <cellStyle name="20% - Accent3 10 2 4" xfId="7755" xr:uid="{00000000-0005-0000-0000-0000F40B0000}"/>
    <cellStyle name="20% - Accent3 10 2 4 2" xfId="19043" xr:uid="{00000000-0005-0000-0000-0000F50B0000}"/>
    <cellStyle name="20% - Accent3 10 2 5" xfId="5761" xr:uid="{00000000-0005-0000-0000-0000F60B0000}"/>
    <cellStyle name="20% - Accent3 10 2 5 2" xfId="17049" xr:uid="{00000000-0005-0000-0000-0000F70B0000}"/>
    <cellStyle name="20% - Accent3 10 2 6" xfId="15055" xr:uid="{00000000-0005-0000-0000-0000F80B0000}"/>
    <cellStyle name="20% - Accent3 10 3" xfId="10746" xr:uid="{00000000-0005-0000-0000-0000F90B0000}"/>
    <cellStyle name="20% - Accent3 10 3 2" xfId="22034" xr:uid="{00000000-0005-0000-0000-0000FA0B0000}"/>
    <cellStyle name="20% - Accent3 10 4" xfId="8752" xr:uid="{00000000-0005-0000-0000-0000FB0B0000}"/>
    <cellStyle name="20% - Accent3 10 4 2" xfId="20040" xr:uid="{00000000-0005-0000-0000-0000FC0B0000}"/>
    <cellStyle name="20% - Accent3 10 5" xfId="6758" xr:uid="{00000000-0005-0000-0000-0000FD0B0000}"/>
    <cellStyle name="20% - Accent3 10 5 2" xfId="18046" xr:uid="{00000000-0005-0000-0000-0000FE0B0000}"/>
    <cellStyle name="20% - Accent3 10 6" xfId="4764" xr:uid="{00000000-0005-0000-0000-0000FF0B0000}"/>
    <cellStyle name="20% - Accent3 10 6 2" xfId="16052" xr:uid="{00000000-0005-0000-0000-0000000C0000}"/>
    <cellStyle name="20% - Accent3 10 7" xfId="14058" xr:uid="{00000000-0005-0000-0000-0000010C0000}"/>
    <cellStyle name="20% - Accent3 10 8" xfId="12744" xr:uid="{00000000-0005-0000-0000-0000020C0000}"/>
    <cellStyle name="20% - Accent3 11" xfId="809" xr:uid="{00000000-0005-0000-0000-0000030C0000}"/>
    <cellStyle name="20% - Accent3 11 2" xfId="3765" xr:uid="{00000000-0005-0000-0000-0000040C0000}"/>
    <cellStyle name="20% - Accent3 11 2 2" xfId="11744" xr:uid="{00000000-0005-0000-0000-0000050C0000}"/>
    <cellStyle name="20% - Accent3 11 2 2 2" xfId="23032" xr:uid="{00000000-0005-0000-0000-0000060C0000}"/>
    <cellStyle name="20% - Accent3 11 2 3" xfId="9750" xr:uid="{00000000-0005-0000-0000-0000070C0000}"/>
    <cellStyle name="20% - Accent3 11 2 3 2" xfId="21038" xr:uid="{00000000-0005-0000-0000-0000080C0000}"/>
    <cellStyle name="20% - Accent3 11 2 4" xfId="7756" xr:uid="{00000000-0005-0000-0000-0000090C0000}"/>
    <cellStyle name="20% - Accent3 11 2 4 2" xfId="19044" xr:uid="{00000000-0005-0000-0000-00000A0C0000}"/>
    <cellStyle name="20% - Accent3 11 2 5" xfId="5762" xr:uid="{00000000-0005-0000-0000-00000B0C0000}"/>
    <cellStyle name="20% - Accent3 11 2 5 2" xfId="17050" xr:uid="{00000000-0005-0000-0000-00000C0C0000}"/>
    <cellStyle name="20% - Accent3 11 2 6" xfId="15056" xr:uid="{00000000-0005-0000-0000-00000D0C0000}"/>
    <cellStyle name="20% - Accent3 11 3" xfId="10747" xr:uid="{00000000-0005-0000-0000-00000E0C0000}"/>
    <cellStyle name="20% - Accent3 11 3 2" xfId="22035" xr:uid="{00000000-0005-0000-0000-00000F0C0000}"/>
    <cellStyle name="20% - Accent3 11 4" xfId="8753" xr:uid="{00000000-0005-0000-0000-0000100C0000}"/>
    <cellStyle name="20% - Accent3 11 4 2" xfId="20041" xr:uid="{00000000-0005-0000-0000-0000110C0000}"/>
    <cellStyle name="20% - Accent3 11 5" xfId="6759" xr:uid="{00000000-0005-0000-0000-0000120C0000}"/>
    <cellStyle name="20% - Accent3 11 5 2" xfId="18047" xr:uid="{00000000-0005-0000-0000-0000130C0000}"/>
    <cellStyle name="20% - Accent3 11 6" xfId="4765" xr:uid="{00000000-0005-0000-0000-0000140C0000}"/>
    <cellStyle name="20% - Accent3 11 6 2" xfId="16053" xr:uid="{00000000-0005-0000-0000-0000150C0000}"/>
    <cellStyle name="20% - Accent3 11 7" xfId="14059" xr:uid="{00000000-0005-0000-0000-0000160C0000}"/>
    <cellStyle name="20% - Accent3 11 8" xfId="12745" xr:uid="{00000000-0005-0000-0000-0000170C0000}"/>
    <cellStyle name="20% - Accent3 12" xfId="810" xr:uid="{00000000-0005-0000-0000-0000180C0000}"/>
    <cellStyle name="20% - Accent3 12 2" xfId="3766" xr:uid="{00000000-0005-0000-0000-0000190C0000}"/>
    <cellStyle name="20% - Accent3 12 2 2" xfId="11745" xr:uid="{00000000-0005-0000-0000-00001A0C0000}"/>
    <cellStyle name="20% - Accent3 12 2 2 2" xfId="23033" xr:uid="{00000000-0005-0000-0000-00001B0C0000}"/>
    <cellStyle name="20% - Accent3 12 2 3" xfId="9751" xr:uid="{00000000-0005-0000-0000-00001C0C0000}"/>
    <cellStyle name="20% - Accent3 12 2 3 2" xfId="21039" xr:uid="{00000000-0005-0000-0000-00001D0C0000}"/>
    <cellStyle name="20% - Accent3 12 2 4" xfId="7757" xr:uid="{00000000-0005-0000-0000-00001E0C0000}"/>
    <cellStyle name="20% - Accent3 12 2 4 2" xfId="19045" xr:uid="{00000000-0005-0000-0000-00001F0C0000}"/>
    <cellStyle name="20% - Accent3 12 2 5" xfId="5763" xr:uid="{00000000-0005-0000-0000-0000200C0000}"/>
    <cellStyle name="20% - Accent3 12 2 5 2" xfId="17051" xr:uid="{00000000-0005-0000-0000-0000210C0000}"/>
    <cellStyle name="20% - Accent3 12 2 6" xfId="15057" xr:uid="{00000000-0005-0000-0000-0000220C0000}"/>
    <cellStyle name="20% - Accent3 12 3" xfId="10748" xr:uid="{00000000-0005-0000-0000-0000230C0000}"/>
    <cellStyle name="20% - Accent3 12 3 2" xfId="22036" xr:uid="{00000000-0005-0000-0000-0000240C0000}"/>
    <cellStyle name="20% - Accent3 12 4" xfId="8754" xr:uid="{00000000-0005-0000-0000-0000250C0000}"/>
    <cellStyle name="20% - Accent3 12 4 2" xfId="20042" xr:uid="{00000000-0005-0000-0000-0000260C0000}"/>
    <cellStyle name="20% - Accent3 12 5" xfId="6760" xr:uid="{00000000-0005-0000-0000-0000270C0000}"/>
    <cellStyle name="20% - Accent3 12 5 2" xfId="18048" xr:uid="{00000000-0005-0000-0000-0000280C0000}"/>
    <cellStyle name="20% - Accent3 12 6" xfId="4766" xr:uid="{00000000-0005-0000-0000-0000290C0000}"/>
    <cellStyle name="20% - Accent3 12 6 2" xfId="16054" xr:uid="{00000000-0005-0000-0000-00002A0C0000}"/>
    <cellStyle name="20% - Accent3 12 7" xfId="14060" xr:uid="{00000000-0005-0000-0000-00002B0C0000}"/>
    <cellStyle name="20% - Accent3 12 8" xfId="12746" xr:uid="{00000000-0005-0000-0000-00002C0C0000}"/>
    <cellStyle name="20% - Accent3 13" xfId="811" xr:uid="{00000000-0005-0000-0000-00002D0C0000}"/>
    <cellStyle name="20% - Accent3 13 2" xfId="3767" xr:uid="{00000000-0005-0000-0000-00002E0C0000}"/>
    <cellStyle name="20% - Accent3 13 2 2" xfId="11746" xr:uid="{00000000-0005-0000-0000-00002F0C0000}"/>
    <cellStyle name="20% - Accent3 13 2 2 2" xfId="23034" xr:uid="{00000000-0005-0000-0000-0000300C0000}"/>
    <cellStyle name="20% - Accent3 13 2 3" xfId="9752" xr:uid="{00000000-0005-0000-0000-0000310C0000}"/>
    <cellStyle name="20% - Accent3 13 2 3 2" xfId="21040" xr:uid="{00000000-0005-0000-0000-0000320C0000}"/>
    <cellStyle name="20% - Accent3 13 2 4" xfId="7758" xr:uid="{00000000-0005-0000-0000-0000330C0000}"/>
    <cellStyle name="20% - Accent3 13 2 4 2" xfId="19046" xr:uid="{00000000-0005-0000-0000-0000340C0000}"/>
    <cellStyle name="20% - Accent3 13 2 5" xfId="5764" xr:uid="{00000000-0005-0000-0000-0000350C0000}"/>
    <cellStyle name="20% - Accent3 13 2 5 2" xfId="17052" xr:uid="{00000000-0005-0000-0000-0000360C0000}"/>
    <cellStyle name="20% - Accent3 13 2 6" xfId="15058" xr:uid="{00000000-0005-0000-0000-0000370C0000}"/>
    <cellStyle name="20% - Accent3 13 3" xfId="10749" xr:uid="{00000000-0005-0000-0000-0000380C0000}"/>
    <cellStyle name="20% - Accent3 13 3 2" xfId="22037" xr:uid="{00000000-0005-0000-0000-0000390C0000}"/>
    <cellStyle name="20% - Accent3 13 4" xfId="8755" xr:uid="{00000000-0005-0000-0000-00003A0C0000}"/>
    <cellStyle name="20% - Accent3 13 4 2" xfId="20043" xr:uid="{00000000-0005-0000-0000-00003B0C0000}"/>
    <cellStyle name="20% - Accent3 13 5" xfId="6761" xr:uid="{00000000-0005-0000-0000-00003C0C0000}"/>
    <cellStyle name="20% - Accent3 13 5 2" xfId="18049" xr:uid="{00000000-0005-0000-0000-00003D0C0000}"/>
    <cellStyle name="20% - Accent3 13 6" xfId="4767" xr:uid="{00000000-0005-0000-0000-00003E0C0000}"/>
    <cellStyle name="20% - Accent3 13 6 2" xfId="16055" xr:uid="{00000000-0005-0000-0000-00003F0C0000}"/>
    <cellStyle name="20% - Accent3 13 7" xfId="14061" xr:uid="{00000000-0005-0000-0000-0000400C0000}"/>
    <cellStyle name="20% - Accent3 13 8" xfId="12747" xr:uid="{00000000-0005-0000-0000-0000410C0000}"/>
    <cellStyle name="20% - Accent3 14" xfId="812" xr:uid="{00000000-0005-0000-0000-0000420C0000}"/>
    <cellStyle name="20% - Accent3 14 2" xfId="3768" xr:uid="{00000000-0005-0000-0000-0000430C0000}"/>
    <cellStyle name="20% - Accent3 14 2 2" xfId="11747" xr:uid="{00000000-0005-0000-0000-0000440C0000}"/>
    <cellStyle name="20% - Accent3 14 2 2 2" xfId="23035" xr:uid="{00000000-0005-0000-0000-0000450C0000}"/>
    <cellStyle name="20% - Accent3 14 2 3" xfId="9753" xr:uid="{00000000-0005-0000-0000-0000460C0000}"/>
    <cellStyle name="20% - Accent3 14 2 3 2" xfId="21041" xr:uid="{00000000-0005-0000-0000-0000470C0000}"/>
    <cellStyle name="20% - Accent3 14 2 4" xfId="7759" xr:uid="{00000000-0005-0000-0000-0000480C0000}"/>
    <cellStyle name="20% - Accent3 14 2 4 2" xfId="19047" xr:uid="{00000000-0005-0000-0000-0000490C0000}"/>
    <cellStyle name="20% - Accent3 14 2 5" xfId="5765" xr:uid="{00000000-0005-0000-0000-00004A0C0000}"/>
    <cellStyle name="20% - Accent3 14 2 5 2" xfId="17053" xr:uid="{00000000-0005-0000-0000-00004B0C0000}"/>
    <cellStyle name="20% - Accent3 14 2 6" xfId="15059" xr:uid="{00000000-0005-0000-0000-00004C0C0000}"/>
    <cellStyle name="20% - Accent3 14 3" xfId="10750" xr:uid="{00000000-0005-0000-0000-00004D0C0000}"/>
    <cellStyle name="20% - Accent3 14 3 2" xfId="22038" xr:uid="{00000000-0005-0000-0000-00004E0C0000}"/>
    <cellStyle name="20% - Accent3 14 4" xfId="8756" xr:uid="{00000000-0005-0000-0000-00004F0C0000}"/>
    <cellStyle name="20% - Accent3 14 4 2" xfId="20044" xr:uid="{00000000-0005-0000-0000-0000500C0000}"/>
    <cellStyle name="20% - Accent3 14 5" xfId="6762" xr:uid="{00000000-0005-0000-0000-0000510C0000}"/>
    <cellStyle name="20% - Accent3 14 5 2" xfId="18050" xr:uid="{00000000-0005-0000-0000-0000520C0000}"/>
    <cellStyle name="20% - Accent3 14 6" xfId="4768" xr:uid="{00000000-0005-0000-0000-0000530C0000}"/>
    <cellStyle name="20% - Accent3 14 6 2" xfId="16056" xr:uid="{00000000-0005-0000-0000-0000540C0000}"/>
    <cellStyle name="20% - Accent3 14 7" xfId="14062" xr:uid="{00000000-0005-0000-0000-0000550C0000}"/>
    <cellStyle name="20% - Accent3 14 8" xfId="12748" xr:uid="{00000000-0005-0000-0000-0000560C0000}"/>
    <cellStyle name="20% - Accent3 15" xfId="813" xr:uid="{00000000-0005-0000-0000-0000570C0000}"/>
    <cellStyle name="20% - Accent3 15 2" xfId="3769" xr:uid="{00000000-0005-0000-0000-0000580C0000}"/>
    <cellStyle name="20% - Accent3 15 2 2" xfId="11748" xr:uid="{00000000-0005-0000-0000-0000590C0000}"/>
    <cellStyle name="20% - Accent3 15 2 2 2" xfId="23036" xr:uid="{00000000-0005-0000-0000-00005A0C0000}"/>
    <cellStyle name="20% - Accent3 15 2 3" xfId="9754" xr:uid="{00000000-0005-0000-0000-00005B0C0000}"/>
    <cellStyle name="20% - Accent3 15 2 3 2" xfId="21042" xr:uid="{00000000-0005-0000-0000-00005C0C0000}"/>
    <cellStyle name="20% - Accent3 15 2 4" xfId="7760" xr:uid="{00000000-0005-0000-0000-00005D0C0000}"/>
    <cellStyle name="20% - Accent3 15 2 4 2" xfId="19048" xr:uid="{00000000-0005-0000-0000-00005E0C0000}"/>
    <cellStyle name="20% - Accent3 15 2 5" xfId="5766" xr:uid="{00000000-0005-0000-0000-00005F0C0000}"/>
    <cellStyle name="20% - Accent3 15 2 5 2" xfId="17054" xr:uid="{00000000-0005-0000-0000-0000600C0000}"/>
    <cellStyle name="20% - Accent3 15 2 6" xfId="15060" xr:uid="{00000000-0005-0000-0000-0000610C0000}"/>
    <cellStyle name="20% - Accent3 15 3" xfId="10751" xr:uid="{00000000-0005-0000-0000-0000620C0000}"/>
    <cellStyle name="20% - Accent3 15 3 2" xfId="22039" xr:uid="{00000000-0005-0000-0000-0000630C0000}"/>
    <cellStyle name="20% - Accent3 15 4" xfId="8757" xr:uid="{00000000-0005-0000-0000-0000640C0000}"/>
    <cellStyle name="20% - Accent3 15 4 2" xfId="20045" xr:uid="{00000000-0005-0000-0000-0000650C0000}"/>
    <cellStyle name="20% - Accent3 15 5" xfId="6763" xr:uid="{00000000-0005-0000-0000-0000660C0000}"/>
    <cellStyle name="20% - Accent3 15 5 2" xfId="18051" xr:uid="{00000000-0005-0000-0000-0000670C0000}"/>
    <cellStyle name="20% - Accent3 15 6" xfId="4769" xr:uid="{00000000-0005-0000-0000-0000680C0000}"/>
    <cellStyle name="20% - Accent3 15 6 2" xfId="16057" xr:uid="{00000000-0005-0000-0000-0000690C0000}"/>
    <cellStyle name="20% - Accent3 15 7" xfId="14063" xr:uid="{00000000-0005-0000-0000-00006A0C0000}"/>
    <cellStyle name="20% - Accent3 15 8" xfId="12749" xr:uid="{00000000-0005-0000-0000-00006B0C0000}"/>
    <cellStyle name="20% - Accent3 16" xfId="814" xr:uid="{00000000-0005-0000-0000-00006C0C0000}"/>
    <cellStyle name="20% - Accent3 16 2" xfId="3770" xr:uid="{00000000-0005-0000-0000-00006D0C0000}"/>
    <cellStyle name="20% - Accent3 16 2 2" xfId="11749" xr:uid="{00000000-0005-0000-0000-00006E0C0000}"/>
    <cellStyle name="20% - Accent3 16 2 2 2" xfId="23037" xr:uid="{00000000-0005-0000-0000-00006F0C0000}"/>
    <cellStyle name="20% - Accent3 16 2 3" xfId="9755" xr:uid="{00000000-0005-0000-0000-0000700C0000}"/>
    <cellStyle name="20% - Accent3 16 2 3 2" xfId="21043" xr:uid="{00000000-0005-0000-0000-0000710C0000}"/>
    <cellStyle name="20% - Accent3 16 2 4" xfId="7761" xr:uid="{00000000-0005-0000-0000-0000720C0000}"/>
    <cellStyle name="20% - Accent3 16 2 4 2" xfId="19049" xr:uid="{00000000-0005-0000-0000-0000730C0000}"/>
    <cellStyle name="20% - Accent3 16 2 5" xfId="5767" xr:uid="{00000000-0005-0000-0000-0000740C0000}"/>
    <cellStyle name="20% - Accent3 16 2 5 2" xfId="17055" xr:uid="{00000000-0005-0000-0000-0000750C0000}"/>
    <cellStyle name="20% - Accent3 16 2 6" xfId="15061" xr:uid="{00000000-0005-0000-0000-0000760C0000}"/>
    <cellStyle name="20% - Accent3 16 3" xfId="10752" xr:uid="{00000000-0005-0000-0000-0000770C0000}"/>
    <cellStyle name="20% - Accent3 16 3 2" xfId="22040" xr:uid="{00000000-0005-0000-0000-0000780C0000}"/>
    <cellStyle name="20% - Accent3 16 4" xfId="8758" xr:uid="{00000000-0005-0000-0000-0000790C0000}"/>
    <cellStyle name="20% - Accent3 16 4 2" xfId="20046" xr:uid="{00000000-0005-0000-0000-00007A0C0000}"/>
    <cellStyle name="20% - Accent3 16 5" xfId="6764" xr:uid="{00000000-0005-0000-0000-00007B0C0000}"/>
    <cellStyle name="20% - Accent3 16 5 2" xfId="18052" xr:uid="{00000000-0005-0000-0000-00007C0C0000}"/>
    <cellStyle name="20% - Accent3 16 6" xfId="4770" xr:uid="{00000000-0005-0000-0000-00007D0C0000}"/>
    <cellStyle name="20% - Accent3 16 6 2" xfId="16058" xr:uid="{00000000-0005-0000-0000-00007E0C0000}"/>
    <cellStyle name="20% - Accent3 16 7" xfId="14064" xr:uid="{00000000-0005-0000-0000-00007F0C0000}"/>
    <cellStyle name="20% - Accent3 16 8" xfId="12750" xr:uid="{00000000-0005-0000-0000-0000800C0000}"/>
    <cellStyle name="20% - Accent3 17" xfId="815" xr:uid="{00000000-0005-0000-0000-0000810C0000}"/>
    <cellStyle name="20% - Accent3 17 2" xfId="3771" xr:uid="{00000000-0005-0000-0000-0000820C0000}"/>
    <cellStyle name="20% - Accent3 17 2 2" xfId="11750" xr:uid="{00000000-0005-0000-0000-0000830C0000}"/>
    <cellStyle name="20% - Accent3 17 2 2 2" xfId="23038" xr:uid="{00000000-0005-0000-0000-0000840C0000}"/>
    <cellStyle name="20% - Accent3 17 2 3" xfId="9756" xr:uid="{00000000-0005-0000-0000-0000850C0000}"/>
    <cellStyle name="20% - Accent3 17 2 3 2" xfId="21044" xr:uid="{00000000-0005-0000-0000-0000860C0000}"/>
    <cellStyle name="20% - Accent3 17 2 4" xfId="7762" xr:uid="{00000000-0005-0000-0000-0000870C0000}"/>
    <cellStyle name="20% - Accent3 17 2 4 2" xfId="19050" xr:uid="{00000000-0005-0000-0000-0000880C0000}"/>
    <cellStyle name="20% - Accent3 17 2 5" xfId="5768" xr:uid="{00000000-0005-0000-0000-0000890C0000}"/>
    <cellStyle name="20% - Accent3 17 2 5 2" xfId="17056" xr:uid="{00000000-0005-0000-0000-00008A0C0000}"/>
    <cellStyle name="20% - Accent3 17 2 6" xfId="15062" xr:uid="{00000000-0005-0000-0000-00008B0C0000}"/>
    <cellStyle name="20% - Accent3 17 3" xfId="10753" xr:uid="{00000000-0005-0000-0000-00008C0C0000}"/>
    <cellStyle name="20% - Accent3 17 3 2" xfId="22041" xr:uid="{00000000-0005-0000-0000-00008D0C0000}"/>
    <cellStyle name="20% - Accent3 17 4" xfId="8759" xr:uid="{00000000-0005-0000-0000-00008E0C0000}"/>
    <cellStyle name="20% - Accent3 17 4 2" xfId="20047" xr:uid="{00000000-0005-0000-0000-00008F0C0000}"/>
    <cellStyle name="20% - Accent3 17 5" xfId="6765" xr:uid="{00000000-0005-0000-0000-0000900C0000}"/>
    <cellStyle name="20% - Accent3 17 5 2" xfId="18053" xr:uid="{00000000-0005-0000-0000-0000910C0000}"/>
    <cellStyle name="20% - Accent3 17 6" xfId="4771" xr:uid="{00000000-0005-0000-0000-0000920C0000}"/>
    <cellStyle name="20% - Accent3 17 6 2" xfId="16059" xr:uid="{00000000-0005-0000-0000-0000930C0000}"/>
    <cellStyle name="20% - Accent3 17 7" xfId="14065" xr:uid="{00000000-0005-0000-0000-0000940C0000}"/>
    <cellStyle name="20% - Accent3 17 8" xfId="12751" xr:uid="{00000000-0005-0000-0000-0000950C0000}"/>
    <cellStyle name="20% - Accent3 18" xfId="816" xr:uid="{00000000-0005-0000-0000-0000960C0000}"/>
    <cellStyle name="20% - Accent3 18 2" xfId="3772" xr:uid="{00000000-0005-0000-0000-0000970C0000}"/>
    <cellStyle name="20% - Accent3 18 2 2" xfId="11751" xr:uid="{00000000-0005-0000-0000-0000980C0000}"/>
    <cellStyle name="20% - Accent3 18 2 2 2" xfId="23039" xr:uid="{00000000-0005-0000-0000-0000990C0000}"/>
    <cellStyle name="20% - Accent3 18 2 3" xfId="9757" xr:uid="{00000000-0005-0000-0000-00009A0C0000}"/>
    <cellStyle name="20% - Accent3 18 2 3 2" xfId="21045" xr:uid="{00000000-0005-0000-0000-00009B0C0000}"/>
    <cellStyle name="20% - Accent3 18 2 4" xfId="7763" xr:uid="{00000000-0005-0000-0000-00009C0C0000}"/>
    <cellStyle name="20% - Accent3 18 2 4 2" xfId="19051" xr:uid="{00000000-0005-0000-0000-00009D0C0000}"/>
    <cellStyle name="20% - Accent3 18 2 5" xfId="5769" xr:uid="{00000000-0005-0000-0000-00009E0C0000}"/>
    <cellStyle name="20% - Accent3 18 2 5 2" xfId="17057" xr:uid="{00000000-0005-0000-0000-00009F0C0000}"/>
    <cellStyle name="20% - Accent3 18 2 6" xfId="15063" xr:uid="{00000000-0005-0000-0000-0000A00C0000}"/>
    <cellStyle name="20% - Accent3 18 3" xfId="10754" xr:uid="{00000000-0005-0000-0000-0000A10C0000}"/>
    <cellStyle name="20% - Accent3 18 3 2" xfId="22042" xr:uid="{00000000-0005-0000-0000-0000A20C0000}"/>
    <cellStyle name="20% - Accent3 18 4" xfId="8760" xr:uid="{00000000-0005-0000-0000-0000A30C0000}"/>
    <cellStyle name="20% - Accent3 18 4 2" xfId="20048" xr:uid="{00000000-0005-0000-0000-0000A40C0000}"/>
    <cellStyle name="20% - Accent3 18 5" xfId="6766" xr:uid="{00000000-0005-0000-0000-0000A50C0000}"/>
    <cellStyle name="20% - Accent3 18 5 2" xfId="18054" xr:uid="{00000000-0005-0000-0000-0000A60C0000}"/>
    <cellStyle name="20% - Accent3 18 6" xfId="4772" xr:uid="{00000000-0005-0000-0000-0000A70C0000}"/>
    <cellStyle name="20% - Accent3 18 6 2" xfId="16060" xr:uid="{00000000-0005-0000-0000-0000A80C0000}"/>
    <cellStyle name="20% - Accent3 18 7" xfId="14066" xr:uid="{00000000-0005-0000-0000-0000A90C0000}"/>
    <cellStyle name="20% - Accent3 18 8" xfId="12752" xr:uid="{00000000-0005-0000-0000-0000AA0C0000}"/>
    <cellStyle name="20% - Accent3 19" xfId="817" xr:uid="{00000000-0005-0000-0000-0000AB0C0000}"/>
    <cellStyle name="20% - Accent3 19 2" xfId="3773" xr:uid="{00000000-0005-0000-0000-0000AC0C0000}"/>
    <cellStyle name="20% - Accent3 19 2 2" xfId="11752" xr:uid="{00000000-0005-0000-0000-0000AD0C0000}"/>
    <cellStyle name="20% - Accent3 19 2 2 2" xfId="23040" xr:uid="{00000000-0005-0000-0000-0000AE0C0000}"/>
    <cellStyle name="20% - Accent3 19 2 3" xfId="9758" xr:uid="{00000000-0005-0000-0000-0000AF0C0000}"/>
    <cellStyle name="20% - Accent3 19 2 3 2" xfId="21046" xr:uid="{00000000-0005-0000-0000-0000B00C0000}"/>
    <cellStyle name="20% - Accent3 19 2 4" xfId="7764" xr:uid="{00000000-0005-0000-0000-0000B10C0000}"/>
    <cellStyle name="20% - Accent3 19 2 4 2" xfId="19052" xr:uid="{00000000-0005-0000-0000-0000B20C0000}"/>
    <cellStyle name="20% - Accent3 19 2 5" xfId="5770" xr:uid="{00000000-0005-0000-0000-0000B30C0000}"/>
    <cellStyle name="20% - Accent3 19 2 5 2" xfId="17058" xr:uid="{00000000-0005-0000-0000-0000B40C0000}"/>
    <cellStyle name="20% - Accent3 19 2 6" xfId="15064" xr:uid="{00000000-0005-0000-0000-0000B50C0000}"/>
    <cellStyle name="20% - Accent3 19 3" xfId="10755" xr:uid="{00000000-0005-0000-0000-0000B60C0000}"/>
    <cellStyle name="20% - Accent3 19 3 2" xfId="22043" xr:uid="{00000000-0005-0000-0000-0000B70C0000}"/>
    <cellStyle name="20% - Accent3 19 4" xfId="8761" xr:uid="{00000000-0005-0000-0000-0000B80C0000}"/>
    <cellStyle name="20% - Accent3 19 4 2" xfId="20049" xr:uid="{00000000-0005-0000-0000-0000B90C0000}"/>
    <cellStyle name="20% - Accent3 19 5" xfId="6767" xr:uid="{00000000-0005-0000-0000-0000BA0C0000}"/>
    <cellStyle name="20% - Accent3 19 5 2" xfId="18055" xr:uid="{00000000-0005-0000-0000-0000BB0C0000}"/>
    <cellStyle name="20% - Accent3 19 6" xfId="4773" xr:uid="{00000000-0005-0000-0000-0000BC0C0000}"/>
    <cellStyle name="20% - Accent3 19 6 2" xfId="16061" xr:uid="{00000000-0005-0000-0000-0000BD0C0000}"/>
    <cellStyle name="20% - Accent3 19 7" xfId="14067" xr:uid="{00000000-0005-0000-0000-0000BE0C0000}"/>
    <cellStyle name="20% - Accent3 19 8" xfId="12753" xr:uid="{00000000-0005-0000-0000-0000BF0C0000}"/>
    <cellStyle name="20% - Accent3 2" xfId="818" xr:uid="{00000000-0005-0000-0000-0000C00C0000}"/>
    <cellStyle name="20% - Accent3 2 10" xfId="24571" xr:uid="{00000000-0005-0000-0000-0000C10C0000}"/>
    <cellStyle name="20% - Accent3 2 11" xfId="24961" xr:uid="{00000000-0005-0000-0000-0000C20C0000}"/>
    <cellStyle name="20% - Accent3 2 2" xfId="3774" xr:uid="{00000000-0005-0000-0000-0000C30C0000}"/>
    <cellStyle name="20% - Accent3 2 2 2" xfId="11753" xr:uid="{00000000-0005-0000-0000-0000C40C0000}"/>
    <cellStyle name="20% - Accent3 2 2 2 2" xfId="23041" xr:uid="{00000000-0005-0000-0000-0000C50C0000}"/>
    <cellStyle name="20% - Accent3 2 2 3" xfId="9759" xr:uid="{00000000-0005-0000-0000-0000C60C0000}"/>
    <cellStyle name="20% - Accent3 2 2 3 2" xfId="21047" xr:uid="{00000000-0005-0000-0000-0000C70C0000}"/>
    <cellStyle name="20% - Accent3 2 2 4" xfId="7765" xr:uid="{00000000-0005-0000-0000-0000C80C0000}"/>
    <cellStyle name="20% - Accent3 2 2 4 2" xfId="19053" xr:uid="{00000000-0005-0000-0000-0000C90C0000}"/>
    <cellStyle name="20% - Accent3 2 2 5" xfId="5771" xr:uid="{00000000-0005-0000-0000-0000CA0C0000}"/>
    <cellStyle name="20% - Accent3 2 2 5 2" xfId="17059" xr:uid="{00000000-0005-0000-0000-0000CB0C0000}"/>
    <cellStyle name="20% - Accent3 2 2 6" xfId="15065" xr:uid="{00000000-0005-0000-0000-0000CC0C0000}"/>
    <cellStyle name="20% - Accent3 2 2 7" xfId="24332" xr:uid="{00000000-0005-0000-0000-0000CD0C0000}"/>
    <cellStyle name="20% - Accent3 2 2 8" xfId="24796" xr:uid="{00000000-0005-0000-0000-0000CE0C0000}"/>
    <cellStyle name="20% - Accent3 2 2 9" xfId="25163" xr:uid="{00000000-0005-0000-0000-0000CF0C0000}"/>
    <cellStyle name="20% - Accent3 2 3" xfId="10756" xr:uid="{00000000-0005-0000-0000-0000D00C0000}"/>
    <cellStyle name="20% - Accent3 2 3 2" xfId="22044" xr:uid="{00000000-0005-0000-0000-0000D10C0000}"/>
    <cellStyle name="20% - Accent3 2 4" xfId="8762" xr:uid="{00000000-0005-0000-0000-0000D20C0000}"/>
    <cellStyle name="20% - Accent3 2 4 2" xfId="20050" xr:uid="{00000000-0005-0000-0000-0000D30C0000}"/>
    <cellStyle name="20% - Accent3 2 5" xfId="6768" xr:uid="{00000000-0005-0000-0000-0000D40C0000}"/>
    <cellStyle name="20% - Accent3 2 5 2" xfId="18056" xr:uid="{00000000-0005-0000-0000-0000D50C0000}"/>
    <cellStyle name="20% - Accent3 2 6" xfId="4774" xr:uid="{00000000-0005-0000-0000-0000D60C0000}"/>
    <cellStyle name="20% - Accent3 2 6 2" xfId="16062" xr:uid="{00000000-0005-0000-0000-0000D70C0000}"/>
    <cellStyle name="20% - Accent3 2 7" xfId="14068" xr:uid="{00000000-0005-0000-0000-0000D80C0000}"/>
    <cellStyle name="20% - Accent3 2 8" xfId="12754" xr:uid="{00000000-0005-0000-0000-0000D90C0000}"/>
    <cellStyle name="20% - Accent3 2 9" xfId="23944" xr:uid="{00000000-0005-0000-0000-0000DA0C0000}"/>
    <cellStyle name="20% - Accent3 20" xfId="819" xr:uid="{00000000-0005-0000-0000-0000DB0C0000}"/>
    <cellStyle name="20% - Accent3 20 2" xfId="3775" xr:uid="{00000000-0005-0000-0000-0000DC0C0000}"/>
    <cellStyle name="20% - Accent3 20 2 2" xfId="11754" xr:uid="{00000000-0005-0000-0000-0000DD0C0000}"/>
    <cellStyle name="20% - Accent3 20 2 2 2" xfId="23042" xr:uid="{00000000-0005-0000-0000-0000DE0C0000}"/>
    <cellStyle name="20% - Accent3 20 2 3" xfId="9760" xr:uid="{00000000-0005-0000-0000-0000DF0C0000}"/>
    <cellStyle name="20% - Accent3 20 2 3 2" xfId="21048" xr:uid="{00000000-0005-0000-0000-0000E00C0000}"/>
    <cellStyle name="20% - Accent3 20 2 4" xfId="7766" xr:uid="{00000000-0005-0000-0000-0000E10C0000}"/>
    <cellStyle name="20% - Accent3 20 2 4 2" xfId="19054" xr:uid="{00000000-0005-0000-0000-0000E20C0000}"/>
    <cellStyle name="20% - Accent3 20 2 5" xfId="5772" xr:uid="{00000000-0005-0000-0000-0000E30C0000}"/>
    <cellStyle name="20% - Accent3 20 2 5 2" xfId="17060" xr:uid="{00000000-0005-0000-0000-0000E40C0000}"/>
    <cellStyle name="20% - Accent3 20 2 6" xfId="15066" xr:uid="{00000000-0005-0000-0000-0000E50C0000}"/>
    <cellStyle name="20% - Accent3 20 3" xfId="10757" xr:uid="{00000000-0005-0000-0000-0000E60C0000}"/>
    <cellStyle name="20% - Accent3 20 3 2" xfId="22045" xr:uid="{00000000-0005-0000-0000-0000E70C0000}"/>
    <cellStyle name="20% - Accent3 20 4" xfId="8763" xr:uid="{00000000-0005-0000-0000-0000E80C0000}"/>
    <cellStyle name="20% - Accent3 20 4 2" xfId="20051" xr:uid="{00000000-0005-0000-0000-0000E90C0000}"/>
    <cellStyle name="20% - Accent3 20 5" xfId="6769" xr:uid="{00000000-0005-0000-0000-0000EA0C0000}"/>
    <cellStyle name="20% - Accent3 20 5 2" xfId="18057" xr:uid="{00000000-0005-0000-0000-0000EB0C0000}"/>
    <cellStyle name="20% - Accent3 20 6" xfId="4775" xr:uid="{00000000-0005-0000-0000-0000EC0C0000}"/>
    <cellStyle name="20% - Accent3 20 6 2" xfId="16063" xr:uid="{00000000-0005-0000-0000-0000ED0C0000}"/>
    <cellStyle name="20% - Accent3 20 7" xfId="14069" xr:uid="{00000000-0005-0000-0000-0000EE0C0000}"/>
    <cellStyle name="20% - Accent3 20 8" xfId="12755" xr:uid="{00000000-0005-0000-0000-0000EF0C0000}"/>
    <cellStyle name="20% - Accent3 21" xfId="820" xr:uid="{00000000-0005-0000-0000-0000F00C0000}"/>
    <cellStyle name="20% - Accent3 21 2" xfId="3776" xr:uid="{00000000-0005-0000-0000-0000F10C0000}"/>
    <cellStyle name="20% - Accent3 21 2 2" xfId="11755" xr:uid="{00000000-0005-0000-0000-0000F20C0000}"/>
    <cellStyle name="20% - Accent3 21 2 2 2" xfId="23043" xr:uid="{00000000-0005-0000-0000-0000F30C0000}"/>
    <cellStyle name="20% - Accent3 21 2 3" xfId="9761" xr:uid="{00000000-0005-0000-0000-0000F40C0000}"/>
    <cellStyle name="20% - Accent3 21 2 3 2" xfId="21049" xr:uid="{00000000-0005-0000-0000-0000F50C0000}"/>
    <cellStyle name="20% - Accent3 21 2 4" xfId="7767" xr:uid="{00000000-0005-0000-0000-0000F60C0000}"/>
    <cellStyle name="20% - Accent3 21 2 4 2" xfId="19055" xr:uid="{00000000-0005-0000-0000-0000F70C0000}"/>
    <cellStyle name="20% - Accent3 21 2 5" xfId="5773" xr:uid="{00000000-0005-0000-0000-0000F80C0000}"/>
    <cellStyle name="20% - Accent3 21 2 5 2" xfId="17061" xr:uid="{00000000-0005-0000-0000-0000F90C0000}"/>
    <cellStyle name="20% - Accent3 21 2 6" xfId="15067" xr:uid="{00000000-0005-0000-0000-0000FA0C0000}"/>
    <cellStyle name="20% - Accent3 21 3" xfId="10758" xr:uid="{00000000-0005-0000-0000-0000FB0C0000}"/>
    <cellStyle name="20% - Accent3 21 3 2" xfId="22046" xr:uid="{00000000-0005-0000-0000-0000FC0C0000}"/>
    <cellStyle name="20% - Accent3 21 4" xfId="8764" xr:uid="{00000000-0005-0000-0000-0000FD0C0000}"/>
    <cellStyle name="20% - Accent3 21 4 2" xfId="20052" xr:uid="{00000000-0005-0000-0000-0000FE0C0000}"/>
    <cellStyle name="20% - Accent3 21 5" xfId="6770" xr:uid="{00000000-0005-0000-0000-0000FF0C0000}"/>
    <cellStyle name="20% - Accent3 21 5 2" xfId="18058" xr:uid="{00000000-0005-0000-0000-0000000D0000}"/>
    <cellStyle name="20% - Accent3 21 6" xfId="4776" xr:uid="{00000000-0005-0000-0000-0000010D0000}"/>
    <cellStyle name="20% - Accent3 21 6 2" xfId="16064" xr:uid="{00000000-0005-0000-0000-0000020D0000}"/>
    <cellStyle name="20% - Accent3 21 7" xfId="14070" xr:uid="{00000000-0005-0000-0000-0000030D0000}"/>
    <cellStyle name="20% - Accent3 21 8" xfId="12756" xr:uid="{00000000-0005-0000-0000-0000040D0000}"/>
    <cellStyle name="20% - Accent3 22" xfId="821" xr:uid="{00000000-0005-0000-0000-0000050D0000}"/>
    <cellStyle name="20% - Accent3 22 2" xfId="3777" xr:uid="{00000000-0005-0000-0000-0000060D0000}"/>
    <cellStyle name="20% - Accent3 22 2 2" xfId="11756" xr:uid="{00000000-0005-0000-0000-0000070D0000}"/>
    <cellStyle name="20% - Accent3 22 2 2 2" xfId="23044" xr:uid="{00000000-0005-0000-0000-0000080D0000}"/>
    <cellStyle name="20% - Accent3 22 2 3" xfId="9762" xr:uid="{00000000-0005-0000-0000-0000090D0000}"/>
    <cellStyle name="20% - Accent3 22 2 3 2" xfId="21050" xr:uid="{00000000-0005-0000-0000-00000A0D0000}"/>
    <cellStyle name="20% - Accent3 22 2 4" xfId="7768" xr:uid="{00000000-0005-0000-0000-00000B0D0000}"/>
    <cellStyle name="20% - Accent3 22 2 4 2" xfId="19056" xr:uid="{00000000-0005-0000-0000-00000C0D0000}"/>
    <cellStyle name="20% - Accent3 22 2 5" xfId="5774" xr:uid="{00000000-0005-0000-0000-00000D0D0000}"/>
    <cellStyle name="20% - Accent3 22 2 5 2" xfId="17062" xr:uid="{00000000-0005-0000-0000-00000E0D0000}"/>
    <cellStyle name="20% - Accent3 22 2 6" xfId="15068" xr:uid="{00000000-0005-0000-0000-00000F0D0000}"/>
    <cellStyle name="20% - Accent3 22 3" xfId="10759" xr:uid="{00000000-0005-0000-0000-0000100D0000}"/>
    <cellStyle name="20% - Accent3 22 3 2" xfId="22047" xr:uid="{00000000-0005-0000-0000-0000110D0000}"/>
    <cellStyle name="20% - Accent3 22 4" xfId="8765" xr:uid="{00000000-0005-0000-0000-0000120D0000}"/>
    <cellStyle name="20% - Accent3 22 4 2" xfId="20053" xr:uid="{00000000-0005-0000-0000-0000130D0000}"/>
    <cellStyle name="20% - Accent3 22 5" xfId="6771" xr:uid="{00000000-0005-0000-0000-0000140D0000}"/>
    <cellStyle name="20% - Accent3 22 5 2" xfId="18059" xr:uid="{00000000-0005-0000-0000-0000150D0000}"/>
    <cellStyle name="20% - Accent3 22 6" xfId="4777" xr:uid="{00000000-0005-0000-0000-0000160D0000}"/>
    <cellStyle name="20% - Accent3 22 6 2" xfId="16065" xr:uid="{00000000-0005-0000-0000-0000170D0000}"/>
    <cellStyle name="20% - Accent3 22 7" xfId="14071" xr:uid="{00000000-0005-0000-0000-0000180D0000}"/>
    <cellStyle name="20% - Accent3 22 8" xfId="12757" xr:uid="{00000000-0005-0000-0000-0000190D0000}"/>
    <cellStyle name="20% - Accent3 23" xfId="822" xr:uid="{00000000-0005-0000-0000-00001A0D0000}"/>
    <cellStyle name="20% - Accent3 23 2" xfId="3778" xr:uid="{00000000-0005-0000-0000-00001B0D0000}"/>
    <cellStyle name="20% - Accent3 23 2 2" xfId="11757" xr:uid="{00000000-0005-0000-0000-00001C0D0000}"/>
    <cellStyle name="20% - Accent3 23 2 2 2" xfId="23045" xr:uid="{00000000-0005-0000-0000-00001D0D0000}"/>
    <cellStyle name="20% - Accent3 23 2 3" xfId="9763" xr:uid="{00000000-0005-0000-0000-00001E0D0000}"/>
    <cellStyle name="20% - Accent3 23 2 3 2" xfId="21051" xr:uid="{00000000-0005-0000-0000-00001F0D0000}"/>
    <cellStyle name="20% - Accent3 23 2 4" xfId="7769" xr:uid="{00000000-0005-0000-0000-0000200D0000}"/>
    <cellStyle name="20% - Accent3 23 2 4 2" xfId="19057" xr:uid="{00000000-0005-0000-0000-0000210D0000}"/>
    <cellStyle name="20% - Accent3 23 2 5" xfId="5775" xr:uid="{00000000-0005-0000-0000-0000220D0000}"/>
    <cellStyle name="20% - Accent3 23 2 5 2" xfId="17063" xr:uid="{00000000-0005-0000-0000-0000230D0000}"/>
    <cellStyle name="20% - Accent3 23 2 6" xfId="15069" xr:uid="{00000000-0005-0000-0000-0000240D0000}"/>
    <cellStyle name="20% - Accent3 23 3" xfId="10760" xr:uid="{00000000-0005-0000-0000-0000250D0000}"/>
    <cellStyle name="20% - Accent3 23 3 2" xfId="22048" xr:uid="{00000000-0005-0000-0000-0000260D0000}"/>
    <cellStyle name="20% - Accent3 23 4" xfId="8766" xr:uid="{00000000-0005-0000-0000-0000270D0000}"/>
    <cellStyle name="20% - Accent3 23 4 2" xfId="20054" xr:uid="{00000000-0005-0000-0000-0000280D0000}"/>
    <cellStyle name="20% - Accent3 23 5" xfId="6772" xr:uid="{00000000-0005-0000-0000-0000290D0000}"/>
    <cellStyle name="20% - Accent3 23 5 2" xfId="18060" xr:uid="{00000000-0005-0000-0000-00002A0D0000}"/>
    <cellStyle name="20% - Accent3 23 6" xfId="4778" xr:uid="{00000000-0005-0000-0000-00002B0D0000}"/>
    <cellStyle name="20% - Accent3 23 6 2" xfId="16066" xr:uid="{00000000-0005-0000-0000-00002C0D0000}"/>
    <cellStyle name="20% - Accent3 23 7" xfId="14072" xr:uid="{00000000-0005-0000-0000-00002D0D0000}"/>
    <cellStyle name="20% - Accent3 23 8" xfId="12758" xr:uid="{00000000-0005-0000-0000-00002E0D0000}"/>
    <cellStyle name="20% - Accent3 24" xfId="823" xr:uid="{00000000-0005-0000-0000-00002F0D0000}"/>
    <cellStyle name="20% - Accent3 24 2" xfId="3779" xr:uid="{00000000-0005-0000-0000-0000300D0000}"/>
    <cellStyle name="20% - Accent3 24 2 2" xfId="11758" xr:uid="{00000000-0005-0000-0000-0000310D0000}"/>
    <cellStyle name="20% - Accent3 24 2 2 2" xfId="23046" xr:uid="{00000000-0005-0000-0000-0000320D0000}"/>
    <cellStyle name="20% - Accent3 24 2 3" xfId="9764" xr:uid="{00000000-0005-0000-0000-0000330D0000}"/>
    <cellStyle name="20% - Accent3 24 2 3 2" xfId="21052" xr:uid="{00000000-0005-0000-0000-0000340D0000}"/>
    <cellStyle name="20% - Accent3 24 2 4" xfId="7770" xr:uid="{00000000-0005-0000-0000-0000350D0000}"/>
    <cellStyle name="20% - Accent3 24 2 4 2" xfId="19058" xr:uid="{00000000-0005-0000-0000-0000360D0000}"/>
    <cellStyle name="20% - Accent3 24 2 5" xfId="5776" xr:uid="{00000000-0005-0000-0000-0000370D0000}"/>
    <cellStyle name="20% - Accent3 24 2 5 2" xfId="17064" xr:uid="{00000000-0005-0000-0000-0000380D0000}"/>
    <cellStyle name="20% - Accent3 24 2 6" xfId="15070" xr:uid="{00000000-0005-0000-0000-0000390D0000}"/>
    <cellStyle name="20% - Accent3 24 3" xfId="10761" xr:uid="{00000000-0005-0000-0000-00003A0D0000}"/>
    <cellStyle name="20% - Accent3 24 3 2" xfId="22049" xr:uid="{00000000-0005-0000-0000-00003B0D0000}"/>
    <cellStyle name="20% - Accent3 24 4" xfId="8767" xr:uid="{00000000-0005-0000-0000-00003C0D0000}"/>
    <cellStyle name="20% - Accent3 24 4 2" xfId="20055" xr:uid="{00000000-0005-0000-0000-00003D0D0000}"/>
    <cellStyle name="20% - Accent3 24 5" xfId="6773" xr:uid="{00000000-0005-0000-0000-00003E0D0000}"/>
    <cellStyle name="20% - Accent3 24 5 2" xfId="18061" xr:uid="{00000000-0005-0000-0000-00003F0D0000}"/>
    <cellStyle name="20% - Accent3 24 6" xfId="4779" xr:uid="{00000000-0005-0000-0000-0000400D0000}"/>
    <cellStyle name="20% - Accent3 24 6 2" xfId="16067" xr:uid="{00000000-0005-0000-0000-0000410D0000}"/>
    <cellStyle name="20% - Accent3 24 7" xfId="14073" xr:uid="{00000000-0005-0000-0000-0000420D0000}"/>
    <cellStyle name="20% - Accent3 24 8" xfId="12759" xr:uid="{00000000-0005-0000-0000-0000430D0000}"/>
    <cellStyle name="20% - Accent3 25" xfId="824" xr:uid="{00000000-0005-0000-0000-0000440D0000}"/>
    <cellStyle name="20% - Accent3 25 2" xfId="3780" xr:uid="{00000000-0005-0000-0000-0000450D0000}"/>
    <cellStyle name="20% - Accent3 25 2 2" xfId="11759" xr:uid="{00000000-0005-0000-0000-0000460D0000}"/>
    <cellStyle name="20% - Accent3 25 2 2 2" xfId="23047" xr:uid="{00000000-0005-0000-0000-0000470D0000}"/>
    <cellStyle name="20% - Accent3 25 2 3" xfId="9765" xr:uid="{00000000-0005-0000-0000-0000480D0000}"/>
    <cellStyle name="20% - Accent3 25 2 3 2" xfId="21053" xr:uid="{00000000-0005-0000-0000-0000490D0000}"/>
    <cellStyle name="20% - Accent3 25 2 4" xfId="7771" xr:uid="{00000000-0005-0000-0000-00004A0D0000}"/>
    <cellStyle name="20% - Accent3 25 2 4 2" xfId="19059" xr:uid="{00000000-0005-0000-0000-00004B0D0000}"/>
    <cellStyle name="20% - Accent3 25 2 5" xfId="5777" xr:uid="{00000000-0005-0000-0000-00004C0D0000}"/>
    <cellStyle name="20% - Accent3 25 2 5 2" xfId="17065" xr:uid="{00000000-0005-0000-0000-00004D0D0000}"/>
    <cellStyle name="20% - Accent3 25 2 6" xfId="15071" xr:uid="{00000000-0005-0000-0000-00004E0D0000}"/>
    <cellStyle name="20% - Accent3 25 3" xfId="10762" xr:uid="{00000000-0005-0000-0000-00004F0D0000}"/>
    <cellStyle name="20% - Accent3 25 3 2" xfId="22050" xr:uid="{00000000-0005-0000-0000-0000500D0000}"/>
    <cellStyle name="20% - Accent3 25 4" xfId="8768" xr:uid="{00000000-0005-0000-0000-0000510D0000}"/>
    <cellStyle name="20% - Accent3 25 4 2" xfId="20056" xr:uid="{00000000-0005-0000-0000-0000520D0000}"/>
    <cellStyle name="20% - Accent3 25 5" xfId="6774" xr:uid="{00000000-0005-0000-0000-0000530D0000}"/>
    <cellStyle name="20% - Accent3 25 5 2" xfId="18062" xr:uid="{00000000-0005-0000-0000-0000540D0000}"/>
    <cellStyle name="20% - Accent3 25 6" xfId="4780" xr:uid="{00000000-0005-0000-0000-0000550D0000}"/>
    <cellStyle name="20% - Accent3 25 6 2" xfId="16068" xr:uid="{00000000-0005-0000-0000-0000560D0000}"/>
    <cellStyle name="20% - Accent3 25 7" xfId="14074" xr:uid="{00000000-0005-0000-0000-0000570D0000}"/>
    <cellStyle name="20% - Accent3 25 8" xfId="12760" xr:uid="{00000000-0005-0000-0000-0000580D0000}"/>
    <cellStyle name="20% - Accent3 26" xfId="825" xr:uid="{00000000-0005-0000-0000-0000590D0000}"/>
    <cellStyle name="20% - Accent3 26 2" xfId="3781" xr:uid="{00000000-0005-0000-0000-00005A0D0000}"/>
    <cellStyle name="20% - Accent3 26 2 2" xfId="11760" xr:uid="{00000000-0005-0000-0000-00005B0D0000}"/>
    <cellStyle name="20% - Accent3 26 2 2 2" xfId="23048" xr:uid="{00000000-0005-0000-0000-00005C0D0000}"/>
    <cellStyle name="20% - Accent3 26 2 3" xfId="9766" xr:uid="{00000000-0005-0000-0000-00005D0D0000}"/>
    <cellStyle name="20% - Accent3 26 2 3 2" xfId="21054" xr:uid="{00000000-0005-0000-0000-00005E0D0000}"/>
    <cellStyle name="20% - Accent3 26 2 4" xfId="7772" xr:uid="{00000000-0005-0000-0000-00005F0D0000}"/>
    <cellStyle name="20% - Accent3 26 2 4 2" xfId="19060" xr:uid="{00000000-0005-0000-0000-0000600D0000}"/>
    <cellStyle name="20% - Accent3 26 2 5" xfId="5778" xr:uid="{00000000-0005-0000-0000-0000610D0000}"/>
    <cellStyle name="20% - Accent3 26 2 5 2" xfId="17066" xr:uid="{00000000-0005-0000-0000-0000620D0000}"/>
    <cellStyle name="20% - Accent3 26 2 6" xfId="15072" xr:uid="{00000000-0005-0000-0000-0000630D0000}"/>
    <cellStyle name="20% - Accent3 26 3" xfId="10763" xr:uid="{00000000-0005-0000-0000-0000640D0000}"/>
    <cellStyle name="20% - Accent3 26 3 2" xfId="22051" xr:uid="{00000000-0005-0000-0000-0000650D0000}"/>
    <cellStyle name="20% - Accent3 26 4" xfId="8769" xr:uid="{00000000-0005-0000-0000-0000660D0000}"/>
    <cellStyle name="20% - Accent3 26 4 2" xfId="20057" xr:uid="{00000000-0005-0000-0000-0000670D0000}"/>
    <cellStyle name="20% - Accent3 26 5" xfId="6775" xr:uid="{00000000-0005-0000-0000-0000680D0000}"/>
    <cellStyle name="20% - Accent3 26 5 2" xfId="18063" xr:uid="{00000000-0005-0000-0000-0000690D0000}"/>
    <cellStyle name="20% - Accent3 26 6" xfId="4781" xr:uid="{00000000-0005-0000-0000-00006A0D0000}"/>
    <cellStyle name="20% - Accent3 26 6 2" xfId="16069" xr:uid="{00000000-0005-0000-0000-00006B0D0000}"/>
    <cellStyle name="20% - Accent3 26 7" xfId="14075" xr:uid="{00000000-0005-0000-0000-00006C0D0000}"/>
    <cellStyle name="20% - Accent3 26 8" xfId="12761" xr:uid="{00000000-0005-0000-0000-00006D0D0000}"/>
    <cellStyle name="20% - Accent3 27" xfId="826" xr:uid="{00000000-0005-0000-0000-00006E0D0000}"/>
    <cellStyle name="20% - Accent3 27 2" xfId="3782" xr:uid="{00000000-0005-0000-0000-00006F0D0000}"/>
    <cellStyle name="20% - Accent3 27 2 2" xfId="11761" xr:uid="{00000000-0005-0000-0000-0000700D0000}"/>
    <cellStyle name="20% - Accent3 27 2 2 2" xfId="23049" xr:uid="{00000000-0005-0000-0000-0000710D0000}"/>
    <cellStyle name="20% - Accent3 27 2 3" xfId="9767" xr:uid="{00000000-0005-0000-0000-0000720D0000}"/>
    <cellStyle name="20% - Accent3 27 2 3 2" xfId="21055" xr:uid="{00000000-0005-0000-0000-0000730D0000}"/>
    <cellStyle name="20% - Accent3 27 2 4" xfId="7773" xr:uid="{00000000-0005-0000-0000-0000740D0000}"/>
    <cellStyle name="20% - Accent3 27 2 4 2" xfId="19061" xr:uid="{00000000-0005-0000-0000-0000750D0000}"/>
    <cellStyle name="20% - Accent3 27 2 5" xfId="5779" xr:uid="{00000000-0005-0000-0000-0000760D0000}"/>
    <cellStyle name="20% - Accent3 27 2 5 2" xfId="17067" xr:uid="{00000000-0005-0000-0000-0000770D0000}"/>
    <cellStyle name="20% - Accent3 27 2 6" xfId="15073" xr:uid="{00000000-0005-0000-0000-0000780D0000}"/>
    <cellStyle name="20% - Accent3 27 3" xfId="10764" xr:uid="{00000000-0005-0000-0000-0000790D0000}"/>
    <cellStyle name="20% - Accent3 27 3 2" xfId="22052" xr:uid="{00000000-0005-0000-0000-00007A0D0000}"/>
    <cellStyle name="20% - Accent3 27 4" xfId="8770" xr:uid="{00000000-0005-0000-0000-00007B0D0000}"/>
    <cellStyle name="20% - Accent3 27 4 2" xfId="20058" xr:uid="{00000000-0005-0000-0000-00007C0D0000}"/>
    <cellStyle name="20% - Accent3 27 5" xfId="6776" xr:uid="{00000000-0005-0000-0000-00007D0D0000}"/>
    <cellStyle name="20% - Accent3 27 5 2" xfId="18064" xr:uid="{00000000-0005-0000-0000-00007E0D0000}"/>
    <cellStyle name="20% - Accent3 27 6" xfId="4782" xr:uid="{00000000-0005-0000-0000-00007F0D0000}"/>
    <cellStyle name="20% - Accent3 27 6 2" xfId="16070" xr:uid="{00000000-0005-0000-0000-0000800D0000}"/>
    <cellStyle name="20% - Accent3 27 7" xfId="14076" xr:uid="{00000000-0005-0000-0000-0000810D0000}"/>
    <cellStyle name="20% - Accent3 27 8" xfId="12762" xr:uid="{00000000-0005-0000-0000-0000820D0000}"/>
    <cellStyle name="20% - Accent3 28" xfId="827" xr:uid="{00000000-0005-0000-0000-0000830D0000}"/>
    <cellStyle name="20% - Accent3 28 2" xfId="3783" xr:uid="{00000000-0005-0000-0000-0000840D0000}"/>
    <cellStyle name="20% - Accent3 28 2 2" xfId="11762" xr:uid="{00000000-0005-0000-0000-0000850D0000}"/>
    <cellStyle name="20% - Accent3 28 2 2 2" xfId="23050" xr:uid="{00000000-0005-0000-0000-0000860D0000}"/>
    <cellStyle name="20% - Accent3 28 2 3" xfId="9768" xr:uid="{00000000-0005-0000-0000-0000870D0000}"/>
    <cellStyle name="20% - Accent3 28 2 3 2" xfId="21056" xr:uid="{00000000-0005-0000-0000-0000880D0000}"/>
    <cellStyle name="20% - Accent3 28 2 4" xfId="7774" xr:uid="{00000000-0005-0000-0000-0000890D0000}"/>
    <cellStyle name="20% - Accent3 28 2 4 2" xfId="19062" xr:uid="{00000000-0005-0000-0000-00008A0D0000}"/>
    <cellStyle name="20% - Accent3 28 2 5" xfId="5780" xr:uid="{00000000-0005-0000-0000-00008B0D0000}"/>
    <cellStyle name="20% - Accent3 28 2 5 2" xfId="17068" xr:uid="{00000000-0005-0000-0000-00008C0D0000}"/>
    <cellStyle name="20% - Accent3 28 2 6" xfId="15074" xr:uid="{00000000-0005-0000-0000-00008D0D0000}"/>
    <cellStyle name="20% - Accent3 28 3" xfId="10765" xr:uid="{00000000-0005-0000-0000-00008E0D0000}"/>
    <cellStyle name="20% - Accent3 28 3 2" xfId="22053" xr:uid="{00000000-0005-0000-0000-00008F0D0000}"/>
    <cellStyle name="20% - Accent3 28 4" xfId="8771" xr:uid="{00000000-0005-0000-0000-0000900D0000}"/>
    <cellStyle name="20% - Accent3 28 4 2" xfId="20059" xr:uid="{00000000-0005-0000-0000-0000910D0000}"/>
    <cellStyle name="20% - Accent3 28 5" xfId="6777" xr:uid="{00000000-0005-0000-0000-0000920D0000}"/>
    <cellStyle name="20% - Accent3 28 5 2" xfId="18065" xr:uid="{00000000-0005-0000-0000-0000930D0000}"/>
    <cellStyle name="20% - Accent3 28 6" xfId="4783" xr:uid="{00000000-0005-0000-0000-0000940D0000}"/>
    <cellStyle name="20% - Accent3 28 6 2" xfId="16071" xr:uid="{00000000-0005-0000-0000-0000950D0000}"/>
    <cellStyle name="20% - Accent3 28 7" xfId="14077" xr:uid="{00000000-0005-0000-0000-0000960D0000}"/>
    <cellStyle name="20% - Accent3 28 8" xfId="12763" xr:uid="{00000000-0005-0000-0000-0000970D0000}"/>
    <cellStyle name="20% - Accent3 29" xfId="828" xr:uid="{00000000-0005-0000-0000-0000980D0000}"/>
    <cellStyle name="20% - Accent3 29 2" xfId="3784" xr:uid="{00000000-0005-0000-0000-0000990D0000}"/>
    <cellStyle name="20% - Accent3 29 2 2" xfId="11763" xr:uid="{00000000-0005-0000-0000-00009A0D0000}"/>
    <cellStyle name="20% - Accent3 29 2 2 2" xfId="23051" xr:uid="{00000000-0005-0000-0000-00009B0D0000}"/>
    <cellStyle name="20% - Accent3 29 2 3" xfId="9769" xr:uid="{00000000-0005-0000-0000-00009C0D0000}"/>
    <cellStyle name="20% - Accent3 29 2 3 2" xfId="21057" xr:uid="{00000000-0005-0000-0000-00009D0D0000}"/>
    <cellStyle name="20% - Accent3 29 2 4" xfId="7775" xr:uid="{00000000-0005-0000-0000-00009E0D0000}"/>
    <cellStyle name="20% - Accent3 29 2 4 2" xfId="19063" xr:uid="{00000000-0005-0000-0000-00009F0D0000}"/>
    <cellStyle name="20% - Accent3 29 2 5" xfId="5781" xr:uid="{00000000-0005-0000-0000-0000A00D0000}"/>
    <cellStyle name="20% - Accent3 29 2 5 2" xfId="17069" xr:uid="{00000000-0005-0000-0000-0000A10D0000}"/>
    <cellStyle name="20% - Accent3 29 2 6" xfId="15075" xr:uid="{00000000-0005-0000-0000-0000A20D0000}"/>
    <cellStyle name="20% - Accent3 29 3" xfId="10766" xr:uid="{00000000-0005-0000-0000-0000A30D0000}"/>
    <cellStyle name="20% - Accent3 29 3 2" xfId="22054" xr:uid="{00000000-0005-0000-0000-0000A40D0000}"/>
    <cellStyle name="20% - Accent3 29 4" xfId="8772" xr:uid="{00000000-0005-0000-0000-0000A50D0000}"/>
    <cellStyle name="20% - Accent3 29 4 2" xfId="20060" xr:uid="{00000000-0005-0000-0000-0000A60D0000}"/>
    <cellStyle name="20% - Accent3 29 5" xfId="6778" xr:uid="{00000000-0005-0000-0000-0000A70D0000}"/>
    <cellStyle name="20% - Accent3 29 5 2" xfId="18066" xr:uid="{00000000-0005-0000-0000-0000A80D0000}"/>
    <cellStyle name="20% - Accent3 29 6" xfId="4784" xr:uid="{00000000-0005-0000-0000-0000A90D0000}"/>
    <cellStyle name="20% - Accent3 29 6 2" xfId="16072" xr:uid="{00000000-0005-0000-0000-0000AA0D0000}"/>
    <cellStyle name="20% - Accent3 29 7" xfId="14078" xr:uid="{00000000-0005-0000-0000-0000AB0D0000}"/>
    <cellStyle name="20% - Accent3 29 8" xfId="12764" xr:uid="{00000000-0005-0000-0000-0000AC0D0000}"/>
    <cellStyle name="20% - Accent3 3" xfId="829" xr:uid="{00000000-0005-0000-0000-0000AD0D0000}"/>
    <cellStyle name="20% - Accent3 3 10" xfId="24572" xr:uid="{00000000-0005-0000-0000-0000AE0D0000}"/>
    <cellStyle name="20% - Accent3 3 11" xfId="24962" xr:uid="{00000000-0005-0000-0000-0000AF0D0000}"/>
    <cellStyle name="20% - Accent3 3 2" xfId="3785" xr:uid="{00000000-0005-0000-0000-0000B00D0000}"/>
    <cellStyle name="20% - Accent3 3 2 2" xfId="11764" xr:uid="{00000000-0005-0000-0000-0000B10D0000}"/>
    <cellStyle name="20% - Accent3 3 2 2 2" xfId="23052" xr:uid="{00000000-0005-0000-0000-0000B20D0000}"/>
    <cellStyle name="20% - Accent3 3 2 3" xfId="9770" xr:uid="{00000000-0005-0000-0000-0000B30D0000}"/>
    <cellStyle name="20% - Accent3 3 2 3 2" xfId="21058" xr:uid="{00000000-0005-0000-0000-0000B40D0000}"/>
    <cellStyle name="20% - Accent3 3 2 4" xfId="7776" xr:uid="{00000000-0005-0000-0000-0000B50D0000}"/>
    <cellStyle name="20% - Accent3 3 2 4 2" xfId="19064" xr:uid="{00000000-0005-0000-0000-0000B60D0000}"/>
    <cellStyle name="20% - Accent3 3 2 5" xfId="5782" xr:uid="{00000000-0005-0000-0000-0000B70D0000}"/>
    <cellStyle name="20% - Accent3 3 2 5 2" xfId="17070" xr:uid="{00000000-0005-0000-0000-0000B80D0000}"/>
    <cellStyle name="20% - Accent3 3 2 6" xfId="15076" xr:uid="{00000000-0005-0000-0000-0000B90D0000}"/>
    <cellStyle name="20% - Accent3 3 2 7" xfId="24333" xr:uid="{00000000-0005-0000-0000-0000BA0D0000}"/>
    <cellStyle name="20% - Accent3 3 2 8" xfId="24797" xr:uid="{00000000-0005-0000-0000-0000BB0D0000}"/>
    <cellStyle name="20% - Accent3 3 2 9" xfId="25164" xr:uid="{00000000-0005-0000-0000-0000BC0D0000}"/>
    <cellStyle name="20% - Accent3 3 3" xfId="10767" xr:uid="{00000000-0005-0000-0000-0000BD0D0000}"/>
    <cellStyle name="20% - Accent3 3 3 2" xfId="22055" xr:uid="{00000000-0005-0000-0000-0000BE0D0000}"/>
    <cellStyle name="20% - Accent3 3 4" xfId="8773" xr:uid="{00000000-0005-0000-0000-0000BF0D0000}"/>
    <cellStyle name="20% - Accent3 3 4 2" xfId="20061" xr:uid="{00000000-0005-0000-0000-0000C00D0000}"/>
    <cellStyle name="20% - Accent3 3 5" xfId="6779" xr:uid="{00000000-0005-0000-0000-0000C10D0000}"/>
    <cellStyle name="20% - Accent3 3 5 2" xfId="18067" xr:uid="{00000000-0005-0000-0000-0000C20D0000}"/>
    <cellStyle name="20% - Accent3 3 6" xfId="4785" xr:uid="{00000000-0005-0000-0000-0000C30D0000}"/>
    <cellStyle name="20% - Accent3 3 6 2" xfId="16073" xr:uid="{00000000-0005-0000-0000-0000C40D0000}"/>
    <cellStyle name="20% - Accent3 3 7" xfId="14079" xr:uid="{00000000-0005-0000-0000-0000C50D0000}"/>
    <cellStyle name="20% - Accent3 3 8" xfId="12765" xr:uid="{00000000-0005-0000-0000-0000C60D0000}"/>
    <cellStyle name="20% - Accent3 3 9" xfId="23945" xr:uid="{00000000-0005-0000-0000-0000C70D0000}"/>
    <cellStyle name="20% - Accent3 30" xfId="830" xr:uid="{00000000-0005-0000-0000-0000C80D0000}"/>
    <cellStyle name="20% - Accent3 30 2" xfId="3786" xr:uid="{00000000-0005-0000-0000-0000C90D0000}"/>
    <cellStyle name="20% - Accent3 30 2 2" xfId="11765" xr:uid="{00000000-0005-0000-0000-0000CA0D0000}"/>
    <cellStyle name="20% - Accent3 30 2 2 2" xfId="23053" xr:uid="{00000000-0005-0000-0000-0000CB0D0000}"/>
    <cellStyle name="20% - Accent3 30 2 3" xfId="9771" xr:uid="{00000000-0005-0000-0000-0000CC0D0000}"/>
    <cellStyle name="20% - Accent3 30 2 3 2" xfId="21059" xr:uid="{00000000-0005-0000-0000-0000CD0D0000}"/>
    <cellStyle name="20% - Accent3 30 2 4" xfId="7777" xr:uid="{00000000-0005-0000-0000-0000CE0D0000}"/>
    <cellStyle name="20% - Accent3 30 2 4 2" xfId="19065" xr:uid="{00000000-0005-0000-0000-0000CF0D0000}"/>
    <cellStyle name="20% - Accent3 30 2 5" xfId="5783" xr:uid="{00000000-0005-0000-0000-0000D00D0000}"/>
    <cellStyle name="20% - Accent3 30 2 5 2" xfId="17071" xr:uid="{00000000-0005-0000-0000-0000D10D0000}"/>
    <cellStyle name="20% - Accent3 30 2 6" xfId="15077" xr:uid="{00000000-0005-0000-0000-0000D20D0000}"/>
    <cellStyle name="20% - Accent3 30 3" xfId="10768" xr:uid="{00000000-0005-0000-0000-0000D30D0000}"/>
    <cellStyle name="20% - Accent3 30 3 2" xfId="22056" xr:uid="{00000000-0005-0000-0000-0000D40D0000}"/>
    <cellStyle name="20% - Accent3 30 4" xfId="8774" xr:uid="{00000000-0005-0000-0000-0000D50D0000}"/>
    <cellStyle name="20% - Accent3 30 4 2" xfId="20062" xr:uid="{00000000-0005-0000-0000-0000D60D0000}"/>
    <cellStyle name="20% - Accent3 30 5" xfId="6780" xr:uid="{00000000-0005-0000-0000-0000D70D0000}"/>
    <cellStyle name="20% - Accent3 30 5 2" xfId="18068" xr:uid="{00000000-0005-0000-0000-0000D80D0000}"/>
    <cellStyle name="20% - Accent3 30 6" xfId="4786" xr:uid="{00000000-0005-0000-0000-0000D90D0000}"/>
    <cellStyle name="20% - Accent3 30 6 2" xfId="16074" xr:uid="{00000000-0005-0000-0000-0000DA0D0000}"/>
    <cellStyle name="20% - Accent3 30 7" xfId="14080" xr:uid="{00000000-0005-0000-0000-0000DB0D0000}"/>
    <cellStyle name="20% - Accent3 30 8" xfId="12766" xr:uid="{00000000-0005-0000-0000-0000DC0D0000}"/>
    <cellStyle name="20% - Accent3 31" xfId="831" xr:uid="{00000000-0005-0000-0000-0000DD0D0000}"/>
    <cellStyle name="20% - Accent3 31 2" xfId="3787" xr:uid="{00000000-0005-0000-0000-0000DE0D0000}"/>
    <cellStyle name="20% - Accent3 31 2 2" xfId="11766" xr:uid="{00000000-0005-0000-0000-0000DF0D0000}"/>
    <cellStyle name="20% - Accent3 31 2 2 2" xfId="23054" xr:uid="{00000000-0005-0000-0000-0000E00D0000}"/>
    <cellStyle name="20% - Accent3 31 2 3" xfId="9772" xr:uid="{00000000-0005-0000-0000-0000E10D0000}"/>
    <cellStyle name="20% - Accent3 31 2 3 2" xfId="21060" xr:uid="{00000000-0005-0000-0000-0000E20D0000}"/>
    <cellStyle name="20% - Accent3 31 2 4" xfId="7778" xr:uid="{00000000-0005-0000-0000-0000E30D0000}"/>
    <cellStyle name="20% - Accent3 31 2 4 2" xfId="19066" xr:uid="{00000000-0005-0000-0000-0000E40D0000}"/>
    <cellStyle name="20% - Accent3 31 2 5" xfId="5784" xr:uid="{00000000-0005-0000-0000-0000E50D0000}"/>
    <cellStyle name="20% - Accent3 31 2 5 2" xfId="17072" xr:uid="{00000000-0005-0000-0000-0000E60D0000}"/>
    <cellStyle name="20% - Accent3 31 2 6" xfId="15078" xr:uid="{00000000-0005-0000-0000-0000E70D0000}"/>
    <cellStyle name="20% - Accent3 31 3" xfId="10769" xr:uid="{00000000-0005-0000-0000-0000E80D0000}"/>
    <cellStyle name="20% - Accent3 31 3 2" xfId="22057" xr:uid="{00000000-0005-0000-0000-0000E90D0000}"/>
    <cellStyle name="20% - Accent3 31 4" xfId="8775" xr:uid="{00000000-0005-0000-0000-0000EA0D0000}"/>
    <cellStyle name="20% - Accent3 31 4 2" xfId="20063" xr:uid="{00000000-0005-0000-0000-0000EB0D0000}"/>
    <cellStyle name="20% - Accent3 31 5" xfId="6781" xr:uid="{00000000-0005-0000-0000-0000EC0D0000}"/>
    <cellStyle name="20% - Accent3 31 5 2" xfId="18069" xr:uid="{00000000-0005-0000-0000-0000ED0D0000}"/>
    <cellStyle name="20% - Accent3 31 6" xfId="4787" xr:uid="{00000000-0005-0000-0000-0000EE0D0000}"/>
    <cellStyle name="20% - Accent3 31 6 2" xfId="16075" xr:uid="{00000000-0005-0000-0000-0000EF0D0000}"/>
    <cellStyle name="20% - Accent3 31 7" xfId="14081" xr:uid="{00000000-0005-0000-0000-0000F00D0000}"/>
    <cellStyle name="20% - Accent3 31 8" xfId="12767" xr:uid="{00000000-0005-0000-0000-0000F10D0000}"/>
    <cellStyle name="20% - Accent3 32" xfId="832" xr:uid="{00000000-0005-0000-0000-0000F20D0000}"/>
    <cellStyle name="20% - Accent3 32 2" xfId="3788" xr:uid="{00000000-0005-0000-0000-0000F30D0000}"/>
    <cellStyle name="20% - Accent3 32 2 2" xfId="11767" xr:uid="{00000000-0005-0000-0000-0000F40D0000}"/>
    <cellStyle name="20% - Accent3 32 2 2 2" xfId="23055" xr:uid="{00000000-0005-0000-0000-0000F50D0000}"/>
    <cellStyle name="20% - Accent3 32 2 3" xfId="9773" xr:uid="{00000000-0005-0000-0000-0000F60D0000}"/>
    <cellStyle name="20% - Accent3 32 2 3 2" xfId="21061" xr:uid="{00000000-0005-0000-0000-0000F70D0000}"/>
    <cellStyle name="20% - Accent3 32 2 4" xfId="7779" xr:uid="{00000000-0005-0000-0000-0000F80D0000}"/>
    <cellStyle name="20% - Accent3 32 2 4 2" xfId="19067" xr:uid="{00000000-0005-0000-0000-0000F90D0000}"/>
    <cellStyle name="20% - Accent3 32 2 5" xfId="5785" xr:uid="{00000000-0005-0000-0000-0000FA0D0000}"/>
    <cellStyle name="20% - Accent3 32 2 5 2" xfId="17073" xr:uid="{00000000-0005-0000-0000-0000FB0D0000}"/>
    <cellStyle name="20% - Accent3 32 2 6" xfId="15079" xr:uid="{00000000-0005-0000-0000-0000FC0D0000}"/>
    <cellStyle name="20% - Accent3 32 3" xfId="10770" xr:uid="{00000000-0005-0000-0000-0000FD0D0000}"/>
    <cellStyle name="20% - Accent3 32 3 2" xfId="22058" xr:uid="{00000000-0005-0000-0000-0000FE0D0000}"/>
    <cellStyle name="20% - Accent3 32 4" xfId="8776" xr:uid="{00000000-0005-0000-0000-0000FF0D0000}"/>
    <cellStyle name="20% - Accent3 32 4 2" xfId="20064" xr:uid="{00000000-0005-0000-0000-0000000E0000}"/>
    <cellStyle name="20% - Accent3 32 5" xfId="6782" xr:uid="{00000000-0005-0000-0000-0000010E0000}"/>
    <cellStyle name="20% - Accent3 32 5 2" xfId="18070" xr:uid="{00000000-0005-0000-0000-0000020E0000}"/>
    <cellStyle name="20% - Accent3 32 6" xfId="4788" xr:uid="{00000000-0005-0000-0000-0000030E0000}"/>
    <cellStyle name="20% - Accent3 32 6 2" xfId="16076" xr:uid="{00000000-0005-0000-0000-0000040E0000}"/>
    <cellStyle name="20% - Accent3 32 7" xfId="14082" xr:uid="{00000000-0005-0000-0000-0000050E0000}"/>
    <cellStyle name="20% - Accent3 32 8" xfId="12768" xr:uid="{00000000-0005-0000-0000-0000060E0000}"/>
    <cellStyle name="20% - Accent3 33" xfId="833" xr:uid="{00000000-0005-0000-0000-0000070E0000}"/>
    <cellStyle name="20% - Accent3 33 2" xfId="3789" xr:uid="{00000000-0005-0000-0000-0000080E0000}"/>
    <cellStyle name="20% - Accent3 33 2 2" xfId="11768" xr:uid="{00000000-0005-0000-0000-0000090E0000}"/>
    <cellStyle name="20% - Accent3 33 2 2 2" xfId="23056" xr:uid="{00000000-0005-0000-0000-00000A0E0000}"/>
    <cellStyle name="20% - Accent3 33 2 3" xfId="9774" xr:uid="{00000000-0005-0000-0000-00000B0E0000}"/>
    <cellStyle name="20% - Accent3 33 2 3 2" xfId="21062" xr:uid="{00000000-0005-0000-0000-00000C0E0000}"/>
    <cellStyle name="20% - Accent3 33 2 4" xfId="7780" xr:uid="{00000000-0005-0000-0000-00000D0E0000}"/>
    <cellStyle name="20% - Accent3 33 2 4 2" xfId="19068" xr:uid="{00000000-0005-0000-0000-00000E0E0000}"/>
    <cellStyle name="20% - Accent3 33 2 5" xfId="5786" xr:uid="{00000000-0005-0000-0000-00000F0E0000}"/>
    <cellStyle name="20% - Accent3 33 2 5 2" xfId="17074" xr:uid="{00000000-0005-0000-0000-0000100E0000}"/>
    <cellStyle name="20% - Accent3 33 2 6" xfId="15080" xr:uid="{00000000-0005-0000-0000-0000110E0000}"/>
    <cellStyle name="20% - Accent3 33 3" xfId="10771" xr:uid="{00000000-0005-0000-0000-0000120E0000}"/>
    <cellStyle name="20% - Accent3 33 3 2" xfId="22059" xr:uid="{00000000-0005-0000-0000-0000130E0000}"/>
    <cellStyle name="20% - Accent3 33 4" xfId="8777" xr:uid="{00000000-0005-0000-0000-0000140E0000}"/>
    <cellStyle name="20% - Accent3 33 4 2" xfId="20065" xr:uid="{00000000-0005-0000-0000-0000150E0000}"/>
    <cellStyle name="20% - Accent3 33 5" xfId="6783" xr:uid="{00000000-0005-0000-0000-0000160E0000}"/>
    <cellStyle name="20% - Accent3 33 5 2" xfId="18071" xr:uid="{00000000-0005-0000-0000-0000170E0000}"/>
    <cellStyle name="20% - Accent3 33 6" xfId="4789" xr:uid="{00000000-0005-0000-0000-0000180E0000}"/>
    <cellStyle name="20% - Accent3 33 6 2" xfId="16077" xr:uid="{00000000-0005-0000-0000-0000190E0000}"/>
    <cellStyle name="20% - Accent3 33 7" xfId="14083" xr:uid="{00000000-0005-0000-0000-00001A0E0000}"/>
    <cellStyle name="20% - Accent3 33 8" xfId="12769" xr:uid="{00000000-0005-0000-0000-00001B0E0000}"/>
    <cellStyle name="20% - Accent3 34" xfId="834" xr:uid="{00000000-0005-0000-0000-00001C0E0000}"/>
    <cellStyle name="20% - Accent3 34 2" xfId="3790" xr:uid="{00000000-0005-0000-0000-00001D0E0000}"/>
    <cellStyle name="20% - Accent3 34 2 2" xfId="11769" xr:uid="{00000000-0005-0000-0000-00001E0E0000}"/>
    <cellStyle name="20% - Accent3 34 2 2 2" xfId="23057" xr:uid="{00000000-0005-0000-0000-00001F0E0000}"/>
    <cellStyle name="20% - Accent3 34 2 3" xfId="9775" xr:uid="{00000000-0005-0000-0000-0000200E0000}"/>
    <cellStyle name="20% - Accent3 34 2 3 2" xfId="21063" xr:uid="{00000000-0005-0000-0000-0000210E0000}"/>
    <cellStyle name="20% - Accent3 34 2 4" xfId="7781" xr:uid="{00000000-0005-0000-0000-0000220E0000}"/>
    <cellStyle name="20% - Accent3 34 2 4 2" xfId="19069" xr:uid="{00000000-0005-0000-0000-0000230E0000}"/>
    <cellStyle name="20% - Accent3 34 2 5" xfId="5787" xr:uid="{00000000-0005-0000-0000-0000240E0000}"/>
    <cellStyle name="20% - Accent3 34 2 5 2" xfId="17075" xr:uid="{00000000-0005-0000-0000-0000250E0000}"/>
    <cellStyle name="20% - Accent3 34 2 6" xfId="15081" xr:uid="{00000000-0005-0000-0000-0000260E0000}"/>
    <cellStyle name="20% - Accent3 34 3" xfId="10772" xr:uid="{00000000-0005-0000-0000-0000270E0000}"/>
    <cellStyle name="20% - Accent3 34 3 2" xfId="22060" xr:uid="{00000000-0005-0000-0000-0000280E0000}"/>
    <cellStyle name="20% - Accent3 34 4" xfId="8778" xr:uid="{00000000-0005-0000-0000-0000290E0000}"/>
    <cellStyle name="20% - Accent3 34 4 2" xfId="20066" xr:uid="{00000000-0005-0000-0000-00002A0E0000}"/>
    <cellStyle name="20% - Accent3 34 5" xfId="6784" xr:uid="{00000000-0005-0000-0000-00002B0E0000}"/>
    <cellStyle name="20% - Accent3 34 5 2" xfId="18072" xr:uid="{00000000-0005-0000-0000-00002C0E0000}"/>
    <cellStyle name="20% - Accent3 34 6" xfId="4790" xr:uid="{00000000-0005-0000-0000-00002D0E0000}"/>
    <cellStyle name="20% - Accent3 34 6 2" xfId="16078" xr:uid="{00000000-0005-0000-0000-00002E0E0000}"/>
    <cellStyle name="20% - Accent3 34 7" xfId="14084" xr:uid="{00000000-0005-0000-0000-00002F0E0000}"/>
    <cellStyle name="20% - Accent3 34 8" xfId="12770" xr:uid="{00000000-0005-0000-0000-0000300E0000}"/>
    <cellStyle name="20% - Accent3 35" xfId="835" xr:uid="{00000000-0005-0000-0000-0000310E0000}"/>
    <cellStyle name="20% - Accent3 35 2" xfId="3791" xr:uid="{00000000-0005-0000-0000-0000320E0000}"/>
    <cellStyle name="20% - Accent3 35 2 2" xfId="11770" xr:uid="{00000000-0005-0000-0000-0000330E0000}"/>
    <cellStyle name="20% - Accent3 35 2 2 2" xfId="23058" xr:uid="{00000000-0005-0000-0000-0000340E0000}"/>
    <cellStyle name="20% - Accent3 35 2 3" xfId="9776" xr:uid="{00000000-0005-0000-0000-0000350E0000}"/>
    <cellStyle name="20% - Accent3 35 2 3 2" xfId="21064" xr:uid="{00000000-0005-0000-0000-0000360E0000}"/>
    <cellStyle name="20% - Accent3 35 2 4" xfId="7782" xr:uid="{00000000-0005-0000-0000-0000370E0000}"/>
    <cellStyle name="20% - Accent3 35 2 4 2" xfId="19070" xr:uid="{00000000-0005-0000-0000-0000380E0000}"/>
    <cellStyle name="20% - Accent3 35 2 5" xfId="5788" xr:uid="{00000000-0005-0000-0000-0000390E0000}"/>
    <cellStyle name="20% - Accent3 35 2 5 2" xfId="17076" xr:uid="{00000000-0005-0000-0000-00003A0E0000}"/>
    <cellStyle name="20% - Accent3 35 2 6" xfId="15082" xr:uid="{00000000-0005-0000-0000-00003B0E0000}"/>
    <cellStyle name="20% - Accent3 35 3" xfId="10773" xr:uid="{00000000-0005-0000-0000-00003C0E0000}"/>
    <cellStyle name="20% - Accent3 35 3 2" xfId="22061" xr:uid="{00000000-0005-0000-0000-00003D0E0000}"/>
    <cellStyle name="20% - Accent3 35 4" xfId="8779" xr:uid="{00000000-0005-0000-0000-00003E0E0000}"/>
    <cellStyle name="20% - Accent3 35 4 2" xfId="20067" xr:uid="{00000000-0005-0000-0000-00003F0E0000}"/>
    <cellStyle name="20% - Accent3 35 5" xfId="6785" xr:uid="{00000000-0005-0000-0000-0000400E0000}"/>
    <cellStyle name="20% - Accent3 35 5 2" xfId="18073" xr:uid="{00000000-0005-0000-0000-0000410E0000}"/>
    <cellStyle name="20% - Accent3 35 6" xfId="4791" xr:uid="{00000000-0005-0000-0000-0000420E0000}"/>
    <cellStyle name="20% - Accent3 35 6 2" xfId="16079" xr:uid="{00000000-0005-0000-0000-0000430E0000}"/>
    <cellStyle name="20% - Accent3 35 7" xfId="14085" xr:uid="{00000000-0005-0000-0000-0000440E0000}"/>
    <cellStyle name="20% - Accent3 35 8" xfId="12771" xr:uid="{00000000-0005-0000-0000-0000450E0000}"/>
    <cellStyle name="20% - Accent3 36" xfId="836" xr:uid="{00000000-0005-0000-0000-0000460E0000}"/>
    <cellStyle name="20% - Accent3 36 2" xfId="3792" xr:uid="{00000000-0005-0000-0000-0000470E0000}"/>
    <cellStyle name="20% - Accent3 36 2 2" xfId="11771" xr:uid="{00000000-0005-0000-0000-0000480E0000}"/>
    <cellStyle name="20% - Accent3 36 2 2 2" xfId="23059" xr:uid="{00000000-0005-0000-0000-0000490E0000}"/>
    <cellStyle name="20% - Accent3 36 2 3" xfId="9777" xr:uid="{00000000-0005-0000-0000-00004A0E0000}"/>
    <cellStyle name="20% - Accent3 36 2 3 2" xfId="21065" xr:uid="{00000000-0005-0000-0000-00004B0E0000}"/>
    <cellStyle name="20% - Accent3 36 2 4" xfId="7783" xr:uid="{00000000-0005-0000-0000-00004C0E0000}"/>
    <cellStyle name="20% - Accent3 36 2 4 2" xfId="19071" xr:uid="{00000000-0005-0000-0000-00004D0E0000}"/>
    <cellStyle name="20% - Accent3 36 2 5" xfId="5789" xr:uid="{00000000-0005-0000-0000-00004E0E0000}"/>
    <cellStyle name="20% - Accent3 36 2 5 2" xfId="17077" xr:uid="{00000000-0005-0000-0000-00004F0E0000}"/>
    <cellStyle name="20% - Accent3 36 2 6" xfId="15083" xr:uid="{00000000-0005-0000-0000-0000500E0000}"/>
    <cellStyle name="20% - Accent3 36 3" xfId="10774" xr:uid="{00000000-0005-0000-0000-0000510E0000}"/>
    <cellStyle name="20% - Accent3 36 3 2" xfId="22062" xr:uid="{00000000-0005-0000-0000-0000520E0000}"/>
    <cellStyle name="20% - Accent3 36 4" xfId="8780" xr:uid="{00000000-0005-0000-0000-0000530E0000}"/>
    <cellStyle name="20% - Accent3 36 4 2" xfId="20068" xr:uid="{00000000-0005-0000-0000-0000540E0000}"/>
    <cellStyle name="20% - Accent3 36 5" xfId="6786" xr:uid="{00000000-0005-0000-0000-0000550E0000}"/>
    <cellStyle name="20% - Accent3 36 5 2" xfId="18074" xr:uid="{00000000-0005-0000-0000-0000560E0000}"/>
    <cellStyle name="20% - Accent3 36 6" xfId="4792" xr:uid="{00000000-0005-0000-0000-0000570E0000}"/>
    <cellStyle name="20% - Accent3 36 6 2" xfId="16080" xr:uid="{00000000-0005-0000-0000-0000580E0000}"/>
    <cellStyle name="20% - Accent3 36 7" xfId="14086" xr:uid="{00000000-0005-0000-0000-0000590E0000}"/>
    <cellStyle name="20% - Accent3 36 8" xfId="12772" xr:uid="{00000000-0005-0000-0000-00005A0E0000}"/>
    <cellStyle name="20% - Accent3 37" xfId="837" xr:uid="{00000000-0005-0000-0000-00005B0E0000}"/>
    <cellStyle name="20% - Accent3 37 2" xfId="3793" xr:uid="{00000000-0005-0000-0000-00005C0E0000}"/>
    <cellStyle name="20% - Accent3 37 2 2" xfId="11772" xr:uid="{00000000-0005-0000-0000-00005D0E0000}"/>
    <cellStyle name="20% - Accent3 37 2 2 2" xfId="23060" xr:uid="{00000000-0005-0000-0000-00005E0E0000}"/>
    <cellStyle name="20% - Accent3 37 2 3" xfId="9778" xr:uid="{00000000-0005-0000-0000-00005F0E0000}"/>
    <cellStyle name="20% - Accent3 37 2 3 2" xfId="21066" xr:uid="{00000000-0005-0000-0000-0000600E0000}"/>
    <cellStyle name="20% - Accent3 37 2 4" xfId="7784" xr:uid="{00000000-0005-0000-0000-0000610E0000}"/>
    <cellStyle name="20% - Accent3 37 2 4 2" xfId="19072" xr:uid="{00000000-0005-0000-0000-0000620E0000}"/>
    <cellStyle name="20% - Accent3 37 2 5" xfId="5790" xr:uid="{00000000-0005-0000-0000-0000630E0000}"/>
    <cellStyle name="20% - Accent3 37 2 5 2" xfId="17078" xr:uid="{00000000-0005-0000-0000-0000640E0000}"/>
    <cellStyle name="20% - Accent3 37 2 6" xfId="15084" xr:uid="{00000000-0005-0000-0000-0000650E0000}"/>
    <cellStyle name="20% - Accent3 37 3" xfId="10775" xr:uid="{00000000-0005-0000-0000-0000660E0000}"/>
    <cellStyle name="20% - Accent3 37 3 2" xfId="22063" xr:uid="{00000000-0005-0000-0000-0000670E0000}"/>
    <cellStyle name="20% - Accent3 37 4" xfId="8781" xr:uid="{00000000-0005-0000-0000-0000680E0000}"/>
    <cellStyle name="20% - Accent3 37 4 2" xfId="20069" xr:uid="{00000000-0005-0000-0000-0000690E0000}"/>
    <cellStyle name="20% - Accent3 37 5" xfId="6787" xr:uid="{00000000-0005-0000-0000-00006A0E0000}"/>
    <cellStyle name="20% - Accent3 37 5 2" xfId="18075" xr:uid="{00000000-0005-0000-0000-00006B0E0000}"/>
    <cellStyle name="20% - Accent3 37 6" xfId="4793" xr:uid="{00000000-0005-0000-0000-00006C0E0000}"/>
    <cellStyle name="20% - Accent3 37 6 2" xfId="16081" xr:uid="{00000000-0005-0000-0000-00006D0E0000}"/>
    <cellStyle name="20% - Accent3 37 7" xfId="14087" xr:uid="{00000000-0005-0000-0000-00006E0E0000}"/>
    <cellStyle name="20% - Accent3 37 8" xfId="12773" xr:uid="{00000000-0005-0000-0000-00006F0E0000}"/>
    <cellStyle name="20% - Accent3 38" xfId="838" xr:uid="{00000000-0005-0000-0000-0000700E0000}"/>
    <cellStyle name="20% - Accent3 38 2" xfId="3794" xr:uid="{00000000-0005-0000-0000-0000710E0000}"/>
    <cellStyle name="20% - Accent3 38 2 2" xfId="11773" xr:uid="{00000000-0005-0000-0000-0000720E0000}"/>
    <cellStyle name="20% - Accent3 38 2 2 2" xfId="23061" xr:uid="{00000000-0005-0000-0000-0000730E0000}"/>
    <cellStyle name="20% - Accent3 38 2 3" xfId="9779" xr:uid="{00000000-0005-0000-0000-0000740E0000}"/>
    <cellStyle name="20% - Accent3 38 2 3 2" xfId="21067" xr:uid="{00000000-0005-0000-0000-0000750E0000}"/>
    <cellStyle name="20% - Accent3 38 2 4" xfId="7785" xr:uid="{00000000-0005-0000-0000-0000760E0000}"/>
    <cellStyle name="20% - Accent3 38 2 4 2" xfId="19073" xr:uid="{00000000-0005-0000-0000-0000770E0000}"/>
    <cellStyle name="20% - Accent3 38 2 5" xfId="5791" xr:uid="{00000000-0005-0000-0000-0000780E0000}"/>
    <cellStyle name="20% - Accent3 38 2 5 2" xfId="17079" xr:uid="{00000000-0005-0000-0000-0000790E0000}"/>
    <cellStyle name="20% - Accent3 38 2 6" xfId="15085" xr:uid="{00000000-0005-0000-0000-00007A0E0000}"/>
    <cellStyle name="20% - Accent3 38 3" xfId="10776" xr:uid="{00000000-0005-0000-0000-00007B0E0000}"/>
    <cellStyle name="20% - Accent3 38 3 2" xfId="22064" xr:uid="{00000000-0005-0000-0000-00007C0E0000}"/>
    <cellStyle name="20% - Accent3 38 4" xfId="8782" xr:uid="{00000000-0005-0000-0000-00007D0E0000}"/>
    <cellStyle name="20% - Accent3 38 4 2" xfId="20070" xr:uid="{00000000-0005-0000-0000-00007E0E0000}"/>
    <cellStyle name="20% - Accent3 38 5" xfId="6788" xr:uid="{00000000-0005-0000-0000-00007F0E0000}"/>
    <cellStyle name="20% - Accent3 38 5 2" xfId="18076" xr:uid="{00000000-0005-0000-0000-0000800E0000}"/>
    <cellStyle name="20% - Accent3 38 6" xfId="4794" xr:uid="{00000000-0005-0000-0000-0000810E0000}"/>
    <cellStyle name="20% - Accent3 38 6 2" xfId="16082" xr:uid="{00000000-0005-0000-0000-0000820E0000}"/>
    <cellStyle name="20% - Accent3 38 7" xfId="14088" xr:uid="{00000000-0005-0000-0000-0000830E0000}"/>
    <cellStyle name="20% - Accent3 38 8" xfId="12774" xr:uid="{00000000-0005-0000-0000-0000840E0000}"/>
    <cellStyle name="20% - Accent3 39" xfId="839" xr:uid="{00000000-0005-0000-0000-0000850E0000}"/>
    <cellStyle name="20% - Accent3 39 2" xfId="3795" xr:uid="{00000000-0005-0000-0000-0000860E0000}"/>
    <cellStyle name="20% - Accent3 39 2 2" xfId="11774" xr:uid="{00000000-0005-0000-0000-0000870E0000}"/>
    <cellStyle name="20% - Accent3 39 2 2 2" xfId="23062" xr:uid="{00000000-0005-0000-0000-0000880E0000}"/>
    <cellStyle name="20% - Accent3 39 2 3" xfId="9780" xr:uid="{00000000-0005-0000-0000-0000890E0000}"/>
    <cellStyle name="20% - Accent3 39 2 3 2" xfId="21068" xr:uid="{00000000-0005-0000-0000-00008A0E0000}"/>
    <cellStyle name="20% - Accent3 39 2 4" xfId="7786" xr:uid="{00000000-0005-0000-0000-00008B0E0000}"/>
    <cellStyle name="20% - Accent3 39 2 4 2" xfId="19074" xr:uid="{00000000-0005-0000-0000-00008C0E0000}"/>
    <cellStyle name="20% - Accent3 39 2 5" xfId="5792" xr:uid="{00000000-0005-0000-0000-00008D0E0000}"/>
    <cellStyle name="20% - Accent3 39 2 5 2" xfId="17080" xr:uid="{00000000-0005-0000-0000-00008E0E0000}"/>
    <cellStyle name="20% - Accent3 39 2 6" xfId="15086" xr:uid="{00000000-0005-0000-0000-00008F0E0000}"/>
    <cellStyle name="20% - Accent3 39 3" xfId="10777" xr:uid="{00000000-0005-0000-0000-0000900E0000}"/>
    <cellStyle name="20% - Accent3 39 3 2" xfId="22065" xr:uid="{00000000-0005-0000-0000-0000910E0000}"/>
    <cellStyle name="20% - Accent3 39 4" xfId="8783" xr:uid="{00000000-0005-0000-0000-0000920E0000}"/>
    <cellStyle name="20% - Accent3 39 4 2" xfId="20071" xr:uid="{00000000-0005-0000-0000-0000930E0000}"/>
    <cellStyle name="20% - Accent3 39 5" xfId="6789" xr:uid="{00000000-0005-0000-0000-0000940E0000}"/>
    <cellStyle name="20% - Accent3 39 5 2" xfId="18077" xr:uid="{00000000-0005-0000-0000-0000950E0000}"/>
    <cellStyle name="20% - Accent3 39 6" xfId="4795" xr:uid="{00000000-0005-0000-0000-0000960E0000}"/>
    <cellStyle name="20% - Accent3 39 6 2" xfId="16083" xr:uid="{00000000-0005-0000-0000-0000970E0000}"/>
    <cellStyle name="20% - Accent3 39 7" xfId="14089" xr:uid="{00000000-0005-0000-0000-0000980E0000}"/>
    <cellStyle name="20% - Accent3 39 8" xfId="12775" xr:uid="{00000000-0005-0000-0000-0000990E0000}"/>
    <cellStyle name="20% - Accent3 4" xfId="840" xr:uid="{00000000-0005-0000-0000-00009A0E0000}"/>
    <cellStyle name="20% - Accent3 4 10" xfId="24573" xr:uid="{00000000-0005-0000-0000-00009B0E0000}"/>
    <cellStyle name="20% - Accent3 4 11" xfId="24963" xr:uid="{00000000-0005-0000-0000-00009C0E0000}"/>
    <cellStyle name="20% - Accent3 4 2" xfId="3796" xr:uid="{00000000-0005-0000-0000-00009D0E0000}"/>
    <cellStyle name="20% - Accent3 4 2 2" xfId="11775" xr:uid="{00000000-0005-0000-0000-00009E0E0000}"/>
    <cellStyle name="20% - Accent3 4 2 2 2" xfId="23063" xr:uid="{00000000-0005-0000-0000-00009F0E0000}"/>
    <cellStyle name="20% - Accent3 4 2 3" xfId="9781" xr:uid="{00000000-0005-0000-0000-0000A00E0000}"/>
    <cellStyle name="20% - Accent3 4 2 3 2" xfId="21069" xr:uid="{00000000-0005-0000-0000-0000A10E0000}"/>
    <cellStyle name="20% - Accent3 4 2 4" xfId="7787" xr:uid="{00000000-0005-0000-0000-0000A20E0000}"/>
    <cellStyle name="20% - Accent3 4 2 4 2" xfId="19075" xr:uid="{00000000-0005-0000-0000-0000A30E0000}"/>
    <cellStyle name="20% - Accent3 4 2 5" xfId="5793" xr:uid="{00000000-0005-0000-0000-0000A40E0000}"/>
    <cellStyle name="20% - Accent3 4 2 5 2" xfId="17081" xr:uid="{00000000-0005-0000-0000-0000A50E0000}"/>
    <cellStyle name="20% - Accent3 4 2 6" xfId="15087" xr:uid="{00000000-0005-0000-0000-0000A60E0000}"/>
    <cellStyle name="20% - Accent3 4 2 7" xfId="24334" xr:uid="{00000000-0005-0000-0000-0000A70E0000}"/>
    <cellStyle name="20% - Accent3 4 2 8" xfId="24798" xr:uid="{00000000-0005-0000-0000-0000A80E0000}"/>
    <cellStyle name="20% - Accent3 4 2 9" xfId="25165" xr:uid="{00000000-0005-0000-0000-0000A90E0000}"/>
    <cellStyle name="20% - Accent3 4 3" xfId="10778" xr:uid="{00000000-0005-0000-0000-0000AA0E0000}"/>
    <cellStyle name="20% - Accent3 4 3 2" xfId="22066" xr:uid="{00000000-0005-0000-0000-0000AB0E0000}"/>
    <cellStyle name="20% - Accent3 4 4" xfId="8784" xr:uid="{00000000-0005-0000-0000-0000AC0E0000}"/>
    <cellStyle name="20% - Accent3 4 4 2" xfId="20072" xr:uid="{00000000-0005-0000-0000-0000AD0E0000}"/>
    <cellStyle name="20% - Accent3 4 5" xfId="6790" xr:uid="{00000000-0005-0000-0000-0000AE0E0000}"/>
    <cellStyle name="20% - Accent3 4 5 2" xfId="18078" xr:uid="{00000000-0005-0000-0000-0000AF0E0000}"/>
    <cellStyle name="20% - Accent3 4 6" xfId="4796" xr:uid="{00000000-0005-0000-0000-0000B00E0000}"/>
    <cellStyle name="20% - Accent3 4 6 2" xfId="16084" xr:uid="{00000000-0005-0000-0000-0000B10E0000}"/>
    <cellStyle name="20% - Accent3 4 7" xfId="14090" xr:uid="{00000000-0005-0000-0000-0000B20E0000}"/>
    <cellStyle name="20% - Accent3 4 8" xfId="12776" xr:uid="{00000000-0005-0000-0000-0000B30E0000}"/>
    <cellStyle name="20% - Accent3 4 9" xfId="23946" xr:uid="{00000000-0005-0000-0000-0000B40E0000}"/>
    <cellStyle name="20% - Accent3 40" xfId="841" xr:uid="{00000000-0005-0000-0000-0000B50E0000}"/>
    <cellStyle name="20% - Accent3 40 2" xfId="3797" xr:uid="{00000000-0005-0000-0000-0000B60E0000}"/>
    <cellStyle name="20% - Accent3 40 2 2" xfId="11776" xr:uid="{00000000-0005-0000-0000-0000B70E0000}"/>
    <cellStyle name="20% - Accent3 40 2 2 2" xfId="23064" xr:uid="{00000000-0005-0000-0000-0000B80E0000}"/>
    <cellStyle name="20% - Accent3 40 2 3" xfId="9782" xr:uid="{00000000-0005-0000-0000-0000B90E0000}"/>
    <cellStyle name="20% - Accent3 40 2 3 2" xfId="21070" xr:uid="{00000000-0005-0000-0000-0000BA0E0000}"/>
    <cellStyle name="20% - Accent3 40 2 4" xfId="7788" xr:uid="{00000000-0005-0000-0000-0000BB0E0000}"/>
    <cellStyle name="20% - Accent3 40 2 4 2" xfId="19076" xr:uid="{00000000-0005-0000-0000-0000BC0E0000}"/>
    <cellStyle name="20% - Accent3 40 2 5" xfId="5794" xr:uid="{00000000-0005-0000-0000-0000BD0E0000}"/>
    <cellStyle name="20% - Accent3 40 2 5 2" xfId="17082" xr:uid="{00000000-0005-0000-0000-0000BE0E0000}"/>
    <cellStyle name="20% - Accent3 40 2 6" xfId="15088" xr:uid="{00000000-0005-0000-0000-0000BF0E0000}"/>
    <cellStyle name="20% - Accent3 40 3" xfId="10779" xr:uid="{00000000-0005-0000-0000-0000C00E0000}"/>
    <cellStyle name="20% - Accent3 40 3 2" xfId="22067" xr:uid="{00000000-0005-0000-0000-0000C10E0000}"/>
    <cellStyle name="20% - Accent3 40 4" xfId="8785" xr:uid="{00000000-0005-0000-0000-0000C20E0000}"/>
    <cellStyle name="20% - Accent3 40 4 2" xfId="20073" xr:uid="{00000000-0005-0000-0000-0000C30E0000}"/>
    <cellStyle name="20% - Accent3 40 5" xfId="6791" xr:uid="{00000000-0005-0000-0000-0000C40E0000}"/>
    <cellStyle name="20% - Accent3 40 5 2" xfId="18079" xr:uid="{00000000-0005-0000-0000-0000C50E0000}"/>
    <cellStyle name="20% - Accent3 40 6" xfId="4797" xr:uid="{00000000-0005-0000-0000-0000C60E0000}"/>
    <cellStyle name="20% - Accent3 40 6 2" xfId="16085" xr:uid="{00000000-0005-0000-0000-0000C70E0000}"/>
    <cellStyle name="20% - Accent3 40 7" xfId="14091" xr:uid="{00000000-0005-0000-0000-0000C80E0000}"/>
    <cellStyle name="20% - Accent3 40 8" xfId="12777" xr:uid="{00000000-0005-0000-0000-0000C90E0000}"/>
    <cellStyle name="20% - Accent3 41" xfId="842" xr:uid="{00000000-0005-0000-0000-0000CA0E0000}"/>
    <cellStyle name="20% - Accent3 41 2" xfId="3798" xr:uid="{00000000-0005-0000-0000-0000CB0E0000}"/>
    <cellStyle name="20% - Accent3 41 2 2" xfId="11777" xr:uid="{00000000-0005-0000-0000-0000CC0E0000}"/>
    <cellStyle name="20% - Accent3 41 2 2 2" xfId="23065" xr:uid="{00000000-0005-0000-0000-0000CD0E0000}"/>
    <cellStyle name="20% - Accent3 41 2 3" xfId="9783" xr:uid="{00000000-0005-0000-0000-0000CE0E0000}"/>
    <cellStyle name="20% - Accent3 41 2 3 2" xfId="21071" xr:uid="{00000000-0005-0000-0000-0000CF0E0000}"/>
    <cellStyle name="20% - Accent3 41 2 4" xfId="7789" xr:uid="{00000000-0005-0000-0000-0000D00E0000}"/>
    <cellStyle name="20% - Accent3 41 2 4 2" xfId="19077" xr:uid="{00000000-0005-0000-0000-0000D10E0000}"/>
    <cellStyle name="20% - Accent3 41 2 5" xfId="5795" xr:uid="{00000000-0005-0000-0000-0000D20E0000}"/>
    <cellStyle name="20% - Accent3 41 2 5 2" xfId="17083" xr:uid="{00000000-0005-0000-0000-0000D30E0000}"/>
    <cellStyle name="20% - Accent3 41 2 6" xfId="15089" xr:uid="{00000000-0005-0000-0000-0000D40E0000}"/>
    <cellStyle name="20% - Accent3 41 3" xfId="10780" xr:uid="{00000000-0005-0000-0000-0000D50E0000}"/>
    <cellStyle name="20% - Accent3 41 3 2" xfId="22068" xr:uid="{00000000-0005-0000-0000-0000D60E0000}"/>
    <cellStyle name="20% - Accent3 41 4" xfId="8786" xr:uid="{00000000-0005-0000-0000-0000D70E0000}"/>
    <cellStyle name="20% - Accent3 41 4 2" xfId="20074" xr:uid="{00000000-0005-0000-0000-0000D80E0000}"/>
    <cellStyle name="20% - Accent3 41 5" xfId="6792" xr:uid="{00000000-0005-0000-0000-0000D90E0000}"/>
    <cellStyle name="20% - Accent3 41 5 2" xfId="18080" xr:uid="{00000000-0005-0000-0000-0000DA0E0000}"/>
    <cellStyle name="20% - Accent3 41 6" xfId="4798" xr:uid="{00000000-0005-0000-0000-0000DB0E0000}"/>
    <cellStyle name="20% - Accent3 41 6 2" xfId="16086" xr:uid="{00000000-0005-0000-0000-0000DC0E0000}"/>
    <cellStyle name="20% - Accent3 41 7" xfId="14092" xr:uid="{00000000-0005-0000-0000-0000DD0E0000}"/>
    <cellStyle name="20% - Accent3 41 8" xfId="12778" xr:uid="{00000000-0005-0000-0000-0000DE0E0000}"/>
    <cellStyle name="20% - Accent3 42" xfId="843" xr:uid="{00000000-0005-0000-0000-0000DF0E0000}"/>
    <cellStyle name="20% - Accent3 42 2" xfId="3799" xr:uid="{00000000-0005-0000-0000-0000E00E0000}"/>
    <cellStyle name="20% - Accent3 42 2 2" xfId="11778" xr:uid="{00000000-0005-0000-0000-0000E10E0000}"/>
    <cellStyle name="20% - Accent3 42 2 2 2" xfId="23066" xr:uid="{00000000-0005-0000-0000-0000E20E0000}"/>
    <cellStyle name="20% - Accent3 42 2 3" xfId="9784" xr:uid="{00000000-0005-0000-0000-0000E30E0000}"/>
    <cellStyle name="20% - Accent3 42 2 3 2" xfId="21072" xr:uid="{00000000-0005-0000-0000-0000E40E0000}"/>
    <cellStyle name="20% - Accent3 42 2 4" xfId="7790" xr:uid="{00000000-0005-0000-0000-0000E50E0000}"/>
    <cellStyle name="20% - Accent3 42 2 4 2" xfId="19078" xr:uid="{00000000-0005-0000-0000-0000E60E0000}"/>
    <cellStyle name="20% - Accent3 42 2 5" xfId="5796" xr:uid="{00000000-0005-0000-0000-0000E70E0000}"/>
    <cellStyle name="20% - Accent3 42 2 5 2" xfId="17084" xr:uid="{00000000-0005-0000-0000-0000E80E0000}"/>
    <cellStyle name="20% - Accent3 42 2 6" xfId="15090" xr:uid="{00000000-0005-0000-0000-0000E90E0000}"/>
    <cellStyle name="20% - Accent3 42 3" xfId="10781" xr:uid="{00000000-0005-0000-0000-0000EA0E0000}"/>
    <cellStyle name="20% - Accent3 42 3 2" xfId="22069" xr:uid="{00000000-0005-0000-0000-0000EB0E0000}"/>
    <cellStyle name="20% - Accent3 42 4" xfId="8787" xr:uid="{00000000-0005-0000-0000-0000EC0E0000}"/>
    <cellStyle name="20% - Accent3 42 4 2" xfId="20075" xr:uid="{00000000-0005-0000-0000-0000ED0E0000}"/>
    <cellStyle name="20% - Accent3 42 5" xfId="6793" xr:uid="{00000000-0005-0000-0000-0000EE0E0000}"/>
    <cellStyle name="20% - Accent3 42 5 2" xfId="18081" xr:uid="{00000000-0005-0000-0000-0000EF0E0000}"/>
    <cellStyle name="20% - Accent3 42 6" xfId="4799" xr:uid="{00000000-0005-0000-0000-0000F00E0000}"/>
    <cellStyle name="20% - Accent3 42 6 2" xfId="16087" xr:uid="{00000000-0005-0000-0000-0000F10E0000}"/>
    <cellStyle name="20% - Accent3 42 7" xfId="14093" xr:uid="{00000000-0005-0000-0000-0000F20E0000}"/>
    <cellStyle name="20% - Accent3 42 8" xfId="12779" xr:uid="{00000000-0005-0000-0000-0000F30E0000}"/>
    <cellStyle name="20% - Accent3 43" xfId="844" xr:uid="{00000000-0005-0000-0000-0000F40E0000}"/>
    <cellStyle name="20% - Accent3 43 2" xfId="3800" xr:uid="{00000000-0005-0000-0000-0000F50E0000}"/>
    <cellStyle name="20% - Accent3 43 2 2" xfId="11779" xr:uid="{00000000-0005-0000-0000-0000F60E0000}"/>
    <cellStyle name="20% - Accent3 43 2 2 2" xfId="23067" xr:uid="{00000000-0005-0000-0000-0000F70E0000}"/>
    <cellStyle name="20% - Accent3 43 2 3" xfId="9785" xr:uid="{00000000-0005-0000-0000-0000F80E0000}"/>
    <cellStyle name="20% - Accent3 43 2 3 2" xfId="21073" xr:uid="{00000000-0005-0000-0000-0000F90E0000}"/>
    <cellStyle name="20% - Accent3 43 2 4" xfId="7791" xr:uid="{00000000-0005-0000-0000-0000FA0E0000}"/>
    <cellStyle name="20% - Accent3 43 2 4 2" xfId="19079" xr:uid="{00000000-0005-0000-0000-0000FB0E0000}"/>
    <cellStyle name="20% - Accent3 43 2 5" xfId="5797" xr:uid="{00000000-0005-0000-0000-0000FC0E0000}"/>
    <cellStyle name="20% - Accent3 43 2 5 2" xfId="17085" xr:uid="{00000000-0005-0000-0000-0000FD0E0000}"/>
    <cellStyle name="20% - Accent3 43 2 6" xfId="15091" xr:uid="{00000000-0005-0000-0000-0000FE0E0000}"/>
    <cellStyle name="20% - Accent3 43 3" xfId="10782" xr:uid="{00000000-0005-0000-0000-0000FF0E0000}"/>
    <cellStyle name="20% - Accent3 43 3 2" xfId="22070" xr:uid="{00000000-0005-0000-0000-0000000F0000}"/>
    <cellStyle name="20% - Accent3 43 4" xfId="8788" xr:uid="{00000000-0005-0000-0000-0000010F0000}"/>
    <cellStyle name="20% - Accent3 43 4 2" xfId="20076" xr:uid="{00000000-0005-0000-0000-0000020F0000}"/>
    <cellStyle name="20% - Accent3 43 5" xfId="6794" xr:uid="{00000000-0005-0000-0000-0000030F0000}"/>
    <cellStyle name="20% - Accent3 43 5 2" xfId="18082" xr:uid="{00000000-0005-0000-0000-0000040F0000}"/>
    <cellStyle name="20% - Accent3 43 6" xfId="4800" xr:uid="{00000000-0005-0000-0000-0000050F0000}"/>
    <cellStyle name="20% - Accent3 43 6 2" xfId="16088" xr:uid="{00000000-0005-0000-0000-0000060F0000}"/>
    <cellStyle name="20% - Accent3 43 7" xfId="14094" xr:uid="{00000000-0005-0000-0000-0000070F0000}"/>
    <cellStyle name="20% - Accent3 43 8" xfId="12780" xr:uid="{00000000-0005-0000-0000-0000080F0000}"/>
    <cellStyle name="20% - Accent3 44" xfId="845" xr:uid="{00000000-0005-0000-0000-0000090F0000}"/>
    <cellStyle name="20% - Accent3 44 2" xfId="3801" xr:uid="{00000000-0005-0000-0000-00000A0F0000}"/>
    <cellStyle name="20% - Accent3 44 2 2" xfId="11780" xr:uid="{00000000-0005-0000-0000-00000B0F0000}"/>
    <cellStyle name="20% - Accent3 44 2 2 2" xfId="23068" xr:uid="{00000000-0005-0000-0000-00000C0F0000}"/>
    <cellStyle name="20% - Accent3 44 2 3" xfId="9786" xr:uid="{00000000-0005-0000-0000-00000D0F0000}"/>
    <cellStyle name="20% - Accent3 44 2 3 2" xfId="21074" xr:uid="{00000000-0005-0000-0000-00000E0F0000}"/>
    <cellStyle name="20% - Accent3 44 2 4" xfId="7792" xr:uid="{00000000-0005-0000-0000-00000F0F0000}"/>
    <cellStyle name="20% - Accent3 44 2 4 2" xfId="19080" xr:uid="{00000000-0005-0000-0000-0000100F0000}"/>
    <cellStyle name="20% - Accent3 44 2 5" xfId="5798" xr:uid="{00000000-0005-0000-0000-0000110F0000}"/>
    <cellStyle name="20% - Accent3 44 2 5 2" xfId="17086" xr:uid="{00000000-0005-0000-0000-0000120F0000}"/>
    <cellStyle name="20% - Accent3 44 2 6" xfId="15092" xr:uid="{00000000-0005-0000-0000-0000130F0000}"/>
    <cellStyle name="20% - Accent3 44 3" xfId="10783" xr:uid="{00000000-0005-0000-0000-0000140F0000}"/>
    <cellStyle name="20% - Accent3 44 3 2" xfId="22071" xr:uid="{00000000-0005-0000-0000-0000150F0000}"/>
    <cellStyle name="20% - Accent3 44 4" xfId="8789" xr:uid="{00000000-0005-0000-0000-0000160F0000}"/>
    <cellStyle name="20% - Accent3 44 4 2" xfId="20077" xr:uid="{00000000-0005-0000-0000-0000170F0000}"/>
    <cellStyle name="20% - Accent3 44 5" xfId="6795" xr:uid="{00000000-0005-0000-0000-0000180F0000}"/>
    <cellStyle name="20% - Accent3 44 5 2" xfId="18083" xr:uid="{00000000-0005-0000-0000-0000190F0000}"/>
    <cellStyle name="20% - Accent3 44 6" xfId="4801" xr:uid="{00000000-0005-0000-0000-00001A0F0000}"/>
    <cellStyle name="20% - Accent3 44 6 2" xfId="16089" xr:uid="{00000000-0005-0000-0000-00001B0F0000}"/>
    <cellStyle name="20% - Accent3 44 7" xfId="14095" xr:uid="{00000000-0005-0000-0000-00001C0F0000}"/>
    <cellStyle name="20% - Accent3 44 8" xfId="12781" xr:uid="{00000000-0005-0000-0000-00001D0F0000}"/>
    <cellStyle name="20% - Accent3 45" xfId="846" xr:uid="{00000000-0005-0000-0000-00001E0F0000}"/>
    <cellStyle name="20% - Accent3 45 2" xfId="3802" xr:uid="{00000000-0005-0000-0000-00001F0F0000}"/>
    <cellStyle name="20% - Accent3 45 2 2" xfId="11781" xr:uid="{00000000-0005-0000-0000-0000200F0000}"/>
    <cellStyle name="20% - Accent3 45 2 2 2" xfId="23069" xr:uid="{00000000-0005-0000-0000-0000210F0000}"/>
    <cellStyle name="20% - Accent3 45 2 3" xfId="9787" xr:uid="{00000000-0005-0000-0000-0000220F0000}"/>
    <cellStyle name="20% - Accent3 45 2 3 2" xfId="21075" xr:uid="{00000000-0005-0000-0000-0000230F0000}"/>
    <cellStyle name="20% - Accent3 45 2 4" xfId="7793" xr:uid="{00000000-0005-0000-0000-0000240F0000}"/>
    <cellStyle name="20% - Accent3 45 2 4 2" xfId="19081" xr:uid="{00000000-0005-0000-0000-0000250F0000}"/>
    <cellStyle name="20% - Accent3 45 2 5" xfId="5799" xr:uid="{00000000-0005-0000-0000-0000260F0000}"/>
    <cellStyle name="20% - Accent3 45 2 5 2" xfId="17087" xr:uid="{00000000-0005-0000-0000-0000270F0000}"/>
    <cellStyle name="20% - Accent3 45 2 6" xfId="15093" xr:uid="{00000000-0005-0000-0000-0000280F0000}"/>
    <cellStyle name="20% - Accent3 45 3" xfId="10784" xr:uid="{00000000-0005-0000-0000-0000290F0000}"/>
    <cellStyle name="20% - Accent3 45 3 2" xfId="22072" xr:uid="{00000000-0005-0000-0000-00002A0F0000}"/>
    <cellStyle name="20% - Accent3 45 4" xfId="8790" xr:uid="{00000000-0005-0000-0000-00002B0F0000}"/>
    <cellStyle name="20% - Accent3 45 4 2" xfId="20078" xr:uid="{00000000-0005-0000-0000-00002C0F0000}"/>
    <cellStyle name="20% - Accent3 45 5" xfId="6796" xr:uid="{00000000-0005-0000-0000-00002D0F0000}"/>
    <cellStyle name="20% - Accent3 45 5 2" xfId="18084" xr:uid="{00000000-0005-0000-0000-00002E0F0000}"/>
    <cellStyle name="20% - Accent3 45 6" xfId="4802" xr:uid="{00000000-0005-0000-0000-00002F0F0000}"/>
    <cellStyle name="20% - Accent3 45 6 2" xfId="16090" xr:uid="{00000000-0005-0000-0000-0000300F0000}"/>
    <cellStyle name="20% - Accent3 45 7" xfId="14096" xr:uid="{00000000-0005-0000-0000-0000310F0000}"/>
    <cellStyle name="20% - Accent3 45 8" xfId="12782" xr:uid="{00000000-0005-0000-0000-0000320F0000}"/>
    <cellStyle name="20% - Accent3 46" xfId="847" xr:uid="{00000000-0005-0000-0000-0000330F0000}"/>
    <cellStyle name="20% - Accent3 46 2" xfId="3803" xr:uid="{00000000-0005-0000-0000-0000340F0000}"/>
    <cellStyle name="20% - Accent3 46 2 2" xfId="11782" xr:uid="{00000000-0005-0000-0000-0000350F0000}"/>
    <cellStyle name="20% - Accent3 46 2 2 2" xfId="23070" xr:uid="{00000000-0005-0000-0000-0000360F0000}"/>
    <cellStyle name="20% - Accent3 46 2 3" xfId="9788" xr:uid="{00000000-0005-0000-0000-0000370F0000}"/>
    <cellStyle name="20% - Accent3 46 2 3 2" xfId="21076" xr:uid="{00000000-0005-0000-0000-0000380F0000}"/>
    <cellStyle name="20% - Accent3 46 2 4" xfId="7794" xr:uid="{00000000-0005-0000-0000-0000390F0000}"/>
    <cellStyle name="20% - Accent3 46 2 4 2" xfId="19082" xr:uid="{00000000-0005-0000-0000-00003A0F0000}"/>
    <cellStyle name="20% - Accent3 46 2 5" xfId="5800" xr:uid="{00000000-0005-0000-0000-00003B0F0000}"/>
    <cellStyle name="20% - Accent3 46 2 5 2" xfId="17088" xr:uid="{00000000-0005-0000-0000-00003C0F0000}"/>
    <cellStyle name="20% - Accent3 46 2 6" xfId="15094" xr:uid="{00000000-0005-0000-0000-00003D0F0000}"/>
    <cellStyle name="20% - Accent3 46 3" xfId="10785" xr:uid="{00000000-0005-0000-0000-00003E0F0000}"/>
    <cellStyle name="20% - Accent3 46 3 2" xfId="22073" xr:uid="{00000000-0005-0000-0000-00003F0F0000}"/>
    <cellStyle name="20% - Accent3 46 4" xfId="8791" xr:uid="{00000000-0005-0000-0000-0000400F0000}"/>
    <cellStyle name="20% - Accent3 46 4 2" xfId="20079" xr:uid="{00000000-0005-0000-0000-0000410F0000}"/>
    <cellStyle name="20% - Accent3 46 5" xfId="6797" xr:uid="{00000000-0005-0000-0000-0000420F0000}"/>
    <cellStyle name="20% - Accent3 46 5 2" xfId="18085" xr:uid="{00000000-0005-0000-0000-0000430F0000}"/>
    <cellStyle name="20% - Accent3 46 6" xfId="4803" xr:uid="{00000000-0005-0000-0000-0000440F0000}"/>
    <cellStyle name="20% - Accent3 46 6 2" xfId="16091" xr:uid="{00000000-0005-0000-0000-0000450F0000}"/>
    <cellStyle name="20% - Accent3 46 7" xfId="14097" xr:uid="{00000000-0005-0000-0000-0000460F0000}"/>
    <cellStyle name="20% - Accent3 46 8" xfId="12783" xr:uid="{00000000-0005-0000-0000-0000470F0000}"/>
    <cellStyle name="20% - Accent3 47" xfId="848" xr:uid="{00000000-0005-0000-0000-0000480F0000}"/>
    <cellStyle name="20% - Accent3 47 2" xfId="3804" xr:uid="{00000000-0005-0000-0000-0000490F0000}"/>
    <cellStyle name="20% - Accent3 47 2 2" xfId="11783" xr:uid="{00000000-0005-0000-0000-00004A0F0000}"/>
    <cellStyle name="20% - Accent3 47 2 2 2" xfId="23071" xr:uid="{00000000-0005-0000-0000-00004B0F0000}"/>
    <cellStyle name="20% - Accent3 47 2 3" xfId="9789" xr:uid="{00000000-0005-0000-0000-00004C0F0000}"/>
    <cellStyle name="20% - Accent3 47 2 3 2" xfId="21077" xr:uid="{00000000-0005-0000-0000-00004D0F0000}"/>
    <cellStyle name="20% - Accent3 47 2 4" xfId="7795" xr:uid="{00000000-0005-0000-0000-00004E0F0000}"/>
    <cellStyle name="20% - Accent3 47 2 4 2" xfId="19083" xr:uid="{00000000-0005-0000-0000-00004F0F0000}"/>
    <cellStyle name="20% - Accent3 47 2 5" xfId="5801" xr:uid="{00000000-0005-0000-0000-0000500F0000}"/>
    <cellStyle name="20% - Accent3 47 2 5 2" xfId="17089" xr:uid="{00000000-0005-0000-0000-0000510F0000}"/>
    <cellStyle name="20% - Accent3 47 2 6" xfId="15095" xr:uid="{00000000-0005-0000-0000-0000520F0000}"/>
    <cellStyle name="20% - Accent3 47 3" xfId="10786" xr:uid="{00000000-0005-0000-0000-0000530F0000}"/>
    <cellStyle name="20% - Accent3 47 3 2" xfId="22074" xr:uid="{00000000-0005-0000-0000-0000540F0000}"/>
    <cellStyle name="20% - Accent3 47 4" xfId="8792" xr:uid="{00000000-0005-0000-0000-0000550F0000}"/>
    <cellStyle name="20% - Accent3 47 4 2" xfId="20080" xr:uid="{00000000-0005-0000-0000-0000560F0000}"/>
    <cellStyle name="20% - Accent3 47 5" xfId="6798" xr:uid="{00000000-0005-0000-0000-0000570F0000}"/>
    <cellStyle name="20% - Accent3 47 5 2" xfId="18086" xr:uid="{00000000-0005-0000-0000-0000580F0000}"/>
    <cellStyle name="20% - Accent3 47 6" xfId="4804" xr:uid="{00000000-0005-0000-0000-0000590F0000}"/>
    <cellStyle name="20% - Accent3 47 6 2" xfId="16092" xr:uid="{00000000-0005-0000-0000-00005A0F0000}"/>
    <cellStyle name="20% - Accent3 47 7" xfId="14098" xr:uid="{00000000-0005-0000-0000-00005B0F0000}"/>
    <cellStyle name="20% - Accent3 47 8" xfId="12784" xr:uid="{00000000-0005-0000-0000-00005C0F0000}"/>
    <cellStyle name="20% - Accent3 48" xfId="849" xr:uid="{00000000-0005-0000-0000-00005D0F0000}"/>
    <cellStyle name="20% - Accent3 48 2" xfId="3805" xr:uid="{00000000-0005-0000-0000-00005E0F0000}"/>
    <cellStyle name="20% - Accent3 48 2 2" xfId="11784" xr:uid="{00000000-0005-0000-0000-00005F0F0000}"/>
    <cellStyle name="20% - Accent3 48 2 2 2" xfId="23072" xr:uid="{00000000-0005-0000-0000-0000600F0000}"/>
    <cellStyle name="20% - Accent3 48 2 3" xfId="9790" xr:uid="{00000000-0005-0000-0000-0000610F0000}"/>
    <cellStyle name="20% - Accent3 48 2 3 2" xfId="21078" xr:uid="{00000000-0005-0000-0000-0000620F0000}"/>
    <cellStyle name="20% - Accent3 48 2 4" xfId="7796" xr:uid="{00000000-0005-0000-0000-0000630F0000}"/>
    <cellStyle name="20% - Accent3 48 2 4 2" xfId="19084" xr:uid="{00000000-0005-0000-0000-0000640F0000}"/>
    <cellStyle name="20% - Accent3 48 2 5" xfId="5802" xr:uid="{00000000-0005-0000-0000-0000650F0000}"/>
    <cellStyle name="20% - Accent3 48 2 5 2" xfId="17090" xr:uid="{00000000-0005-0000-0000-0000660F0000}"/>
    <cellStyle name="20% - Accent3 48 2 6" xfId="15096" xr:uid="{00000000-0005-0000-0000-0000670F0000}"/>
    <cellStyle name="20% - Accent3 48 3" xfId="10787" xr:uid="{00000000-0005-0000-0000-0000680F0000}"/>
    <cellStyle name="20% - Accent3 48 3 2" xfId="22075" xr:uid="{00000000-0005-0000-0000-0000690F0000}"/>
    <cellStyle name="20% - Accent3 48 4" xfId="8793" xr:uid="{00000000-0005-0000-0000-00006A0F0000}"/>
    <cellStyle name="20% - Accent3 48 4 2" xfId="20081" xr:uid="{00000000-0005-0000-0000-00006B0F0000}"/>
    <cellStyle name="20% - Accent3 48 5" xfId="6799" xr:uid="{00000000-0005-0000-0000-00006C0F0000}"/>
    <cellStyle name="20% - Accent3 48 5 2" xfId="18087" xr:uid="{00000000-0005-0000-0000-00006D0F0000}"/>
    <cellStyle name="20% - Accent3 48 6" xfId="4805" xr:uid="{00000000-0005-0000-0000-00006E0F0000}"/>
    <cellStyle name="20% - Accent3 48 6 2" xfId="16093" xr:uid="{00000000-0005-0000-0000-00006F0F0000}"/>
    <cellStyle name="20% - Accent3 48 7" xfId="14099" xr:uid="{00000000-0005-0000-0000-0000700F0000}"/>
    <cellStyle name="20% - Accent3 48 8" xfId="12785" xr:uid="{00000000-0005-0000-0000-0000710F0000}"/>
    <cellStyle name="20% - Accent3 49" xfId="850" xr:uid="{00000000-0005-0000-0000-0000720F0000}"/>
    <cellStyle name="20% - Accent3 49 2" xfId="3806" xr:uid="{00000000-0005-0000-0000-0000730F0000}"/>
    <cellStyle name="20% - Accent3 49 2 2" xfId="11785" xr:uid="{00000000-0005-0000-0000-0000740F0000}"/>
    <cellStyle name="20% - Accent3 49 2 2 2" xfId="23073" xr:uid="{00000000-0005-0000-0000-0000750F0000}"/>
    <cellStyle name="20% - Accent3 49 2 3" xfId="9791" xr:uid="{00000000-0005-0000-0000-0000760F0000}"/>
    <cellStyle name="20% - Accent3 49 2 3 2" xfId="21079" xr:uid="{00000000-0005-0000-0000-0000770F0000}"/>
    <cellStyle name="20% - Accent3 49 2 4" xfId="7797" xr:uid="{00000000-0005-0000-0000-0000780F0000}"/>
    <cellStyle name="20% - Accent3 49 2 4 2" xfId="19085" xr:uid="{00000000-0005-0000-0000-0000790F0000}"/>
    <cellStyle name="20% - Accent3 49 2 5" xfId="5803" xr:uid="{00000000-0005-0000-0000-00007A0F0000}"/>
    <cellStyle name="20% - Accent3 49 2 5 2" xfId="17091" xr:uid="{00000000-0005-0000-0000-00007B0F0000}"/>
    <cellStyle name="20% - Accent3 49 2 6" xfId="15097" xr:uid="{00000000-0005-0000-0000-00007C0F0000}"/>
    <cellStyle name="20% - Accent3 49 3" xfId="10788" xr:uid="{00000000-0005-0000-0000-00007D0F0000}"/>
    <cellStyle name="20% - Accent3 49 3 2" xfId="22076" xr:uid="{00000000-0005-0000-0000-00007E0F0000}"/>
    <cellStyle name="20% - Accent3 49 4" xfId="8794" xr:uid="{00000000-0005-0000-0000-00007F0F0000}"/>
    <cellStyle name="20% - Accent3 49 4 2" xfId="20082" xr:uid="{00000000-0005-0000-0000-0000800F0000}"/>
    <cellStyle name="20% - Accent3 49 5" xfId="6800" xr:uid="{00000000-0005-0000-0000-0000810F0000}"/>
    <cellStyle name="20% - Accent3 49 5 2" xfId="18088" xr:uid="{00000000-0005-0000-0000-0000820F0000}"/>
    <cellStyle name="20% - Accent3 49 6" xfId="4806" xr:uid="{00000000-0005-0000-0000-0000830F0000}"/>
    <cellStyle name="20% - Accent3 49 6 2" xfId="16094" xr:uid="{00000000-0005-0000-0000-0000840F0000}"/>
    <cellStyle name="20% - Accent3 49 7" xfId="14100" xr:uid="{00000000-0005-0000-0000-0000850F0000}"/>
    <cellStyle name="20% - Accent3 49 8" xfId="12786" xr:uid="{00000000-0005-0000-0000-0000860F0000}"/>
    <cellStyle name="20% - Accent3 5" xfId="851" xr:uid="{00000000-0005-0000-0000-0000870F0000}"/>
    <cellStyle name="20% - Accent3 5 10" xfId="24574" xr:uid="{00000000-0005-0000-0000-0000880F0000}"/>
    <cellStyle name="20% - Accent3 5 11" xfId="24964" xr:uid="{00000000-0005-0000-0000-0000890F0000}"/>
    <cellStyle name="20% - Accent3 5 2" xfId="3807" xr:uid="{00000000-0005-0000-0000-00008A0F0000}"/>
    <cellStyle name="20% - Accent3 5 2 2" xfId="11786" xr:uid="{00000000-0005-0000-0000-00008B0F0000}"/>
    <cellStyle name="20% - Accent3 5 2 2 2" xfId="23074" xr:uid="{00000000-0005-0000-0000-00008C0F0000}"/>
    <cellStyle name="20% - Accent3 5 2 3" xfId="9792" xr:uid="{00000000-0005-0000-0000-00008D0F0000}"/>
    <cellStyle name="20% - Accent3 5 2 3 2" xfId="21080" xr:uid="{00000000-0005-0000-0000-00008E0F0000}"/>
    <cellStyle name="20% - Accent3 5 2 4" xfId="7798" xr:uid="{00000000-0005-0000-0000-00008F0F0000}"/>
    <cellStyle name="20% - Accent3 5 2 4 2" xfId="19086" xr:uid="{00000000-0005-0000-0000-0000900F0000}"/>
    <cellStyle name="20% - Accent3 5 2 5" xfId="5804" xr:uid="{00000000-0005-0000-0000-0000910F0000}"/>
    <cellStyle name="20% - Accent3 5 2 5 2" xfId="17092" xr:uid="{00000000-0005-0000-0000-0000920F0000}"/>
    <cellStyle name="20% - Accent3 5 2 6" xfId="15098" xr:uid="{00000000-0005-0000-0000-0000930F0000}"/>
    <cellStyle name="20% - Accent3 5 2 7" xfId="24335" xr:uid="{00000000-0005-0000-0000-0000940F0000}"/>
    <cellStyle name="20% - Accent3 5 2 8" xfId="24799" xr:uid="{00000000-0005-0000-0000-0000950F0000}"/>
    <cellStyle name="20% - Accent3 5 2 9" xfId="25166" xr:uid="{00000000-0005-0000-0000-0000960F0000}"/>
    <cellStyle name="20% - Accent3 5 3" xfId="10789" xr:uid="{00000000-0005-0000-0000-0000970F0000}"/>
    <cellStyle name="20% - Accent3 5 3 2" xfId="22077" xr:uid="{00000000-0005-0000-0000-0000980F0000}"/>
    <cellStyle name="20% - Accent3 5 4" xfId="8795" xr:uid="{00000000-0005-0000-0000-0000990F0000}"/>
    <cellStyle name="20% - Accent3 5 4 2" xfId="20083" xr:uid="{00000000-0005-0000-0000-00009A0F0000}"/>
    <cellStyle name="20% - Accent3 5 5" xfId="6801" xr:uid="{00000000-0005-0000-0000-00009B0F0000}"/>
    <cellStyle name="20% - Accent3 5 5 2" xfId="18089" xr:uid="{00000000-0005-0000-0000-00009C0F0000}"/>
    <cellStyle name="20% - Accent3 5 6" xfId="4807" xr:uid="{00000000-0005-0000-0000-00009D0F0000}"/>
    <cellStyle name="20% - Accent3 5 6 2" xfId="16095" xr:uid="{00000000-0005-0000-0000-00009E0F0000}"/>
    <cellStyle name="20% - Accent3 5 7" xfId="14101" xr:uid="{00000000-0005-0000-0000-00009F0F0000}"/>
    <cellStyle name="20% - Accent3 5 8" xfId="12787" xr:uid="{00000000-0005-0000-0000-0000A00F0000}"/>
    <cellStyle name="20% - Accent3 5 9" xfId="23947" xr:uid="{00000000-0005-0000-0000-0000A10F0000}"/>
    <cellStyle name="20% - Accent3 50" xfId="852" xr:uid="{00000000-0005-0000-0000-0000A20F0000}"/>
    <cellStyle name="20% - Accent3 50 2" xfId="3808" xr:uid="{00000000-0005-0000-0000-0000A30F0000}"/>
    <cellStyle name="20% - Accent3 50 2 2" xfId="11787" xr:uid="{00000000-0005-0000-0000-0000A40F0000}"/>
    <cellStyle name="20% - Accent3 50 2 2 2" xfId="23075" xr:uid="{00000000-0005-0000-0000-0000A50F0000}"/>
    <cellStyle name="20% - Accent3 50 2 3" xfId="9793" xr:uid="{00000000-0005-0000-0000-0000A60F0000}"/>
    <cellStyle name="20% - Accent3 50 2 3 2" xfId="21081" xr:uid="{00000000-0005-0000-0000-0000A70F0000}"/>
    <cellStyle name="20% - Accent3 50 2 4" xfId="7799" xr:uid="{00000000-0005-0000-0000-0000A80F0000}"/>
    <cellStyle name="20% - Accent3 50 2 4 2" xfId="19087" xr:uid="{00000000-0005-0000-0000-0000A90F0000}"/>
    <cellStyle name="20% - Accent3 50 2 5" xfId="5805" xr:uid="{00000000-0005-0000-0000-0000AA0F0000}"/>
    <cellStyle name="20% - Accent3 50 2 5 2" xfId="17093" xr:uid="{00000000-0005-0000-0000-0000AB0F0000}"/>
    <cellStyle name="20% - Accent3 50 2 6" xfId="15099" xr:uid="{00000000-0005-0000-0000-0000AC0F0000}"/>
    <cellStyle name="20% - Accent3 50 3" xfId="10790" xr:uid="{00000000-0005-0000-0000-0000AD0F0000}"/>
    <cellStyle name="20% - Accent3 50 3 2" xfId="22078" xr:uid="{00000000-0005-0000-0000-0000AE0F0000}"/>
    <cellStyle name="20% - Accent3 50 4" xfId="8796" xr:uid="{00000000-0005-0000-0000-0000AF0F0000}"/>
    <cellStyle name="20% - Accent3 50 4 2" xfId="20084" xr:uid="{00000000-0005-0000-0000-0000B00F0000}"/>
    <cellStyle name="20% - Accent3 50 5" xfId="6802" xr:uid="{00000000-0005-0000-0000-0000B10F0000}"/>
    <cellStyle name="20% - Accent3 50 5 2" xfId="18090" xr:uid="{00000000-0005-0000-0000-0000B20F0000}"/>
    <cellStyle name="20% - Accent3 50 6" xfId="4808" xr:uid="{00000000-0005-0000-0000-0000B30F0000}"/>
    <cellStyle name="20% - Accent3 50 6 2" xfId="16096" xr:uid="{00000000-0005-0000-0000-0000B40F0000}"/>
    <cellStyle name="20% - Accent3 50 7" xfId="14102" xr:uid="{00000000-0005-0000-0000-0000B50F0000}"/>
    <cellStyle name="20% - Accent3 50 8" xfId="12788" xr:uid="{00000000-0005-0000-0000-0000B60F0000}"/>
    <cellStyle name="20% - Accent3 51" xfId="853" xr:uid="{00000000-0005-0000-0000-0000B70F0000}"/>
    <cellStyle name="20% - Accent3 51 2" xfId="3809" xr:uid="{00000000-0005-0000-0000-0000B80F0000}"/>
    <cellStyle name="20% - Accent3 51 2 2" xfId="11788" xr:uid="{00000000-0005-0000-0000-0000B90F0000}"/>
    <cellStyle name="20% - Accent3 51 2 2 2" xfId="23076" xr:uid="{00000000-0005-0000-0000-0000BA0F0000}"/>
    <cellStyle name="20% - Accent3 51 2 3" xfId="9794" xr:uid="{00000000-0005-0000-0000-0000BB0F0000}"/>
    <cellStyle name="20% - Accent3 51 2 3 2" xfId="21082" xr:uid="{00000000-0005-0000-0000-0000BC0F0000}"/>
    <cellStyle name="20% - Accent3 51 2 4" xfId="7800" xr:uid="{00000000-0005-0000-0000-0000BD0F0000}"/>
    <cellStyle name="20% - Accent3 51 2 4 2" xfId="19088" xr:uid="{00000000-0005-0000-0000-0000BE0F0000}"/>
    <cellStyle name="20% - Accent3 51 2 5" xfId="5806" xr:uid="{00000000-0005-0000-0000-0000BF0F0000}"/>
    <cellStyle name="20% - Accent3 51 2 5 2" xfId="17094" xr:uid="{00000000-0005-0000-0000-0000C00F0000}"/>
    <cellStyle name="20% - Accent3 51 2 6" xfId="15100" xr:uid="{00000000-0005-0000-0000-0000C10F0000}"/>
    <cellStyle name="20% - Accent3 51 3" xfId="10791" xr:uid="{00000000-0005-0000-0000-0000C20F0000}"/>
    <cellStyle name="20% - Accent3 51 3 2" xfId="22079" xr:uid="{00000000-0005-0000-0000-0000C30F0000}"/>
    <cellStyle name="20% - Accent3 51 4" xfId="8797" xr:uid="{00000000-0005-0000-0000-0000C40F0000}"/>
    <cellStyle name="20% - Accent3 51 4 2" xfId="20085" xr:uid="{00000000-0005-0000-0000-0000C50F0000}"/>
    <cellStyle name="20% - Accent3 51 5" xfId="6803" xr:uid="{00000000-0005-0000-0000-0000C60F0000}"/>
    <cellStyle name="20% - Accent3 51 5 2" xfId="18091" xr:uid="{00000000-0005-0000-0000-0000C70F0000}"/>
    <cellStyle name="20% - Accent3 51 6" xfId="4809" xr:uid="{00000000-0005-0000-0000-0000C80F0000}"/>
    <cellStyle name="20% - Accent3 51 6 2" xfId="16097" xr:uid="{00000000-0005-0000-0000-0000C90F0000}"/>
    <cellStyle name="20% - Accent3 51 7" xfId="14103" xr:uid="{00000000-0005-0000-0000-0000CA0F0000}"/>
    <cellStyle name="20% - Accent3 51 8" xfId="12789" xr:uid="{00000000-0005-0000-0000-0000CB0F0000}"/>
    <cellStyle name="20% - Accent3 52" xfId="854" xr:uid="{00000000-0005-0000-0000-0000CC0F0000}"/>
    <cellStyle name="20% - Accent3 52 2" xfId="3810" xr:uid="{00000000-0005-0000-0000-0000CD0F0000}"/>
    <cellStyle name="20% - Accent3 52 2 2" xfId="11789" xr:uid="{00000000-0005-0000-0000-0000CE0F0000}"/>
    <cellStyle name="20% - Accent3 52 2 2 2" xfId="23077" xr:uid="{00000000-0005-0000-0000-0000CF0F0000}"/>
    <cellStyle name="20% - Accent3 52 2 3" xfId="9795" xr:uid="{00000000-0005-0000-0000-0000D00F0000}"/>
    <cellStyle name="20% - Accent3 52 2 3 2" xfId="21083" xr:uid="{00000000-0005-0000-0000-0000D10F0000}"/>
    <cellStyle name="20% - Accent3 52 2 4" xfId="7801" xr:uid="{00000000-0005-0000-0000-0000D20F0000}"/>
    <cellStyle name="20% - Accent3 52 2 4 2" xfId="19089" xr:uid="{00000000-0005-0000-0000-0000D30F0000}"/>
    <cellStyle name="20% - Accent3 52 2 5" xfId="5807" xr:uid="{00000000-0005-0000-0000-0000D40F0000}"/>
    <cellStyle name="20% - Accent3 52 2 5 2" xfId="17095" xr:uid="{00000000-0005-0000-0000-0000D50F0000}"/>
    <cellStyle name="20% - Accent3 52 2 6" xfId="15101" xr:uid="{00000000-0005-0000-0000-0000D60F0000}"/>
    <cellStyle name="20% - Accent3 52 3" xfId="10792" xr:uid="{00000000-0005-0000-0000-0000D70F0000}"/>
    <cellStyle name="20% - Accent3 52 3 2" xfId="22080" xr:uid="{00000000-0005-0000-0000-0000D80F0000}"/>
    <cellStyle name="20% - Accent3 52 4" xfId="8798" xr:uid="{00000000-0005-0000-0000-0000D90F0000}"/>
    <cellStyle name="20% - Accent3 52 4 2" xfId="20086" xr:uid="{00000000-0005-0000-0000-0000DA0F0000}"/>
    <cellStyle name="20% - Accent3 52 5" xfId="6804" xr:uid="{00000000-0005-0000-0000-0000DB0F0000}"/>
    <cellStyle name="20% - Accent3 52 5 2" xfId="18092" xr:uid="{00000000-0005-0000-0000-0000DC0F0000}"/>
    <cellStyle name="20% - Accent3 52 6" xfId="4810" xr:uid="{00000000-0005-0000-0000-0000DD0F0000}"/>
    <cellStyle name="20% - Accent3 52 6 2" xfId="16098" xr:uid="{00000000-0005-0000-0000-0000DE0F0000}"/>
    <cellStyle name="20% - Accent3 52 7" xfId="14104" xr:uid="{00000000-0005-0000-0000-0000DF0F0000}"/>
    <cellStyle name="20% - Accent3 52 8" xfId="12790" xr:uid="{00000000-0005-0000-0000-0000E00F0000}"/>
    <cellStyle name="20% - Accent3 53" xfId="855" xr:uid="{00000000-0005-0000-0000-0000E10F0000}"/>
    <cellStyle name="20% - Accent3 53 2" xfId="3811" xr:uid="{00000000-0005-0000-0000-0000E20F0000}"/>
    <cellStyle name="20% - Accent3 53 2 2" xfId="11790" xr:uid="{00000000-0005-0000-0000-0000E30F0000}"/>
    <cellStyle name="20% - Accent3 53 2 2 2" xfId="23078" xr:uid="{00000000-0005-0000-0000-0000E40F0000}"/>
    <cellStyle name="20% - Accent3 53 2 3" xfId="9796" xr:uid="{00000000-0005-0000-0000-0000E50F0000}"/>
    <cellStyle name="20% - Accent3 53 2 3 2" xfId="21084" xr:uid="{00000000-0005-0000-0000-0000E60F0000}"/>
    <cellStyle name="20% - Accent3 53 2 4" xfId="7802" xr:uid="{00000000-0005-0000-0000-0000E70F0000}"/>
    <cellStyle name="20% - Accent3 53 2 4 2" xfId="19090" xr:uid="{00000000-0005-0000-0000-0000E80F0000}"/>
    <cellStyle name="20% - Accent3 53 2 5" xfId="5808" xr:uid="{00000000-0005-0000-0000-0000E90F0000}"/>
    <cellStyle name="20% - Accent3 53 2 5 2" xfId="17096" xr:uid="{00000000-0005-0000-0000-0000EA0F0000}"/>
    <cellStyle name="20% - Accent3 53 2 6" xfId="15102" xr:uid="{00000000-0005-0000-0000-0000EB0F0000}"/>
    <cellStyle name="20% - Accent3 53 3" xfId="10793" xr:uid="{00000000-0005-0000-0000-0000EC0F0000}"/>
    <cellStyle name="20% - Accent3 53 3 2" xfId="22081" xr:uid="{00000000-0005-0000-0000-0000ED0F0000}"/>
    <cellStyle name="20% - Accent3 53 4" xfId="8799" xr:uid="{00000000-0005-0000-0000-0000EE0F0000}"/>
    <cellStyle name="20% - Accent3 53 4 2" xfId="20087" xr:uid="{00000000-0005-0000-0000-0000EF0F0000}"/>
    <cellStyle name="20% - Accent3 53 5" xfId="6805" xr:uid="{00000000-0005-0000-0000-0000F00F0000}"/>
    <cellStyle name="20% - Accent3 53 5 2" xfId="18093" xr:uid="{00000000-0005-0000-0000-0000F10F0000}"/>
    <cellStyle name="20% - Accent3 53 6" xfId="4811" xr:uid="{00000000-0005-0000-0000-0000F20F0000}"/>
    <cellStyle name="20% - Accent3 53 6 2" xfId="16099" xr:uid="{00000000-0005-0000-0000-0000F30F0000}"/>
    <cellStyle name="20% - Accent3 53 7" xfId="14105" xr:uid="{00000000-0005-0000-0000-0000F40F0000}"/>
    <cellStyle name="20% - Accent3 53 8" xfId="12791" xr:uid="{00000000-0005-0000-0000-0000F50F0000}"/>
    <cellStyle name="20% - Accent3 54" xfId="856" xr:uid="{00000000-0005-0000-0000-0000F60F0000}"/>
    <cellStyle name="20% - Accent3 54 2" xfId="3812" xr:uid="{00000000-0005-0000-0000-0000F70F0000}"/>
    <cellStyle name="20% - Accent3 54 2 2" xfId="11791" xr:uid="{00000000-0005-0000-0000-0000F80F0000}"/>
    <cellStyle name="20% - Accent3 54 2 2 2" xfId="23079" xr:uid="{00000000-0005-0000-0000-0000F90F0000}"/>
    <cellStyle name="20% - Accent3 54 2 3" xfId="9797" xr:uid="{00000000-0005-0000-0000-0000FA0F0000}"/>
    <cellStyle name="20% - Accent3 54 2 3 2" xfId="21085" xr:uid="{00000000-0005-0000-0000-0000FB0F0000}"/>
    <cellStyle name="20% - Accent3 54 2 4" xfId="7803" xr:uid="{00000000-0005-0000-0000-0000FC0F0000}"/>
    <cellStyle name="20% - Accent3 54 2 4 2" xfId="19091" xr:uid="{00000000-0005-0000-0000-0000FD0F0000}"/>
    <cellStyle name="20% - Accent3 54 2 5" xfId="5809" xr:uid="{00000000-0005-0000-0000-0000FE0F0000}"/>
    <cellStyle name="20% - Accent3 54 2 5 2" xfId="17097" xr:uid="{00000000-0005-0000-0000-0000FF0F0000}"/>
    <cellStyle name="20% - Accent3 54 2 6" xfId="15103" xr:uid="{00000000-0005-0000-0000-000000100000}"/>
    <cellStyle name="20% - Accent3 54 3" xfId="10794" xr:uid="{00000000-0005-0000-0000-000001100000}"/>
    <cellStyle name="20% - Accent3 54 3 2" xfId="22082" xr:uid="{00000000-0005-0000-0000-000002100000}"/>
    <cellStyle name="20% - Accent3 54 4" xfId="8800" xr:uid="{00000000-0005-0000-0000-000003100000}"/>
    <cellStyle name="20% - Accent3 54 4 2" xfId="20088" xr:uid="{00000000-0005-0000-0000-000004100000}"/>
    <cellStyle name="20% - Accent3 54 5" xfId="6806" xr:uid="{00000000-0005-0000-0000-000005100000}"/>
    <cellStyle name="20% - Accent3 54 5 2" xfId="18094" xr:uid="{00000000-0005-0000-0000-000006100000}"/>
    <cellStyle name="20% - Accent3 54 6" xfId="4812" xr:uid="{00000000-0005-0000-0000-000007100000}"/>
    <cellStyle name="20% - Accent3 54 6 2" xfId="16100" xr:uid="{00000000-0005-0000-0000-000008100000}"/>
    <cellStyle name="20% - Accent3 54 7" xfId="14106" xr:uid="{00000000-0005-0000-0000-000009100000}"/>
    <cellStyle name="20% - Accent3 54 8" xfId="12792" xr:uid="{00000000-0005-0000-0000-00000A100000}"/>
    <cellStyle name="20% - Accent3 55" xfId="857" xr:uid="{00000000-0005-0000-0000-00000B100000}"/>
    <cellStyle name="20% - Accent3 55 2" xfId="3813" xr:uid="{00000000-0005-0000-0000-00000C100000}"/>
    <cellStyle name="20% - Accent3 55 2 2" xfId="11792" xr:uid="{00000000-0005-0000-0000-00000D100000}"/>
    <cellStyle name="20% - Accent3 55 2 2 2" xfId="23080" xr:uid="{00000000-0005-0000-0000-00000E100000}"/>
    <cellStyle name="20% - Accent3 55 2 3" xfId="9798" xr:uid="{00000000-0005-0000-0000-00000F100000}"/>
    <cellStyle name="20% - Accent3 55 2 3 2" xfId="21086" xr:uid="{00000000-0005-0000-0000-000010100000}"/>
    <cellStyle name="20% - Accent3 55 2 4" xfId="7804" xr:uid="{00000000-0005-0000-0000-000011100000}"/>
    <cellStyle name="20% - Accent3 55 2 4 2" xfId="19092" xr:uid="{00000000-0005-0000-0000-000012100000}"/>
    <cellStyle name="20% - Accent3 55 2 5" xfId="5810" xr:uid="{00000000-0005-0000-0000-000013100000}"/>
    <cellStyle name="20% - Accent3 55 2 5 2" xfId="17098" xr:uid="{00000000-0005-0000-0000-000014100000}"/>
    <cellStyle name="20% - Accent3 55 2 6" xfId="15104" xr:uid="{00000000-0005-0000-0000-000015100000}"/>
    <cellStyle name="20% - Accent3 55 3" xfId="10795" xr:uid="{00000000-0005-0000-0000-000016100000}"/>
    <cellStyle name="20% - Accent3 55 3 2" xfId="22083" xr:uid="{00000000-0005-0000-0000-000017100000}"/>
    <cellStyle name="20% - Accent3 55 4" xfId="8801" xr:uid="{00000000-0005-0000-0000-000018100000}"/>
    <cellStyle name="20% - Accent3 55 4 2" xfId="20089" xr:uid="{00000000-0005-0000-0000-000019100000}"/>
    <cellStyle name="20% - Accent3 55 5" xfId="6807" xr:uid="{00000000-0005-0000-0000-00001A100000}"/>
    <cellStyle name="20% - Accent3 55 5 2" xfId="18095" xr:uid="{00000000-0005-0000-0000-00001B100000}"/>
    <cellStyle name="20% - Accent3 55 6" xfId="4813" xr:uid="{00000000-0005-0000-0000-00001C100000}"/>
    <cellStyle name="20% - Accent3 55 6 2" xfId="16101" xr:uid="{00000000-0005-0000-0000-00001D100000}"/>
    <cellStyle name="20% - Accent3 55 7" xfId="14107" xr:uid="{00000000-0005-0000-0000-00001E100000}"/>
    <cellStyle name="20% - Accent3 55 8" xfId="12793" xr:uid="{00000000-0005-0000-0000-00001F100000}"/>
    <cellStyle name="20% - Accent3 56" xfId="858" xr:uid="{00000000-0005-0000-0000-000020100000}"/>
    <cellStyle name="20% - Accent3 56 2" xfId="3814" xr:uid="{00000000-0005-0000-0000-000021100000}"/>
    <cellStyle name="20% - Accent3 56 2 2" xfId="11793" xr:uid="{00000000-0005-0000-0000-000022100000}"/>
    <cellStyle name="20% - Accent3 56 2 2 2" xfId="23081" xr:uid="{00000000-0005-0000-0000-000023100000}"/>
    <cellStyle name="20% - Accent3 56 2 3" xfId="9799" xr:uid="{00000000-0005-0000-0000-000024100000}"/>
    <cellStyle name="20% - Accent3 56 2 3 2" xfId="21087" xr:uid="{00000000-0005-0000-0000-000025100000}"/>
    <cellStyle name="20% - Accent3 56 2 4" xfId="7805" xr:uid="{00000000-0005-0000-0000-000026100000}"/>
    <cellStyle name="20% - Accent3 56 2 4 2" xfId="19093" xr:uid="{00000000-0005-0000-0000-000027100000}"/>
    <cellStyle name="20% - Accent3 56 2 5" xfId="5811" xr:uid="{00000000-0005-0000-0000-000028100000}"/>
    <cellStyle name="20% - Accent3 56 2 5 2" xfId="17099" xr:uid="{00000000-0005-0000-0000-000029100000}"/>
    <cellStyle name="20% - Accent3 56 2 6" xfId="15105" xr:uid="{00000000-0005-0000-0000-00002A100000}"/>
    <cellStyle name="20% - Accent3 56 3" xfId="10796" xr:uid="{00000000-0005-0000-0000-00002B100000}"/>
    <cellStyle name="20% - Accent3 56 3 2" xfId="22084" xr:uid="{00000000-0005-0000-0000-00002C100000}"/>
    <cellStyle name="20% - Accent3 56 4" xfId="8802" xr:uid="{00000000-0005-0000-0000-00002D100000}"/>
    <cellStyle name="20% - Accent3 56 4 2" xfId="20090" xr:uid="{00000000-0005-0000-0000-00002E100000}"/>
    <cellStyle name="20% - Accent3 56 5" xfId="6808" xr:uid="{00000000-0005-0000-0000-00002F100000}"/>
    <cellStyle name="20% - Accent3 56 5 2" xfId="18096" xr:uid="{00000000-0005-0000-0000-000030100000}"/>
    <cellStyle name="20% - Accent3 56 6" xfId="4814" xr:uid="{00000000-0005-0000-0000-000031100000}"/>
    <cellStyle name="20% - Accent3 56 6 2" xfId="16102" xr:uid="{00000000-0005-0000-0000-000032100000}"/>
    <cellStyle name="20% - Accent3 56 7" xfId="14108" xr:uid="{00000000-0005-0000-0000-000033100000}"/>
    <cellStyle name="20% - Accent3 56 8" xfId="12794" xr:uid="{00000000-0005-0000-0000-000034100000}"/>
    <cellStyle name="20% - Accent3 57" xfId="859" xr:uid="{00000000-0005-0000-0000-000035100000}"/>
    <cellStyle name="20% - Accent3 57 2" xfId="3815" xr:uid="{00000000-0005-0000-0000-000036100000}"/>
    <cellStyle name="20% - Accent3 57 2 2" xfId="11794" xr:uid="{00000000-0005-0000-0000-000037100000}"/>
    <cellStyle name="20% - Accent3 57 2 2 2" xfId="23082" xr:uid="{00000000-0005-0000-0000-000038100000}"/>
    <cellStyle name="20% - Accent3 57 2 3" xfId="9800" xr:uid="{00000000-0005-0000-0000-000039100000}"/>
    <cellStyle name="20% - Accent3 57 2 3 2" xfId="21088" xr:uid="{00000000-0005-0000-0000-00003A100000}"/>
    <cellStyle name="20% - Accent3 57 2 4" xfId="7806" xr:uid="{00000000-0005-0000-0000-00003B100000}"/>
    <cellStyle name="20% - Accent3 57 2 4 2" xfId="19094" xr:uid="{00000000-0005-0000-0000-00003C100000}"/>
    <cellStyle name="20% - Accent3 57 2 5" xfId="5812" xr:uid="{00000000-0005-0000-0000-00003D100000}"/>
    <cellStyle name="20% - Accent3 57 2 5 2" xfId="17100" xr:uid="{00000000-0005-0000-0000-00003E100000}"/>
    <cellStyle name="20% - Accent3 57 2 6" xfId="15106" xr:uid="{00000000-0005-0000-0000-00003F100000}"/>
    <cellStyle name="20% - Accent3 57 3" xfId="10797" xr:uid="{00000000-0005-0000-0000-000040100000}"/>
    <cellStyle name="20% - Accent3 57 3 2" xfId="22085" xr:uid="{00000000-0005-0000-0000-000041100000}"/>
    <cellStyle name="20% - Accent3 57 4" xfId="8803" xr:uid="{00000000-0005-0000-0000-000042100000}"/>
    <cellStyle name="20% - Accent3 57 4 2" xfId="20091" xr:uid="{00000000-0005-0000-0000-000043100000}"/>
    <cellStyle name="20% - Accent3 57 5" xfId="6809" xr:uid="{00000000-0005-0000-0000-000044100000}"/>
    <cellStyle name="20% - Accent3 57 5 2" xfId="18097" xr:uid="{00000000-0005-0000-0000-000045100000}"/>
    <cellStyle name="20% - Accent3 57 6" xfId="4815" xr:uid="{00000000-0005-0000-0000-000046100000}"/>
    <cellStyle name="20% - Accent3 57 6 2" xfId="16103" xr:uid="{00000000-0005-0000-0000-000047100000}"/>
    <cellStyle name="20% - Accent3 57 7" xfId="14109" xr:uid="{00000000-0005-0000-0000-000048100000}"/>
    <cellStyle name="20% - Accent3 57 8" xfId="12795" xr:uid="{00000000-0005-0000-0000-000049100000}"/>
    <cellStyle name="20% - Accent3 58" xfId="860" xr:uid="{00000000-0005-0000-0000-00004A100000}"/>
    <cellStyle name="20% - Accent3 58 2" xfId="3816" xr:uid="{00000000-0005-0000-0000-00004B100000}"/>
    <cellStyle name="20% - Accent3 58 2 2" xfId="11795" xr:uid="{00000000-0005-0000-0000-00004C100000}"/>
    <cellStyle name="20% - Accent3 58 2 2 2" xfId="23083" xr:uid="{00000000-0005-0000-0000-00004D100000}"/>
    <cellStyle name="20% - Accent3 58 2 3" xfId="9801" xr:uid="{00000000-0005-0000-0000-00004E100000}"/>
    <cellStyle name="20% - Accent3 58 2 3 2" xfId="21089" xr:uid="{00000000-0005-0000-0000-00004F100000}"/>
    <cellStyle name="20% - Accent3 58 2 4" xfId="7807" xr:uid="{00000000-0005-0000-0000-000050100000}"/>
    <cellStyle name="20% - Accent3 58 2 4 2" xfId="19095" xr:uid="{00000000-0005-0000-0000-000051100000}"/>
    <cellStyle name="20% - Accent3 58 2 5" xfId="5813" xr:uid="{00000000-0005-0000-0000-000052100000}"/>
    <cellStyle name="20% - Accent3 58 2 5 2" xfId="17101" xr:uid="{00000000-0005-0000-0000-000053100000}"/>
    <cellStyle name="20% - Accent3 58 2 6" xfId="15107" xr:uid="{00000000-0005-0000-0000-000054100000}"/>
    <cellStyle name="20% - Accent3 58 3" xfId="10798" xr:uid="{00000000-0005-0000-0000-000055100000}"/>
    <cellStyle name="20% - Accent3 58 3 2" xfId="22086" xr:uid="{00000000-0005-0000-0000-000056100000}"/>
    <cellStyle name="20% - Accent3 58 4" xfId="8804" xr:uid="{00000000-0005-0000-0000-000057100000}"/>
    <cellStyle name="20% - Accent3 58 4 2" xfId="20092" xr:uid="{00000000-0005-0000-0000-000058100000}"/>
    <cellStyle name="20% - Accent3 58 5" xfId="6810" xr:uid="{00000000-0005-0000-0000-000059100000}"/>
    <cellStyle name="20% - Accent3 58 5 2" xfId="18098" xr:uid="{00000000-0005-0000-0000-00005A100000}"/>
    <cellStyle name="20% - Accent3 58 6" xfId="4816" xr:uid="{00000000-0005-0000-0000-00005B100000}"/>
    <cellStyle name="20% - Accent3 58 6 2" xfId="16104" xr:uid="{00000000-0005-0000-0000-00005C100000}"/>
    <cellStyle name="20% - Accent3 58 7" xfId="14110" xr:uid="{00000000-0005-0000-0000-00005D100000}"/>
    <cellStyle name="20% - Accent3 58 8" xfId="12796" xr:uid="{00000000-0005-0000-0000-00005E100000}"/>
    <cellStyle name="20% - Accent3 59" xfId="861" xr:uid="{00000000-0005-0000-0000-00005F100000}"/>
    <cellStyle name="20% - Accent3 59 2" xfId="3817" xr:uid="{00000000-0005-0000-0000-000060100000}"/>
    <cellStyle name="20% - Accent3 59 2 2" xfId="11796" xr:uid="{00000000-0005-0000-0000-000061100000}"/>
    <cellStyle name="20% - Accent3 59 2 2 2" xfId="23084" xr:uid="{00000000-0005-0000-0000-000062100000}"/>
    <cellStyle name="20% - Accent3 59 2 3" xfId="9802" xr:uid="{00000000-0005-0000-0000-000063100000}"/>
    <cellStyle name="20% - Accent3 59 2 3 2" xfId="21090" xr:uid="{00000000-0005-0000-0000-000064100000}"/>
    <cellStyle name="20% - Accent3 59 2 4" xfId="7808" xr:uid="{00000000-0005-0000-0000-000065100000}"/>
    <cellStyle name="20% - Accent3 59 2 4 2" xfId="19096" xr:uid="{00000000-0005-0000-0000-000066100000}"/>
    <cellStyle name="20% - Accent3 59 2 5" xfId="5814" xr:uid="{00000000-0005-0000-0000-000067100000}"/>
    <cellStyle name="20% - Accent3 59 2 5 2" xfId="17102" xr:uid="{00000000-0005-0000-0000-000068100000}"/>
    <cellStyle name="20% - Accent3 59 2 6" xfId="15108" xr:uid="{00000000-0005-0000-0000-000069100000}"/>
    <cellStyle name="20% - Accent3 59 3" xfId="10799" xr:uid="{00000000-0005-0000-0000-00006A100000}"/>
    <cellStyle name="20% - Accent3 59 3 2" xfId="22087" xr:uid="{00000000-0005-0000-0000-00006B100000}"/>
    <cellStyle name="20% - Accent3 59 4" xfId="8805" xr:uid="{00000000-0005-0000-0000-00006C100000}"/>
    <cellStyle name="20% - Accent3 59 4 2" xfId="20093" xr:uid="{00000000-0005-0000-0000-00006D100000}"/>
    <cellStyle name="20% - Accent3 59 5" xfId="6811" xr:uid="{00000000-0005-0000-0000-00006E100000}"/>
    <cellStyle name="20% - Accent3 59 5 2" xfId="18099" xr:uid="{00000000-0005-0000-0000-00006F100000}"/>
    <cellStyle name="20% - Accent3 59 6" xfId="4817" xr:uid="{00000000-0005-0000-0000-000070100000}"/>
    <cellStyle name="20% - Accent3 59 6 2" xfId="16105" xr:uid="{00000000-0005-0000-0000-000071100000}"/>
    <cellStyle name="20% - Accent3 59 7" xfId="14111" xr:uid="{00000000-0005-0000-0000-000072100000}"/>
    <cellStyle name="20% - Accent3 59 8" xfId="12797" xr:uid="{00000000-0005-0000-0000-000073100000}"/>
    <cellStyle name="20% - Accent3 6" xfId="862" xr:uid="{00000000-0005-0000-0000-000074100000}"/>
    <cellStyle name="20% - Accent3 6 10" xfId="24575" xr:uid="{00000000-0005-0000-0000-000075100000}"/>
    <cellStyle name="20% - Accent3 6 11" xfId="24965" xr:uid="{00000000-0005-0000-0000-000076100000}"/>
    <cellStyle name="20% - Accent3 6 2" xfId="3818" xr:uid="{00000000-0005-0000-0000-000077100000}"/>
    <cellStyle name="20% - Accent3 6 2 2" xfId="11797" xr:uid="{00000000-0005-0000-0000-000078100000}"/>
    <cellStyle name="20% - Accent3 6 2 2 2" xfId="23085" xr:uid="{00000000-0005-0000-0000-000079100000}"/>
    <cellStyle name="20% - Accent3 6 2 3" xfId="9803" xr:uid="{00000000-0005-0000-0000-00007A100000}"/>
    <cellStyle name="20% - Accent3 6 2 3 2" xfId="21091" xr:uid="{00000000-0005-0000-0000-00007B100000}"/>
    <cellStyle name="20% - Accent3 6 2 4" xfId="7809" xr:uid="{00000000-0005-0000-0000-00007C100000}"/>
    <cellStyle name="20% - Accent3 6 2 4 2" xfId="19097" xr:uid="{00000000-0005-0000-0000-00007D100000}"/>
    <cellStyle name="20% - Accent3 6 2 5" xfId="5815" xr:uid="{00000000-0005-0000-0000-00007E100000}"/>
    <cellStyle name="20% - Accent3 6 2 5 2" xfId="17103" xr:uid="{00000000-0005-0000-0000-00007F100000}"/>
    <cellStyle name="20% - Accent3 6 2 6" xfId="15109" xr:uid="{00000000-0005-0000-0000-000080100000}"/>
    <cellStyle name="20% - Accent3 6 2 7" xfId="24336" xr:uid="{00000000-0005-0000-0000-000081100000}"/>
    <cellStyle name="20% - Accent3 6 2 8" xfId="24800" xr:uid="{00000000-0005-0000-0000-000082100000}"/>
    <cellStyle name="20% - Accent3 6 2 9" xfId="25167" xr:uid="{00000000-0005-0000-0000-000083100000}"/>
    <cellStyle name="20% - Accent3 6 3" xfId="10800" xr:uid="{00000000-0005-0000-0000-000084100000}"/>
    <cellStyle name="20% - Accent3 6 3 2" xfId="22088" xr:uid="{00000000-0005-0000-0000-000085100000}"/>
    <cellStyle name="20% - Accent3 6 4" xfId="8806" xr:uid="{00000000-0005-0000-0000-000086100000}"/>
    <cellStyle name="20% - Accent3 6 4 2" xfId="20094" xr:uid="{00000000-0005-0000-0000-000087100000}"/>
    <cellStyle name="20% - Accent3 6 5" xfId="6812" xr:uid="{00000000-0005-0000-0000-000088100000}"/>
    <cellStyle name="20% - Accent3 6 5 2" xfId="18100" xr:uid="{00000000-0005-0000-0000-000089100000}"/>
    <cellStyle name="20% - Accent3 6 6" xfId="4818" xr:uid="{00000000-0005-0000-0000-00008A100000}"/>
    <cellStyle name="20% - Accent3 6 6 2" xfId="16106" xr:uid="{00000000-0005-0000-0000-00008B100000}"/>
    <cellStyle name="20% - Accent3 6 7" xfId="14112" xr:uid="{00000000-0005-0000-0000-00008C100000}"/>
    <cellStyle name="20% - Accent3 6 8" xfId="12798" xr:uid="{00000000-0005-0000-0000-00008D100000}"/>
    <cellStyle name="20% - Accent3 6 9" xfId="23948" xr:uid="{00000000-0005-0000-0000-00008E100000}"/>
    <cellStyle name="20% - Accent3 60" xfId="863" xr:uid="{00000000-0005-0000-0000-00008F100000}"/>
    <cellStyle name="20% - Accent3 60 2" xfId="3819" xr:uid="{00000000-0005-0000-0000-000090100000}"/>
    <cellStyle name="20% - Accent3 60 2 2" xfId="11798" xr:uid="{00000000-0005-0000-0000-000091100000}"/>
    <cellStyle name="20% - Accent3 60 2 2 2" xfId="23086" xr:uid="{00000000-0005-0000-0000-000092100000}"/>
    <cellStyle name="20% - Accent3 60 2 3" xfId="9804" xr:uid="{00000000-0005-0000-0000-000093100000}"/>
    <cellStyle name="20% - Accent3 60 2 3 2" xfId="21092" xr:uid="{00000000-0005-0000-0000-000094100000}"/>
    <cellStyle name="20% - Accent3 60 2 4" xfId="7810" xr:uid="{00000000-0005-0000-0000-000095100000}"/>
    <cellStyle name="20% - Accent3 60 2 4 2" xfId="19098" xr:uid="{00000000-0005-0000-0000-000096100000}"/>
    <cellStyle name="20% - Accent3 60 2 5" xfId="5816" xr:uid="{00000000-0005-0000-0000-000097100000}"/>
    <cellStyle name="20% - Accent3 60 2 5 2" xfId="17104" xr:uid="{00000000-0005-0000-0000-000098100000}"/>
    <cellStyle name="20% - Accent3 60 2 6" xfId="15110" xr:uid="{00000000-0005-0000-0000-000099100000}"/>
    <cellStyle name="20% - Accent3 60 3" xfId="10801" xr:uid="{00000000-0005-0000-0000-00009A100000}"/>
    <cellStyle name="20% - Accent3 60 3 2" xfId="22089" xr:uid="{00000000-0005-0000-0000-00009B100000}"/>
    <cellStyle name="20% - Accent3 60 4" xfId="8807" xr:uid="{00000000-0005-0000-0000-00009C100000}"/>
    <cellStyle name="20% - Accent3 60 4 2" xfId="20095" xr:uid="{00000000-0005-0000-0000-00009D100000}"/>
    <cellStyle name="20% - Accent3 60 5" xfId="6813" xr:uid="{00000000-0005-0000-0000-00009E100000}"/>
    <cellStyle name="20% - Accent3 60 5 2" xfId="18101" xr:uid="{00000000-0005-0000-0000-00009F100000}"/>
    <cellStyle name="20% - Accent3 60 6" xfId="4819" xr:uid="{00000000-0005-0000-0000-0000A0100000}"/>
    <cellStyle name="20% - Accent3 60 6 2" xfId="16107" xr:uid="{00000000-0005-0000-0000-0000A1100000}"/>
    <cellStyle name="20% - Accent3 60 7" xfId="14113" xr:uid="{00000000-0005-0000-0000-0000A2100000}"/>
    <cellStyle name="20% - Accent3 60 8" xfId="12799" xr:uid="{00000000-0005-0000-0000-0000A3100000}"/>
    <cellStyle name="20% - Accent3 61" xfId="864" xr:uid="{00000000-0005-0000-0000-0000A4100000}"/>
    <cellStyle name="20% - Accent3 61 2" xfId="3820" xr:uid="{00000000-0005-0000-0000-0000A5100000}"/>
    <cellStyle name="20% - Accent3 61 2 2" xfId="11799" xr:uid="{00000000-0005-0000-0000-0000A6100000}"/>
    <cellStyle name="20% - Accent3 61 2 2 2" xfId="23087" xr:uid="{00000000-0005-0000-0000-0000A7100000}"/>
    <cellStyle name="20% - Accent3 61 2 3" xfId="9805" xr:uid="{00000000-0005-0000-0000-0000A8100000}"/>
    <cellStyle name="20% - Accent3 61 2 3 2" xfId="21093" xr:uid="{00000000-0005-0000-0000-0000A9100000}"/>
    <cellStyle name="20% - Accent3 61 2 4" xfId="7811" xr:uid="{00000000-0005-0000-0000-0000AA100000}"/>
    <cellStyle name="20% - Accent3 61 2 4 2" xfId="19099" xr:uid="{00000000-0005-0000-0000-0000AB100000}"/>
    <cellStyle name="20% - Accent3 61 2 5" xfId="5817" xr:uid="{00000000-0005-0000-0000-0000AC100000}"/>
    <cellStyle name="20% - Accent3 61 2 5 2" xfId="17105" xr:uid="{00000000-0005-0000-0000-0000AD100000}"/>
    <cellStyle name="20% - Accent3 61 2 6" xfId="15111" xr:uid="{00000000-0005-0000-0000-0000AE100000}"/>
    <cellStyle name="20% - Accent3 61 3" xfId="10802" xr:uid="{00000000-0005-0000-0000-0000AF100000}"/>
    <cellStyle name="20% - Accent3 61 3 2" xfId="22090" xr:uid="{00000000-0005-0000-0000-0000B0100000}"/>
    <cellStyle name="20% - Accent3 61 4" xfId="8808" xr:uid="{00000000-0005-0000-0000-0000B1100000}"/>
    <cellStyle name="20% - Accent3 61 4 2" xfId="20096" xr:uid="{00000000-0005-0000-0000-0000B2100000}"/>
    <cellStyle name="20% - Accent3 61 5" xfId="6814" xr:uid="{00000000-0005-0000-0000-0000B3100000}"/>
    <cellStyle name="20% - Accent3 61 5 2" xfId="18102" xr:uid="{00000000-0005-0000-0000-0000B4100000}"/>
    <cellStyle name="20% - Accent3 61 6" xfId="4820" xr:uid="{00000000-0005-0000-0000-0000B5100000}"/>
    <cellStyle name="20% - Accent3 61 6 2" xfId="16108" xr:uid="{00000000-0005-0000-0000-0000B6100000}"/>
    <cellStyle name="20% - Accent3 61 7" xfId="14114" xr:uid="{00000000-0005-0000-0000-0000B7100000}"/>
    <cellStyle name="20% - Accent3 61 8" xfId="12800" xr:uid="{00000000-0005-0000-0000-0000B8100000}"/>
    <cellStyle name="20% - Accent3 62" xfId="865" xr:uid="{00000000-0005-0000-0000-0000B9100000}"/>
    <cellStyle name="20% - Accent3 62 2" xfId="3821" xr:uid="{00000000-0005-0000-0000-0000BA100000}"/>
    <cellStyle name="20% - Accent3 62 2 2" xfId="11800" xr:uid="{00000000-0005-0000-0000-0000BB100000}"/>
    <cellStyle name="20% - Accent3 62 2 2 2" xfId="23088" xr:uid="{00000000-0005-0000-0000-0000BC100000}"/>
    <cellStyle name="20% - Accent3 62 2 3" xfId="9806" xr:uid="{00000000-0005-0000-0000-0000BD100000}"/>
    <cellStyle name="20% - Accent3 62 2 3 2" xfId="21094" xr:uid="{00000000-0005-0000-0000-0000BE100000}"/>
    <cellStyle name="20% - Accent3 62 2 4" xfId="7812" xr:uid="{00000000-0005-0000-0000-0000BF100000}"/>
    <cellStyle name="20% - Accent3 62 2 4 2" xfId="19100" xr:uid="{00000000-0005-0000-0000-0000C0100000}"/>
    <cellStyle name="20% - Accent3 62 2 5" xfId="5818" xr:uid="{00000000-0005-0000-0000-0000C1100000}"/>
    <cellStyle name="20% - Accent3 62 2 5 2" xfId="17106" xr:uid="{00000000-0005-0000-0000-0000C2100000}"/>
    <cellStyle name="20% - Accent3 62 2 6" xfId="15112" xr:uid="{00000000-0005-0000-0000-0000C3100000}"/>
    <cellStyle name="20% - Accent3 62 3" xfId="10803" xr:uid="{00000000-0005-0000-0000-0000C4100000}"/>
    <cellStyle name="20% - Accent3 62 3 2" xfId="22091" xr:uid="{00000000-0005-0000-0000-0000C5100000}"/>
    <cellStyle name="20% - Accent3 62 4" xfId="8809" xr:uid="{00000000-0005-0000-0000-0000C6100000}"/>
    <cellStyle name="20% - Accent3 62 4 2" xfId="20097" xr:uid="{00000000-0005-0000-0000-0000C7100000}"/>
    <cellStyle name="20% - Accent3 62 5" xfId="6815" xr:uid="{00000000-0005-0000-0000-0000C8100000}"/>
    <cellStyle name="20% - Accent3 62 5 2" xfId="18103" xr:uid="{00000000-0005-0000-0000-0000C9100000}"/>
    <cellStyle name="20% - Accent3 62 6" xfId="4821" xr:uid="{00000000-0005-0000-0000-0000CA100000}"/>
    <cellStyle name="20% - Accent3 62 6 2" xfId="16109" xr:uid="{00000000-0005-0000-0000-0000CB100000}"/>
    <cellStyle name="20% - Accent3 62 7" xfId="14115" xr:uid="{00000000-0005-0000-0000-0000CC100000}"/>
    <cellStyle name="20% - Accent3 62 8" xfId="12801" xr:uid="{00000000-0005-0000-0000-0000CD100000}"/>
    <cellStyle name="20% - Accent3 63" xfId="866" xr:uid="{00000000-0005-0000-0000-0000CE100000}"/>
    <cellStyle name="20% - Accent3 63 2" xfId="3822" xr:uid="{00000000-0005-0000-0000-0000CF100000}"/>
    <cellStyle name="20% - Accent3 63 2 2" xfId="11801" xr:uid="{00000000-0005-0000-0000-0000D0100000}"/>
    <cellStyle name="20% - Accent3 63 2 2 2" xfId="23089" xr:uid="{00000000-0005-0000-0000-0000D1100000}"/>
    <cellStyle name="20% - Accent3 63 2 3" xfId="9807" xr:uid="{00000000-0005-0000-0000-0000D2100000}"/>
    <cellStyle name="20% - Accent3 63 2 3 2" xfId="21095" xr:uid="{00000000-0005-0000-0000-0000D3100000}"/>
    <cellStyle name="20% - Accent3 63 2 4" xfId="7813" xr:uid="{00000000-0005-0000-0000-0000D4100000}"/>
    <cellStyle name="20% - Accent3 63 2 4 2" xfId="19101" xr:uid="{00000000-0005-0000-0000-0000D5100000}"/>
    <cellStyle name="20% - Accent3 63 2 5" xfId="5819" xr:uid="{00000000-0005-0000-0000-0000D6100000}"/>
    <cellStyle name="20% - Accent3 63 2 5 2" xfId="17107" xr:uid="{00000000-0005-0000-0000-0000D7100000}"/>
    <cellStyle name="20% - Accent3 63 2 6" xfId="15113" xr:uid="{00000000-0005-0000-0000-0000D8100000}"/>
    <cellStyle name="20% - Accent3 63 3" xfId="10804" xr:uid="{00000000-0005-0000-0000-0000D9100000}"/>
    <cellStyle name="20% - Accent3 63 3 2" xfId="22092" xr:uid="{00000000-0005-0000-0000-0000DA100000}"/>
    <cellStyle name="20% - Accent3 63 4" xfId="8810" xr:uid="{00000000-0005-0000-0000-0000DB100000}"/>
    <cellStyle name="20% - Accent3 63 4 2" xfId="20098" xr:uid="{00000000-0005-0000-0000-0000DC100000}"/>
    <cellStyle name="20% - Accent3 63 5" xfId="6816" xr:uid="{00000000-0005-0000-0000-0000DD100000}"/>
    <cellStyle name="20% - Accent3 63 5 2" xfId="18104" xr:uid="{00000000-0005-0000-0000-0000DE100000}"/>
    <cellStyle name="20% - Accent3 63 6" xfId="4822" xr:uid="{00000000-0005-0000-0000-0000DF100000}"/>
    <cellStyle name="20% - Accent3 63 6 2" xfId="16110" xr:uid="{00000000-0005-0000-0000-0000E0100000}"/>
    <cellStyle name="20% - Accent3 63 7" xfId="14116" xr:uid="{00000000-0005-0000-0000-0000E1100000}"/>
    <cellStyle name="20% - Accent3 63 8" xfId="12802" xr:uid="{00000000-0005-0000-0000-0000E2100000}"/>
    <cellStyle name="20% - Accent3 64" xfId="867" xr:uid="{00000000-0005-0000-0000-0000E3100000}"/>
    <cellStyle name="20% - Accent3 64 2" xfId="3823" xr:uid="{00000000-0005-0000-0000-0000E4100000}"/>
    <cellStyle name="20% - Accent3 64 2 2" xfId="11802" xr:uid="{00000000-0005-0000-0000-0000E5100000}"/>
    <cellStyle name="20% - Accent3 64 2 2 2" xfId="23090" xr:uid="{00000000-0005-0000-0000-0000E6100000}"/>
    <cellStyle name="20% - Accent3 64 2 3" xfId="9808" xr:uid="{00000000-0005-0000-0000-0000E7100000}"/>
    <cellStyle name="20% - Accent3 64 2 3 2" xfId="21096" xr:uid="{00000000-0005-0000-0000-0000E8100000}"/>
    <cellStyle name="20% - Accent3 64 2 4" xfId="7814" xr:uid="{00000000-0005-0000-0000-0000E9100000}"/>
    <cellStyle name="20% - Accent3 64 2 4 2" xfId="19102" xr:uid="{00000000-0005-0000-0000-0000EA100000}"/>
    <cellStyle name="20% - Accent3 64 2 5" xfId="5820" xr:uid="{00000000-0005-0000-0000-0000EB100000}"/>
    <cellStyle name="20% - Accent3 64 2 5 2" xfId="17108" xr:uid="{00000000-0005-0000-0000-0000EC100000}"/>
    <cellStyle name="20% - Accent3 64 2 6" xfId="15114" xr:uid="{00000000-0005-0000-0000-0000ED100000}"/>
    <cellStyle name="20% - Accent3 64 3" xfId="10805" xr:uid="{00000000-0005-0000-0000-0000EE100000}"/>
    <cellStyle name="20% - Accent3 64 3 2" xfId="22093" xr:uid="{00000000-0005-0000-0000-0000EF100000}"/>
    <cellStyle name="20% - Accent3 64 4" xfId="8811" xr:uid="{00000000-0005-0000-0000-0000F0100000}"/>
    <cellStyle name="20% - Accent3 64 4 2" xfId="20099" xr:uid="{00000000-0005-0000-0000-0000F1100000}"/>
    <cellStyle name="20% - Accent3 64 5" xfId="6817" xr:uid="{00000000-0005-0000-0000-0000F2100000}"/>
    <cellStyle name="20% - Accent3 64 5 2" xfId="18105" xr:uid="{00000000-0005-0000-0000-0000F3100000}"/>
    <cellStyle name="20% - Accent3 64 6" xfId="4823" xr:uid="{00000000-0005-0000-0000-0000F4100000}"/>
    <cellStyle name="20% - Accent3 64 6 2" xfId="16111" xr:uid="{00000000-0005-0000-0000-0000F5100000}"/>
    <cellStyle name="20% - Accent3 64 7" xfId="14117" xr:uid="{00000000-0005-0000-0000-0000F6100000}"/>
    <cellStyle name="20% - Accent3 64 8" xfId="12803" xr:uid="{00000000-0005-0000-0000-0000F7100000}"/>
    <cellStyle name="20% - Accent3 65" xfId="868" xr:uid="{00000000-0005-0000-0000-0000F8100000}"/>
    <cellStyle name="20% - Accent3 65 2" xfId="3824" xr:uid="{00000000-0005-0000-0000-0000F9100000}"/>
    <cellStyle name="20% - Accent3 65 2 2" xfId="11803" xr:uid="{00000000-0005-0000-0000-0000FA100000}"/>
    <cellStyle name="20% - Accent3 65 2 2 2" xfId="23091" xr:uid="{00000000-0005-0000-0000-0000FB100000}"/>
    <cellStyle name="20% - Accent3 65 2 3" xfId="9809" xr:uid="{00000000-0005-0000-0000-0000FC100000}"/>
    <cellStyle name="20% - Accent3 65 2 3 2" xfId="21097" xr:uid="{00000000-0005-0000-0000-0000FD100000}"/>
    <cellStyle name="20% - Accent3 65 2 4" xfId="7815" xr:uid="{00000000-0005-0000-0000-0000FE100000}"/>
    <cellStyle name="20% - Accent3 65 2 4 2" xfId="19103" xr:uid="{00000000-0005-0000-0000-0000FF100000}"/>
    <cellStyle name="20% - Accent3 65 2 5" xfId="5821" xr:uid="{00000000-0005-0000-0000-000000110000}"/>
    <cellStyle name="20% - Accent3 65 2 5 2" xfId="17109" xr:uid="{00000000-0005-0000-0000-000001110000}"/>
    <cellStyle name="20% - Accent3 65 2 6" xfId="15115" xr:uid="{00000000-0005-0000-0000-000002110000}"/>
    <cellStyle name="20% - Accent3 65 3" xfId="10806" xr:uid="{00000000-0005-0000-0000-000003110000}"/>
    <cellStyle name="20% - Accent3 65 3 2" xfId="22094" xr:uid="{00000000-0005-0000-0000-000004110000}"/>
    <cellStyle name="20% - Accent3 65 4" xfId="8812" xr:uid="{00000000-0005-0000-0000-000005110000}"/>
    <cellStyle name="20% - Accent3 65 4 2" xfId="20100" xr:uid="{00000000-0005-0000-0000-000006110000}"/>
    <cellStyle name="20% - Accent3 65 5" xfId="6818" xr:uid="{00000000-0005-0000-0000-000007110000}"/>
    <cellStyle name="20% - Accent3 65 5 2" xfId="18106" xr:uid="{00000000-0005-0000-0000-000008110000}"/>
    <cellStyle name="20% - Accent3 65 6" xfId="4824" xr:uid="{00000000-0005-0000-0000-000009110000}"/>
    <cellStyle name="20% - Accent3 65 6 2" xfId="16112" xr:uid="{00000000-0005-0000-0000-00000A110000}"/>
    <cellStyle name="20% - Accent3 65 7" xfId="14118" xr:uid="{00000000-0005-0000-0000-00000B110000}"/>
    <cellStyle name="20% - Accent3 65 8" xfId="12804" xr:uid="{00000000-0005-0000-0000-00000C110000}"/>
    <cellStyle name="20% - Accent3 66" xfId="869" xr:uid="{00000000-0005-0000-0000-00000D110000}"/>
    <cellStyle name="20% - Accent3 66 2" xfId="3825" xr:uid="{00000000-0005-0000-0000-00000E110000}"/>
    <cellStyle name="20% - Accent3 66 2 2" xfId="11804" xr:uid="{00000000-0005-0000-0000-00000F110000}"/>
    <cellStyle name="20% - Accent3 66 2 2 2" xfId="23092" xr:uid="{00000000-0005-0000-0000-000010110000}"/>
    <cellStyle name="20% - Accent3 66 2 3" xfId="9810" xr:uid="{00000000-0005-0000-0000-000011110000}"/>
    <cellStyle name="20% - Accent3 66 2 3 2" xfId="21098" xr:uid="{00000000-0005-0000-0000-000012110000}"/>
    <cellStyle name="20% - Accent3 66 2 4" xfId="7816" xr:uid="{00000000-0005-0000-0000-000013110000}"/>
    <cellStyle name="20% - Accent3 66 2 4 2" xfId="19104" xr:uid="{00000000-0005-0000-0000-000014110000}"/>
    <cellStyle name="20% - Accent3 66 2 5" xfId="5822" xr:uid="{00000000-0005-0000-0000-000015110000}"/>
    <cellStyle name="20% - Accent3 66 2 5 2" xfId="17110" xr:uid="{00000000-0005-0000-0000-000016110000}"/>
    <cellStyle name="20% - Accent3 66 2 6" xfId="15116" xr:uid="{00000000-0005-0000-0000-000017110000}"/>
    <cellStyle name="20% - Accent3 66 3" xfId="10807" xr:uid="{00000000-0005-0000-0000-000018110000}"/>
    <cellStyle name="20% - Accent3 66 3 2" xfId="22095" xr:uid="{00000000-0005-0000-0000-000019110000}"/>
    <cellStyle name="20% - Accent3 66 4" xfId="8813" xr:uid="{00000000-0005-0000-0000-00001A110000}"/>
    <cellStyle name="20% - Accent3 66 4 2" xfId="20101" xr:uid="{00000000-0005-0000-0000-00001B110000}"/>
    <cellStyle name="20% - Accent3 66 5" xfId="6819" xr:uid="{00000000-0005-0000-0000-00001C110000}"/>
    <cellStyle name="20% - Accent3 66 5 2" xfId="18107" xr:uid="{00000000-0005-0000-0000-00001D110000}"/>
    <cellStyle name="20% - Accent3 66 6" xfId="4825" xr:uid="{00000000-0005-0000-0000-00001E110000}"/>
    <cellStyle name="20% - Accent3 66 6 2" xfId="16113" xr:uid="{00000000-0005-0000-0000-00001F110000}"/>
    <cellStyle name="20% - Accent3 66 7" xfId="14119" xr:uid="{00000000-0005-0000-0000-000020110000}"/>
    <cellStyle name="20% - Accent3 66 8" xfId="12805" xr:uid="{00000000-0005-0000-0000-000021110000}"/>
    <cellStyle name="20% - Accent3 67" xfId="870" xr:uid="{00000000-0005-0000-0000-000022110000}"/>
    <cellStyle name="20% - Accent3 67 2" xfId="3826" xr:uid="{00000000-0005-0000-0000-000023110000}"/>
    <cellStyle name="20% - Accent3 67 2 2" xfId="11805" xr:uid="{00000000-0005-0000-0000-000024110000}"/>
    <cellStyle name="20% - Accent3 67 2 2 2" xfId="23093" xr:uid="{00000000-0005-0000-0000-000025110000}"/>
    <cellStyle name="20% - Accent3 67 2 3" xfId="9811" xr:uid="{00000000-0005-0000-0000-000026110000}"/>
    <cellStyle name="20% - Accent3 67 2 3 2" xfId="21099" xr:uid="{00000000-0005-0000-0000-000027110000}"/>
    <cellStyle name="20% - Accent3 67 2 4" xfId="7817" xr:uid="{00000000-0005-0000-0000-000028110000}"/>
    <cellStyle name="20% - Accent3 67 2 4 2" xfId="19105" xr:uid="{00000000-0005-0000-0000-000029110000}"/>
    <cellStyle name="20% - Accent3 67 2 5" xfId="5823" xr:uid="{00000000-0005-0000-0000-00002A110000}"/>
    <cellStyle name="20% - Accent3 67 2 5 2" xfId="17111" xr:uid="{00000000-0005-0000-0000-00002B110000}"/>
    <cellStyle name="20% - Accent3 67 2 6" xfId="15117" xr:uid="{00000000-0005-0000-0000-00002C110000}"/>
    <cellStyle name="20% - Accent3 67 3" xfId="10808" xr:uid="{00000000-0005-0000-0000-00002D110000}"/>
    <cellStyle name="20% - Accent3 67 3 2" xfId="22096" xr:uid="{00000000-0005-0000-0000-00002E110000}"/>
    <cellStyle name="20% - Accent3 67 4" xfId="8814" xr:uid="{00000000-0005-0000-0000-00002F110000}"/>
    <cellStyle name="20% - Accent3 67 4 2" xfId="20102" xr:uid="{00000000-0005-0000-0000-000030110000}"/>
    <cellStyle name="20% - Accent3 67 5" xfId="6820" xr:uid="{00000000-0005-0000-0000-000031110000}"/>
    <cellStyle name="20% - Accent3 67 5 2" xfId="18108" xr:uid="{00000000-0005-0000-0000-000032110000}"/>
    <cellStyle name="20% - Accent3 67 6" xfId="4826" xr:uid="{00000000-0005-0000-0000-000033110000}"/>
    <cellStyle name="20% - Accent3 67 6 2" xfId="16114" xr:uid="{00000000-0005-0000-0000-000034110000}"/>
    <cellStyle name="20% - Accent3 67 7" xfId="14120" xr:uid="{00000000-0005-0000-0000-000035110000}"/>
    <cellStyle name="20% - Accent3 67 8" xfId="12806" xr:uid="{00000000-0005-0000-0000-000036110000}"/>
    <cellStyle name="20% - Accent3 68" xfId="871" xr:uid="{00000000-0005-0000-0000-000037110000}"/>
    <cellStyle name="20% - Accent3 68 2" xfId="3827" xr:uid="{00000000-0005-0000-0000-000038110000}"/>
    <cellStyle name="20% - Accent3 68 2 2" xfId="11806" xr:uid="{00000000-0005-0000-0000-000039110000}"/>
    <cellStyle name="20% - Accent3 68 2 2 2" xfId="23094" xr:uid="{00000000-0005-0000-0000-00003A110000}"/>
    <cellStyle name="20% - Accent3 68 2 3" xfId="9812" xr:uid="{00000000-0005-0000-0000-00003B110000}"/>
    <cellStyle name="20% - Accent3 68 2 3 2" xfId="21100" xr:uid="{00000000-0005-0000-0000-00003C110000}"/>
    <cellStyle name="20% - Accent3 68 2 4" xfId="7818" xr:uid="{00000000-0005-0000-0000-00003D110000}"/>
    <cellStyle name="20% - Accent3 68 2 4 2" xfId="19106" xr:uid="{00000000-0005-0000-0000-00003E110000}"/>
    <cellStyle name="20% - Accent3 68 2 5" xfId="5824" xr:uid="{00000000-0005-0000-0000-00003F110000}"/>
    <cellStyle name="20% - Accent3 68 2 5 2" xfId="17112" xr:uid="{00000000-0005-0000-0000-000040110000}"/>
    <cellStyle name="20% - Accent3 68 2 6" xfId="15118" xr:uid="{00000000-0005-0000-0000-000041110000}"/>
    <cellStyle name="20% - Accent3 68 3" xfId="10809" xr:uid="{00000000-0005-0000-0000-000042110000}"/>
    <cellStyle name="20% - Accent3 68 3 2" xfId="22097" xr:uid="{00000000-0005-0000-0000-000043110000}"/>
    <cellStyle name="20% - Accent3 68 4" xfId="8815" xr:uid="{00000000-0005-0000-0000-000044110000}"/>
    <cellStyle name="20% - Accent3 68 4 2" xfId="20103" xr:uid="{00000000-0005-0000-0000-000045110000}"/>
    <cellStyle name="20% - Accent3 68 5" xfId="6821" xr:uid="{00000000-0005-0000-0000-000046110000}"/>
    <cellStyle name="20% - Accent3 68 5 2" xfId="18109" xr:uid="{00000000-0005-0000-0000-000047110000}"/>
    <cellStyle name="20% - Accent3 68 6" xfId="4827" xr:uid="{00000000-0005-0000-0000-000048110000}"/>
    <cellStyle name="20% - Accent3 68 6 2" xfId="16115" xr:uid="{00000000-0005-0000-0000-000049110000}"/>
    <cellStyle name="20% - Accent3 68 7" xfId="14121" xr:uid="{00000000-0005-0000-0000-00004A110000}"/>
    <cellStyle name="20% - Accent3 68 8" xfId="12807" xr:uid="{00000000-0005-0000-0000-00004B110000}"/>
    <cellStyle name="20% - Accent3 69" xfId="872" xr:uid="{00000000-0005-0000-0000-00004C110000}"/>
    <cellStyle name="20% - Accent3 69 2" xfId="3828" xr:uid="{00000000-0005-0000-0000-00004D110000}"/>
    <cellStyle name="20% - Accent3 69 2 2" xfId="11807" xr:uid="{00000000-0005-0000-0000-00004E110000}"/>
    <cellStyle name="20% - Accent3 69 2 2 2" xfId="23095" xr:uid="{00000000-0005-0000-0000-00004F110000}"/>
    <cellStyle name="20% - Accent3 69 2 3" xfId="9813" xr:uid="{00000000-0005-0000-0000-000050110000}"/>
    <cellStyle name="20% - Accent3 69 2 3 2" xfId="21101" xr:uid="{00000000-0005-0000-0000-000051110000}"/>
    <cellStyle name="20% - Accent3 69 2 4" xfId="7819" xr:uid="{00000000-0005-0000-0000-000052110000}"/>
    <cellStyle name="20% - Accent3 69 2 4 2" xfId="19107" xr:uid="{00000000-0005-0000-0000-000053110000}"/>
    <cellStyle name="20% - Accent3 69 2 5" xfId="5825" xr:uid="{00000000-0005-0000-0000-000054110000}"/>
    <cellStyle name="20% - Accent3 69 2 5 2" xfId="17113" xr:uid="{00000000-0005-0000-0000-000055110000}"/>
    <cellStyle name="20% - Accent3 69 2 6" xfId="15119" xr:uid="{00000000-0005-0000-0000-000056110000}"/>
    <cellStyle name="20% - Accent3 69 3" xfId="10810" xr:uid="{00000000-0005-0000-0000-000057110000}"/>
    <cellStyle name="20% - Accent3 69 3 2" xfId="22098" xr:uid="{00000000-0005-0000-0000-000058110000}"/>
    <cellStyle name="20% - Accent3 69 4" xfId="8816" xr:uid="{00000000-0005-0000-0000-000059110000}"/>
    <cellStyle name="20% - Accent3 69 4 2" xfId="20104" xr:uid="{00000000-0005-0000-0000-00005A110000}"/>
    <cellStyle name="20% - Accent3 69 5" xfId="6822" xr:uid="{00000000-0005-0000-0000-00005B110000}"/>
    <cellStyle name="20% - Accent3 69 5 2" xfId="18110" xr:uid="{00000000-0005-0000-0000-00005C110000}"/>
    <cellStyle name="20% - Accent3 69 6" xfId="4828" xr:uid="{00000000-0005-0000-0000-00005D110000}"/>
    <cellStyle name="20% - Accent3 69 6 2" xfId="16116" xr:uid="{00000000-0005-0000-0000-00005E110000}"/>
    <cellStyle name="20% - Accent3 69 7" xfId="14122" xr:uid="{00000000-0005-0000-0000-00005F110000}"/>
    <cellStyle name="20% - Accent3 69 8" xfId="12808" xr:uid="{00000000-0005-0000-0000-000060110000}"/>
    <cellStyle name="20% - Accent3 7" xfId="873" xr:uid="{00000000-0005-0000-0000-000061110000}"/>
    <cellStyle name="20% - Accent3 7 10" xfId="24576" xr:uid="{00000000-0005-0000-0000-000062110000}"/>
    <cellStyle name="20% - Accent3 7 11" xfId="24966" xr:uid="{00000000-0005-0000-0000-000063110000}"/>
    <cellStyle name="20% - Accent3 7 2" xfId="3829" xr:uid="{00000000-0005-0000-0000-000064110000}"/>
    <cellStyle name="20% - Accent3 7 2 2" xfId="11808" xr:uid="{00000000-0005-0000-0000-000065110000}"/>
    <cellStyle name="20% - Accent3 7 2 2 2" xfId="23096" xr:uid="{00000000-0005-0000-0000-000066110000}"/>
    <cellStyle name="20% - Accent3 7 2 3" xfId="9814" xr:uid="{00000000-0005-0000-0000-000067110000}"/>
    <cellStyle name="20% - Accent3 7 2 3 2" xfId="21102" xr:uid="{00000000-0005-0000-0000-000068110000}"/>
    <cellStyle name="20% - Accent3 7 2 4" xfId="7820" xr:uid="{00000000-0005-0000-0000-000069110000}"/>
    <cellStyle name="20% - Accent3 7 2 4 2" xfId="19108" xr:uid="{00000000-0005-0000-0000-00006A110000}"/>
    <cellStyle name="20% - Accent3 7 2 5" xfId="5826" xr:uid="{00000000-0005-0000-0000-00006B110000}"/>
    <cellStyle name="20% - Accent3 7 2 5 2" xfId="17114" xr:uid="{00000000-0005-0000-0000-00006C110000}"/>
    <cellStyle name="20% - Accent3 7 2 6" xfId="15120" xr:uid="{00000000-0005-0000-0000-00006D110000}"/>
    <cellStyle name="20% - Accent3 7 2 7" xfId="24337" xr:uid="{00000000-0005-0000-0000-00006E110000}"/>
    <cellStyle name="20% - Accent3 7 2 8" xfId="24801" xr:uid="{00000000-0005-0000-0000-00006F110000}"/>
    <cellStyle name="20% - Accent3 7 2 9" xfId="25168" xr:uid="{00000000-0005-0000-0000-000070110000}"/>
    <cellStyle name="20% - Accent3 7 3" xfId="10811" xr:uid="{00000000-0005-0000-0000-000071110000}"/>
    <cellStyle name="20% - Accent3 7 3 2" xfId="22099" xr:uid="{00000000-0005-0000-0000-000072110000}"/>
    <cellStyle name="20% - Accent3 7 4" xfId="8817" xr:uid="{00000000-0005-0000-0000-000073110000}"/>
    <cellStyle name="20% - Accent3 7 4 2" xfId="20105" xr:uid="{00000000-0005-0000-0000-000074110000}"/>
    <cellStyle name="20% - Accent3 7 5" xfId="6823" xr:uid="{00000000-0005-0000-0000-000075110000}"/>
    <cellStyle name="20% - Accent3 7 5 2" xfId="18111" xr:uid="{00000000-0005-0000-0000-000076110000}"/>
    <cellStyle name="20% - Accent3 7 6" xfId="4829" xr:uid="{00000000-0005-0000-0000-000077110000}"/>
    <cellStyle name="20% - Accent3 7 6 2" xfId="16117" xr:uid="{00000000-0005-0000-0000-000078110000}"/>
    <cellStyle name="20% - Accent3 7 7" xfId="14123" xr:uid="{00000000-0005-0000-0000-000079110000}"/>
    <cellStyle name="20% - Accent3 7 8" xfId="12809" xr:uid="{00000000-0005-0000-0000-00007A110000}"/>
    <cellStyle name="20% - Accent3 7 9" xfId="23949" xr:uid="{00000000-0005-0000-0000-00007B110000}"/>
    <cellStyle name="20% - Accent3 70" xfId="874" xr:uid="{00000000-0005-0000-0000-00007C110000}"/>
    <cellStyle name="20% - Accent3 70 2" xfId="3830" xr:uid="{00000000-0005-0000-0000-00007D110000}"/>
    <cellStyle name="20% - Accent3 70 2 2" xfId="11809" xr:uid="{00000000-0005-0000-0000-00007E110000}"/>
    <cellStyle name="20% - Accent3 70 2 2 2" xfId="23097" xr:uid="{00000000-0005-0000-0000-00007F110000}"/>
    <cellStyle name="20% - Accent3 70 2 3" xfId="9815" xr:uid="{00000000-0005-0000-0000-000080110000}"/>
    <cellStyle name="20% - Accent3 70 2 3 2" xfId="21103" xr:uid="{00000000-0005-0000-0000-000081110000}"/>
    <cellStyle name="20% - Accent3 70 2 4" xfId="7821" xr:uid="{00000000-0005-0000-0000-000082110000}"/>
    <cellStyle name="20% - Accent3 70 2 4 2" xfId="19109" xr:uid="{00000000-0005-0000-0000-000083110000}"/>
    <cellStyle name="20% - Accent3 70 2 5" xfId="5827" xr:uid="{00000000-0005-0000-0000-000084110000}"/>
    <cellStyle name="20% - Accent3 70 2 5 2" xfId="17115" xr:uid="{00000000-0005-0000-0000-000085110000}"/>
    <cellStyle name="20% - Accent3 70 2 6" xfId="15121" xr:uid="{00000000-0005-0000-0000-000086110000}"/>
    <cellStyle name="20% - Accent3 70 3" xfId="10812" xr:uid="{00000000-0005-0000-0000-000087110000}"/>
    <cellStyle name="20% - Accent3 70 3 2" xfId="22100" xr:uid="{00000000-0005-0000-0000-000088110000}"/>
    <cellStyle name="20% - Accent3 70 4" xfId="8818" xr:uid="{00000000-0005-0000-0000-000089110000}"/>
    <cellStyle name="20% - Accent3 70 4 2" xfId="20106" xr:uid="{00000000-0005-0000-0000-00008A110000}"/>
    <cellStyle name="20% - Accent3 70 5" xfId="6824" xr:uid="{00000000-0005-0000-0000-00008B110000}"/>
    <cellStyle name="20% - Accent3 70 5 2" xfId="18112" xr:uid="{00000000-0005-0000-0000-00008C110000}"/>
    <cellStyle name="20% - Accent3 70 6" xfId="4830" xr:uid="{00000000-0005-0000-0000-00008D110000}"/>
    <cellStyle name="20% - Accent3 70 6 2" xfId="16118" xr:uid="{00000000-0005-0000-0000-00008E110000}"/>
    <cellStyle name="20% - Accent3 70 7" xfId="14124" xr:uid="{00000000-0005-0000-0000-00008F110000}"/>
    <cellStyle name="20% - Accent3 70 8" xfId="12810" xr:uid="{00000000-0005-0000-0000-000090110000}"/>
    <cellStyle name="20% - Accent3 71" xfId="875" xr:uid="{00000000-0005-0000-0000-000091110000}"/>
    <cellStyle name="20% - Accent3 71 2" xfId="3831" xr:uid="{00000000-0005-0000-0000-000092110000}"/>
    <cellStyle name="20% - Accent3 71 2 2" xfId="11810" xr:uid="{00000000-0005-0000-0000-000093110000}"/>
    <cellStyle name="20% - Accent3 71 2 2 2" xfId="23098" xr:uid="{00000000-0005-0000-0000-000094110000}"/>
    <cellStyle name="20% - Accent3 71 2 3" xfId="9816" xr:uid="{00000000-0005-0000-0000-000095110000}"/>
    <cellStyle name="20% - Accent3 71 2 3 2" xfId="21104" xr:uid="{00000000-0005-0000-0000-000096110000}"/>
    <cellStyle name="20% - Accent3 71 2 4" xfId="7822" xr:uid="{00000000-0005-0000-0000-000097110000}"/>
    <cellStyle name="20% - Accent3 71 2 4 2" xfId="19110" xr:uid="{00000000-0005-0000-0000-000098110000}"/>
    <cellStyle name="20% - Accent3 71 2 5" xfId="5828" xr:uid="{00000000-0005-0000-0000-000099110000}"/>
    <cellStyle name="20% - Accent3 71 2 5 2" xfId="17116" xr:uid="{00000000-0005-0000-0000-00009A110000}"/>
    <cellStyle name="20% - Accent3 71 2 6" xfId="15122" xr:uid="{00000000-0005-0000-0000-00009B110000}"/>
    <cellStyle name="20% - Accent3 71 3" xfId="10813" xr:uid="{00000000-0005-0000-0000-00009C110000}"/>
    <cellStyle name="20% - Accent3 71 3 2" xfId="22101" xr:uid="{00000000-0005-0000-0000-00009D110000}"/>
    <cellStyle name="20% - Accent3 71 4" xfId="8819" xr:uid="{00000000-0005-0000-0000-00009E110000}"/>
    <cellStyle name="20% - Accent3 71 4 2" xfId="20107" xr:uid="{00000000-0005-0000-0000-00009F110000}"/>
    <cellStyle name="20% - Accent3 71 5" xfId="6825" xr:uid="{00000000-0005-0000-0000-0000A0110000}"/>
    <cellStyle name="20% - Accent3 71 5 2" xfId="18113" xr:uid="{00000000-0005-0000-0000-0000A1110000}"/>
    <cellStyle name="20% - Accent3 71 6" xfId="4831" xr:uid="{00000000-0005-0000-0000-0000A2110000}"/>
    <cellStyle name="20% - Accent3 71 6 2" xfId="16119" xr:uid="{00000000-0005-0000-0000-0000A3110000}"/>
    <cellStyle name="20% - Accent3 71 7" xfId="14125" xr:uid="{00000000-0005-0000-0000-0000A4110000}"/>
    <cellStyle name="20% - Accent3 71 8" xfId="12811" xr:uid="{00000000-0005-0000-0000-0000A5110000}"/>
    <cellStyle name="20% - Accent3 72" xfId="876" xr:uid="{00000000-0005-0000-0000-0000A6110000}"/>
    <cellStyle name="20% - Accent3 72 2" xfId="3832" xr:uid="{00000000-0005-0000-0000-0000A7110000}"/>
    <cellStyle name="20% - Accent3 72 2 2" xfId="11811" xr:uid="{00000000-0005-0000-0000-0000A8110000}"/>
    <cellStyle name="20% - Accent3 72 2 2 2" xfId="23099" xr:uid="{00000000-0005-0000-0000-0000A9110000}"/>
    <cellStyle name="20% - Accent3 72 2 3" xfId="9817" xr:uid="{00000000-0005-0000-0000-0000AA110000}"/>
    <cellStyle name="20% - Accent3 72 2 3 2" xfId="21105" xr:uid="{00000000-0005-0000-0000-0000AB110000}"/>
    <cellStyle name="20% - Accent3 72 2 4" xfId="7823" xr:uid="{00000000-0005-0000-0000-0000AC110000}"/>
    <cellStyle name="20% - Accent3 72 2 4 2" xfId="19111" xr:uid="{00000000-0005-0000-0000-0000AD110000}"/>
    <cellStyle name="20% - Accent3 72 2 5" xfId="5829" xr:uid="{00000000-0005-0000-0000-0000AE110000}"/>
    <cellStyle name="20% - Accent3 72 2 5 2" xfId="17117" xr:uid="{00000000-0005-0000-0000-0000AF110000}"/>
    <cellStyle name="20% - Accent3 72 2 6" xfId="15123" xr:uid="{00000000-0005-0000-0000-0000B0110000}"/>
    <cellStyle name="20% - Accent3 72 3" xfId="10814" xr:uid="{00000000-0005-0000-0000-0000B1110000}"/>
    <cellStyle name="20% - Accent3 72 3 2" xfId="22102" xr:uid="{00000000-0005-0000-0000-0000B2110000}"/>
    <cellStyle name="20% - Accent3 72 4" xfId="8820" xr:uid="{00000000-0005-0000-0000-0000B3110000}"/>
    <cellStyle name="20% - Accent3 72 4 2" xfId="20108" xr:uid="{00000000-0005-0000-0000-0000B4110000}"/>
    <cellStyle name="20% - Accent3 72 5" xfId="6826" xr:uid="{00000000-0005-0000-0000-0000B5110000}"/>
    <cellStyle name="20% - Accent3 72 5 2" xfId="18114" xr:uid="{00000000-0005-0000-0000-0000B6110000}"/>
    <cellStyle name="20% - Accent3 72 6" xfId="4832" xr:uid="{00000000-0005-0000-0000-0000B7110000}"/>
    <cellStyle name="20% - Accent3 72 6 2" xfId="16120" xr:uid="{00000000-0005-0000-0000-0000B8110000}"/>
    <cellStyle name="20% - Accent3 72 7" xfId="14126" xr:uid="{00000000-0005-0000-0000-0000B9110000}"/>
    <cellStyle name="20% - Accent3 72 8" xfId="12812" xr:uid="{00000000-0005-0000-0000-0000BA110000}"/>
    <cellStyle name="20% - Accent3 8" xfId="877" xr:uid="{00000000-0005-0000-0000-0000BB110000}"/>
    <cellStyle name="20% - Accent3 8 2" xfId="3833" xr:uid="{00000000-0005-0000-0000-0000BC110000}"/>
    <cellStyle name="20% - Accent3 8 2 2" xfId="11812" xr:uid="{00000000-0005-0000-0000-0000BD110000}"/>
    <cellStyle name="20% - Accent3 8 2 2 2" xfId="23100" xr:uid="{00000000-0005-0000-0000-0000BE110000}"/>
    <cellStyle name="20% - Accent3 8 2 3" xfId="9818" xr:uid="{00000000-0005-0000-0000-0000BF110000}"/>
    <cellStyle name="20% - Accent3 8 2 3 2" xfId="21106" xr:uid="{00000000-0005-0000-0000-0000C0110000}"/>
    <cellStyle name="20% - Accent3 8 2 4" xfId="7824" xr:uid="{00000000-0005-0000-0000-0000C1110000}"/>
    <cellStyle name="20% - Accent3 8 2 4 2" xfId="19112" xr:uid="{00000000-0005-0000-0000-0000C2110000}"/>
    <cellStyle name="20% - Accent3 8 2 5" xfId="5830" xr:uid="{00000000-0005-0000-0000-0000C3110000}"/>
    <cellStyle name="20% - Accent3 8 2 5 2" xfId="17118" xr:uid="{00000000-0005-0000-0000-0000C4110000}"/>
    <cellStyle name="20% - Accent3 8 2 6" xfId="15124" xr:uid="{00000000-0005-0000-0000-0000C5110000}"/>
    <cellStyle name="20% - Accent3 8 3" xfId="10815" xr:uid="{00000000-0005-0000-0000-0000C6110000}"/>
    <cellStyle name="20% - Accent3 8 3 2" xfId="22103" xr:uid="{00000000-0005-0000-0000-0000C7110000}"/>
    <cellStyle name="20% - Accent3 8 4" xfId="8821" xr:uid="{00000000-0005-0000-0000-0000C8110000}"/>
    <cellStyle name="20% - Accent3 8 4 2" xfId="20109" xr:uid="{00000000-0005-0000-0000-0000C9110000}"/>
    <cellStyle name="20% - Accent3 8 5" xfId="6827" xr:uid="{00000000-0005-0000-0000-0000CA110000}"/>
    <cellStyle name="20% - Accent3 8 5 2" xfId="18115" xr:uid="{00000000-0005-0000-0000-0000CB110000}"/>
    <cellStyle name="20% - Accent3 8 6" xfId="4833" xr:uid="{00000000-0005-0000-0000-0000CC110000}"/>
    <cellStyle name="20% - Accent3 8 6 2" xfId="16121" xr:uid="{00000000-0005-0000-0000-0000CD110000}"/>
    <cellStyle name="20% - Accent3 8 7" xfId="14127" xr:uid="{00000000-0005-0000-0000-0000CE110000}"/>
    <cellStyle name="20% - Accent3 8 8" xfId="12813" xr:uid="{00000000-0005-0000-0000-0000CF110000}"/>
    <cellStyle name="20% - Accent3 9" xfId="878" xr:uid="{00000000-0005-0000-0000-0000D0110000}"/>
    <cellStyle name="20% - Accent3 9 2" xfId="3834" xr:uid="{00000000-0005-0000-0000-0000D1110000}"/>
    <cellStyle name="20% - Accent3 9 2 2" xfId="11813" xr:uid="{00000000-0005-0000-0000-0000D2110000}"/>
    <cellStyle name="20% - Accent3 9 2 2 2" xfId="23101" xr:uid="{00000000-0005-0000-0000-0000D3110000}"/>
    <cellStyle name="20% - Accent3 9 2 3" xfId="9819" xr:uid="{00000000-0005-0000-0000-0000D4110000}"/>
    <cellStyle name="20% - Accent3 9 2 3 2" xfId="21107" xr:uid="{00000000-0005-0000-0000-0000D5110000}"/>
    <cellStyle name="20% - Accent3 9 2 4" xfId="7825" xr:uid="{00000000-0005-0000-0000-0000D6110000}"/>
    <cellStyle name="20% - Accent3 9 2 4 2" xfId="19113" xr:uid="{00000000-0005-0000-0000-0000D7110000}"/>
    <cellStyle name="20% - Accent3 9 2 5" xfId="5831" xr:uid="{00000000-0005-0000-0000-0000D8110000}"/>
    <cellStyle name="20% - Accent3 9 2 5 2" xfId="17119" xr:uid="{00000000-0005-0000-0000-0000D9110000}"/>
    <cellStyle name="20% - Accent3 9 2 6" xfId="15125" xr:uid="{00000000-0005-0000-0000-0000DA110000}"/>
    <cellStyle name="20% - Accent3 9 3" xfId="10816" xr:uid="{00000000-0005-0000-0000-0000DB110000}"/>
    <cellStyle name="20% - Accent3 9 3 2" xfId="22104" xr:uid="{00000000-0005-0000-0000-0000DC110000}"/>
    <cellStyle name="20% - Accent3 9 4" xfId="8822" xr:uid="{00000000-0005-0000-0000-0000DD110000}"/>
    <cellStyle name="20% - Accent3 9 4 2" xfId="20110" xr:uid="{00000000-0005-0000-0000-0000DE110000}"/>
    <cellStyle name="20% - Accent3 9 5" xfId="6828" xr:uid="{00000000-0005-0000-0000-0000DF110000}"/>
    <cellStyle name="20% - Accent3 9 5 2" xfId="18116" xr:uid="{00000000-0005-0000-0000-0000E0110000}"/>
    <cellStyle name="20% - Accent3 9 6" xfId="4834" xr:uid="{00000000-0005-0000-0000-0000E1110000}"/>
    <cellStyle name="20% - Accent3 9 6 2" xfId="16122" xr:uid="{00000000-0005-0000-0000-0000E2110000}"/>
    <cellStyle name="20% - Accent3 9 7" xfId="14128" xr:uid="{00000000-0005-0000-0000-0000E3110000}"/>
    <cellStyle name="20% - Accent3 9 8" xfId="12814" xr:uid="{00000000-0005-0000-0000-0000E4110000}"/>
    <cellStyle name="20% - Accent4 10" xfId="879" xr:uid="{00000000-0005-0000-0000-0000E5110000}"/>
    <cellStyle name="20% - Accent4 10 2" xfId="3835" xr:uid="{00000000-0005-0000-0000-0000E6110000}"/>
    <cellStyle name="20% - Accent4 10 2 2" xfId="11814" xr:uid="{00000000-0005-0000-0000-0000E7110000}"/>
    <cellStyle name="20% - Accent4 10 2 2 2" xfId="23102" xr:uid="{00000000-0005-0000-0000-0000E8110000}"/>
    <cellStyle name="20% - Accent4 10 2 3" xfId="9820" xr:uid="{00000000-0005-0000-0000-0000E9110000}"/>
    <cellStyle name="20% - Accent4 10 2 3 2" xfId="21108" xr:uid="{00000000-0005-0000-0000-0000EA110000}"/>
    <cellStyle name="20% - Accent4 10 2 4" xfId="7826" xr:uid="{00000000-0005-0000-0000-0000EB110000}"/>
    <cellStyle name="20% - Accent4 10 2 4 2" xfId="19114" xr:uid="{00000000-0005-0000-0000-0000EC110000}"/>
    <cellStyle name="20% - Accent4 10 2 5" xfId="5832" xr:uid="{00000000-0005-0000-0000-0000ED110000}"/>
    <cellStyle name="20% - Accent4 10 2 5 2" xfId="17120" xr:uid="{00000000-0005-0000-0000-0000EE110000}"/>
    <cellStyle name="20% - Accent4 10 2 6" xfId="15126" xr:uid="{00000000-0005-0000-0000-0000EF110000}"/>
    <cellStyle name="20% - Accent4 10 3" xfId="10817" xr:uid="{00000000-0005-0000-0000-0000F0110000}"/>
    <cellStyle name="20% - Accent4 10 3 2" xfId="22105" xr:uid="{00000000-0005-0000-0000-0000F1110000}"/>
    <cellStyle name="20% - Accent4 10 4" xfId="8823" xr:uid="{00000000-0005-0000-0000-0000F2110000}"/>
    <cellStyle name="20% - Accent4 10 4 2" xfId="20111" xr:uid="{00000000-0005-0000-0000-0000F3110000}"/>
    <cellStyle name="20% - Accent4 10 5" xfId="6829" xr:uid="{00000000-0005-0000-0000-0000F4110000}"/>
    <cellStyle name="20% - Accent4 10 5 2" xfId="18117" xr:uid="{00000000-0005-0000-0000-0000F5110000}"/>
    <cellStyle name="20% - Accent4 10 6" xfId="4835" xr:uid="{00000000-0005-0000-0000-0000F6110000}"/>
    <cellStyle name="20% - Accent4 10 6 2" xfId="16123" xr:uid="{00000000-0005-0000-0000-0000F7110000}"/>
    <cellStyle name="20% - Accent4 10 7" xfId="14129" xr:uid="{00000000-0005-0000-0000-0000F8110000}"/>
    <cellStyle name="20% - Accent4 10 8" xfId="12815" xr:uid="{00000000-0005-0000-0000-0000F9110000}"/>
    <cellStyle name="20% - Accent4 11" xfId="880" xr:uid="{00000000-0005-0000-0000-0000FA110000}"/>
    <cellStyle name="20% - Accent4 11 2" xfId="3836" xr:uid="{00000000-0005-0000-0000-0000FB110000}"/>
    <cellStyle name="20% - Accent4 11 2 2" xfId="11815" xr:uid="{00000000-0005-0000-0000-0000FC110000}"/>
    <cellStyle name="20% - Accent4 11 2 2 2" xfId="23103" xr:uid="{00000000-0005-0000-0000-0000FD110000}"/>
    <cellStyle name="20% - Accent4 11 2 3" xfId="9821" xr:uid="{00000000-0005-0000-0000-0000FE110000}"/>
    <cellStyle name="20% - Accent4 11 2 3 2" xfId="21109" xr:uid="{00000000-0005-0000-0000-0000FF110000}"/>
    <cellStyle name="20% - Accent4 11 2 4" xfId="7827" xr:uid="{00000000-0005-0000-0000-000000120000}"/>
    <cellStyle name="20% - Accent4 11 2 4 2" xfId="19115" xr:uid="{00000000-0005-0000-0000-000001120000}"/>
    <cellStyle name="20% - Accent4 11 2 5" xfId="5833" xr:uid="{00000000-0005-0000-0000-000002120000}"/>
    <cellStyle name="20% - Accent4 11 2 5 2" xfId="17121" xr:uid="{00000000-0005-0000-0000-000003120000}"/>
    <cellStyle name="20% - Accent4 11 2 6" xfId="15127" xr:uid="{00000000-0005-0000-0000-000004120000}"/>
    <cellStyle name="20% - Accent4 11 3" xfId="10818" xr:uid="{00000000-0005-0000-0000-000005120000}"/>
    <cellStyle name="20% - Accent4 11 3 2" xfId="22106" xr:uid="{00000000-0005-0000-0000-000006120000}"/>
    <cellStyle name="20% - Accent4 11 4" xfId="8824" xr:uid="{00000000-0005-0000-0000-000007120000}"/>
    <cellStyle name="20% - Accent4 11 4 2" xfId="20112" xr:uid="{00000000-0005-0000-0000-000008120000}"/>
    <cellStyle name="20% - Accent4 11 5" xfId="6830" xr:uid="{00000000-0005-0000-0000-000009120000}"/>
    <cellStyle name="20% - Accent4 11 5 2" xfId="18118" xr:uid="{00000000-0005-0000-0000-00000A120000}"/>
    <cellStyle name="20% - Accent4 11 6" xfId="4836" xr:uid="{00000000-0005-0000-0000-00000B120000}"/>
    <cellStyle name="20% - Accent4 11 6 2" xfId="16124" xr:uid="{00000000-0005-0000-0000-00000C120000}"/>
    <cellStyle name="20% - Accent4 11 7" xfId="14130" xr:uid="{00000000-0005-0000-0000-00000D120000}"/>
    <cellStyle name="20% - Accent4 11 8" xfId="12816" xr:uid="{00000000-0005-0000-0000-00000E120000}"/>
    <cellStyle name="20% - Accent4 12" xfId="881" xr:uid="{00000000-0005-0000-0000-00000F120000}"/>
    <cellStyle name="20% - Accent4 12 2" xfId="3837" xr:uid="{00000000-0005-0000-0000-000010120000}"/>
    <cellStyle name="20% - Accent4 12 2 2" xfId="11816" xr:uid="{00000000-0005-0000-0000-000011120000}"/>
    <cellStyle name="20% - Accent4 12 2 2 2" xfId="23104" xr:uid="{00000000-0005-0000-0000-000012120000}"/>
    <cellStyle name="20% - Accent4 12 2 3" xfId="9822" xr:uid="{00000000-0005-0000-0000-000013120000}"/>
    <cellStyle name="20% - Accent4 12 2 3 2" xfId="21110" xr:uid="{00000000-0005-0000-0000-000014120000}"/>
    <cellStyle name="20% - Accent4 12 2 4" xfId="7828" xr:uid="{00000000-0005-0000-0000-000015120000}"/>
    <cellStyle name="20% - Accent4 12 2 4 2" xfId="19116" xr:uid="{00000000-0005-0000-0000-000016120000}"/>
    <cellStyle name="20% - Accent4 12 2 5" xfId="5834" xr:uid="{00000000-0005-0000-0000-000017120000}"/>
    <cellStyle name="20% - Accent4 12 2 5 2" xfId="17122" xr:uid="{00000000-0005-0000-0000-000018120000}"/>
    <cellStyle name="20% - Accent4 12 2 6" xfId="15128" xr:uid="{00000000-0005-0000-0000-000019120000}"/>
    <cellStyle name="20% - Accent4 12 3" xfId="10819" xr:uid="{00000000-0005-0000-0000-00001A120000}"/>
    <cellStyle name="20% - Accent4 12 3 2" xfId="22107" xr:uid="{00000000-0005-0000-0000-00001B120000}"/>
    <cellStyle name="20% - Accent4 12 4" xfId="8825" xr:uid="{00000000-0005-0000-0000-00001C120000}"/>
    <cellStyle name="20% - Accent4 12 4 2" xfId="20113" xr:uid="{00000000-0005-0000-0000-00001D120000}"/>
    <cellStyle name="20% - Accent4 12 5" xfId="6831" xr:uid="{00000000-0005-0000-0000-00001E120000}"/>
    <cellStyle name="20% - Accent4 12 5 2" xfId="18119" xr:uid="{00000000-0005-0000-0000-00001F120000}"/>
    <cellStyle name="20% - Accent4 12 6" xfId="4837" xr:uid="{00000000-0005-0000-0000-000020120000}"/>
    <cellStyle name="20% - Accent4 12 6 2" xfId="16125" xr:uid="{00000000-0005-0000-0000-000021120000}"/>
    <cellStyle name="20% - Accent4 12 7" xfId="14131" xr:uid="{00000000-0005-0000-0000-000022120000}"/>
    <cellStyle name="20% - Accent4 12 8" xfId="12817" xr:uid="{00000000-0005-0000-0000-000023120000}"/>
    <cellStyle name="20% - Accent4 13" xfId="882" xr:uid="{00000000-0005-0000-0000-000024120000}"/>
    <cellStyle name="20% - Accent4 13 2" xfId="3838" xr:uid="{00000000-0005-0000-0000-000025120000}"/>
    <cellStyle name="20% - Accent4 13 2 2" xfId="11817" xr:uid="{00000000-0005-0000-0000-000026120000}"/>
    <cellStyle name="20% - Accent4 13 2 2 2" xfId="23105" xr:uid="{00000000-0005-0000-0000-000027120000}"/>
    <cellStyle name="20% - Accent4 13 2 3" xfId="9823" xr:uid="{00000000-0005-0000-0000-000028120000}"/>
    <cellStyle name="20% - Accent4 13 2 3 2" xfId="21111" xr:uid="{00000000-0005-0000-0000-000029120000}"/>
    <cellStyle name="20% - Accent4 13 2 4" xfId="7829" xr:uid="{00000000-0005-0000-0000-00002A120000}"/>
    <cellStyle name="20% - Accent4 13 2 4 2" xfId="19117" xr:uid="{00000000-0005-0000-0000-00002B120000}"/>
    <cellStyle name="20% - Accent4 13 2 5" xfId="5835" xr:uid="{00000000-0005-0000-0000-00002C120000}"/>
    <cellStyle name="20% - Accent4 13 2 5 2" xfId="17123" xr:uid="{00000000-0005-0000-0000-00002D120000}"/>
    <cellStyle name="20% - Accent4 13 2 6" xfId="15129" xr:uid="{00000000-0005-0000-0000-00002E120000}"/>
    <cellStyle name="20% - Accent4 13 3" xfId="10820" xr:uid="{00000000-0005-0000-0000-00002F120000}"/>
    <cellStyle name="20% - Accent4 13 3 2" xfId="22108" xr:uid="{00000000-0005-0000-0000-000030120000}"/>
    <cellStyle name="20% - Accent4 13 4" xfId="8826" xr:uid="{00000000-0005-0000-0000-000031120000}"/>
    <cellStyle name="20% - Accent4 13 4 2" xfId="20114" xr:uid="{00000000-0005-0000-0000-000032120000}"/>
    <cellStyle name="20% - Accent4 13 5" xfId="6832" xr:uid="{00000000-0005-0000-0000-000033120000}"/>
    <cellStyle name="20% - Accent4 13 5 2" xfId="18120" xr:uid="{00000000-0005-0000-0000-000034120000}"/>
    <cellStyle name="20% - Accent4 13 6" xfId="4838" xr:uid="{00000000-0005-0000-0000-000035120000}"/>
    <cellStyle name="20% - Accent4 13 6 2" xfId="16126" xr:uid="{00000000-0005-0000-0000-000036120000}"/>
    <cellStyle name="20% - Accent4 13 7" xfId="14132" xr:uid="{00000000-0005-0000-0000-000037120000}"/>
    <cellStyle name="20% - Accent4 13 8" xfId="12818" xr:uid="{00000000-0005-0000-0000-000038120000}"/>
    <cellStyle name="20% - Accent4 14" xfId="883" xr:uid="{00000000-0005-0000-0000-000039120000}"/>
    <cellStyle name="20% - Accent4 14 2" xfId="3839" xr:uid="{00000000-0005-0000-0000-00003A120000}"/>
    <cellStyle name="20% - Accent4 14 2 2" xfId="11818" xr:uid="{00000000-0005-0000-0000-00003B120000}"/>
    <cellStyle name="20% - Accent4 14 2 2 2" xfId="23106" xr:uid="{00000000-0005-0000-0000-00003C120000}"/>
    <cellStyle name="20% - Accent4 14 2 3" xfId="9824" xr:uid="{00000000-0005-0000-0000-00003D120000}"/>
    <cellStyle name="20% - Accent4 14 2 3 2" xfId="21112" xr:uid="{00000000-0005-0000-0000-00003E120000}"/>
    <cellStyle name="20% - Accent4 14 2 4" xfId="7830" xr:uid="{00000000-0005-0000-0000-00003F120000}"/>
    <cellStyle name="20% - Accent4 14 2 4 2" xfId="19118" xr:uid="{00000000-0005-0000-0000-000040120000}"/>
    <cellStyle name="20% - Accent4 14 2 5" xfId="5836" xr:uid="{00000000-0005-0000-0000-000041120000}"/>
    <cellStyle name="20% - Accent4 14 2 5 2" xfId="17124" xr:uid="{00000000-0005-0000-0000-000042120000}"/>
    <cellStyle name="20% - Accent4 14 2 6" xfId="15130" xr:uid="{00000000-0005-0000-0000-000043120000}"/>
    <cellStyle name="20% - Accent4 14 3" xfId="10821" xr:uid="{00000000-0005-0000-0000-000044120000}"/>
    <cellStyle name="20% - Accent4 14 3 2" xfId="22109" xr:uid="{00000000-0005-0000-0000-000045120000}"/>
    <cellStyle name="20% - Accent4 14 4" xfId="8827" xr:uid="{00000000-0005-0000-0000-000046120000}"/>
    <cellStyle name="20% - Accent4 14 4 2" xfId="20115" xr:uid="{00000000-0005-0000-0000-000047120000}"/>
    <cellStyle name="20% - Accent4 14 5" xfId="6833" xr:uid="{00000000-0005-0000-0000-000048120000}"/>
    <cellStyle name="20% - Accent4 14 5 2" xfId="18121" xr:uid="{00000000-0005-0000-0000-000049120000}"/>
    <cellStyle name="20% - Accent4 14 6" xfId="4839" xr:uid="{00000000-0005-0000-0000-00004A120000}"/>
    <cellStyle name="20% - Accent4 14 6 2" xfId="16127" xr:uid="{00000000-0005-0000-0000-00004B120000}"/>
    <cellStyle name="20% - Accent4 14 7" xfId="14133" xr:uid="{00000000-0005-0000-0000-00004C120000}"/>
    <cellStyle name="20% - Accent4 14 8" xfId="12819" xr:uid="{00000000-0005-0000-0000-00004D120000}"/>
    <cellStyle name="20% - Accent4 15" xfId="884" xr:uid="{00000000-0005-0000-0000-00004E120000}"/>
    <cellStyle name="20% - Accent4 15 2" xfId="3840" xr:uid="{00000000-0005-0000-0000-00004F120000}"/>
    <cellStyle name="20% - Accent4 15 2 2" xfId="11819" xr:uid="{00000000-0005-0000-0000-000050120000}"/>
    <cellStyle name="20% - Accent4 15 2 2 2" xfId="23107" xr:uid="{00000000-0005-0000-0000-000051120000}"/>
    <cellStyle name="20% - Accent4 15 2 3" xfId="9825" xr:uid="{00000000-0005-0000-0000-000052120000}"/>
    <cellStyle name="20% - Accent4 15 2 3 2" xfId="21113" xr:uid="{00000000-0005-0000-0000-000053120000}"/>
    <cellStyle name="20% - Accent4 15 2 4" xfId="7831" xr:uid="{00000000-0005-0000-0000-000054120000}"/>
    <cellStyle name="20% - Accent4 15 2 4 2" xfId="19119" xr:uid="{00000000-0005-0000-0000-000055120000}"/>
    <cellStyle name="20% - Accent4 15 2 5" xfId="5837" xr:uid="{00000000-0005-0000-0000-000056120000}"/>
    <cellStyle name="20% - Accent4 15 2 5 2" xfId="17125" xr:uid="{00000000-0005-0000-0000-000057120000}"/>
    <cellStyle name="20% - Accent4 15 2 6" xfId="15131" xr:uid="{00000000-0005-0000-0000-000058120000}"/>
    <cellStyle name="20% - Accent4 15 3" xfId="10822" xr:uid="{00000000-0005-0000-0000-000059120000}"/>
    <cellStyle name="20% - Accent4 15 3 2" xfId="22110" xr:uid="{00000000-0005-0000-0000-00005A120000}"/>
    <cellStyle name="20% - Accent4 15 4" xfId="8828" xr:uid="{00000000-0005-0000-0000-00005B120000}"/>
    <cellStyle name="20% - Accent4 15 4 2" xfId="20116" xr:uid="{00000000-0005-0000-0000-00005C120000}"/>
    <cellStyle name="20% - Accent4 15 5" xfId="6834" xr:uid="{00000000-0005-0000-0000-00005D120000}"/>
    <cellStyle name="20% - Accent4 15 5 2" xfId="18122" xr:uid="{00000000-0005-0000-0000-00005E120000}"/>
    <cellStyle name="20% - Accent4 15 6" xfId="4840" xr:uid="{00000000-0005-0000-0000-00005F120000}"/>
    <cellStyle name="20% - Accent4 15 6 2" xfId="16128" xr:uid="{00000000-0005-0000-0000-000060120000}"/>
    <cellStyle name="20% - Accent4 15 7" xfId="14134" xr:uid="{00000000-0005-0000-0000-000061120000}"/>
    <cellStyle name="20% - Accent4 15 8" xfId="12820" xr:uid="{00000000-0005-0000-0000-000062120000}"/>
    <cellStyle name="20% - Accent4 16" xfId="885" xr:uid="{00000000-0005-0000-0000-000063120000}"/>
    <cellStyle name="20% - Accent4 16 2" xfId="3841" xr:uid="{00000000-0005-0000-0000-000064120000}"/>
    <cellStyle name="20% - Accent4 16 2 2" xfId="11820" xr:uid="{00000000-0005-0000-0000-000065120000}"/>
    <cellStyle name="20% - Accent4 16 2 2 2" xfId="23108" xr:uid="{00000000-0005-0000-0000-000066120000}"/>
    <cellStyle name="20% - Accent4 16 2 3" xfId="9826" xr:uid="{00000000-0005-0000-0000-000067120000}"/>
    <cellStyle name="20% - Accent4 16 2 3 2" xfId="21114" xr:uid="{00000000-0005-0000-0000-000068120000}"/>
    <cellStyle name="20% - Accent4 16 2 4" xfId="7832" xr:uid="{00000000-0005-0000-0000-000069120000}"/>
    <cellStyle name="20% - Accent4 16 2 4 2" xfId="19120" xr:uid="{00000000-0005-0000-0000-00006A120000}"/>
    <cellStyle name="20% - Accent4 16 2 5" xfId="5838" xr:uid="{00000000-0005-0000-0000-00006B120000}"/>
    <cellStyle name="20% - Accent4 16 2 5 2" xfId="17126" xr:uid="{00000000-0005-0000-0000-00006C120000}"/>
    <cellStyle name="20% - Accent4 16 2 6" xfId="15132" xr:uid="{00000000-0005-0000-0000-00006D120000}"/>
    <cellStyle name="20% - Accent4 16 3" xfId="10823" xr:uid="{00000000-0005-0000-0000-00006E120000}"/>
    <cellStyle name="20% - Accent4 16 3 2" xfId="22111" xr:uid="{00000000-0005-0000-0000-00006F120000}"/>
    <cellStyle name="20% - Accent4 16 4" xfId="8829" xr:uid="{00000000-0005-0000-0000-000070120000}"/>
    <cellStyle name="20% - Accent4 16 4 2" xfId="20117" xr:uid="{00000000-0005-0000-0000-000071120000}"/>
    <cellStyle name="20% - Accent4 16 5" xfId="6835" xr:uid="{00000000-0005-0000-0000-000072120000}"/>
    <cellStyle name="20% - Accent4 16 5 2" xfId="18123" xr:uid="{00000000-0005-0000-0000-000073120000}"/>
    <cellStyle name="20% - Accent4 16 6" xfId="4841" xr:uid="{00000000-0005-0000-0000-000074120000}"/>
    <cellStyle name="20% - Accent4 16 6 2" xfId="16129" xr:uid="{00000000-0005-0000-0000-000075120000}"/>
    <cellStyle name="20% - Accent4 16 7" xfId="14135" xr:uid="{00000000-0005-0000-0000-000076120000}"/>
    <cellStyle name="20% - Accent4 16 8" xfId="12821" xr:uid="{00000000-0005-0000-0000-000077120000}"/>
    <cellStyle name="20% - Accent4 17" xfId="886" xr:uid="{00000000-0005-0000-0000-000078120000}"/>
    <cellStyle name="20% - Accent4 17 2" xfId="3842" xr:uid="{00000000-0005-0000-0000-000079120000}"/>
    <cellStyle name="20% - Accent4 17 2 2" xfId="11821" xr:uid="{00000000-0005-0000-0000-00007A120000}"/>
    <cellStyle name="20% - Accent4 17 2 2 2" xfId="23109" xr:uid="{00000000-0005-0000-0000-00007B120000}"/>
    <cellStyle name="20% - Accent4 17 2 3" xfId="9827" xr:uid="{00000000-0005-0000-0000-00007C120000}"/>
    <cellStyle name="20% - Accent4 17 2 3 2" xfId="21115" xr:uid="{00000000-0005-0000-0000-00007D120000}"/>
    <cellStyle name="20% - Accent4 17 2 4" xfId="7833" xr:uid="{00000000-0005-0000-0000-00007E120000}"/>
    <cellStyle name="20% - Accent4 17 2 4 2" xfId="19121" xr:uid="{00000000-0005-0000-0000-00007F120000}"/>
    <cellStyle name="20% - Accent4 17 2 5" xfId="5839" xr:uid="{00000000-0005-0000-0000-000080120000}"/>
    <cellStyle name="20% - Accent4 17 2 5 2" xfId="17127" xr:uid="{00000000-0005-0000-0000-000081120000}"/>
    <cellStyle name="20% - Accent4 17 2 6" xfId="15133" xr:uid="{00000000-0005-0000-0000-000082120000}"/>
    <cellStyle name="20% - Accent4 17 3" xfId="10824" xr:uid="{00000000-0005-0000-0000-000083120000}"/>
    <cellStyle name="20% - Accent4 17 3 2" xfId="22112" xr:uid="{00000000-0005-0000-0000-000084120000}"/>
    <cellStyle name="20% - Accent4 17 4" xfId="8830" xr:uid="{00000000-0005-0000-0000-000085120000}"/>
    <cellStyle name="20% - Accent4 17 4 2" xfId="20118" xr:uid="{00000000-0005-0000-0000-000086120000}"/>
    <cellStyle name="20% - Accent4 17 5" xfId="6836" xr:uid="{00000000-0005-0000-0000-000087120000}"/>
    <cellStyle name="20% - Accent4 17 5 2" xfId="18124" xr:uid="{00000000-0005-0000-0000-000088120000}"/>
    <cellStyle name="20% - Accent4 17 6" xfId="4842" xr:uid="{00000000-0005-0000-0000-000089120000}"/>
    <cellStyle name="20% - Accent4 17 6 2" xfId="16130" xr:uid="{00000000-0005-0000-0000-00008A120000}"/>
    <cellStyle name="20% - Accent4 17 7" xfId="14136" xr:uid="{00000000-0005-0000-0000-00008B120000}"/>
    <cellStyle name="20% - Accent4 17 8" xfId="12822" xr:uid="{00000000-0005-0000-0000-00008C120000}"/>
    <cellStyle name="20% - Accent4 18" xfId="887" xr:uid="{00000000-0005-0000-0000-00008D120000}"/>
    <cellStyle name="20% - Accent4 18 2" xfId="3843" xr:uid="{00000000-0005-0000-0000-00008E120000}"/>
    <cellStyle name="20% - Accent4 18 2 2" xfId="11822" xr:uid="{00000000-0005-0000-0000-00008F120000}"/>
    <cellStyle name="20% - Accent4 18 2 2 2" xfId="23110" xr:uid="{00000000-0005-0000-0000-000090120000}"/>
    <cellStyle name="20% - Accent4 18 2 3" xfId="9828" xr:uid="{00000000-0005-0000-0000-000091120000}"/>
    <cellStyle name="20% - Accent4 18 2 3 2" xfId="21116" xr:uid="{00000000-0005-0000-0000-000092120000}"/>
    <cellStyle name="20% - Accent4 18 2 4" xfId="7834" xr:uid="{00000000-0005-0000-0000-000093120000}"/>
    <cellStyle name="20% - Accent4 18 2 4 2" xfId="19122" xr:uid="{00000000-0005-0000-0000-000094120000}"/>
    <cellStyle name="20% - Accent4 18 2 5" xfId="5840" xr:uid="{00000000-0005-0000-0000-000095120000}"/>
    <cellStyle name="20% - Accent4 18 2 5 2" xfId="17128" xr:uid="{00000000-0005-0000-0000-000096120000}"/>
    <cellStyle name="20% - Accent4 18 2 6" xfId="15134" xr:uid="{00000000-0005-0000-0000-000097120000}"/>
    <cellStyle name="20% - Accent4 18 3" xfId="10825" xr:uid="{00000000-0005-0000-0000-000098120000}"/>
    <cellStyle name="20% - Accent4 18 3 2" xfId="22113" xr:uid="{00000000-0005-0000-0000-000099120000}"/>
    <cellStyle name="20% - Accent4 18 4" xfId="8831" xr:uid="{00000000-0005-0000-0000-00009A120000}"/>
    <cellStyle name="20% - Accent4 18 4 2" xfId="20119" xr:uid="{00000000-0005-0000-0000-00009B120000}"/>
    <cellStyle name="20% - Accent4 18 5" xfId="6837" xr:uid="{00000000-0005-0000-0000-00009C120000}"/>
    <cellStyle name="20% - Accent4 18 5 2" xfId="18125" xr:uid="{00000000-0005-0000-0000-00009D120000}"/>
    <cellStyle name="20% - Accent4 18 6" xfId="4843" xr:uid="{00000000-0005-0000-0000-00009E120000}"/>
    <cellStyle name="20% - Accent4 18 6 2" xfId="16131" xr:uid="{00000000-0005-0000-0000-00009F120000}"/>
    <cellStyle name="20% - Accent4 18 7" xfId="14137" xr:uid="{00000000-0005-0000-0000-0000A0120000}"/>
    <cellStyle name="20% - Accent4 18 8" xfId="12823" xr:uid="{00000000-0005-0000-0000-0000A1120000}"/>
    <cellStyle name="20% - Accent4 19" xfId="888" xr:uid="{00000000-0005-0000-0000-0000A2120000}"/>
    <cellStyle name="20% - Accent4 19 2" xfId="3844" xr:uid="{00000000-0005-0000-0000-0000A3120000}"/>
    <cellStyle name="20% - Accent4 19 2 2" xfId="11823" xr:uid="{00000000-0005-0000-0000-0000A4120000}"/>
    <cellStyle name="20% - Accent4 19 2 2 2" xfId="23111" xr:uid="{00000000-0005-0000-0000-0000A5120000}"/>
    <cellStyle name="20% - Accent4 19 2 3" xfId="9829" xr:uid="{00000000-0005-0000-0000-0000A6120000}"/>
    <cellStyle name="20% - Accent4 19 2 3 2" xfId="21117" xr:uid="{00000000-0005-0000-0000-0000A7120000}"/>
    <cellStyle name="20% - Accent4 19 2 4" xfId="7835" xr:uid="{00000000-0005-0000-0000-0000A8120000}"/>
    <cellStyle name="20% - Accent4 19 2 4 2" xfId="19123" xr:uid="{00000000-0005-0000-0000-0000A9120000}"/>
    <cellStyle name="20% - Accent4 19 2 5" xfId="5841" xr:uid="{00000000-0005-0000-0000-0000AA120000}"/>
    <cellStyle name="20% - Accent4 19 2 5 2" xfId="17129" xr:uid="{00000000-0005-0000-0000-0000AB120000}"/>
    <cellStyle name="20% - Accent4 19 2 6" xfId="15135" xr:uid="{00000000-0005-0000-0000-0000AC120000}"/>
    <cellStyle name="20% - Accent4 19 3" xfId="10826" xr:uid="{00000000-0005-0000-0000-0000AD120000}"/>
    <cellStyle name="20% - Accent4 19 3 2" xfId="22114" xr:uid="{00000000-0005-0000-0000-0000AE120000}"/>
    <cellStyle name="20% - Accent4 19 4" xfId="8832" xr:uid="{00000000-0005-0000-0000-0000AF120000}"/>
    <cellStyle name="20% - Accent4 19 4 2" xfId="20120" xr:uid="{00000000-0005-0000-0000-0000B0120000}"/>
    <cellStyle name="20% - Accent4 19 5" xfId="6838" xr:uid="{00000000-0005-0000-0000-0000B1120000}"/>
    <cellStyle name="20% - Accent4 19 5 2" xfId="18126" xr:uid="{00000000-0005-0000-0000-0000B2120000}"/>
    <cellStyle name="20% - Accent4 19 6" xfId="4844" xr:uid="{00000000-0005-0000-0000-0000B3120000}"/>
    <cellStyle name="20% - Accent4 19 6 2" xfId="16132" xr:uid="{00000000-0005-0000-0000-0000B4120000}"/>
    <cellStyle name="20% - Accent4 19 7" xfId="14138" xr:uid="{00000000-0005-0000-0000-0000B5120000}"/>
    <cellStyle name="20% - Accent4 19 8" xfId="12824" xr:uid="{00000000-0005-0000-0000-0000B6120000}"/>
    <cellStyle name="20% - Accent4 2" xfId="889" xr:uid="{00000000-0005-0000-0000-0000B7120000}"/>
    <cellStyle name="20% - Accent4 2 10" xfId="24577" xr:uid="{00000000-0005-0000-0000-0000B8120000}"/>
    <cellStyle name="20% - Accent4 2 11" xfId="24967" xr:uid="{00000000-0005-0000-0000-0000B9120000}"/>
    <cellStyle name="20% - Accent4 2 2" xfId="3845" xr:uid="{00000000-0005-0000-0000-0000BA120000}"/>
    <cellStyle name="20% - Accent4 2 2 2" xfId="11824" xr:uid="{00000000-0005-0000-0000-0000BB120000}"/>
    <cellStyle name="20% - Accent4 2 2 2 2" xfId="23112" xr:uid="{00000000-0005-0000-0000-0000BC120000}"/>
    <cellStyle name="20% - Accent4 2 2 3" xfId="9830" xr:uid="{00000000-0005-0000-0000-0000BD120000}"/>
    <cellStyle name="20% - Accent4 2 2 3 2" xfId="21118" xr:uid="{00000000-0005-0000-0000-0000BE120000}"/>
    <cellStyle name="20% - Accent4 2 2 4" xfId="7836" xr:uid="{00000000-0005-0000-0000-0000BF120000}"/>
    <cellStyle name="20% - Accent4 2 2 4 2" xfId="19124" xr:uid="{00000000-0005-0000-0000-0000C0120000}"/>
    <cellStyle name="20% - Accent4 2 2 5" xfId="5842" xr:uid="{00000000-0005-0000-0000-0000C1120000}"/>
    <cellStyle name="20% - Accent4 2 2 5 2" xfId="17130" xr:uid="{00000000-0005-0000-0000-0000C2120000}"/>
    <cellStyle name="20% - Accent4 2 2 6" xfId="15136" xr:uid="{00000000-0005-0000-0000-0000C3120000}"/>
    <cellStyle name="20% - Accent4 2 2 7" xfId="24338" xr:uid="{00000000-0005-0000-0000-0000C4120000}"/>
    <cellStyle name="20% - Accent4 2 2 8" xfId="24802" xr:uid="{00000000-0005-0000-0000-0000C5120000}"/>
    <cellStyle name="20% - Accent4 2 2 9" xfId="25169" xr:uid="{00000000-0005-0000-0000-0000C6120000}"/>
    <cellStyle name="20% - Accent4 2 3" xfId="10827" xr:uid="{00000000-0005-0000-0000-0000C7120000}"/>
    <cellStyle name="20% - Accent4 2 3 2" xfId="22115" xr:uid="{00000000-0005-0000-0000-0000C8120000}"/>
    <cellStyle name="20% - Accent4 2 4" xfId="8833" xr:uid="{00000000-0005-0000-0000-0000C9120000}"/>
    <cellStyle name="20% - Accent4 2 4 2" xfId="20121" xr:uid="{00000000-0005-0000-0000-0000CA120000}"/>
    <cellStyle name="20% - Accent4 2 5" xfId="6839" xr:uid="{00000000-0005-0000-0000-0000CB120000}"/>
    <cellStyle name="20% - Accent4 2 5 2" xfId="18127" xr:uid="{00000000-0005-0000-0000-0000CC120000}"/>
    <cellStyle name="20% - Accent4 2 6" xfId="4845" xr:uid="{00000000-0005-0000-0000-0000CD120000}"/>
    <cellStyle name="20% - Accent4 2 6 2" xfId="16133" xr:uid="{00000000-0005-0000-0000-0000CE120000}"/>
    <cellStyle name="20% - Accent4 2 7" xfId="14139" xr:uid="{00000000-0005-0000-0000-0000CF120000}"/>
    <cellStyle name="20% - Accent4 2 8" xfId="12825" xr:uid="{00000000-0005-0000-0000-0000D0120000}"/>
    <cellStyle name="20% - Accent4 2 9" xfId="23950" xr:uid="{00000000-0005-0000-0000-0000D1120000}"/>
    <cellStyle name="20% - Accent4 20" xfId="890" xr:uid="{00000000-0005-0000-0000-0000D2120000}"/>
    <cellStyle name="20% - Accent4 20 2" xfId="3846" xr:uid="{00000000-0005-0000-0000-0000D3120000}"/>
    <cellStyle name="20% - Accent4 20 2 2" xfId="11825" xr:uid="{00000000-0005-0000-0000-0000D4120000}"/>
    <cellStyle name="20% - Accent4 20 2 2 2" xfId="23113" xr:uid="{00000000-0005-0000-0000-0000D5120000}"/>
    <cellStyle name="20% - Accent4 20 2 3" xfId="9831" xr:uid="{00000000-0005-0000-0000-0000D6120000}"/>
    <cellStyle name="20% - Accent4 20 2 3 2" xfId="21119" xr:uid="{00000000-0005-0000-0000-0000D7120000}"/>
    <cellStyle name="20% - Accent4 20 2 4" xfId="7837" xr:uid="{00000000-0005-0000-0000-0000D8120000}"/>
    <cellStyle name="20% - Accent4 20 2 4 2" xfId="19125" xr:uid="{00000000-0005-0000-0000-0000D9120000}"/>
    <cellStyle name="20% - Accent4 20 2 5" xfId="5843" xr:uid="{00000000-0005-0000-0000-0000DA120000}"/>
    <cellStyle name="20% - Accent4 20 2 5 2" xfId="17131" xr:uid="{00000000-0005-0000-0000-0000DB120000}"/>
    <cellStyle name="20% - Accent4 20 2 6" xfId="15137" xr:uid="{00000000-0005-0000-0000-0000DC120000}"/>
    <cellStyle name="20% - Accent4 20 3" xfId="10828" xr:uid="{00000000-0005-0000-0000-0000DD120000}"/>
    <cellStyle name="20% - Accent4 20 3 2" xfId="22116" xr:uid="{00000000-0005-0000-0000-0000DE120000}"/>
    <cellStyle name="20% - Accent4 20 4" xfId="8834" xr:uid="{00000000-0005-0000-0000-0000DF120000}"/>
    <cellStyle name="20% - Accent4 20 4 2" xfId="20122" xr:uid="{00000000-0005-0000-0000-0000E0120000}"/>
    <cellStyle name="20% - Accent4 20 5" xfId="6840" xr:uid="{00000000-0005-0000-0000-0000E1120000}"/>
    <cellStyle name="20% - Accent4 20 5 2" xfId="18128" xr:uid="{00000000-0005-0000-0000-0000E2120000}"/>
    <cellStyle name="20% - Accent4 20 6" xfId="4846" xr:uid="{00000000-0005-0000-0000-0000E3120000}"/>
    <cellStyle name="20% - Accent4 20 6 2" xfId="16134" xr:uid="{00000000-0005-0000-0000-0000E4120000}"/>
    <cellStyle name="20% - Accent4 20 7" xfId="14140" xr:uid="{00000000-0005-0000-0000-0000E5120000}"/>
    <cellStyle name="20% - Accent4 20 8" xfId="12826" xr:uid="{00000000-0005-0000-0000-0000E6120000}"/>
    <cellStyle name="20% - Accent4 21" xfId="891" xr:uid="{00000000-0005-0000-0000-0000E7120000}"/>
    <cellStyle name="20% - Accent4 21 2" xfId="3847" xr:uid="{00000000-0005-0000-0000-0000E8120000}"/>
    <cellStyle name="20% - Accent4 21 2 2" xfId="11826" xr:uid="{00000000-0005-0000-0000-0000E9120000}"/>
    <cellStyle name="20% - Accent4 21 2 2 2" xfId="23114" xr:uid="{00000000-0005-0000-0000-0000EA120000}"/>
    <cellStyle name="20% - Accent4 21 2 3" xfId="9832" xr:uid="{00000000-0005-0000-0000-0000EB120000}"/>
    <cellStyle name="20% - Accent4 21 2 3 2" xfId="21120" xr:uid="{00000000-0005-0000-0000-0000EC120000}"/>
    <cellStyle name="20% - Accent4 21 2 4" xfId="7838" xr:uid="{00000000-0005-0000-0000-0000ED120000}"/>
    <cellStyle name="20% - Accent4 21 2 4 2" xfId="19126" xr:uid="{00000000-0005-0000-0000-0000EE120000}"/>
    <cellStyle name="20% - Accent4 21 2 5" xfId="5844" xr:uid="{00000000-0005-0000-0000-0000EF120000}"/>
    <cellStyle name="20% - Accent4 21 2 5 2" xfId="17132" xr:uid="{00000000-0005-0000-0000-0000F0120000}"/>
    <cellStyle name="20% - Accent4 21 2 6" xfId="15138" xr:uid="{00000000-0005-0000-0000-0000F1120000}"/>
    <cellStyle name="20% - Accent4 21 3" xfId="10829" xr:uid="{00000000-0005-0000-0000-0000F2120000}"/>
    <cellStyle name="20% - Accent4 21 3 2" xfId="22117" xr:uid="{00000000-0005-0000-0000-0000F3120000}"/>
    <cellStyle name="20% - Accent4 21 4" xfId="8835" xr:uid="{00000000-0005-0000-0000-0000F4120000}"/>
    <cellStyle name="20% - Accent4 21 4 2" xfId="20123" xr:uid="{00000000-0005-0000-0000-0000F5120000}"/>
    <cellStyle name="20% - Accent4 21 5" xfId="6841" xr:uid="{00000000-0005-0000-0000-0000F6120000}"/>
    <cellStyle name="20% - Accent4 21 5 2" xfId="18129" xr:uid="{00000000-0005-0000-0000-0000F7120000}"/>
    <cellStyle name="20% - Accent4 21 6" xfId="4847" xr:uid="{00000000-0005-0000-0000-0000F8120000}"/>
    <cellStyle name="20% - Accent4 21 6 2" xfId="16135" xr:uid="{00000000-0005-0000-0000-0000F9120000}"/>
    <cellStyle name="20% - Accent4 21 7" xfId="14141" xr:uid="{00000000-0005-0000-0000-0000FA120000}"/>
    <cellStyle name="20% - Accent4 21 8" xfId="12827" xr:uid="{00000000-0005-0000-0000-0000FB120000}"/>
    <cellStyle name="20% - Accent4 22" xfId="892" xr:uid="{00000000-0005-0000-0000-0000FC120000}"/>
    <cellStyle name="20% - Accent4 22 2" xfId="3848" xr:uid="{00000000-0005-0000-0000-0000FD120000}"/>
    <cellStyle name="20% - Accent4 22 2 2" xfId="11827" xr:uid="{00000000-0005-0000-0000-0000FE120000}"/>
    <cellStyle name="20% - Accent4 22 2 2 2" xfId="23115" xr:uid="{00000000-0005-0000-0000-0000FF120000}"/>
    <cellStyle name="20% - Accent4 22 2 3" xfId="9833" xr:uid="{00000000-0005-0000-0000-000000130000}"/>
    <cellStyle name="20% - Accent4 22 2 3 2" xfId="21121" xr:uid="{00000000-0005-0000-0000-000001130000}"/>
    <cellStyle name="20% - Accent4 22 2 4" xfId="7839" xr:uid="{00000000-0005-0000-0000-000002130000}"/>
    <cellStyle name="20% - Accent4 22 2 4 2" xfId="19127" xr:uid="{00000000-0005-0000-0000-000003130000}"/>
    <cellStyle name="20% - Accent4 22 2 5" xfId="5845" xr:uid="{00000000-0005-0000-0000-000004130000}"/>
    <cellStyle name="20% - Accent4 22 2 5 2" xfId="17133" xr:uid="{00000000-0005-0000-0000-000005130000}"/>
    <cellStyle name="20% - Accent4 22 2 6" xfId="15139" xr:uid="{00000000-0005-0000-0000-000006130000}"/>
    <cellStyle name="20% - Accent4 22 3" xfId="10830" xr:uid="{00000000-0005-0000-0000-000007130000}"/>
    <cellStyle name="20% - Accent4 22 3 2" xfId="22118" xr:uid="{00000000-0005-0000-0000-000008130000}"/>
    <cellStyle name="20% - Accent4 22 4" xfId="8836" xr:uid="{00000000-0005-0000-0000-000009130000}"/>
    <cellStyle name="20% - Accent4 22 4 2" xfId="20124" xr:uid="{00000000-0005-0000-0000-00000A130000}"/>
    <cellStyle name="20% - Accent4 22 5" xfId="6842" xr:uid="{00000000-0005-0000-0000-00000B130000}"/>
    <cellStyle name="20% - Accent4 22 5 2" xfId="18130" xr:uid="{00000000-0005-0000-0000-00000C130000}"/>
    <cellStyle name="20% - Accent4 22 6" xfId="4848" xr:uid="{00000000-0005-0000-0000-00000D130000}"/>
    <cellStyle name="20% - Accent4 22 6 2" xfId="16136" xr:uid="{00000000-0005-0000-0000-00000E130000}"/>
    <cellStyle name="20% - Accent4 22 7" xfId="14142" xr:uid="{00000000-0005-0000-0000-00000F130000}"/>
    <cellStyle name="20% - Accent4 22 8" xfId="12828" xr:uid="{00000000-0005-0000-0000-000010130000}"/>
    <cellStyle name="20% - Accent4 23" xfId="893" xr:uid="{00000000-0005-0000-0000-000011130000}"/>
    <cellStyle name="20% - Accent4 23 2" xfId="3849" xr:uid="{00000000-0005-0000-0000-000012130000}"/>
    <cellStyle name="20% - Accent4 23 2 2" xfId="11828" xr:uid="{00000000-0005-0000-0000-000013130000}"/>
    <cellStyle name="20% - Accent4 23 2 2 2" xfId="23116" xr:uid="{00000000-0005-0000-0000-000014130000}"/>
    <cellStyle name="20% - Accent4 23 2 3" xfId="9834" xr:uid="{00000000-0005-0000-0000-000015130000}"/>
    <cellStyle name="20% - Accent4 23 2 3 2" xfId="21122" xr:uid="{00000000-0005-0000-0000-000016130000}"/>
    <cellStyle name="20% - Accent4 23 2 4" xfId="7840" xr:uid="{00000000-0005-0000-0000-000017130000}"/>
    <cellStyle name="20% - Accent4 23 2 4 2" xfId="19128" xr:uid="{00000000-0005-0000-0000-000018130000}"/>
    <cellStyle name="20% - Accent4 23 2 5" xfId="5846" xr:uid="{00000000-0005-0000-0000-000019130000}"/>
    <cellStyle name="20% - Accent4 23 2 5 2" xfId="17134" xr:uid="{00000000-0005-0000-0000-00001A130000}"/>
    <cellStyle name="20% - Accent4 23 2 6" xfId="15140" xr:uid="{00000000-0005-0000-0000-00001B130000}"/>
    <cellStyle name="20% - Accent4 23 3" xfId="10831" xr:uid="{00000000-0005-0000-0000-00001C130000}"/>
    <cellStyle name="20% - Accent4 23 3 2" xfId="22119" xr:uid="{00000000-0005-0000-0000-00001D130000}"/>
    <cellStyle name="20% - Accent4 23 4" xfId="8837" xr:uid="{00000000-0005-0000-0000-00001E130000}"/>
    <cellStyle name="20% - Accent4 23 4 2" xfId="20125" xr:uid="{00000000-0005-0000-0000-00001F130000}"/>
    <cellStyle name="20% - Accent4 23 5" xfId="6843" xr:uid="{00000000-0005-0000-0000-000020130000}"/>
    <cellStyle name="20% - Accent4 23 5 2" xfId="18131" xr:uid="{00000000-0005-0000-0000-000021130000}"/>
    <cellStyle name="20% - Accent4 23 6" xfId="4849" xr:uid="{00000000-0005-0000-0000-000022130000}"/>
    <cellStyle name="20% - Accent4 23 6 2" xfId="16137" xr:uid="{00000000-0005-0000-0000-000023130000}"/>
    <cellStyle name="20% - Accent4 23 7" xfId="14143" xr:uid="{00000000-0005-0000-0000-000024130000}"/>
    <cellStyle name="20% - Accent4 23 8" xfId="12829" xr:uid="{00000000-0005-0000-0000-000025130000}"/>
    <cellStyle name="20% - Accent4 24" xfId="894" xr:uid="{00000000-0005-0000-0000-000026130000}"/>
    <cellStyle name="20% - Accent4 24 2" xfId="3850" xr:uid="{00000000-0005-0000-0000-000027130000}"/>
    <cellStyle name="20% - Accent4 24 2 2" xfId="11829" xr:uid="{00000000-0005-0000-0000-000028130000}"/>
    <cellStyle name="20% - Accent4 24 2 2 2" xfId="23117" xr:uid="{00000000-0005-0000-0000-000029130000}"/>
    <cellStyle name="20% - Accent4 24 2 3" xfId="9835" xr:uid="{00000000-0005-0000-0000-00002A130000}"/>
    <cellStyle name="20% - Accent4 24 2 3 2" xfId="21123" xr:uid="{00000000-0005-0000-0000-00002B130000}"/>
    <cellStyle name="20% - Accent4 24 2 4" xfId="7841" xr:uid="{00000000-0005-0000-0000-00002C130000}"/>
    <cellStyle name="20% - Accent4 24 2 4 2" xfId="19129" xr:uid="{00000000-0005-0000-0000-00002D130000}"/>
    <cellStyle name="20% - Accent4 24 2 5" xfId="5847" xr:uid="{00000000-0005-0000-0000-00002E130000}"/>
    <cellStyle name="20% - Accent4 24 2 5 2" xfId="17135" xr:uid="{00000000-0005-0000-0000-00002F130000}"/>
    <cellStyle name="20% - Accent4 24 2 6" xfId="15141" xr:uid="{00000000-0005-0000-0000-000030130000}"/>
    <cellStyle name="20% - Accent4 24 3" xfId="10832" xr:uid="{00000000-0005-0000-0000-000031130000}"/>
    <cellStyle name="20% - Accent4 24 3 2" xfId="22120" xr:uid="{00000000-0005-0000-0000-000032130000}"/>
    <cellStyle name="20% - Accent4 24 4" xfId="8838" xr:uid="{00000000-0005-0000-0000-000033130000}"/>
    <cellStyle name="20% - Accent4 24 4 2" xfId="20126" xr:uid="{00000000-0005-0000-0000-000034130000}"/>
    <cellStyle name="20% - Accent4 24 5" xfId="6844" xr:uid="{00000000-0005-0000-0000-000035130000}"/>
    <cellStyle name="20% - Accent4 24 5 2" xfId="18132" xr:uid="{00000000-0005-0000-0000-000036130000}"/>
    <cellStyle name="20% - Accent4 24 6" xfId="4850" xr:uid="{00000000-0005-0000-0000-000037130000}"/>
    <cellStyle name="20% - Accent4 24 6 2" xfId="16138" xr:uid="{00000000-0005-0000-0000-000038130000}"/>
    <cellStyle name="20% - Accent4 24 7" xfId="14144" xr:uid="{00000000-0005-0000-0000-000039130000}"/>
    <cellStyle name="20% - Accent4 24 8" xfId="12830" xr:uid="{00000000-0005-0000-0000-00003A130000}"/>
    <cellStyle name="20% - Accent4 25" xfId="895" xr:uid="{00000000-0005-0000-0000-00003B130000}"/>
    <cellStyle name="20% - Accent4 25 2" xfId="3851" xr:uid="{00000000-0005-0000-0000-00003C130000}"/>
    <cellStyle name="20% - Accent4 25 2 2" xfId="11830" xr:uid="{00000000-0005-0000-0000-00003D130000}"/>
    <cellStyle name="20% - Accent4 25 2 2 2" xfId="23118" xr:uid="{00000000-0005-0000-0000-00003E130000}"/>
    <cellStyle name="20% - Accent4 25 2 3" xfId="9836" xr:uid="{00000000-0005-0000-0000-00003F130000}"/>
    <cellStyle name="20% - Accent4 25 2 3 2" xfId="21124" xr:uid="{00000000-0005-0000-0000-000040130000}"/>
    <cellStyle name="20% - Accent4 25 2 4" xfId="7842" xr:uid="{00000000-0005-0000-0000-000041130000}"/>
    <cellStyle name="20% - Accent4 25 2 4 2" xfId="19130" xr:uid="{00000000-0005-0000-0000-000042130000}"/>
    <cellStyle name="20% - Accent4 25 2 5" xfId="5848" xr:uid="{00000000-0005-0000-0000-000043130000}"/>
    <cellStyle name="20% - Accent4 25 2 5 2" xfId="17136" xr:uid="{00000000-0005-0000-0000-000044130000}"/>
    <cellStyle name="20% - Accent4 25 2 6" xfId="15142" xr:uid="{00000000-0005-0000-0000-000045130000}"/>
    <cellStyle name="20% - Accent4 25 3" xfId="10833" xr:uid="{00000000-0005-0000-0000-000046130000}"/>
    <cellStyle name="20% - Accent4 25 3 2" xfId="22121" xr:uid="{00000000-0005-0000-0000-000047130000}"/>
    <cellStyle name="20% - Accent4 25 4" xfId="8839" xr:uid="{00000000-0005-0000-0000-000048130000}"/>
    <cellStyle name="20% - Accent4 25 4 2" xfId="20127" xr:uid="{00000000-0005-0000-0000-000049130000}"/>
    <cellStyle name="20% - Accent4 25 5" xfId="6845" xr:uid="{00000000-0005-0000-0000-00004A130000}"/>
    <cellStyle name="20% - Accent4 25 5 2" xfId="18133" xr:uid="{00000000-0005-0000-0000-00004B130000}"/>
    <cellStyle name="20% - Accent4 25 6" xfId="4851" xr:uid="{00000000-0005-0000-0000-00004C130000}"/>
    <cellStyle name="20% - Accent4 25 6 2" xfId="16139" xr:uid="{00000000-0005-0000-0000-00004D130000}"/>
    <cellStyle name="20% - Accent4 25 7" xfId="14145" xr:uid="{00000000-0005-0000-0000-00004E130000}"/>
    <cellStyle name="20% - Accent4 25 8" xfId="12831" xr:uid="{00000000-0005-0000-0000-00004F130000}"/>
    <cellStyle name="20% - Accent4 26" xfId="896" xr:uid="{00000000-0005-0000-0000-000050130000}"/>
    <cellStyle name="20% - Accent4 26 2" xfId="3852" xr:uid="{00000000-0005-0000-0000-000051130000}"/>
    <cellStyle name="20% - Accent4 26 2 2" xfId="11831" xr:uid="{00000000-0005-0000-0000-000052130000}"/>
    <cellStyle name="20% - Accent4 26 2 2 2" xfId="23119" xr:uid="{00000000-0005-0000-0000-000053130000}"/>
    <cellStyle name="20% - Accent4 26 2 3" xfId="9837" xr:uid="{00000000-0005-0000-0000-000054130000}"/>
    <cellStyle name="20% - Accent4 26 2 3 2" xfId="21125" xr:uid="{00000000-0005-0000-0000-000055130000}"/>
    <cellStyle name="20% - Accent4 26 2 4" xfId="7843" xr:uid="{00000000-0005-0000-0000-000056130000}"/>
    <cellStyle name="20% - Accent4 26 2 4 2" xfId="19131" xr:uid="{00000000-0005-0000-0000-000057130000}"/>
    <cellStyle name="20% - Accent4 26 2 5" xfId="5849" xr:uid="{00000000-0005-0000-0000-000058130000}"/>
    <cellStyle name="20% - Accent4 26 2 5 2" xfId="17137" xr:uid="{00000000-0005-0000-0000-000059130000}"/>
    <cellStyle name="20% - Accent4 26 2 6" xfId="15143" xr:uid="{00000000-0005-0000-0000-00005A130000}"/>
    <cellStyle name="20% - Accent4 26 3" xfId="10834" xr:uid="{00000000-0005-0000-0000-00005B130000}"/>
    <cellStyle name="20% - Accent4 26 3 2" xfId="22122" xr:uid="{00000000-0005-0000-0000-00005C130000}"/>
    <cellStyle name="20% - Accent4 26 4" xfId="8840" xr:uid="{00000000-0005-0000-0000-00005D130000}"/>
    <cellStyle name="20% - Accent4 26 4 2" xfId="20128" xr:uid="{00000000-0005-0000-0000-00005E130000}"/>
    <cellStyle name="20% - Accent4 26 5" xfId="6846" xr:uid="{00000000-0005-0000-0000-00005F130000}"/>
    <cellStyle name="20% - Accent4 26 5 2" xfId="18134" xr:uid="{00000000-0005-0000-0000-000060130000}"/>
    <cellStyle name="20% - Accent4 26 6" xfId="4852" xr:uid="{00000000-0005-0000-0000-000061130000}"/>
    <cellStyle name="20% - Accent4 26 6 2" xfId="16140" xr:uid="{00000000-0005-0000-0000-000062130000}"/>
    <cellStyle name="20% - Accent4 26 7" xfId="14146" xr:uid="{00000000-0005-0000-0000-000063130000}"/>
    <cellStyle name="20% - Accent4 26 8" xfId="12832" xr:uid="{00000000-0005-0000-0000-000064130000}"/>
    <cellStyle name="20% - Accent4 27" xfId="897" xr:uid="{00000000-0005-0000-0000-000065130000}"/>
    <cellStyle name="20% - Accent4 27 2" xfId="3853" xr:uid="{00000000-0005-0000-0000-000066130000}"/>
    <cellStyle name="20% - Accent4 27 2 2" xfId="11832" xr:uid="{00000000-0005-0000-0000-000067130000}"/>
    <cellStyle name="20% - Accent4 27 2 2 2" xfId="23120" xr:uid="{00000000-0005-0000-0000-000068130000}"/>
    <cellStyle name="20% - Accent4 27 2 3" xfId="9838" xr:uid="{00000000-0005-0000-0000-000069130000}"/>
    <cellStyle name="20% - Accent4 27 2 3 2" xfId="21126" xr:uid="{00000000-0005-0000-0000-00006A130000}"/>
    <cellStyle name="20% - Accent4 27 2 4" xfId="7844" xr:uid="{00000000-0005-0000-0000-00006B130000}"/>
    <cellStyle name="20% - Accent4 27 2 4 2" xfId="19132" xr:uid="{00000000-0005-0000-0000-00006C130000}"/>
    <cellStyle name="20% - Accent4 27 2 5" xfId="5850" xr:uid="{00000000-0005-0000-0000-00006D130000}"/>
    <cellStyle name="20% - Accent4 27 2 5 2" xfId="17138" xr:uid="{00000000-0005-0000-0000-00006E130000}"/>
    <cellStyle name="20% - Accent4 27 2 6" xfId="15144" xr:uid="{00000000-0005-0000-0000-00006F130000}"/>
    <cellStyle name="20% - Accent4 27 3" xfId="10835" xr:uid="{00000000-0005-0000-0000-000070130000}"/>
    <cellStyle name="20% - Accent4 27 3 2" xfId="22123" xr:uid="{00000000-0005-0000-0000-000071130000}"/>
    <cellStyle name="20% - Accent4 27 4" xfId="8841" xr:uid="{00000000-0005-0000-0000-000072130000}"/>
    <cellStyle name="20% - Accent4 27 4 2" xfId="20129" xr:uid="{00000000-0005-0000-0000-000073130000}"/>
    <cellStyle name="20% - Accent4 27 5" xfId="6847" xr:uid="{00000000-0005-0000-0000-000074130000}"/>
    <cellStyle name="20% - Accent4 27 5 2" xfId="18135" xr:uid="{00000000-0005-0000-0000-000075130000}"/>
    <cellStyle name="20% - Accent4 27 6" xfId="4853" xr:uid="{00000000-0005-0000-0000-000076130000}"/>
    <cellStyle name="20% - Accent4 27 6 2" xfId="16141" xr:uid="{00000000-0005-0000-0000-000077130000}"/>
    <cellStyle name="20% - Accent4 27 7" xfId="14147" xr:uid="{00000000-0005-0000-0000-000078130000}"/>
    <cellStyle name="20% - Accent4 27 8" xfId="12833" xr:uid="{00000000-0005-0000-0000-000079130000}"/>
    <cellStyle name="20% - Accent4 28" xfId="898" xr:uid="{00000000-0005-0000-0000-00007A130000}"/>
    <cellStyle name="20% - Accent4 28 2" xfId="3854" xr:uid="{00000000-0005-0000-0000-00007B130000}"/>
    <cellStyle name="20% - Accent4 28 2 2" xfId="11833" xr:uid="{00000000-0005-0000-0000-00007C130000}"/>
    <cellStyle name="20% - Accent4 28 2 2 2" xfId="23121" xr:uid="{00000000-0005-0000-0000-00007D130000}"/>
    <cellStyle name="20% - Accent4 28 2 3" xfId="9839" xr:uid="{00000000-0005-0000-0000-00007E130000}"/>
    <cellStyle name="20% - Accent4 28 2 3 2" xfId="21127" xr:uid="{00000000-0005-0000-0000-00007F130000}"/>
    <cellStyle name="20% - Accent4 28 2 4" xfId="7845" xr:uid="{00000000-0005-0000-0000-000080130000}"/>
    <cellStyle name="20% - Accent4 28 2 4 2" xfId="19133" xr:uid="{00000000-0005-0000-0000-000081130000}"/>
    <cellStyle name="20% - Accent4 28 2 5" xfId="5851" xr:uid="{00000000-0005-0000-0000-000082130000}"/>
    <cellStyle name="20% - Accent4 28 2 5 2" xfId="17139" xr:uid="{00000000-0005-0000-0000-000083130000}"/>
    <cellStyle name="20% - Accent4 28 2 6" xfId="15145" xr:uid="{00000000-0005-0000-0000-000084130000}"/>
    <cellStyle name="20% - Accent4 28 3" xfId="10836" xr:uid="{00000000-0005-0000-0000-000085130000}"/>
    <cellStyle name="20% - Accent4 28 3 2" xfId="22124" xr:uid="{00000000-0005-0000-0000-000086130000}"/>
    <cellStyle name="20% - Accent4 28 4" xfId="8842" xr:uid="{00000000-0005-0000-0000-000087130000}"/>
    <cellStyle name="20% - Accent4 28 4 2" xfId="20130" xr:uid="{00000000-0005-0000-0000-000088130000}"/>
    <cellStyle name="20% - Accent4 28 5" xfId="6848" xr:uid="{00000000-0005-0000-0000-000089130000}"/>
    <cellStyle name="20% - Accent4 28 5 2" xfId="18136" xr:uid="{00000000-0005-0000-0000-00008A130000}"/>
    <cellStyle name="20% - Accent4 28 6" xfId="4854" xr:uid="{00000000-0005-0000-0000-00008B130000}"/>
    <cellStyle name="20% - Accent4 28 6 2" xfId="16142" xr:uid="{00000000-0005-0000-0000-00008C130000}"/>
    <cellStyle name="20% - Accent4 28 7" xfId="14148" xr:uid="{00000000-0005-0000-0000-00008D130000}"/>
    <cellStyle name="20% - Accent4 28 8" xfId="12834" xr:uid="{00000000-0005-0000-0000-00008E130000}"/>
    <cellStyle name="20% - Accent4 29" xfId="899" xr:uid="{00000000-0005-0000-0000-00008F130000}"/>
    <cellStyle name="20% - Accent4 29 2" xfId="3855" xr:uid="{00000000-0005-0000-0000-000090130000}"/>
    <cellStyle name="20% - Accent4 29 2 2" xfId="11834" xr:uid="{00000000-0005-0000-0000-000091130000}"/>
    <cellStyle name="20% - Accent4 29 2 2 2" xfId="23122" xr:uid="{00000000-0005-0000-0000-000092130000}"/>
    <cellStyle name="20% - Accent4 29 2 3" xfId="9840" xr:uid="{00000000-0005-0000-0000-000093130000}"/>
    <cellStyle name="20% - Accent4 29 2 3 2" xfId="21128" xr:uid="{00000000-0005-0000-0000-000094130000}"/>
    <cellStyle name="20% - Accent4 29 2 4" xfId="7846" xr:uid="{00000000-0005-0000-0000-000095130000}"/>
    <cellStyle name="20% - Accent4 29 2 4 2" xfId="19134" xr:uid="{00000000-0005-0000-0000-000096130000}"/>
    <cellStyle name="20% - Accent4 29 2 5" xfId="5852" xr:uid="{00000000-0005-0000-0000-000097130000}"/>
    <cellStyle name="20% - Accent4 29 2 5 2" xfId="17140" xr:uid="{00000000-0005-0000-0000-000098130000}"/>
    <cellStyle name="20% - Accent4 29 2 6" xfId="15146" xr:uid="{00000000-0005-0000-0000-000099130000}"/>
    <cellStyle name="20% - Accent4 29 3" xfId="10837" xr:uid="{00000000-0005-0000-0000-00009A130000}"/>
    <cellStyle name="20% - Accent4 29 3 2" xfId="22125" xr:uid="{00000000-0005-0000-0000-00009B130000}"/>
    <cellStyle name="20% - Accent4 29 4" xfId="8843" xr:uid="{00000000-0005-0000-0000-00009C130000}"/>
    <cellStyle name="20% - Accent4 29 4 2" xfId="20131" xr:uid="{00000000-0005-0000-0000-00009D130000}"/>
    <cellStyle name="20% - Accent4 29 5" xfId="6849" xr:uid="{00000000-0005-0000-0000-00009E130000}"/>
    <cellStyle name="20% - Accent4 29 5 2" xfId="18137" xr:uid="{00000000-0005-0000-0000-00009F130000}"/>
    <cellStyle name="20% - Accent4 29 6" xfId="4855" xr:uid="{00000000-0005-0000-0000-0000A0130000}"/>
    <cellStyle name="20% - Accent4 29 6 2" xfId="16143" xr:uid="{00000000-0005-0000-0000-0000A1130000}"/>
    <cellStyle name="20% - Accent4 29 7" xfId="14149" xr:uid="{00000000-0005-0000-0000-0000A2130000}"/>
    <cellStyle name="20% - Accent4 29 8" xfId="12835" xr:uid="{00000000-0005-0000-0000-0000A3130000}"/>
    <cellStyle name="20% - Accent4 3" xfId="900" xr:uid="{00000000-0005-0000-0000-0000A4130000}"/>
    <cellStyle name="20% - Accent4 3 10" xfId="24578" xr:uid="{00000000-0005-0000-0000-0000A5130000}"/>
    <cellStyle name="20% - Accent4 3 11" xfId="24968" xr:uid="{00000000-0005-0000-0000-0000A6130000}"/>
    <cellStyle name="20% - Accent4 3 2" xfId="3856" xr:uid="{00000000-0005-0000-0000-0000A7130000}"/>
    <cellStyle name="20% - Accent4 3 2 2" xfId="11835" xr:uid="{00000000-0005-0000-0000-0000A8130000}"/>
    <cellStyle name="20% - Accent4 3 2 2 2" xfId="23123" xr:uid="{00000000-0005-0000-0000-0000A9130000}"/>
    <cellStyle name="20% - Accent4 3 2 3" xfId="9841" xr:uid="{00000000-0005-0000-0000-0000AA130000}"/>
    <cellStyle name="20% - Accent4 3 2 3 2" xfId="21129" xr:uid="{00000000-0005-0000-0000-0000AB130000}"/>
    <cellStyle name="20% - Accent4 3 2 4" xfId="7847" xr:uid="{00000000-0005-0000-0000-0000AC130000}"/>
    <cellStyle name="20% - Accent4 3 2 4 2" xfId="19135" xr:uid="{00000000-0005-0000-0000-0000AD130000}"/>
    <cellStyle name="20% - Accent4 3 2 5" xfId="5853" xr:uid="{00000000-0005-0000-0000-0000AE130000}"/>
    <cellStyle name="20% - Accent4 3 2 5 2" xfId="17141" xr:uid="{00000000-0005-0000-0000-0000AF130000}"/>
    <cellStyle name="20% - Accent4 3 2 6" xfId="15147" xr:uid="{00000000-0005-0000-0000-0000B0130000}"/>
    <cellStyle name="20% - Accent4 3 2 7" xfId="24339" xr:uid="{00000000-0005-0000-0000-0000B1130000}"/>
    <cellStyle name="20% - Accent4 3 2 8" xfId="24803" xr:uid="{00000000-0005-0000-0000-0000B2130000}"/>
    <cellStyle name="20% - Accent4 3 2 9" xfId="25170" xr:uid="{00000000-0005-0000-0000-0000B3130000}"/>
    <cellStyle name="20% - Accent4 3 3" xfId="10838" xr:uid="{00000000-0005-0000-0000-0000B4130000}"/>
    <cellStyle name="20% - Accent4 3 3 2" xfId="22126" xr:uid="{00000000-0005-0000-0000-0000B5130000}"/>
    <cellStyle name="20% - Accent4 3 4" xfId="8844" xr:uid="{00000000-0005-0000-0000-0000B6130000}"/>
    <cellStyle name="20% - Accent4 3 4 2" xfId="20132" xr:uid="{00000000-0005-0000-0000-0000B7130000}"/>
    <cellStyle name="20% - Accent4 3 5" xfId="6850" xr:uid="{00000000-0005-0000-0000-0000B8130000}"/>
    <cellStyle name="20% - Accent4 3 5 2" xfId="18138" xr:uid="{00000000-0005-0000-0000-0000B9130000}"/>
    <cellStyle name="20% - Accent4 3 6" xfId="4856" xr:uid="{00000000-0005-0000-0000-0000BA130000}"/>
    <cellStyle name="20% - Accent4 3 6 2" xfId="16144" xr:uid="{00000000-0005-0000-0000-0000BB130000}"/>
    <cellStyle name="20% - Accent4 3 7" xfId="14150" xr:uid="{00000000-0005-0000-0000-0000BC130000}"/>
    <cellStyle name="20% - Accent4 3 8" xfId="12836" xr:uid="{00000000-0005-0000-0000-0000BD130000}"/>
    <cellStyle name="20% - Accent4 3 9" xfId="23951" xr:uid="{00000000-0005-0000-0000-0000BE130000}"/>
    <cellStyle name="20% - Accent4 30" xfId="901" xr:uid="{00000000-0005-0000-0000-0000BF130000}"/>
    <cellStyle name="20% - Accent4 30 2" xfId="3857" xr:uid="{00000000-0005-0000-0000-0000C0130000}"/>
    <cellStyle name="20% - Accent4 30 2 2" xfId="11836" xr:uid="{00000000-0005-0000-0000-0000C1130000}"/>
    <cellStyle name="20% - Accent4 30 2 2 2" xfId="23124" xr:uid="{00000000-0005-0000-0000-0000C2130000}"/>
    <cellStyle name="20% - Accent4 30 2 3" xfId="9842" xr:uid="{00000000-0005-0000-0000-0000C3130000}"/>
    <cellStyle name="20% - Accent4 30 2 3 2" xfId="21130" xr:uid="{00000000-0005-0000-0000-0000C4130000}"/>
    <cellStyle name="20% - Accent4 30 2 4" xfId="7848" xr:uid="{00000000-0005-0000-0000-0000C5130000}"/>
    <cellStyle name="20% - Accent4 30 2 4 2" xfId="19136" xr:uid="{00000000-0005-0000-0000-0000C6130000}"/>
    <cellStyle name="20% - Accent4 30 2 5" xfId="5854" xr:uid="{00000000-0005-0000-0000-0000C7130000}"/>
    <cellStyle name="20% - Accent4 30 2 5 2" xfId="17142" xr:uid="{00000000-0005-0000-0000-0000C8130000}"/>
    <cellStyle name="20% - Accent4 30 2 6" xfId="15148" xr:uid="{00000000-0005-0000-0000-0000C9130000}"/>
    <cellStyle name="20% - Accent4 30 3" xfId="10839" xr:uid="{00000000-0005-0000-0000-0000CA130000}"/>
    <cellStyle name="20% - Accent4 30 3 2" xfId="22127" xr:uid="{00000000-0005-0000-0000-0000CB130000}"/>
    <cellStyle name="20% - Accent4 30 4" xfId="8845" xr:uid="{00000000-0005-0000-0000-0000CC130000}"/>
    <cellStyle name="20% - Accent4 30 4 2" xfId="20133" xr:uid="{00000000-0005-0000-0000-0000CD130000}"/>
    <cellStyle name="20% - Accent4 30 5" xfId="6851" xr:uid="{00000000-0005-0000-0000-0000CE130000}"/>
    <cellStyle name="20% - Accent4 30 5 2" xfId="18139" xr:uid="{00000000-0005-0000-0000-0000CF130000}"/>
    <cellStyle name="20% - Accent4 30 6" xfId="4857" xr:uid="{00000000-0005-0000-0000-0000D0130000}"/>
    <cellStyle name="20% - Accent4 30 6 2" xfId="16145" xr:uid="{00000000-0005-0000-0000-0000D1130000}"/>
    <cellStyle name="20% - Accent4 30 7" xfId="14151" xr:uid="{00000000-0005-0000-0000-0000D2130000}"/>
    <cellStyle name="20% - Accent4 30 8" xfId="12837" xr:uid="{00000000-0005-0000-0000-0000D3130000}"/>
    <cellStyle name="20% - Accent4 31" xfId="902" xr:uid="{00000000-0005-0000-0000-0000D4130000}"/>
    <cellStyle name="20% - Accent4 31 2" xfId="3858" xr:uid="{00000000-0005-0000-0000-0000D5130000}"/>
    <cellStyle name="20% - Accent4 31 2 2" xfId="11837" xr:uid="{00000000-0005-0000-0000-0000D6130000}"/>
    <cellStyle name="20% - Accent4 31 2 2 2" xfId="23125" xr:uid="{00000000-0005-0000-0000-0000D7130000}"/>
    <cellStyle name="20% - Accent4 31 2 3" xfId="9843" xr:uid="{00000000-0005-0000-0000-0000D8130000}"/>
    <cellStyle name="20% - Accent4 31 2 3 2" xfId="21131" xr:uid="{00000000-0005-0000-0000-0000D9130000}"/>
    <cellStyle name="20% - Accent4 31 2 4" xfId="7849" xr:uid="{00000000-0005-0000-0000-0000DA130000}"/>
    <cellStyle name="20% - Accent4 31 2 4 2" xfId="19137" xr:uid="{00000000-0005-0000-0000-0000DB130000}"/>
    <cellStyle name="20% - Accent4 31 2 5" xfId="5855" xr:uid="{00000000-0005-0000-0000-0000DC130000}"/>
    <cellStyle name="20% - Accent4 31 2 5 2" xfId="17143" xr:uid="{00000000-0005-0000-0000-0000DD130000}"/>
    <cellStyle name="20% - Accent4 31 2 6" xfId="15149" xr:uid="{00000000-0005-0000-0000-0000DE130000}"/>
    <cellStyle name="20% - Accent4 31 3" xfId="10840" xr:uid="{00000000-0005-0000-0000-0000DF130000}"/>
    <cellStyle name="20% - Accent4 31 3 2" xfId="22128" xr:uid="{00000000-0005-0000-0000-0000E0130000}"/>
    <cellStyle name="20% - Accent4 31 4" xfId="8846" xr:uid="{00000000-0005-0000-0000-0000E1130000}"/>
    <cellStyle name="20% - Accent4 31 4 2" xfId="20134" xr:uid="{00000000-0005-0000-0000-0000E2130000}"/>
    <cellStyle name="20% - Accent4 31 5" xfId="6852" xr:uid="{00000000-0005-0000-0000-0000E3130000}"/>
    <cellStyle name="20% - Accent4 31 5 2" xfId="18140" xr:uid="{00000000-0005-0000-0000-0000E4130000}"/>
    <cellStyle name="20% - Accent4 31 6" xfId="4858" xr:uid="{00000000-0005-0000-0000-0000E5130000}"/>
    <cellStyle name="20% - Accent4 31 6 2" xfId="16146" xr:uid="{00000000-0005-0000-0000-0000E6130000}"/>
    <cellStyle name="20% - Accent4 31 7" xfId="14152" xr:uid="{00000000-0005-0000-0000-0000E7130000}"/>
    <cellStyle name="20% - Accent4 31 8" xfId="12838" xr:uid="{00000000-0005-0000-0000-0000E8130000}"/>
    <cellStyle name="20% - Accent4 32" xfId="903" xr:uid="{00000000-0005-0000-0000-0000E9130000}"/>
    <cellStyle name="20% - Accent4 32 2" xfId="3859" xr:uid="{00000000-0005-0000-0000-0000EA130000}"/>
    <cellStyle name="20% - Accent4 32 2 2" xfId="11838" xr:uid="{00000000-0005-0000-0000-0000EB130000}"/>
    <cellStyle name="20% - Accent4 32 2 2 2" xfId="23126" xr:uid="{00000000-0005-0000-0000-0000EC130000}"/>
    <cellStyle name="20% - Accent4 32 2 3" xfId="9844" xr:uid="{00000000-0005-0000-0000-0000ED130000}"/>
    <cellStyle name="20% - Accent4 32 2 3 2" xfId="21132" xr:uid="{00000000-0005-0000-0000-0000EE130000}"/>
    <cellStyle name="20% - Accent4 32 2 4" xfId="7850" xr:uid="{00000000-0005-0000-0000-0000EF130000}"/>
    <cellStyle name="20% - Accent4 32 2 4 2" xfId="19138" xr:uid="{00000000-0005-0000-0000-0000F0130000}"/>
    <cellStyle name="20% - Accent4 32 2 5" xfId="5856" xr:uid="{00000000-0005-0000-0000-0000F1130000}"/>
    <cellStyle name="20% - Accent4 32 2 5 2" xfId="17144" xr:uid="{00000000-0005-0000-0000-0000F2130000}"/>
    <cellStyle name="20% - Accent4 32 2 6" xfId="15150" xr:uid="{00000000-0005-0000-0000-0000F3130000}"/>
    <cellStyle name="20% - Accent4 32 3" xfId="10841" xr:uid="{00000000-0005-0000-0000-0000F4130000}"/>
    <cellStyle name="20% - Accent4 32 3 2" xfId="22129" xr:uid="{00000000-0005-0000-0000-0000F5130000}"/>
    <cellStyle name="20% - Accent4 32 4" xfId="8847" xr:uid="{00000000-0005-0000-0000-0000F6130000}"/>
    <cellStyle name="20% - Accent4 32 4 2" xfId="20135" xr:uid="{00000000-0005-0000-0000-0000F7130000}"/>
    <cellStyle name="20% - Accent4 32 5" xfId="6853" xr:uid="{00000000-0005-0000-0000-0000F8130000}"/>
    <cellStyle name="20% - Accent4 32 5 2" xfId="18141" xr:uid="{00000000-0005-0000-0000-0000F9130000}"/>
    <cellStyle name="20% - Accent4 32 6" xfId="4859" xr:uid="{00000000-0005-0000-0000-0000FA130000}"/>
    <cellStyle name="20% - Accent4 32 6 2" xfId="16147" xr:uid="{00000000-0005-0000-0000-0000FB130000}"/>
    <cellStyle name="20% - Accent4 32 7" xfId="14153" xr:uid="{00000000-0005-0000-0000-0000FC130000}"/>
    <cellStyle name="20% - Accent4 32 8" xfId="12839" xr:uid="{00000000-0005-0000-0000-0000FD130000}"/>
    <cellStyle name="20% - Accent4 33" xfId="904" xr:uid="{00000000-0005-0000-0000-0000FE130000}"/>
    <cellStyle name="20% - Accent4 33 2" xfId="3860" xr:uid="{00000000-0005-0000-0000-0000FF130000}"/>
    <cellStyle name="20% - Accent4 33 2 2" xfId="11839" xr:uid="{00000000-0005-0000-0000-000000140000}"/>
    <cellStyle name="20% - Accent4 33 2 2 2" xfId="23127" xr:uid="{00000000-0005-0000-0000-000001140000}"/>
    <cellStyle name="20% - Accent4 33 2 3" xfId="9845" xr:uid="{00000000-0005-0000-0000-000002140000}"/>
    <cellStyle name="20% - Accent4 33 2 3 2" xfId="21133" xr:uid="{00000000-0005-0000-0000-000003140000}"/>
    <cellStyle name="20% - Accent4 33 2 4" xfId="7851" xr:uid="{00000000-0005-0000-0000-000004140000}"/>
    <cellStyle name="20% - Accent4 33 2 4 2" xfId="19139" xr:uid="{00000000-0005-0000-0000-000005140000}"/>
    <cellStyle name="20% - Accent4 33 2 5" xfId="5857" xr:uid="{00000000-0005-0000-0000-000006140000}"/>
    <cellStyle name="20% - Accent4 33 2 5 2" xfId="17145" xr:uid="{00000000-0005-0000-0000-000007140000}"/>
    <cellStyle name="20% - Accent4 33 2 6" xfId="15151" xr:uid="{00000000-0005-0000-0000-000008140000}"/>
    <cellStyle name="20% - Accent4 33 3" xfId="10842" xr:uid="{00000000-0005-0000-0000-000009140000}"/>
    <cellStyle name="20% - Accent4 33 3 2" xfId="22130" xr:uid="{00000000-0005-0000-0000-00000A140000}"/>
    <cellStyle name="20% - Accent4 33 4" xfId="8848" xr:uid="{00000000-0005-0000-0000-00000B140000}"/>
    <cellStyle name="20% - Accent4 33 4 2" xfId="20136" xr:uid="{00000000-0005-0000-0000-00000C140000}"/>
    <cellStyle name="20% - Accent4 33 5" xfId="6854" xr:uid="{00000000-0005-0000-0000-00000D140000}"/>
    <cellStyle name="20% - Accent4 33 5 2" xfId="18142" xr:uid="{00000000-0005-0000-0000-00000E140000}"/>
    <cellStyle name="20% - Accent4 33 6" xfId="4860" xr:uid="{00000000-0005-0000-0000-00000F140000}"/>
    <cellStyle name="20% - Accent4 33 6 2" xfId="16148" xr:uid="{00000000-0005-0000-0000-000010140000}"/>
    <cellStyle name="20% - Accent4 33 7" xfId="14154" xr:uid="{00000000-0005-0000-0000-000011140000}"/>
    <cellStyle name="20% - Accent4 33 8" xfId="12840" xr:uid="{00000000-0005-0000-0000-000012140000}"/>
    <cellStyle name="20% - Accent4 34" xfId="905" xr:uid="{00000000-0005-0000-0000-000013140000}"/>
    <cellStyle name="20% - Accent4 34 2" xfId="3861" xr:uid="{00000000-0005-0000-0000-000014140000}"/>
    <cellStyle name="20% - Accent4 34 2 2" xfId="11840" xr:uid="{00000000-0005-0000-0000-000015140000}"/>
    <cellStyle name="20% - Accent4 34 2 2 2" xfId="23128" xr:uid="{00000000-0005-0000-0000-000016140000}"/>
    <cellStyle name="20% - Accent4 34 2 3" xfId="9846" xr:uid="{00000000-0005-0000-0000-000017140000}"/>
    <cellStyle name="20% - Accent4 34 2 3 2" xfId="21134" xr:uid="{00000000-0005-0000-0000-000018140000}"/>
    <cellStyle name="20% - Accent4 34 2 4" xfId="7852" xr:uid="{00000000-0005-0000-0000-000019140000}"/>
    <cellStyle name="20% - Accent4 34 2 4 2" xfId="19140" xr:uid="{00000000-0005-0000-0000-00001A140000}"/>
    <cellStyle name="20% - Accent4 34 2 5" xfId="5858" xr:uid="{00000000-0005-0000-0000-00001B140000}"/>
    <cellStyle name="20% - Accent4 34 2 5 2" xfId="17146" xr:uid="{00000000-0005-0000-0000-00001C140000}"/>
    <cellStyle name="20% - Accent4 34 2 6" xfId="15152" xr:uid="{00000000-0005-0000-0000-00001D140000}"/>
    <cellStyle name="20% - Accent4 34 3" xfId="10843" xr:uid="{00000000-0005-0000-0000-00001E140000}"/>
    <cellStyle name="20% - Accent4 34 3 2" xfId="22131" xr:uid="{00000000-0005-0000-0000-00001F140000}"/>
    <cellStyle name="20% - Accent4 34 4" xfId="8849" xr:uid="{00000000-0005-0000-0000-000020140000}"/>
    <cellStyle name="20% - Accent4 34 4 2" xfId="20137" xr:uid="{00000000-0005-0000-0000-000021140000}"/>
    <cellStyle name="20% - Accent4 34 5" xfId="6855" xr:uid="{00000000-0005-0000-0000-000022140000}"/>
    <cellStyle name="20% - Accent4 34 5 2" xfId="18143" xr:uid="{00000000-0005-0000-0000-000023140000}"/>
    <cellStyle name="20% - Accent4 34 6" xfId="4861" xr:uid="{00000000-0005-0000-0000-000024140000}"/>
    <cellStyle name="20% - Accent4 34 6 2" xfId="16149" xr:uid="{00000000-0005-0000-0000-000025140000}"/>
    <cellStyle name="20% - Accent4 34 7" xfId="14155" xr:uid="{00000000-0005-0000-0000-000026140000}"/>
    <cellStyle name="20% - Accent4 34 8" xfId="12841" xr:uid="{00000000-0005-0000-0000-000027140000}"/>
    <cellStyle name="20% - Accent4 35" xfId="906" xr:uid="{00000000-0005-0000-0000-000028140000}"/>
    <cellStyle name="20% - Accent4 35 2" xfId="3862" xr:uid="{00000000-0005-0000-0000-000029140000}"/>
    <cellStyle name="20% - Accent4 35 2 2" xfId="11841" xr:uid="{00000000-0005-0000-0000-00002A140000}"/>
    <cellStyle name="20% - Accent4 35 2 2 2" xfId="23129" xr:uid="{00000000-0005-0000-0000-00002B140000}"/>
    <cellStyle name="20% - Accent4 35 2 3" xfId="9847" xr:uid="{00000000-0005-0000-0000-00002C140000}"/>
    <cellStyle name="20% - Accent4 35 2 3 2" xfId="21135" xr:uid="{00000000-0005-0000-0000-00002D140000}"/>
    <cellStyle name="20% - Accent4 35 2 4" xfId="7853" xr:uid="{00000000-0005-0000-0000-00002E140000}"/>
    <cellStyle name="20% - Accent4 35 2 4 2" xfId="19141" xr:uid="{00000000-0005-0000-0000-00002F140000}"/>
    <cellStyle name="20% - Accent4 35 2 5" xfId="5859" xr:uid="{00000000-0005-0000-0000-000030140000}"/>
    <cellStyle name="20% - Accent4 35 2 5 2" xfId="17147" xr:uid="{00000000-0005-0000-0000-000031140000}"/>
    <cellStyle name="20% - Accent4 35 2 6" xfId="15153" xr:uid="{00000000-0005-0000-0000-000032140000}"/>
    <cellStyle name="20% - Accent4 35 3" xfId="10844" xr:uid="{00000000-0005-0000-0000-000033140000}"/>
    <cellStyle name="20% - Accent4 35 3 2" xfId="22132" xr:uid="{00000000-0005-0000-0000-000034140000}"/>
    <cellStyle name="20% - Accent4 35 4" xfId="8850" xr:uid="{00000000-0005-0000-0000-000035140000}"/>
    <cellStyle name="20% - Accent4 35 4 2" xfId="20138" xr:uid="{00000000-0005-0000-0000-000036140000}"/>
    <cellStyle name="20% - Accent4 35 5" xfId="6856" xr:uid="{00000000-0005-0000-0000-000037140000}"/>
    <cellStyle name="20% - Accent4 35 5 2" xfId="18144" xr:uid="{00000000-0005-0000-0000-000038140000}"/>
    <cellStyle name="20% - Accent4 35 6" xfId="4862" xr:uid="{00000000-0005-0000-0000-000039140000}"/>
    <cellStyle name="20% - Accent4 35 6 2" xfId="16150" xr:uid="{00000000-0005-0000-0000-00003A140000}"/>
    <cellStyle name="20% - Accent4 35 7" xfId="14156" xr:uid="{00000000-0005-0000-0000-00003B140000}"/>
    <cellStyle name="20% - Accent4 35 8" xfId="12842" xr:uid="{00000000-0005-0000-0000-00003C140000}"/>
    <cellStyle name="20% - Accent4 36" xfId="907" xr:uid="{00000000-0005-0000-0000-00003D140000}"/>
    <cellStyle name="20% - Accent4 36 2" xfId="3863" xr:uid="{00000000-0005-0000-0000-00003E140000}"/>
    <cellStyle name="20% - Accent4 36 2 2" xfId="11842" xr:uid="{00000000-0005-0000-0000-00003F140000}"/>
    <cellStyle name="20% - Accent4 36 2 2 2" xfId="23130" xr:uid="{00000000-0005-0000-0000-000040140000}"/>
    <cellStyle name="20% - Accent4 36 2 3" xfId="9848" xr:uid="{00000000-0005-0000-0000-000041140000}"/>
    <cellStyle name="20% - Accent4 36 2 3 2" xfId="21136" xr:uid="{00000000-0005-0000-0000-000042140000}"/>
    <cellStyle name="20% - Accent4 36 2 4" xfId="7854" xr:uid="{00000000-0005-0000-0000-000043140000}"/>
    <cellStyle name="20% - Accent4 36 2 4 2" xfId="19142" xr:uid="{00000000-0005-0000-0000-000044140000}"/>
    <cellStyle name="20% - Accent4 36 2 5" xfId="5860" xr:uid="{00000000-0005-0000-0000-000045140000}"/>
    <cellStyle name="20% - Accent4 36 2 5 2" xfId="17148" xr:uid="{00000000-0005-0000-0000-000046140000}"/>
    <cellStyle name="20% - Accent4 36 2 6" xfId="15154" xr:uid="{00000000-0005-0000-0000-000047140000}"/>
    <cellStyle name="20% - Accent4 36 3" xfId="10845" xr:uid="{00000000-0005-0000-0000-000048140000}"/>
    <cellStyle name="20% - Accent4 36 3 2" xfId="22133" xr:uid="{00000000-0005-0000-0000-000049140000}"/>
    <cellStyle name="20% - Accent4 36 4" xfId="8851" xr:uid="{00000000-0005-0000-0000-00004A140000}"/>
    <cellStyle name="20% - Accent4 36 4 2" xfId="20139" xr:uid="{00000000-0005-0000-0000-00004B140000}"/>
    <cellStyle name="20% - Accent4 36 5" xfId="6857" xr:uid="{00000000-0005-0000-0000-00004C140000}"/>
    <cellStyle name="20% - Accent4 36 5 2" xfId="18145" xr:uid="{00000000-0005-0000-0000-00004D140000}"/>
    <cellStyle name="20% - Accent4 36 6" xfId="4863" xr:uid="{00000000-0005-0000-0000-00004E140000}"/>
    <cellStyle name="20% - Accent4 36 6 2" xfId="16151" xr:uid="{00000000-0005-0000-0000-00004F140000}"/>
    <cellStyle name="20% - Accent4 36 7" xfId="14157" xr:uid="{00000000-0005-0000-0000-000050140000}"/>
    <cellStyle name="20% - Accent4 36 8" xfId="12843" xr:uid="{00000000-0005-0000-0000-000051140000}"/>
    <cellStyle name="20% - Accent4 37" xfId="908" xr:uid="{00000000-0005-0000-0000-000052140000}"/>
    <cellStyle name="20% - Accent4 37 2" xfId="3864" xr:uid="{00000000-0005-0000-0000-000053140000}"/>
    <cellStyle name="20% - Accent4 37 2 2" xfId="11843" xr:uid="{00000000-0005-0000-0000-000054140000}"/>
    <cellStyle name="20% - Accent4 37 2 2 2" xfId="23131" xr:uid="{00000000-0005-0000-0000-000055140000}"/>
    <cellStyle name="20% - Accent4 37 2 3" xfId="9849" xr:uid="{00000000-0005-0000-0000-000056140000}"/>
    <cellStyle name="20% - Accent4 37 2 3 2" xfId="21137" xr:uid="{00000000-0005-0000-0000-000057140000}"/>
    <cellStyle name="20% - Accent4 37 2 4" xfId="7855" xr:uid="{00000000-0005-0000-0000-000058140000}"/>
    <cellStyle name="20% - Accent4 37 2 4 2" xfId="19143" xr:uid="{00000000-0005-0000-0000-000059140000}"/>
    <cellStyle name="20% - Accent4 37 2 5" xfId="5861" xr:uid="{00000000-0005-0000-0000-00005A140000}"/>
    <cellStyle name="20% - Accent4 37 2 5 2" xfId="17149" xr:uid="{00000000-0005-0000-0000-00005B140000}"/>
    <cellStyle name="20% - Accent4 37 2 6" xfId="15155" xr:uid="{00000000-0005-0000-0000-00005C140000}"/>
    <cellStyle name="20% - Accent4 37 3" xfId="10846" xr:uid="{00000000-0005-0000-0000-00005D140000}"/>
    <cellStyle name="20% - Accent4 37 3 2" xfId="22134" xr:uid="{00000000-0005-0000-0000-00005E140000}"/>
    <cellStyle name="20% - Accent4 37 4" xfId="8852" xr:uid="{00000000-0005-0000-0000-00005F140000}"/>
    <cellStyle name="20% - Accent4 37 4 2" xfId="20140" xr:uid="{00000000-0005-0000-0000-000060140000}"/>
    <cellStyle name="20% - Accent4 37 5" xfId="6858" xr:uid="{00000000-0005-0000-0000-000061140000}"/>
    <cellStyle name="20% - Accent4 37 5 2" xfId="18146" xr:uid="{00000000-0005-0000-0000-000062140000}"/>
    <cellStyle name="20% - Accent4 37 6" xfId="4864" xr:uid="{00000000-0005-0000-0000-000063140000}"/>
    <cellStyle name="20% - Accent4 37 6 2" xfId="16152" xr:uid="{00000000-0005-0000-0000-000064140000}"/>
    <cellStyle name="20% - Accent4 37 7" xfId="14158" xr:uid="{00000000-0005-0000-0000-000065140000}"/>
    <cellStyle name="20% - Accent4 37 8" xfId="12844" xr:uid="{00000000-0005-0000-0000-000066140000}"/>
    <cellStyle name="20% - Accent4 38" xfId="909" xr:uid="{00000000-0005-0000-0000-000067140000}"/>
    <cellStyle name="20% - Accent4 38 2" xfId="3865" xr:uid="{00000000-0005-0000-0000-000068140000}"/>
    <cellStyle name="20% - Accent4 38 2 2" xfId="11844" xr:uid="{00000000-0005-0000-0000-000069140000}"/>
    <cellStyle name="20% - Accent4 38 2 2 2" xfId="23132" xr:uid="{00000000-0005-0000-0000-00006A140000}"/>
    <cellStyle name="20% - Accent4 38 2 3" xfId="9850" xr:uid="{00000000-0005-0000-0000-00006B140000}"/>
    <cellStyle name="20% - Accent4 38 2 3 2" xfId="21138" xr:uid="{00000000-0005-0000-0000-00006C140000}"/>
    <cellStyle name="20% - Accent4 38 2 4" xfId="7856" xr:uid="{00000000-0005-0000-0000-00006D140000}"/>
    <cellStyle name="20% - Accent4 38 2 4 2" xfId="19144" xr:uid="{00000000-0005-0000-0000-00006E140000}"/>
    <cellStyle name="20% - Accent4 38 2 5" xfId="5862" xr:uid="{00000000-0005-0000-0000-00006F140000}"/>
    <cellStyle name="20% - Accent4 38 2 5 2" xfId="17150" xr:uid="{00000000-0005-0000-0000-000070140000}"/>
    <cellStyle name="20% - Accent4 38 2 6" xfId="15156" xr:uid="{00000000-0005-0000-0000-000071140000}"/>
    <cellStyle name="20% - Accent4 38 3" xfId="10847" xr:uid="{00000000-0005-0000-0000-000072140000}"/>
    <cellStyle name="20% - Accent4 38 3 2" xfId="22135" xr:uid="{00000000-0005-0000-0000-000073140000}"/>
    <cellStyle name="20% - Accent4 38 4" xfId="8853" xr:uid="{00000000-0005-0000-0000-000074140000}"/>
    <cellStyle name="20% - Accent4 38 4 2" xfId="20141" xr:uid="{00000000-0005-0000-0000-000075140000}"/>
    <cellStyle name="20% - Accent4 38 5" xfId="6859" xr:uid="{00000000-0005-0000-0000-000076140000}"/>
    <cellStyle name="20% - Accent4 38 5 2" xfId="18147" xr:uid="{00000000-0005-0000-0000-000077140000}"/>
    <cellStyle name="20% - Accent4 38 6" xfId="4865" xr:uid="{00000000-0005-0000-0000-000078140000}"/>
    <cellStyle name="20% - Accent4 38 6 2" xfId="16153" xr:uid="{00000000-0005-0000-0000-000079140000}"/>
    <cellStyle name="20% - Accent4 38 7" xfId="14159" xr:uid="{00000000-0005-0000-0000-00007A140000}"/>
    <cellStyle name="20% - Accent4 38 8" xfId="12845" xr:uid="{00000000-0005-0000-0000-00007B140000}"/>
    <cellStyle name="20% - Accent4 39" xfId="910" xr:uid="{00000000-0005-0000-0000-00007C140000}"/>
    <cellStyle name="20% - Accent4 39 2" xfId="3866" xr:uid="{00000000-0005-0000-0000-00007D140000}"/>
    <cellStyle name="20% - Accent4 39 2 2" xfId="11845" xr:uid="{00000000-0005-0000-0000-00007E140000}"/>
    <cellStyle name="20% - Accent4 39 2 2 2" xfId="23133" xr:uid="{00000000-0005-0000-0000-00007F140000}"/>
    <cellStyle name="20% - Accent4 39 2 3" xfId="9851" xr:uid="{00000000-0005-0000-0000-000080140000}"/>
    <cellStyle name="20% - Accent4 39 2 3 2" xfId="21139" xr:uid="{00000000-0005-0000-0000-000081140000}"/>
    <cellStyle name="20% - Accent4 39 2 4" xfId="7857" xr:uid="{00000000-0005-0000-0000-000082140000}"/>
    <cellStyle name="20% - Accent4 39 2 4 2" xfId="19145" xr:uid="{00000000-0005-0000-0000-000083140000}"/>
    <cellStyle name="20% - Accent4 39 2 5" xfId="5863" xr:uid="{00000000-0005-0000-0000-000084140000}"/>
    <cellStyle name="20% - Accent4 39 2 5 2" xfId="17151" xr:uid="{00000000-0005-0000-0000-000085140000}"/>
    <cellStyle name="20% - Accent4 39 2 6" xfId="15157" xr:uid="{00000000-0005-0000-0000-000086140000}"/>
    <cellStyle name="20% - Accent4 39 3" xfId="10848" xr:uid="{00000000-0005-0000-0000-000087140000}"/>
    <cellStyle name="20% - Accent4 39 3 2" xfId="22136" xr:uid="{00000000-0005-0000-0000-000088140000}"/>
    <cellStyle name="20% - Accent4 39 4" xfId="8854" xr:uid="{00000000-0005-0000-0000-000089140000}"/>
    <cellStyle name="20% - Accent4 39 4 2" xfId="20142" xr:uid="{00000000-0005-0000-0000-00008A140000}"/>
    <cellStyle name="20% - Accent4 39 5" xfId="6860" xr:uid="{00000000-0005-0000-0000-00008B140000}"/>
    <cellStyle name="20% - Accent4 39 5 2" xfId="18148" xr:uid="{00000000-0005-0000-0000-00008C140000}"/>
    <cellStyle name="20% - Accent4 39 6" xfId="4866" xr:uid="{00000000-0005-0000-0000-00008D140000}"/>
    <cellStyle name="20% - Accent4 39 6 2" xfId="16154" xr:uid="{00000000-0005-0000-0000-00008E140000}"/>
    <cellStyle name="20% - Accent4 39 7" xfId="14160" xr:uid="{00000000-0005-0000-0000-00008F140000}"/>
    <cellStyle name="20% - Accent4 39 8" xfId="12846" xr:uid="{00000000-0005-0000-0000-000090140000}"/>
    <cellStyle name="20% - Accent4 4" xfId="911" xr:uid="{00000000-0005-0000-0000-000091140000}"/>
    <cellStyle name="20% - Accent4 4 10" xfId="24579" xr:uid="{00000000-0005-0000-0000-000092140000}"/>
    <cellStyle name="20% - Accent4 4 11" xfId="24969" xr:uid="{00000000-0005-0000-0000-000093140000}"/>
    <cellStyle name="20% - Accent4 4 2" xfId="3867" xr:uid="{00000000-0005-0000-0000-000094140000}"/>
    <cellStyle name="20% - Accent4 4 2 2" xfId="11846" xr:uid="{00000000-0005-0000-0000-000095140000}"/>
    <cellStyle name="20% - Accent4 4 2 2 2" xfId="23134" xr:uid="{00000000-0005-0000-0000-000096140000}"/>
    <cellStyle name="20% - Accent4 4 2 3" xfId="9852" xr:uid="{00000000-0005-0000-0000-000097140000}"/>
    <cellStyle name="20% - Accent4 4 2 3 2" xfId="21140" xr:uid="{00000000-0005-0000-0000-000098140000}"/>
    <cellStyle name="20% - Accent4 4 2 4" xfId="7858" xr:uid="{00000000-0005-0000-0000-000099140000}"/>
    <cellStyle name="20% - Accent4 4 2 4 2" xfId="19146" xr:uid="{00000000-0005-0000-0000-00009A140000}"/>
    <cellStyle name="20% - Accent4 4 2 5" xfId="5864" xr:uid="{00000000-0005-0000-0000-00009B140000}"/>
    <cellStyle name="20% - Accent4 4 2 5 2" xfId="17152" xr:uid="{00000000-0005-0000-0000-00009C140000}"/>
    <cellStyle name="20% - Accent4 4 2 6" xfId="15158" xr:uid="{00000000-0005-0000-0000-00009D140000}"/>
    <cellStyle name="20% - Accent4 4 2 7" xfId="24340" xr:uid="{00000000-0005-0000-0000-00009E140000}"/>
    <cellStyle name="20% - Accent4 4 2 8" xfId="24804" xr:uid="{00000000-0005-0000-0000-00009F140000}"/>
    <cellStyle name="20% - Accent4 4 2 9" xfId="25171" xr:uid="{00000000-0005-0000-0000-0000A0140000}"/>
    <cellStyle name="20% - Accent4 4 3" xfId="10849" xr:uid="{00000000-0005-0000-0000-0000A1140000}"/>
    <cellStyle name="20% - Accent4 4 3 2" xfId="22137" xr:uid="{00000000-0005-0000-0000-0000A2140000}"/>
    <cellStyle name="20% - Accent4 4 4" xfId="8855" xr:uid="{00000000-0005-0000-0000-0000A3140000}"/>
    <cellStyle name="20% - Accent4 4 4 2" xfId="20143" xr:uid="{00000000-0005-0000-0000-0000A4140000}"/>
    <cellStyle name="20% - Accent4 4 5" xfId="6861" xr:uid="{00000000-0005-0000-0000-0000A5140000}"/>
    <cellStyle name="20% - Accent4 4 5 2" xfId="18149" xr:uid="{00000000-0005-0000-0000-0000A6140000}"/>
    <cellStyle name="20% - Accent4 4 6" xfId="4867" xr:uid="{00000000-0005-0000-0000-0000A7140000}"/>
    <cellStyle name="20% - Accent4 4 6 2" xfId="16155" xr:uid="{00000000-0005-0000-0000-0000A8140000}"/>
    <cellStyle name="20% - Accent4 4 7" xfId="14161" xr:uid="{00000000-0005-0000-0000-0000A9140000}"/>
    <cellStyle name="20% - Accent4 4 8" xfId="12847" xr:uid="{00000000-0005-0000-0000-0000AA140000}"/>
    <cellStyle name="20% - Accent4 4 9" xfId="23952" xr:uid="{00000000-0005-0000-0000-0000AB140000}"/>
    <cellStyle name="20% - Accent4 40" xfId="912" xr:uid="{00000000-0005-0000-0000-0000AC140000}"/>
    <cellStyle name="20% - Accent4 40 2" xfId="3868" xr:uid="{00000000-0005-0000-0000-0000AD140000}"/>
    <cellStyle name="20% - Accent4 40 2 2" xfId="11847" xr:uid="{00000000-0005-0000-0000-0000AE140000}"/>
    <cellStyle name="20% - Accent4 40 2 2 2" xfId="23135" xr:uid="{00000000-0005-0000-0000-0000AF140000}"/>
    <cellStyle name="20% - Accent4 40 2 3" xfId="9853" xr:uid="{00000000-0005-0000-0000-0000B0140000}"/>
    <cellStyle name="20% - Accent4 40 2 3 2" xfId="21141" xr:uid="{00000000-0005-0000-0000-0000B1140000}"/>
    <cellStyle name="20% - Accent4 40 2 4" xfId="7859" xr:uid="{00000000-0005-0000-0000-0000B2140000}"/>
    <cellStyle name="20% - Accent4 40 2 4 2" xfId="19147" xr:uid="{00000000-0005-0000-0000-0000B3140000}"/>
    <cellStyle name="20% - Accent4 40 2 5" xfId="5865" xr:uid="{00000000-0005-0000-0000-0000B4140000}"/>
    <cellStyle name="20% - Accent4 40 2 5 2" xfId="17153" xr:uid="{00000000-0005-0000-0000-0000B5140000}"/>
    <cellStyle name="20% - Accent4 40 2 6" xfId="15159" xr:uid="{00000000-0005-0000-0000-0000B6140000}"/>
    <cellStyle name="20% - Accent4 40 3" xfId="10850" xr:uid="{00000000-0005-0000-0000-0000B7140000}"/>
    <cellStyle name="20% - Accent4 40 3 2" xfId="22138" xr:uid="{00000000-0005-0000-0000-0000B8140000}"/>
    <cellStyle name="20% - Accent4 40 4" xfId="8856" xr:uid="{00000000-0005-0000-0000-0000B9140000}"/>
    <cellStyle name="20% - Accent4 40 4 2" xfId="20144" xr:uid="{00000000-0005-0000-0000-0000BA140000}"/>
    <cellStyle name="20% - Accent4 40 5" xfId="6862" xr:uid="{00000000-0005-0000-0000-0000BB140000}"/>
    <cellStyle name="20% - Accent4 40 5 2" xfId="18150" xr:uid="{00000000-0005-0000-0000-0000BC140000}"/>
    <cellStyle name="20% - Accent4 40 6" xfId="4868" xr:uid="{00000000-0005-0000-0000-0000BD140000}"/>
    <cellStyle name="20% - Accent4 40 6 2" xfId="16156" xr:uid="{00000000-0005-0000-0000-0000BE140000}"/>
    <cellStyle name="20% - Accent4 40 7" xfId="14162" xr:uid="{00000000-0005-0000-0000-0000BF140000}"/>
    <cellStyle name="20% - Accent4 40 8" xfId="12848" xr:uid="{00000000-0005-0000-0000-0000C0140000}"/>
    <cellStyle name="20% - Accent4 41" xfId="913" xr:uid="{00000000-0005-0000-0000-0000C1140000}"/>
    <cellStyle name="20% - Accent4 41 2" xfId="3869" xr:uid="{00000000-0005-0000-0000-0000C2140000}"/>
    <cellStyle name="20% - Accent4 41 2 2" xfId="11848" xr:uid="{00000000-0005-0000-0000-0000C3140000}"/>
    <cellStyle name="20% - Accent4 41 2 2 2" xfId="23136" xr:uid="{00000000-0005-0000-0000-0000C4140000}"/>
    <cellStyle name="20% - Accent4 41 2 3" xfId="9854" xr:uid="{00000000-0005-0000-0000-0000C5140000}"/>
    <cellStyle name="20% - Accent4 41 2 3 2" xfId="21142" xr:uid="{00000000-0005-0000-0000-0000C6140000}"/>
    <cellStyle name="20% - Accent4 41 2 4" xfId="7860" xr:uid="{00000000-0005-0000-0000-0000C7140000}"/>
    <cellStyle name="20% - Accent4 41 2 4 2" xfId="19148" xr:uid="{00000000-0005-0000-0000-0000C8140000}"/>
    <cellStyle name="20% - Accent4 41 2 5" xfId="5866" xr:uid="{00000000-0005-0000-0000-0000C9140000}"/>
    <cellStyle name="20% - Accent4 41 2 5 2" xfId="17154" xr:uid="{00000000-0005-0000-0000-0000CA140000}"/>
    <cellStyle name="20% - Accent4 41 2 6" xfId="15160" xr:uid="{00000000-0005-0000-0000-0000CB140000}"/>
    <cellStyle name="20% - Accent4 41 3" xfId="10851" xr:uid="{00000000-0005-0000-0000-0000CC140000}"/>
    <cellStyle name="20% - Accent4 41 3 2" xfId="22139" xr:uid="{00000000-0005-0000-0000-0000CD140000}"/>
    <cellStyle name="20% - Accent4 41 4" xfId="8857" xr:uid="{00000000-0005-0000-0000-0000CE140000}"/>
    <cellStyle name="20% - Accent4 41 4 2" xfId="20145" xr:uid="{00000000-0005-0000-0000-0000CF140000}"/>
    <cellStyle name="20% - Accent4 41 5" xfId="6863" xr:uid="{00000000-0005-0000-0000-0000D0140000}"/>
    <cellStyle name="20% - Accent4 41 5 2" xfId="18151" xr:uid="{00000000-0005-0000-0000-0000D1140000}"/>
    <cellStyle name="20% - Accent4 41 6" xfId="4869" xr:uid="{00000000-0005-0000-0000-0000D2140000}"/>
    <cellStyle name="20% - Accent4 41 6 2" xfId="16157" xr:uid="{00000000-0005-0000-0000-0000D3140000}"/>
    <cellStyle name="20% - Accent4 41 7" xfId="14163" xr:uid="{00000000-0005-0000-0000-0000D4140000}"/>
    <cellStyle name="20% - Accent4 41 8" xfId="12849" xr:uid="{00000000-0005-0000-0000-0000D5140000}"/>
    <cellStyle name="20% - Accent4 42" xfId="914" xr:uid="{00000000-0005-0000-0000-0000D6140000}"/>
    <cellStyle name="20% - Accent4 42 2" xfId="3870" xr:uid="{00000000-0005-0000-0000-0000D7140000}"/>
    <cellStyle name="20% - Accent4 42 2 2" xfId="11849" xr:uid="{00000000-0005-0000-0000-0000D8140000}"/>
    <cellStyle name="20% - Accent4 42 2 2 2" xfId="23137" xr:uid="{00000000-0005-0000-0000-0000D9140000}"/>
    <cellStyle name="20% - Accent4 42 2 3" xfId="9855" xr:uid="{00000000-0005-0000-0000-0000DA140000}"/>
    <cellStyle name="20% - Accent4 42 2 3 2" xfId="21143" xr:uid="{00000000-0005-0000-0000-0000DB140000}"/>
    <cellStyle name="20% - Accent4 42 2 4" xfId="7861" xr:uid="{00000000-0005-0000-0000-0000DC140000}"/>
    <cellStyle name="20% - Accent4 42 2 4 2" xfId="19149" xr:uid="{00000000-0005-0000-0000-0000DD140000}"/>
    <cellStyle name="20% - Accent4 42 2 5" xfId="5867" xr:uid="{00000000-0005-0000-0000-0000DE140000}"/>
    <cellStyle name="20% - Accent4 42 2 5 2" xfId="17155" xr:uid="{00000000-0005-0000-0000-0000DF140000}"/>
    <cellStyle name="20% - Accent4 42 2 6" xfId="15161" xr:uid="{00000000-0005-0000-0000-0000E0140000}"/>
    <cellStyle name="20% - Accent4 42 3" xfId="10852" xr:uid="{00000000-0005-0000-0000-0000E1140000}"/>
    <cellStyle name="20% - Accent4 42 3 2" xfId="22140" xr:uid="{00000000-0005-0000-0000-0000E2140000}"/>
    <cellStyle name="20% - Accent4 42 4" xfId="8858" xr:uid="{00000000-0005-0000-0000-0000E3140000}"/>
    <cellStyle name="20% - Accent4 42 4 2" xfId="20146" xr:uid="{00000000-0005-0000-0000-0000E4140000}"/>
    <cellStyle name="20% - Accent4 42 5" xfId="6864" xr:uid="{00000000-0005-0000-0000-0000E5140000}"/>
    <cellStyle name="20% - Accent4 42 5 2" xfId="18152" xr:uid="{00000000-0005-0000-0000-0000E6140000}"/>
    <cellStyle name="20% - Accent4 42 6" xfId="4870" xr:uid="{00000000-0005-0000-0000-0000E7140000}"/>
    <cellStyle name="20% - Accent4 42 6 2" xfId="16158" xr:uid="{00000000-0005-0000-0000-0000E8140000}"/>
    <cellStyle name="20% - Accent4 42 7" xfId="14164" xr:uid="{00000000-0005-0000-0000-0000E9140000}"/>
    <cellStyle name="20% - Accent4 42 8" xfId="12850" xr:uid="{00000000-0005-0000-0000-0000EA140000}"/>
    <cellStyle name="20% - Accent4 43" xfId="915" xr:uid="{00000000-0005-0000-0000-0000EB140000}"/>
    <cellStyle name="20% - Accent4 43 2" xfId="3871" xr:uid="{00000000-0005-0000-0000-0000EC140000}"/>
    <cellStyle name="20% - Accent4 43 2 2" xfId="11850" xr:uid="{00000000-0005-0000-0000-0000ED140000}"/>
    <cellStyle name="20% - Accent4 43 2 2 2" xfId="23138" xr:uid="{00000000-0005-0000-0000-0000EE140000}"/>
    <cellStyle name="20% - Accent4 43 2 3" xfId="9856" xr:uid="{00000000-0005-0000-0000-0000EF140000}"/>
    <cellStyle name="20% - Accent4 43 2 3 2" xfId="21144" xr:uid="{00000000-0005-0000-0000-0000F0140000}"/>
    <cellStyle name="20% - Accent4 43 2 4" xfId="7862" xr:uid="{00000000-0005-0000-0000-0000F1140000}"/>
    <cellStyle name="20% - Accent4 43 2 4 2" xfId="19150" xr:uid="{00000000-0005-0000-0000-0000F2140000}"/>
    <cellStyle name="20% - Accent4 43 2 5" xfId="5868" xr:uid="{00000000-0005-0000-0000-0000F3140000}"/>
    <cellStyle name="20% - Accent4 43 2 5 2" xfId="17156" xr:uid="{00000000-0005-0000-0000-0000F4140000}"/>
    <cellStyle name="20% - Accent4 43 2 6" xfId="15162" xr:uid="{00000000-0005-0000-0000-0000F5140000}"/>
    <cellStyle name="20% - Accent4 43 3" xfId="10853" xr:uid="{00000000-0005-0000-0000-0000F6140000}"/>
    <cellStyle name="20% - Accent4 43 3 2" xfId="22141" xr:uid="{00000000-0005-0000-0000-0000F7140000}"/>
    <cellStyle name="20% - Accent4 43 4" xfId="8859" xr:uid="{00000000-0005-0000-0000-0000F8140000}"/>
    <cellStyle name="20% - Accent4 43 4 2" xfId="20147" xr:uid="{00000000-0005-0000-0000-0000F9140000}"/>
    <cellStyle name="20% - Accent4 43 5" xfId="6865" xr:uid="{00000000-0005-0000-0000-0000FA140000}"/>
    <cellStyle name="20% - Accent4 43 5 2" xfId="18153" xr:uid="{00000000-0005-0000-0000-0000FB140000}"/>
    <cellStyle name="20% - Accent4 43 6" xfId="4871" xr:uid="{00000000-0005-0000-0000-0000FC140000}"/>
    <cellStyle name="20% - Accent4 43 6 2" xfId="16159" xr:uid="{00000000-0005-0000-0000-0000FD140000}"/>
    <cellStyle name="20% - Accent4 43 7" xfId="14165" xr:uid="{00000000-0005-0000-0000-0000FE140000}"/>
    <cellStyle name="20% - Accent4 43 8" xfId="12851" xr:uid="{00000000-0005-0000-0000-0000FF140000}"/>
    <cellStyle name="20% - Accent4 44" xfId="916" xr:uid="{00000000-0005-0000-0000-000000150000}"/>
    <cellStyle name="20% - Accent4 44 2" xfId="3872" xr:uid="{00000000-0005-0000-0000-000001150000}"/>
    <cellStyle name="20% - Accent4 44 2 2" xfId="11851" xr:uid="{00000000-0005-0000-0000-000002150000}"/>
    <cellStyle name="20% - Accent4 44 2 2 2" xfId="23139" xr:uid="{00000000-0005-0000-0000-000003150000}"/>
    <cellStyle name="20% - Accent4 44 2 3" xfId="9857" xr:uid="{00000000-0005-0000-0000-000004150000}"/>
    <cellStyle name="20% - Accent4 44 2 3 2" xfId="21145" xr:uid="{00000000-0005-0000-0000-000005150000}"/>
    <cellStyle name="20% - Accent4 44 2 4" xfId="7863" xr:uid="{00000000-0005-0000-0000-000006150000}"/>
    <cellStyle name="20% - Accent4 44 2 4 2" xfId="19151" xr:uid="{00000000-0005-0000-0000-000007150000}"/>
    <cellStyle name="20% - Accent4 44 2 5" xfId="5869" xr:uid="{00000000-0005-0000-0000-000008150000}"/>
    <cellStyle name="20% - Accent4 44 2 5 2" xfId="17157" xr:uid="{00000000-0005-0000-0000-000009150000}"/>
    <cellStyle name="20% - Accent4 44 2 6" xfId="15163" xr:uid="{00000000-0005-0000-0000-00000A150000}"/>
    <cellStyle name="20% - Accent4 44 3" xfId="10854" xr:uid="{00000000-0005-0000-0000-00000B150000}"/>
    <cellStyle name="20% - Accent4 44 3 2" xfId="22142" xr:uid="{00000000-0005-0000-0000-00000C150000}"/>
    <cellStyle name="20% - Accent4 44 4" xfId="8860" xr:uid="{00000000-0005-0000-0000-00000D150000}"/>
    <cellStyle name="20% - Accent4 44 4 2" xfId="20148" xr:uid="{00000000-0005-0000-0000-00000E150000}"/>
    <cellStyle name="20% - Accent4 44 5" xfId="6866" xr:uid="{00000000-0005-0000-0000-00000F150000}"/>
    <cellStyle name="20% - Accent4 44 5 2" xfId="18154" xr:uid="{00000000-0005-0000-0000-000010150000}"/>
    <cellStyle name="20% - Accent4 44 6" xfId="4872" xr:uid="{00000000-0005-0000-0000-000011150000}"/>
    <cellStyle name="20% - Accent4 44 6 2" xfId="16160" xr:uid="{00000000-0005-0000-0000-000012150000}"/>
    <cellStyle name="20% - Accent4 44 7" xfId="14166" xr:uid="{00000000-0005-0000-0000-000013150000}"/>
    <cellStyle name="20% - Accent4 44 8" xfId="12852" xr:uid="{00000000-0005-0000-0000-000014150000}"/>
    <cellStyle name="20% - Accent4 45" xfId="917" xr:uid="{00000000-0005-0000-0000-000015150000}"/>
    <cellStyle name="20% - Accent4 45 2" xfId="3873" xr:uid="{00000000-0005-0000-0000-000016150000}"/>
    <cellStyle name="20% - Accent4 45 2 2" xfId="11852" xr:uid="{00000000-0005-0000-0000-000017150000}"/>
    <cellStyle name="20% - Accent4 45 2 2 2" xfId="23140" xr:uid="{00000000-0005-0000-0000-000018150000}"/>
    <cellStyle name="20% - Accent4 45 2 3" xfId="9858" xr:uid="{00000000-0005-0000-0000-000019150000}"/>
    <cellStyle name="20% - Accent4 45 2 3 2" xfId="21146" xr:uid="{00000000-0005-0000-0000-00001A150000}"/>
    <cellStyle name="20% - Accent4 45 2 4" xfId="7864" xr:uid="{00000000-0005-0000-0000-00001B150000}"/>
    <cellStyle name="20% - Accent4 45 2 4 2" xfId="19152" xr:uid="{00000000-0005-0000-0000-00001C150000}"/>
    <cellStyle name="20% - Accent4 45 2 5" xfId="5870" xr:uid="{00000000-0005-0000-0000-00001D150000}"/>
    <cellStyle name="20% - Accent4 45 2 5 2" xfId="17158" xr:uid="{00000000-0005-0000-0000-00001E150000}"/>
    <cellStyle name="20% - Accent4 45 2 6" xfId="15164" xr:uid="{00000000-0005-0000-0000-00001F150000}"/>
    <cellStyle name="20% - Accent4 45 3" xfId="10855" xr:uid="{00000000-0005-0000-0000-000020150000}"/>
    <cellStyle name="20% - Accent4 45 3 2" xfId="22143" xr:uid="{00000000-0005-0000-0000-000021150000}"/>
    <cellStyle name="20% - Accent4 45 4" xfId="8861" xr:uid="{00000000-0005-0000-0000-000022150000}"/>
    <cellStyle name="20% - Accent4 45 4 2" xfId="20149" xr:uid="{00000000-0005-0000-0000-000023150000}"/>
    <cellStyle name="20% - Accent4 45 5" xfId="6867" xr:uid="{00000000-0005-0000-0000-000024150000}"/>
    <cellStyle name="20% - Accent4 45 5 2" xfId="18155" xr:uid="{00000000-0005-0000-0000-000025150000}"/>
    <cellStyle name="20% - Accent4 45 6" xfId="4873" xr:uid="{00000000-0005-0000-0000-000026150000}"/>
    <cellStyle name="20% - Accent4 45 6 2" xfId="16161" xr:uid="{00000000-0005-0000-0000-000027150000}"/>
    <cellStyle name="20% - Accent4 45 7" xfId="14167" xr:uid="{00000000-0005-0000-0000-000028150000}"/>
    <cellStyle name="20% - Accent4 45 8" xfId="12853" xr:uid="{00000000-0005-0000-0000-000029150000}"/>
    <cellStyle name="20% - Accent4 46" xfId="918" xr:uid="{00000000-0005-0000-0000-00002A150000}"/>
    <cellStyle name="20% - Accent4 46 2" xfId="3874" xr:uid="{00000000-0005-0000-0000-00002B150000}"/>
    <cellStyle name="20% - Accent4 46 2 2" xfId="11853" xr:uid="{00000000-0005-0000-0000-00002C150000}"/>
    <cellStyle name="20% - Accent4 46 2 2 2" xfId="23141" xr:uid="{00000000-0005-0000-0000-00002D150000}"/>
    <cellStyle name="20% - Accent4 46 2 3" xfId="9859" xr:uid="{00000000-0005-0000-0000-00002E150000}"/>
    <cellStyle name="20% - Accent4 46 2 3 2" xfId="21147" xr:uid="{00000000-0005-0000-0000-00002F150000}"/>
    <cellStyle name="20% - Accent4 46 2 4" xfId="7865" xr:uid="{00000000-0005-0000-0000-000030150000}"/>
    <cellStyle name="20% - Accent4 46 2 4 2" xfId="19153" xr:uid="{00000000-0005-0000-0000-000031150000}"/>
    <cellStyle name="20% - Accent4 46 2 5" xfId="5871" xr:uid="{00000000-0005-0000-0000-000032150000}"/>
    <cellStyle name="20% - Accent4 46 2 5 2" xfId="17159" xr:uid="{00000000-0005-0000-0000-000033150000}"/>
    <cellStyle name="20% - Accent4 46 2 6" xfId="15165" xr:uid="{00000000-0005-0000-0000-000034150000}"/>
    <cellStyle name="20% - Accent4 46 3" xfId="10856" xr:uid="{00000000-0005-0000-0000-000035150000}"/>
    <cellStyle name="20% - Accent4 46 3 2" xfId="22144" xr:uid="{00000000-0005-0000-0000-000036150000}"/>
    <cellStyle name="20% - Accent4 46 4" xfId="8862" xr:uid="{00000000-0005-0000-0000-000037150000}"/>
    <cellStyle name="20% - Accent4 46 4 2" xfId="20150" xr:uid="{00000000-0005-0000-0000-000038150000}"/>
    <cellStyle name="20% - Accent4 46 5" xfId="6868" xr:uid="{00000000-0005-0000-0000-000039150000}"/>
    <cellStyle name="20% - Accent4 46 5 2" xfId="18156" xr:uid="{00000000-0005-0000-0000-00003A150000}"/>
    <cellStyle name="20% - Accent4 46 6" xfId="4874" xr:uid="{00000000-0005-0000-0000-00003B150000}"/>
    <cellStyle name="20% - Accent4 46 6 2" xfId="16162" xr:uid="{00000000-0005-0000-0000-00003C150000}"/>
    <cellStyle name="20% - Accent4 46 7" xfId="14168" xr:uid="{00000000-0005-0000-0000-00003D150000}"/>
    <cellStyle name="20% - Accent4 46 8" xfId="12854" xr:uid="{00000000-0005-0000-0000-00003E150000}"/>
    <cellStyle name="20% - Accent4 47" xfId="919" xr:uid="{00000000-0005-0000-0000-00003F150000}"/>
    <cellStyle name="20% - Accent4 47 2" xfId="3875" xr:uid="{00000000-0005-0000-0000-000040150000}"/>
    <cellStyle name="20% - Accent4 47 2 2" xfId="11854" xr:uid="{00000000-0005-0000-0000-000041150000}"/>
    <cellStyle name="20% - Accent4 47 2 2 2" xfId="23142" xr:uid="{00000000-0005-0000-0000-000042150000}"/>
    <cellStyle name="20% - Accent4 47 2 3" xfId="9860" xr:uid="{00000000-0005-0000-0000-000043150000}"/>
    <cellStyle name="20% - Accent4 47 2 3 2" xfId="21148" xr:uid="{00000000-0005-0000-0000-000044150000}"/>
    <cellStyle name="20% - Accent4 47 2 4" xfId="7866" xr:uid="{00000000-0005-0000-0000-000045150000}"/>
    <cellStyle name="20% - Accent4 47 2 4 2" xfId="19154" xr:uid="{00000000-0005-0000-0000-000046150000}"/>
    <cellStyle name="20% - Accent4 47 2 5" xfId="5872" xr:uid="{00000000-0005-0000-0000-000047150000}"/>
    <cellStyle name="20% - Accent4 47 2 5 2" xfId="17160" xr:uid="{00000000-0005-0000-0000-000048150000}"/>
    <cellStyle name="20% - Accent4 47 2 6" xfId="15166" xr:uid="{00000000-0005-0000-0000-000049150000}"/>
    <cellStyle name="20% - Accent4 47 3" xfId="10857" xr:uid="{00000000-0005-0000-0000-00004A150000}"/>
    <cellStyle name="20% - Accent4 47 3 2" xfId="22145" xr:uid="{00000000-0005-0000-0000-00004B150000}"/>
    <cellStyle name="20% - Accent4 47 4" xfId="8863" xr:uid="{00000000-0005-0000-0000-00004C150000}"/>
    <cellStyle name="20% - Accent4 47 4 2" xfId="20151" xr:uid="{00000000-0005-0000-0000-00004D150000}"/>
    <cellStyle name="20% - Accent4 47 5" xfId="6869" xr:uid="{00000000-0005-0000-0000-00004E150000}"/>
    <cellStyle name="20% - Accent4 47 5 2" xfId="18157" xr:uid="{00000000-0005-0000-0000-00004F150000}"/>
    <cellStyle name="20% - Accent4 47 6" xfId="4875" xr:uid="{00000000-0005-0000-0000-000050150000}"/>
    <cellStyle name="20% - Accent4 47 6 2" xfId="16163" xr:uid="{00000000-0005-0000-0000-000051150000}"/>
    <cellStyle name="20% - Accent4 47 7" xfId="14169" xr:uid="{00000000-0005-0000-0000-000052150000}"/>
    <cellStyle name="20% - Accent4 47 8" xfId="12855" xr:uid="{00000000-0005-0000-0000-000053150000}"/>
    <cellStyle name="20% - Accent4 48" xfId="920" xr:uid="{00000000-0005-0000-0000-000054150000}"/>
    <cellStyle name="20% - Accent4 48 2" xfId="3876" xr:uid="{00000000-0005-0000-0000-000055150000}"/>
    <cellStyle name="20% - Accent4 48 2 2" xfId="11855" xr:uid="{00000000-0005-0000-0000-000056150000}"/>
    <cellStyle name="20% - Accent4 48 2 2 2" xfId="23143" xr:uid="{00000000-0005-0000-0000-000057150000}"/>
    <cellStyle name="20% - Accent4 48 2 3" xfId="9861" xr:uid="{00000000-0005-0000-0000-000058150000}"/>
    <cellStyle name="20% - Accent4 48 2 3 2" xfId="21149" xr:uid="{00000000-0005-0000-0000-000059150000}"/>
    <cellStyle name="20% - Accent4 48 2 4" xfId="7867" xr:uid="{00000000-0005-0000-0000-00005A150000}"/>
    <cellStyle name="20% - Accent4 48 2 4 2" xfId="19155" xr:uid="{00000000-0005-0000-0000-00005B150000}"/>
    <cellStyle name="20% - Accent4 48 2 5" xfId="5873" xr:uid="{00000000-0005-0000-0000-00005C150000}"/>
    <cellStyle name="20% - Accent4 48 2 5 2" xfId="17161" xr:uid="{00000000-0005-0000-0000-00005D150000}"/>
    <cellStyle name="20% - Accent4 48 2 6" xfId="15167" xr:uid="{00000000-0005-0000-0000-00005E150000}"/>
    <cellStyle name="20% - Accent4 48 3" xfId="10858" xr:uid="{00000000-0005-0000-0000-00005F150000}"/>
    <cellStyle name="20% - Accent4 48 3 2" xfId="22146" xr:uid="{00000000-0005-0000-0000-000060150000}"/>
    <cellStyle name="20% - Accent4 48 4" xfId="8864" xr:uid="{00000000-0005-0000-0000-000061150000}"/>
    <cellStyle name="20% - Accent4 48 4 2" xfId="20152" xr:uid="{00000000-0005-0000-0000-000062150000}"/>
    <cellStyle name="20% - Accent4 48 5" xfId="6870" xr:uid="{00000000-0005-0000-0000-000063150000}"/>
    <cellStyle name="20% - Accent4 48 5 2" xfId="18158" xr:uid="{00000000-0005-0000-0000-000064150000}"/>
    <cellStyle name="20% - Accent4 48 6" xfId="4876" xr:uid="{00000000-0005-0000-0000-000065150000}"/>
    <cellStyle name="20% - Accent4 48 6 2" xfId="16164" xr:uid="{00000000-0005-0000-0000-000066150000}"/>
    <cellStyle name="20% - Accent4 48 7" xfId="14170" xr:uid="{00000000-0005-0000-0000-000067150000}"/>
    <cellStyle name="20% - Accent4 48 8" xfId="12856" xr:uid="{00000000-0005-0000-0000-000068150000}"/>
    <cellStyle name="20% - Accent4 49" xfId="921" xr:uid="{00000000-0005-0000-0000-000069150000}"/>
    <cellStyle name="20% - Accent4 49 2" xfId="3877" xr:uid="{00000000-0005-0000-0000-00006A150000}"/>
    <cellStyle name="20% - Accent4 49 2 2" xfId="11856" xr:uid="{00000000-0005-0000-0000-00006B150000}"/>
    <cellStyle name="20% - Accent4 49 2 2 2" xfId="23144" xr:uid="{00000000-0005-0000-0000-00006C150000}"/>
    <cellStyle name="20% - Accent4 49 2 3" xfId="9862" xr:uid="{00000000-0005-0000-0000-00006D150000}"/>
    <cellStyle name="20% - Accent4 49 2 3 2" xfId="21150" xr:uid="{00000000-0005-0000-0000-00006E150000}"/>
    <cellStyle name="20% - Accent4 49 2 4" xfId="7868" xr:uid="{00000000-0005-0000-0000-00006F150000}"/>
    <cellStyle name="20% - Accent4 49 2 4 2" xfId="19156" xr:uid="{00000000-0005-0000-0000-000070150000}"/>
    <cellStyle name="20% - Accent4 49 2 5" xfId="5874" xr:uid="{00000000-0005-0000-0000-000071150000}"/>
    <cellStyle name="20% - Accent4 49 2 5 2" xfId="17162" xr:uid="{00000000-0005-0000-0000-000072150000}"/>
    <cellStyle name="20% - Accent4 49 2 6" xfId="15168" xr:uid="{00000000-0005-0000-0000-000073150000}"/>
    <cellStyle name="20% - Accent4 49 3" xfId="10859" xr:uid="{00000000-0005-0000-0000-000074150000}"/>
    <cellStyle name="20% - Accent4 49 3 2" xfId="22147" xr:uid="{00000000-0005-0000-0000-000075150000}"/>
    <cellStyle name="20% - Accent4 49 4" xfId="8865" xr:uid="{00000000-0005-0000-0000-000076150000}"/>
    <cellStyle name="20% - Accent4 49 4 2" xfId="20153" xr:uid="{00000000-0005-0000-0000-000077150000}"/>
    <cellStyle name="20% - Accent4 49 5" xfId="6871" xr:uid="{00000000-0005-0000-0000-000078150000}"/>
    <cellStyle name="20% - Accent4 49 5 2" xfId="18159" xr:uid="{00000000-0005-0000-0000-000079150000}"/>
    <cellStyle name="20% - Accent4 49 6" xfId="4877" xr:uid="{00000000-0005-0000-0000-00007A150000}"/>
    <cellStyle name="20% - Accent4 49 6 2" xfId="16165" xr:uid="{00000000-0005-0000-0000-00007B150000}"/>
    <cellStyle name="20% - Accent4 49 7" xfId="14171" xr:uid="{00000000-0005-0000-0000-00007C150000}"/>
    <cellStyle name="20% - Accent4 49 8" xfId="12857" xr:uid="{00000000-0005-0000-0000-00007D150000}"/>
    <cellStyle name="20% - Accent4 5" xfId="922" xr:uid="{00000000-0005-0000-0000-00007E150000}"/>
    <cellStyle name="20% - Accent4 5 10" xfId="24580" xr:uid="{00000000-0005-0000-0000-00007F150000}"/>
    <cellStyle name="20% - Accent4 5 11" xfId="24970" xr:uid="{00000000-0005-0000-0000-000080150000}"/>
    <cellStyle name="20% - Accent4 5 2" xfId="3878" xr:uid="{00000000-0005-0000-0000-000081150000}"/>
    <cellStyle name="20% - Accent4 5 2 2" xfId="11857" xr:uid="{00000000-0005-0000-0000-000082150000}"/>
    <cellStyle name="20% - Accent4 5 2 2 2" xfId="23145" xr:uid="{00000000-0005-0000-0000-000083150000}"/>
    <cellStyle name="20% - Accent4 5 2 3" xfId="9863" xr:uid="{00000000-0005-0000-0000-000084150000}"/>
    <cellStyle name="20% - Accent4 5 2 3 2" xfId="21151" xr:uid="{00000000-0005-0000-0000-000085150000}"/>
    <cellStyle name="20% - Accent4 5 2 4" xfId="7869" xr:uid="{00000000-0005-0000-0000-000086150000}"/>
    <cellStyle name="20% - Accent4 5 2 4 2" xfId="19157" xr:uid="{00000000-0005-0000-0000-000087150000}"/>
    <cellStyle name="20% - Accent4 5 2 5" xfId="5875" xr:uid="{00000000-0005-0000-0000-000088150000}"/>
    <cellStyle name="20% - Accent4 5 2 5 2" xfId="17163" xr:uid="{00000000-0005-0000-0000-000089150000}"/>
    <cellStyle name="20% - Accent4 5 2 6" xfId="15169" xr:uid="{00000000-0005-0000-0000-00008A150000}"/>
    <cellStyle name="20% - Accent4 5 2 7" xfId="24341" xr:uid="{00000000-0005-0000-0000-00008B150000}"/>
    <cellStyle name="20% - Accent4 5 2 8" xfId="24805" xr:uid="{00000000-0005-0000-0000-00008C150000}"/>
    <cellStyle name="20% - Accent4 5 2 9" xfId="25172" xr:uid="{00000000-0005-0000-0000-00008D150000}"/>
    <cellStyle name="20% - Accent4 5 3" xfId="10860" xr:uid="{00000000-0005-0000-0000-00008E150000}"/>
    <cellStyle name="20% - Accent4 5 3 2" xfId="22148" xr:uid="{00000000-0005-0000-0000-00008F150000}"/>
    <cellStyle name="20% - Accent4 5 4" xfId="8866" xr:uid="{00000000-0005-0000-0000-000090150000}"/>
    <cellStyle name="20% - Accent4 5 4 2" xfId="20154" xr:uid="{00000000-0005-0000-0000-000091150000}"/>
    <cellStyle name="20% - Accent4 5 5" xfId="6872" xr:uid="{00000000-0005-0000-0000-000092150000}"/>
    <cellStyle name="20% - Accent4 5 5 2" xfId="18160" xr:uid="{00000000-0005-0000-0000-000093150000}"/>
    <cellStyle name="20% - Accent4 5 6" xfId="4878" xr:uid="{00000000-0005-0000-0000-000094150000}"/>
    <cellStyle name="20% - Accent4 5 6 2" xfId="16166" xr:uid="{00000000-0005-0000-0000-000095150000}"/>
    <cellStyle name="20% - Accent4 5 7" xfId="14172" xr:uid="{00000000-0005-0000-0000-000096150000}"/>
    <cellStyle name="20% - Accent4 5 8" xfId="12858" xr:uid="{00000000-0005-0000-0000-000097150000}"/>
    <cellStyle name="20% - Accent4 5 9" xfId="23953" xr:uid="{00000000-0005-0000-0000-000098150000}"/>
    <cellStyle name="20% - Accent4 50" xfId="923" xr:uid="{00000000-0005-0000-0000-000099150000}"/>
    <cellStyle name="20% - Accent4 50 2" xfId="3879" xr:uid="{00000000-0005-0000-0000-00009A150000}"/>
    <cellStyle name="20% - Accent4 50 2 2" xfId="11858" xr:uid="{00000000-0005-0000-0000-00009B150000}"/>
    <cellStyle name="20% - Accent4 50 2 2 2" xfId="23146" xr:uid="{00000000-0005-0000-0000-00009C150000}"/>
    <cellStyle name="20% - Accent4 50 2 3" xfId="9864" xr:uid="{00000000-0005-0000-0000-00009D150000}"/>
    <cellStyle name="20% - Accent4 50 2 3 2" xfId="21152" xr:uid="{00000000-0005-0000-0000-00009E150000}"/>
    <cellStyle name="20% - Accent4 50 2 4" xfId="7870" xr:uid="{00000000-0005-0000-0000-00009F150000}"/>
    <cellStyle name="20% - Accent4 50 2 4 2" xfId="19158" xr:uid="{00000000-0005-0000-0000-0000A0150000}"/>
    <cellStyle name="20% - Accent4 50 2 5" xfId="5876" xr:uid="{00000000-0005-0000-0000-0000A1150000}"/>
    <cellStyle name="20% - Accent4 50 2 5 2" xfId="17164" xr:uid="{00000000-0005-0000-0000-0000A2150000}"/>
    <cellStyle name="20% - Accent4 50 2 6" xfId="15170" xr:uid="{00000000-0005-0000-0000-0000A3150000}"/>
    <cellStyle name="20% - Accent4 50 3" xfId="10861" xr:uid="{00000000-0005-0000-0000-0000A4150000}"/>
    <cellStyle name="20% - Accent4 50 3 2" xfId="22149" xr:uid="{00000000-0005-0000-0000-0000A5150000}"/>
    <cellStyle name="20% - Accent4 50 4" xfId="8867" xr:uid="{00000000-0005-0000-0000-0000A6150000}"/>
    <cellStyle name="20% - Accent4 50 4 2" xfId="20155" xr:uid="{00000000-0005-0000-0000-0000A7150000}"/>
    <cellStyle name="20% - Accent4 50 5" xfId="6873" xr:uid="{00000000-0005-0000-0000-0000A8150000}"/>
    <cellStyle name="20% - Accent4 50 5 2" xfId="18161" xr:uid="{00000000-0005-0000-0000-0000A9150000}"/>
    <cellStyle name="20% - Accent4 50 6" xfId="4879" xr:uid="{00000000-0005-0000-0000-0000AA150000}"/>
    <cellStyle name="20% - Accent4 50 6 2" xfId="16167" xr:uid="{00000000-0005-0000-0000-0000AB150000}"/>
    <cellStyle name="20% - Accent4 50 7" xfId="14173" xr:uid="{00000000-0005-0000-0000-0000AC150000}"/>
    <cellStyle name="20% - Accent4 50 8" xfId="12859" xr:uid="{00000000-0005-0000-0000-0000AD150000}"/>
    <cellStyle name="20% - Accent4 51" xfId="924" xr:uid="{00000000-0005-0000-0000-0000AE150000}"/>
    <cellStyle name="20% - Accent4 51 2" xfId="3880" xr:uid="{00000000-0005-0000-0000-0000AF150000}"/>
    <cellStyle name="20% - Accent4 51 2 2" xfId="11859" xr:uid="{00000000-0005-0000-0000-0000B0150000}"/>
    <cellStyle name="20% - Accent4 51 2 2 2" xfId="23147" xr:uid="{00000000-0005-0000-0000-0000B1150000}"/>
    <cellStyle name="20% - Accent4 51 2 3" xfId="9865" xr:uid="{00000000-0005-0000-0000-0000B2150000}"/>
    <cellStyle name="20% - Accent4 51 2 3 2" xfId="21153" xr:uid="{00000000-0005-0000-0000-0000B3150000}"/>
    <cellStyle name="20% - Accent4 51 2 4" xfId="7871" xr:uid="{00000000-0005-0000-0000-0000B4150000}"/>
    <cellStyle name="20% - Accent4 51 2 4 2" xfId="19159" xr:uid="{00000000-0005-0000-0000-0000B5150000}"/>
    <cellStyle name="20% - Accent4 51 2 5" xfId="5877" xr:uid="{00000000-0005-0000-0000-0000B6150000}"/>
    <cellStyle name="20% - Accent4 51 2 5 2" xfId="17165" xr:uid="{00000000-0005-0000-0000-0000B7150000}"/>
    <cellStyle name="20% - Accent4 51 2 6" xfId="15171" xr:uid="{00000000-0005-0000-0000-0000B8150000}"/>
    <cellStyle name="20% - Accent4 51 3" xfId="10862" xr:uid="{00000000-0005-0000-0000-0000B9150000}"/>
    <cellStyle name="20% - Accent4 51 3 2" xfId="22150" xr:uid="{00000000-0005-0000-0000-0000BA150000}"/>
    <cellStyle name="20% - Accent4 51 4" xfId="8868" xr:uid="{00000000-0005-0000-0000-0000BB150000}"/>
    <cellStyle name="20% - Accent4 51 4 2" xfId="20156" xr:uid="{00000000-0005-0000-0000-0000BC150000}"/>
    <cellStyle name="20% - Accent4 51 5" xfId="6874" xr:uid="{00000000-0005-0000-0000-0000BD150000}"/>
    <cellStyle name="20% - Accent4 51 5 2" xfId="18162" xr:uid="{00000000-0005-0000-0000-0000BE150000}"/>
    <cellStyle name="20% - Accent4 51 6" xfId="4880" xr:uid="{00000000-0005-0000-0000-0000BF150000}"/>
    <cellStyle name="20% - Accent4 51 6 2" xfId="16168" xr:uid="{00000000-0005-0000-0000-0000C0150000}"/>
    <cellStyle name="20% - Accent4 51 7" xfId="14174" xr:uid="{00000000-0005-0000-0000-0000C1150000}"/>
    <cellStyle name="20% - Accent4 51 8" xfId="12860" xr:uid="{00000000-0005-0000-0000-0000C2150000}"/>
    <cellStyle name="20% - Accent4 52" xfId="925" xr:uid="{00000000-0005-0000-0000-0000C3150000}"/>
    <cellStyle name="20% - Accent4 52 2" xfId="3881" xr:uid="{00000000-0005-0000-0000-0000C4150000}"/>
    <cellStyle name="20% - Accent4 52 2 2" xfId="11860" xr:uid="{00000000-0005-0000-0000-0000C5150000}"/>
    <cellStyle name="20% - Accent4 52 2 2 2" xfId="23148" xr:uid="{00000000-0005-0000-0000-0000C6150000}"/>
    <cellStyle name="20% - Accent4 52 2 3" xfId="9866" xr:uid="{00000000-0005-0000-0000-0000C7150000}"/>
    <cellStyle name="20% - Accent4 52 2 3 2" xfId="21154" xr:uid="{00000000-0005-0000-0000-0000C8150000}"/>
    <cellStyle name="20% - Accent4 52 2 4" xfId="7872" xr:uid="{00000000-0005-0000-0000-0000C9150000}"/>
    <cellStyle name="20% - Accent4 52 2 4 2" xfId="19160" xr:uid="{00000000-0005-0000-0000-0000CA150000}"/>
    <cellStyle name="20% - Accent4 52 2 5" xfId="5878" xr:uid="{00000000-0005-0000-0000-0000CB150000}"/>
    <cellStyle name="20% - Accent4 52 2 5 2" xfId="17166" xr:uid="{00000000-0005-0000-0000-0000CC150000}"/>
    <cellStyle name="20% - Accent4 52 2 6" xfId="15172" xr:uid="{00000000-0005-0000-0000-0000CD150000}"/>
    <cellStyle name="20% - Accent4 52 3" xfId="10863" xr:uid="{00000000-0005-0000-0000-0000CE150000}"/>
    <cellStyle name="20% - Accent4 52 3 2" xfId="22151" xr:uid="{00000000-0005-0000-0000-0000CF150000}"/>
    <cellStyle name="20% - Accent4 52 4" xfId="8869" xr:uid="{00000000-0005-0000-0000-0000D0150000}"/>
    <cellStyle name="20% - Accent4 52 4 2" xfId="20157" xr:uid="{00000000-0005-0000-0000-0000D1150000}"/>
    <cellStyle name="20% - Accent4 52 5" xfId="6875" xr:uid="{00000000-0005-0000-0000-0000D2150000}"/>
    <cellStyle name="20% - Accent4 52 5 2" xfId="18163" xr:uid="{00000000-0005-0000-0000-0000D3150000}"/>
    <cellStyle name="20% - Accent4 52 6" xfId="4881" xr:uid="{00000000-0005-0000-0000-0000D4150000}"/>
    <cellStyle name="20% - Accent4 52 6 2" xfId="16169" xr:uid="{00000000-0005-0000-0000-0000D5150000}"/>
    <cellStyle name="20% - Accent4 52 7" xfId="14175" xr:uid="{00000000-0005-0000-0000-0000D6150000}"/>
    <cellStyle name="20% - Accent4 52 8" xfId="12861" xr:uid="{00000000-0005-0000-0000-0000D7150000}"/>
    <cellStyle name="20% - Accent4 53" xfId="926" xr:uid="{00000000-0005-0000-0000-0000D8150000}"/>
    <cellStyle name="20% - Accent4 53 2" xfId="3882" xr:uid="{00000000-0005-0000-0000-0000D9150000}"/>
    <cellStyle name="20% - Accent4 53 2 2" xfId="11861" xr:uid="{00000000-0005-0000-0000-0000DA150000}"/>
    <cellStyle name="20% - Accent4 53 2 2 2" xfId="23149" xr:uid="{00000000-0005-0000-0000-0000DB150000}"/>
    <cellStyle name="20% - Accent4 53 2 3" xfId="9867" xr:uid="{00000000-0005-0000-0000-0000DC150000}"/>
    <cellStyle name="20% - Accent4 53 2 3 2" xfId="21155" xr:uid="{00000000-0005-0000-0000-0000DD150000}"/>
    <cellStyle name="20% - Accent4 53 2 4" xfId="7873" xr:uid="{00000000-0005-0000-0000-0000DE150000}"/>
    <cellStyle name="20% - Accent4 53 2 4 2" xfId="19161" xr:uid="{00000000-0005-0000-0000-0000DF150000}"/>
    <cellStyle name="20% - Accent4 53 2 5" xfId="5879" xr:uid="{00000000-0005-0000-0000-0000E0150000}"/>
    <cellStyle name="20% - Accent4 53 2 5 2" xfId="17167" xr:uid="{00000000-0005-0000-0000-0000E1150000}"/>
    <cellStyle name="20% - Accent4 53 2 6" xfId="15173" xr:uid="{00000000-0005-0000-0000-0000E2150000}"/>
    <cellStyle name="20% - Accent4 53 3" xfId="10864" xr:uid="{00000000-0005-0000-0000-0000E3150000}"/>
    <cellStyle name="20% - Accent4 53 3 2" xfId="22152" xr:uid="{00000000-0005-0000-0000-0000E4150000}"/>
    <cellStyle name="20% - Accent4 53 4" xfId="8870" xr:uid="{00000000-0005-0000-0000-0000E5150000}"/>
    <cellStyle name="20% - Accent4 53 4 2" xfId="20158" xr:uid="{00000000-0005-0000-0000-0000E6150000}"/>
    <cellStyle name="20% - Accent4 53 5" xfId="6876" xr:uid="{00000000-0005-0000-0000-0000E7150000}"/>
    <cellStyle name="20% - Accent4 53 5 2" xfId="18164" xr:uid="{00000000-0005-0000-0000-0000E8150000}"/>
    <cellStyle name="20% - Accent4 53 6" xfId="4882" xr:uid="{00000000-0005-0000-0000-0000E9150000}"/>
    <cellStyle name="20% - Accent4 53 6 2" xfId="16170" xr:uid="{00000000-0005-0000-0000-0000EA150000}"/>
    <cellStyle name="20% - Accent4 53 7" xfId="14176" xr:uid="{00000000-0005-0000-0000-0000EB150000}"/>
    <cellStyle name="20% - Accent4 53 8" xfId="12862" xr:uid="{00000000-0005-0000-0000-0000EC150000}"/>
    <cellStyle name="20% - Accent4 54" xfId="927" xr:uid="{00000000-0005-0000-0000-0000ED150000}"/>
    <cellStyle name="20% - Accent4 54 2" xfId="3883" xr:uid="{00000000-0005-0000-0000-0000EE150000}"/>
    <cellStyle name="20% - Accent4 54 2 2" xfId="11862" xr:uid="{00000000-0005-0000-0000-0000EF150000}"/>
    <cellStyle name="20% - Accent4 54 2 2 2" xfId="23150" xr:uid="{00000000-0005-0000-0000-0000F0150000}"/>
    <cellStyle name="20% - Accent4 54 2 3" xfId="9868" xr:uid="{00000000-0005-0000-0000-0000F1150000}"/>
    <cellStyle name="20% - Accent4 54 2 3 2" xfId="21156" xr:uid="{00000000-0005-0000-0000-0000F2150000}"/>
    <cellStyle name="20% - Accent4 54 2 4" xfId="7874" xr:uid="{00000000-0005-0000-0000-0000F3150000}"/>
    <cellStyle name="20% - Accent4 54 2 4 2" xfId="19162" xr:uid="{00000000-0005-0000-0000-0000F4150000}"/>
    <cellStyle name="20% - Accent4 54 2 5" xfId="5880" xr:uid="{00000000-0005-0000-0000-0000F5150000}"/>
    <cellStyle name="20% - Accent4 54 2 5 2" xfId="17168" xr:uid="{00000000-0005-0000-0000-0000F6150000}"/>
    <cellStyle name="20% - Accent4 54 2 6" xfId="15174" xr:uid="{00000000-0005-0000-0000-0000F7150000}"/>
    <cellStyle name="20% - Accent4 54 3" xfId="10865" xr:uid="{00000000-0005-0000-0000-0000F8150000}"/>
    <cellStyle name="20% - Accent4 54 3 2" xfId="22153" xr:uid="{00000000-0005-0000-0000-0000F9150000}"/>
    <cellStyle name="20% - Accent4 54 4" xfId="8871" xr:uid="{00000000-0005-0000-0000-0000FA150000}"/>
    <cellStyle name="20% - Accent4 54 4 2" xfId="20159" xr:uid="{00000000-0005-0000-0000-0000FB150000}"/>
    <cellStyle name="20% - Accent4 54 5" xfId="6877" xr:uid="{00000000-0005-0000-0000-0000FC150000}"/>
    <cellStyle name="20% - Accent4 54 5 2" xfId="18165" xr:uid="{00000000-0005-0000-0000-0000FD150000}"/>
    <cellStyle name="20% - Accent4 54 6" xfId="4883" xr:uid="{00000000-0005-0000-0000-0000FE150000}"/>
    <cellStyle name="20% - Accent4 54 6 2" xfId="16171" xr:uid="{00000000-0005-0000-0000-0000FF150000}"/>
    <cellStyle name="20% - Accent4 54 7" xfId="14177" xr:uid="{00000000-0005-0000-0000-000000160000}"/>
    <cellStyle name="20% - Accent4 54 8" xfId="12863" xr:uid="{00000000-0005-0000-0000-000001160000}"/>
    <cellStyle name="20% - Accent4 55" xfId="928" xr:uid="{00000000-0005-0000-0000-000002160000}"/>
    <cellStyle name="20% - Accent4 55 2" xfId="3884" xr:uid="{00000000-0005-0000-0000-000003160000}"/>
    <cellStyle name="20% - Accent4 55 2 2" xfId="11863" xr:uid="{00000000-0005-0000-0000-000004160000}"/>
    <cellStyle name="20% - Accent4 55 2 2 2" xfId="23151" xr:uid="{00000000-0005-0000-0000-000005160000}"/>
    <cellStyle name="20% - Accent4 55 2 3" xfId="9869" xr:uid="{00000000-0005-0000-0000-000006160000}"/>
    <cellStyle name="20% - Accent4 55 2 3 2" xfId="21157" xr:uid="{00000000-0005-0000-0000-000007160000}"/>
    <cellStyle name="20% - Accent4 55 2 4" xfId="7875" xr:uid="{00000000-0005-0000-0000-000008160000}"/>
    <cellStyle name="20% - Accent4 55 2 4 2" xfId="19163" xr:uid="{00000000-0005-0000-0000-000009160000}"/>
    <cellStyle name="20% - Accent4 55 2 5" xfId="5881" xr:uid="{00000000-0005-0000-0000-00000A160000}"/>
    <cellStyle name="20% - Accent4 55 2 5 2" xfId="17169" xr:uid="{00000000-0005-0000-0000-00000B160000}"/>
    <cellStyle name="20% - Accent4 55 2 6" xfId="15175" xr:uid="{00000000-0005-0000-0000-00000C160000}"/>
    <cellStyle name="20% - Accent4 55 3" xfId="10866" xr:uid="{00000000-0005-0000-0000-00000D160000}"/>
    <cellStyle name="20% - Accent4 55 3 2" xfId="22154" xr:uid="{00000000-0005-0000-0000-00000E160000}"/>
    <cellStyle name="20% - Accent4 55 4" xfId="8872" xr:uid="{00000000-0005-0000-0000-00000F160000}"/>
    <cellStyle name="20% - Accent4 55 4 2" xfId="20160" xr:uid="{00000000-0005-0000-0000-000010160000}"/>
    <cellStyle name="20% - Accent4 55 5" xfId="6878" xr:uid="{00000000-0005-0000-0000-000011160000}"/>
    <cellStyle name="20% - Accent4 55 5 2" xfId="18166" xr:uid="{00000000-0005-0000-0000-000012160000}"/>
    <cellStyle name="20% - Accent4 55 6" xfId="4884" xr:uid="{00000000-0005-0000-0000-000013160000}"/>
    <cellStyle name="20% - Accent4 55 6 2" xfId="16172" xr:uid="{00000000-0005-0000-0000-000014160000}"/>
    <cellStyle name="20% - Accent4 55 7" xfId="14178" xr:uid="{00000000-0005-0000-0000-000015160000}"/>
    <cellStyle name="20% - Accent4 55 8" xfId="12864" xr:uid="{00000000-0005-0000-0000-000016160000}"/>
    <cellStyle name="20% - Accent4 56" xfId="929" xr:uid="{00000000-0005-0000-0000-000017160000}"/>
    <cellStyle name="20% - Accent4 56 2" xfId="3885" xr:uid="{00000000-0005-0000-0000-000018160000}"/>
    <cellStyle name="20% - Accent4 56 2 2" xfId="11864" xr:uid="{00000000-0005-0000-0000-000019160000}"/>
    <cellStyle name="20% - Accent4 56 2 2 2" xfId="23152" xr:uid="{00000000-0005-0000-0000-00001A160000}"/>
    <cellStyle name="20% - Accent4 56 2 3" xfId="9870" xr:uid="{00000000-0005-0000-0000-00001B160000}"/>
    <cellStyle name="20% - Accent4 56 2 3 2" xfId="21158" xr:uid="{00000000-0005-0000-0000-00001C160000}"/>
    <cellStyle name="20% - Accent4 56 2 4" xfId="7876" xr:uid="{00000000-0005-0000-0000-00001D160000}"/>
    <cellStyle name="20% - Accent4 56 2 4 2" xfId="19164" xr:uid="{00000000-0005-0000-0000-00001E160000}"/>
    <cellStyle name="20% - Accent4 56 2 5" xfId="5882" xr:uid="{00000000-0005-0000-0000-00001F160000}"/>
    <cellStyle name="20% - Accent4 56 2 5 2" xfId="17170" xr:uid="{00000000-0005-0000-0000-000020160000}"/>
    <cellStyle name="20% - Accent4 56 2 6" xfId="15176" xr:uid="{00000000-0005-0000-0000-000021160000}"/>
    <cellStyle name="20% - Accent4 56 3" xfId="10867" xr:uid="{00000000-0005-0000-0000-000022160000}"/>
    <cellStyle name="20% - Accent4 56 3 2" xfId="22155" xr:uid="{00000000-0005-0000-0000-000023160000}"/>
    <cellStyle name="20% - Accent4 56 4" xfId="8873" xr:uid="{00000000-0005-0000-0000-000024160000}"/>
    <cellStyle name="20% - Accent4 56 4 2" xfId="20161" xr:uid="{00000000-0005-0000-0000-000025160000}"/>
    <cellStyle name="20% - Accent4 56 5" xfId="6879" xr:uid="{00000000-0005-0000-0000-000026160000}"/>
    <cellStyle name="20% - Accent4 56 5 2" xfId="18167" xr:uid="{00000000-0005-0000-0000-000027160000}"/>
    <cellStyle name="20% - Accent4 56 6" xfId="4885" xr:uid="{00000000-0005-0000-0000-000028160000}"/>
    <cellStyle name="20% - Accent4 56 6 2" xfId="16173" xr:uid="{00000000-0005-0000-0000-000029160000}"/>
    <cellStyle name="20% - Accent4 56 7" xfId="14179" xr:uid="{00000000-0005-0000-0000-00002A160000}"/>
    <cellStyle name="20% - Accent4 56 8" xfId="12865" xr:uid="{00000000-0005-0000-0000-00002B160000}"/>
    <cellStyle name="20% - Accent4 57" xfId="930" xr:uid="{00000000-0005-0000-0000-00002C160000}"/>
    <cellStyle name="20% - Accent4 57 2" xfId="3886" xr:uid="{00000000-0005-0000-0000-00002D160000}"/>
    <cellStyle name="20% - Accent4 57 2 2" xfId="11865" xr:uid="{00000000-0005-0000-0000-00002E160000}"/>
    <cellStyle name="20% - Accent4 57 2 2 2" xfId="23153" xr:uid="{00000000-0005-0000-0000-00002F160000}"/>
    <cellStyle name="20% - Accent4 57 2 3" xfId="9871" xr:uid="{00000000-0005-0000-0000-000030160000}"/>
    <cellStyle name="20% - Accent4 57 2 3 2" xfId="21159" xr:uid="{00000000-0005-0000-0000-000031160000}"/>
    <cellStyle name="20% - Accent4 57 2 4" xfId="7877" xr:uid="{00000000-0005-0000-0000-000032160000}"/>
    <cellStyle name="20% - Accent4 57 2 4 2" xfId="19165" xr:uid="{00000000-0005-0000-0000-000033160000}"/>
    <cellStyle name="20% - Accent4 57 2 5" xfId="5883" xr:uid="{00000000-0005-0000-0000-000034160000}"/>
    <cellStyle name="20% - Accent4 57 2 5 2" xfId="17171" xr:uid="{00000000-0005-0000-0000-000035160000}"/>
    <cellStyle name="20% - Accent4 57 2 6" xfId="15177" xr:uid="{00000000-0005-0000-0000-000036160000}"/>
    <cellStyle name="20% - Accent4 57 3" xfId="10868" xr:uid="{00000000-0005-0000-0000-000037160000}"/>
    <cellStyle name="20% - Accent4 57 3 2" xfId="22156" xr:uid="{00000000-0005-0000-0000-000038160000}"/>
    <cellStyle name="20% - Accent4 57 4" xfId="8874" xr:uid="{00000000-0005-0000-0000-000039160000}"/>
    <cellStyle name="20% - Accent4 57 4 2" xfId="20162" xr:uid="{00000000-0005-0000-0000-00003A160000}"/>
    <cellStyle name="20% - Accent4 57 5" xfId="6880" xr:uid="{00000000-0005-0000-0000-00003B160000}"/>
    <cellStyle name="20% - Accent4 57 5 2" xfId="18168" xr:uid="{00000000-0005-0000-0000-00003C160000}"/>
    <cellStyle name="20% - Accent4 57 6" xfId="4886" xr:uid="{00000000-0005-0000-0000-00003D160000}"/>
    <cellStyle name="20% - Accent4 57 6 2" xfId="16174" xr:uid="{00000000-0005-0000-0000-00003E160000}"/>
    <cellStyle name="20% - Accent4 57 7" xfId="14180" xr:uid="{00000000-0005-0000-0000-00003F160000}"/>
    <cellStyle name="20% - Accent4 57 8" xfId="12866" xr:uid="{00000000-0005-0000-0000-000040160000}"/>
    <cellStyle name="20% - Accent4 58" xfId="931" xr:uid="{00000000-0005-0000-0000-000041160000}"/>
    <cellStyle name="20% - Accent4 58 2" xfId="3887" xr:uid="{00000000-0005-0000-0000-000042160000}"/>
    <cellStyle name="20% - Accent4 58 2 2" xfId="11866" xr:uid="{00000000-0005-0000-0000-000043160000}"/>
    <cellStyle name="20% - Accent4 58 2 2 2" xfId="23154" xr:uid="{00000000-0005-0000-0000-000044160000}"/>
    <cellStyle name="20% - Accent4 58 2 3" xfId="9872" xr:uid="{00000000-0005-0000-0000-000045160000}"/>
    <cellStyle name="20% - Accent4 58 2 3 2" xfId="21160" xr:uid="{00000000-0005-0000-0000-000046160000}"/>
    <cellStyle name="20% - Accent4 58 2 4" xfId="7878" xr:uid="{00000000-0005-0000-0000-000047160000}"/>
    <cellStyle name="20% - Accent4 58 2 4 2" xfId="19166" xr:uid="{00000000-0005-0000-0000-000048160000}"/>
    <cellStyle name="20% - Accent4 58 2 5" xfId="5884" xr:uid="{00000000-0005-0000-0000-000049160000}"/>
    <cellStyle name="20% - Accent4 58 2 5 2" xfId="17172" xr:uid="{00000000-0005-0000-0000-00004A160000}"/>
    <cellStyle name="20% - Accent4 58 2 6" xfId="15178" xr:uid="{00000000-0005-0000-0000-00004B160000}"/>
    <cellStyle name="20% - Accent4 58 3" xfId="10869" xr:uid="{00000000-0005-0000-0000-00004C160000}"/>
    <cellStyle name="20% - Accent4 58 3 2" xfId="22157" xr:uid="{00000000-0005-0000-0000-00004D160000}"/>
    <cellStyle name="20% - Accent4 58 4" xfId="8875" xr:uid="{00000000-0005-0000-0000-00004E160000}"/>
    <cellStyle name="20% - Accent4 58 4 2" xfId="20163" xr:uid="{00000000-0005-0000-0000-00004F160000}"/>
    <cellStyle name="20% - Accent4 58 5" xfId="6881" xr:uid="{00000000-0005-0000-0000-000050160000}"/>
    <cellStyle name="20% - Accent4 58 5 2" xfId="18169" xr:uid="{00000000-0005-0000-0000-000051160000}"/>
    <cellStyle name="20% - Accent4 58 6" xfId="4887" xr:uid="{00000000-0005-0000-0000-000052160000}"/>
    <cellStyle name="20% - Accent4 58 6 2" xfId="16175" xr:uid="{00000000-0005-0000-0000-000053160000}"/>
    <cellStyle name="20% - Accent4 58 7" xfId="14181" xr:uid="{00000000-0005-0000-0000-000054160000}"/>
    <cellStyle name="20% - Accent4 58 8" xfId="12867" xr:uid="{00000000-0005-0000-0000-000055160000}"/>
    <cellStyle name="20% - Accent4 59" xfId="932" xr:uid="{00000000-0005-0000-0000-000056160000}"/>
    <cellStyle name="20% - Accent4 59 2" xfId="3888" xr:uid="{00000000-0005-0000-0000-000057160000}"/>
    <cellStyle name="20% - Accent4 59 2 2" xfId="11867" xr:uid="{00000000-0005-0000-0000-000058160000}"/>
    <cellStyle name="20% - Accent4 59 2 2 2" xfId="23155" xr:uid="{00000000-0005-0000-0000-000059160000}"/>
    <cellStyle name="20% - Accent4 59 2 3" xfId="9873" xr:uid="{00000000-0005-0000-0000-00005A160000}"/>
    <cellStyle name="20% - Accent4 59 2 3 2" xfId="21161" xr:uid="{00000000-0005-0000-0000-00005B160000}"/>
    <cellStyle name="20% - Accent4 59 2 4" xfId="7879" xr:uid="{00000000-0005-0000-0000-00005C160000}"/>
    <cellStyle name="20% - Accent4 59 2 4 2" xfId="19167" xr:uid="{00000000-0005-0000-0000-00005D160000}"/>
    <cellStyle name="20% - Accent4 59 2 5" xfId="5885" xr:uid="{00000000-0005-0000-0000-00005E160000}"/>
    <cellStyle name="20% - Accent4 59 2 5 2" xfId="17173" xr:uid="{00000000-0005-0000-0000-00005F160000}"/>
    <cellStyle name="20% - Accent4 59 2 6" xfId="15179" xr:uid="{00000000-0005-0000-0000-000060160000}"/>
    <cellStyle name="20% - Accent4 59 3" xfId="10870" xr:uid="{00000000-0005-0000-0000-000061160000}"/>
    <cellStyle name="20% - Accent4 59 3 2" xfId="22158" xr:uid="{00000000-0005-0000-0000-000062160000}"/>
    <cellStyle name="20% - Accent4 59 4" xfId="8876" xr:uid="{00000000-0005-0000-0000-000063160000}"/>
    <cellStyle name="20% - Accent4 59 4 2" xfId="20164" xr:uid="{00000000-0005-0000-0000-000064160000}"/>
    <cellStyle name="20% - Accent4 59 5" xfId="6882" xr:uid="{00000000-0005-0000-0000-000065160000}"/>
    <cellStyle name="20% - Accent4 59 5 2" xfId="18170" xr:uid="{00000000-0005-0000-0000-000066160000}"/>
    <cellStyle name="20% - Accent4 59 6" xfId="4888" xr:uid="{00000000-0005-0000-0000-000067160000}"/>
    <cellStyle name="20% - Accent4 59 6 2" xfId="16176" xr:uid="{00000000-0005-0000-0000-000068160000}"/>
    <cellStyle name="20% - Accent4 59 7" xfId="14182" xr:uid="{00000000-0005-0000-0000-000069160000}"/>
    <cellStyle name="20% - Accent4 59 8" xfId="12868" xr:uid="{00000000-0005-0000-0000-00006A160000}"/>
    <cellStyle name="20% - Accent4 6" xfId="933" xr:uid="{00000000-0005-0000-0000-00006B160000}"/>
    <cellStyle name="20% - Accent4 6 10" xfId="24581" xr:uid="{00000000-0005-0000-0000-00006C160000}"/>
    <cellStyle name="20% - Accent4 6 11" xfId="24971" xr:uid="{00000000-0005-0000-0000-00006D160000}"/>
    <cellStyle name="20% - Accent4 6 2" xfId="3889" xr:uid="{00000000-0005-0000-0000-00006E160000}"/>
    <cellStyle name="20% - Accent4 6 2 2" xfId="11868" xr:uid="{00000000-0005-0000-0000-00006F160000}"/>
    <cellStyle name="20% - Accent4 6 2 2 2" xfId="23156" xr:uid="{00000000-0005-0000-0000-000070160000}"/>
    <cellStyle name="20% - Accent4 6 2 3" xfId="9874" xr:uid="{00000000-0005-0000-0000-000071160000}"/>
    <cellStyle name="20% - Accent4 6 2 3 2" xfId="21162" xr:uid="{00000000-0005-0000-0000-000072160000}"/>
    <cellStyle name="20% - Accent4 6 2 4" xfId="7880" xr:uid="{00000000-0005-0000-0000-000073160000}"/>
    <cellStyle name="20% - Accent4 6 2 4 2" xfId="19168" xr:uid="{00000000-0005-0000-0000-000074160000}"/>
    <cellStyle name="20% - Accent4 6 2 5" xfId="5886" xr:uid="{00000000-0005-0000-0000-000075160000}"/>
    <cellStyle name="20% - Accent4 6 2 5 2" xfId="17174" xr:uid="{00000000-0005-0000-0000-000076160000}"/>
    <cellStyle name="20% - Accent4 6 2 6" xfId="15180" xr:uid="{00000000-0005-0000-0000-000077160000}"/>
    <cellStyle name="20% - Accent4 6 2 7" xfId="24342" xr:uid="{00000000-0005-0000-0000-000078160000}"/>
    <cellStyle name="20% - Accent4 6 2 8" xfId="24806" xr:uid="{00000000-0005-0000-0000-000079160000}"/>
    <cellStyle name="20% - Accent4 6 2 9" xfId="25173" xr:uid="{00000000-0005-0000-0000-00007A160000}"/>
    <cellStyle name="20% - Accent4 6 3" xfId="10871" xr:uid="{00000000-0005-0000-0000-00007B160000}"/>
    <cellStyle name="20% - Accent4 6 3 2" xfId="22159" xr:uid="{00000000-0005-0000-0000-00007C160000}"/>
    <cellStyle name="20% - Accent4 6 4" xfId="8877" xr:uid="{00000000-0005-0000-0000-00007D160000}"/>
    <cellStyle name="20% - Accent4 6 4 2" xfId="20165" xr:uid="{00000000-0005-0000-0000-00007E160000}"/>
    <cellStyle name="20% - Accent4 6 5" xfId="6883" xr:uid="{00000000-0005-0000-0000-00007F160000}"/>
    <cellStyle name="20% - Accent4 6 5 2" xfId="18171" xr:uid="{00000000-0005-0000-0000-000080160000}"/>
    <cellStyle name="20% - Accent4 6 6" xfId="4889" xr:uid="{00000000-0005-0000-0000-000081160000}"/>
    <cellStyle name="20% - Accent4 6 6 2" xfId="16177" xr:uid="{00000000-0005-0000-0000-000082160000}"/>
    <cellStyle name="20% - Accent4 6 7" xfId="14183" xr:uid="{00000000-0005-0000-0000-000083160000}"/>
    <cellStyle name="20% - Accent4 6 8" xfId="12869" xr:uid="{00000000-0005-0000-0000-000084160000}"/>
    <cellStyle name="20% - Accent4 6 9" xfId="23954" xr:uid="{00000000-0005-0000-0000-000085160000}"/>
    <cellStyle name="20% - Accent4 60" xfId="934" xr:uid="{00000000-0005-0000-0000-000086160000}"/>
    <cellStyle name="20% - Accent4 60 2" xfId="3890" xr:uid="{00000000-0005-0000-0000-000087160000}"/>
    <cellStyle name="20% - Accent4 60 2 2" xfId="11869" xr:uid="{00000000-0005-0000-0000-000088160000}"/>
    <cellStyle name="20% - Accent4 60 2 2 2" xfId="23157" xr:uid="{00000000-0005-0000-0000-000089160000}"/>
    <cellStyle name="20% - Accent4 60 2 3" xfId="9875" xr:uid="{00000000-0005-0000-0000-00008A160000}"/>
    <cellStyle name="20% - Accent4 60 2 3 2" xfId="21163" xr:uid="{00000000-0005-0000-0000-00008B160000}"/>
    <cellStyle name="20% - Accent4 60 2 4" xfId="7881" xr:uid="{00000000-0005-0000-0000-00008C160000}"/>
    <cellStyle name="20% - Accent4 60 2 4 2" xfId="19169" xr:uid="{00000000-0005-0000-0000-00008D160000}"/>
    <cellStyle name="20% - Accent4 60 2 5" xfId="5887" xr:uid="{00000000-0005-0000-0000-00008E160000}"/>
    <cellStyle name="20% - Accent4 60 2 5 2" xfId="17175" xr:uid="{00000000-0005-0000-0000-00008F160000}"/>
    <cellStyle name="20% - Accent4 60 2 6" xfId="15181" xr:uid="{00000000-0005-0000-0000-000090160000}"/>
    <cellStyle name="20% - Accent4 60 3" xfId="10872" xr:uid="{00000000-0005-0000-0000-000091160000}"/>
    <cellStyle name="20% - Accent4 60 3 2" xfId="22160" xr:uid="{00000000-0005-0000-0000-000092160000}"/>
    <cellStyle name="20% - Accent4 60 4" xfId="8878" xr:uid="{00000000-0005-0000-0000-000093160000}"/>
    <cellStyle name="20% - Accent4 60 4 2" xfId="20166" xr:uid="{00000000-0005-0000-0000-000094160000}"/>
    <cellStyle name="20% - Accent4 60 5" xfId="6884" xr:uid="{00000000-0005-0000-0000-000095160000}"/>
    <cellStyle name="20% - Accent4 60 5 2" xfId="18172" xr:uid="{00000000-0005-0000-0000-000096160000}"/>
    <cellStyle name="20% - Accent4 60 6" xfId="4890" xr:uid="{00000000-0005-0000-0000-000097160000}"/>
    <cellStyle name="20% - Accent4 60 6 2" xfId="16178" xr:uid="{00000000-0005-0000-0000-000098160000}"/>
    <cellStyle name="20% - Accent4 60 7" xfId="14184" xr:uid="{00000000-0005-0000-0000-000099160000}"/>
    <cellStyle name="20% - Accent4 60 8" xfId="12870" xr:uid="{00000000-0005-0000-0000-00009A160000}"/>
    <cellStyle name="20% - Accent4 61" xfId="935" xr:uid="{00000000-0005-0000-0000-00009B160000}"/>
    <cellStyle name="20% - Accent4 61 2" xfId="3891" xr:uid="{00000000-0005-0000-0000-00009C160000}"/>
    <cellStyle name="20% - Accent4 61 2 2" xfId="11870" xr:uid="{00000000-0005-0000-0000-00009D160000}"/>
    <cellStyle name="20% - Accent4 61 2 2 2" xfId="23158" xr:uid="{00000000-0005-0000-0000-00009E160000}"/>
    <cellStyle name="20% - Accent4 61 2 3" xfId="9876" xr:uid="{00000000-0005-0000-0000-00009F160000}"/>
    <cellStyle name="20% - Accent4 61 2 3 2" xfId="21164" xr:uid="{00000000-0005-0000-0000-0000A0160000}"/>
    <cellStyle name="20% - Accent4 61 2 4" xfId="7882" xr:uid="{00000000-0005-0000-0000-0000A1160000}"/>
    <cellStyle name="20% - Accent4 61 2 4 2" xfId="19170" xr:uid="{00000000-0005-0000-0000-0000A2160000}"/>
    <cellStyle name="20% - Accent4 61 2 5" xfId="5888" xr:uid="{00000000-0005-0000-0000-0000A3160000}"/>
    <cellStyle name="20% - Accent4 61 2 5 2" xfId="17176" xr:uid="{00000000-0005-0000-0000-0000A4160000}"/>
    <cellStyle name="20% - Accent4 61 2 6" xfId="15182" xr:uid="{00000000-0005-0000-0000-0000A5160000}"/>
    <cellStyle name="20% - Accent4 61 3" xfId="10873" xr:uid="{00000000-0005-0000-0000-0000A6160000}"/>
    <cellStyle name="20% - Accent4 61 3 2" xfId="22161" xr:uid="{00000000-0005-0000-0000-0000A7160000}"/>
    <cellStyle name="20% - Accent4 61 4" xfId="8879" xr:uid="{00000000-0005-0000-0000-0000A8160000}"/>
    <cellStyle name="20% - Accent4 61 4 2" xfId="20167" xr:uid="{00000000-0005-0000-0000-0000A9160000}"/>
    <cellStyle name="20% - Accent4 61 5" xfId="6885" xr:uid="{00000000-0005-0000-0000-0000AA160000}"/>
    <cellStyle name="20% - Accent4 61 5 2" xfId="18173" xr:uid="{00000000-0005-0000-0000-0000AB160000}"/>
    <cellStyle name="20% - Accent4 61 6" xfId="4891" xr:uid="{00000000-0005-0000-0000-0000AC160000}"/>
    <cellStyle name="20% - Accent4 61 6 2" xfId="16179" xr:uid="{00000000-0005-0000-0000-0000AD160000}"/>
    <cellStyle name="20% - Accent4 61 7" xfId="14185" xr:uid="{00000000-0005-0000-0000-0000AE160000}"/>
    <cellStyle name="20% - Accent4 61 8" xfId="12871" xr:uid="{00000000-0005-0000-0000-0000AF160000}"/>
    <cellStyle name="20% - Accent4 62" xfId="936" xr:uid="{00000000-0005-0000-0000-0000B0160000}"/>
    <cellStyle name="20% - Accent4 62 2" xfId="3892" xr:uid="{00000000-0005-0000-0000-0000B1160000}"/>
    <cellStyle name="20% - Accent4 62 2 2" xfId="11871" xr:uid="{00000000-0005-0000-0000-0000B2160000}"/>
    <cellStyle name="20% - Accent4 62 2 2 2" xfId="23159" xr:uid="{00000000-0005-0000-0000-0000B3160000}"/>
    <cellStyle name="20% - Accent4 62 2 3" xfId="9877" xr:uid="{00000000-0005-0000-0000-0000B4160000}"/>
    <cellStyle name="20% - Accent4 62 2 3 2" xfId="21165" xr:uid="{00000000-0005-0000-0000-0000B5160000}"/>
    <cellStyle name="20% - Accent4 62 2 4" xfId="7883" xr:uid="{00000000-0005-0000-0000-0000B6160000}"/>
    <cellStyle name="20% - Accent4 62 2 4 2" xfId="19171" xr:uid="{00000000-0005-0000-0000-0000B7160000}"/>
    <cellStyle name="20% - Accent4 62 2 5" xfId="5889" xr:uid="{00000000-0005-0000-0000-0000B8160000}"/>
    <cellStyle name="20% - Accent4 62 2 5 2" xfId="17177" xr:uid="{00000000-0005-0000-0000-0000B9160000}"/>
    <cellStyle name="20% - Accent4 62 2 6" xfId="15183" xr:uid="{00000000-0005-0000-0000-0000BA160000}"/>
    <cellStyle name="20% - Accent4 62 3" xfId="10874" xr:uid="{00000000-0005-0000-0000-0000BB160000}"/>
    <cellStyle name="20% - Accent4 62 3 2" xfId="22162" xr:uid="{00000000-0005-0000-0000-0000BC160000}"/>
    <cellStyle name="20% - Accent4 62 4" xfId="8880" xr:uid="{00000000-0005-0000-0000-0000BD160000}"/>
    <cellStyle name="20% - Accent4 62 4 2" xfId="20168" xr:uid="{00000000-0005-0000-0000-0000BE160000}"/>
    <cellStyle name="20% - Accent4 62 5" xfId="6886" xr:uid="{00000000-0005-0000-0000-0000BF160000}"/>
    <cellStyle name="20% - Accent4 62 5 2" xfId="18174" xr:uid="{00000000-0005-0000-0000-0000C0160000}"/>
    <cellStyle name="20% - Accent4 62 6" xfId="4892" xr:uid="{00000000-0005-0000-0000-0000C1160000}"/>
    <cellStyle name="20% - Accent4 62 6 2" xfId="16180" xr:uid="{00000000-0005-0000-0000-0000C2160000}"/>
    <cellStyle name="20% - Accent4 62 7" xfId="14186" xr:uid="{00000000-0005-0000-0000-0000C3160000}"/>
    <cellStyle name="20% - Accent4 62 8" xfId="12872" xr:uid="{00000000-0005-0000-0000-0000C4160000}"/>
    <cellStyle name="20% - Accent4 63" xfId="937" xr:uid="{00000000-0005-0000-0000-0000C5160000}"/>
    <cellStyle name="20% - Accent4 63 2" xfId="3893" xr:uid="{00000000-0005-0000-0000-0000C6160000}"/>
    <cellStyle name="20% - Accent4 63 2 2" xfId="11872" xr:uid="{00000000-0005-0000-0000-0000C7160000}"/>
    <cellStyle name="20% - Accent4 63 2 2 2" xfId="23160" xr:uid="{00000000-0005-0000-0000-0000C8160000}"/>
    <cellStyle name="20% - Accent4 63 2 3" xfId="9878" xr:uid="{00000000-0005-0000-0000-0000C9160000}"/>
    <cellStyle name="20% - Accent4 63 2 3 2" xfId="21166" xr:uid="{00000000-0005-0000-0000-0000CA160000}"/>
    <cellStyle name="20% - Accent4 63 2 4" xfId="7884" xr:uid="{00000000-0005-0000-0000-0000CB160000}"/>
    <cellStyle name="20% - Accent4 63 2 4 2" xfId="19172" xr:uid="{00000000-0005-0000-0000-0000CC160000}"/>
    <cellStyle name="20% - Accent4 63 2 5" xfId="5890" xr:uid="{00000000-0005-0000-0000-0000CD160000}"/>
    <cellStyle name="20% - Accent4 63 2 5 2" xfId="17178" xr:uid="{00000000-0005-0000-0000-0000CE160000}"/>
    <cellStyle name="20% - Accent4 63 2 6" xfId="15184" xr:uid="{00000000-0005-0000-0000-0000CF160000}"/>
    <cellStyle name="20% - Accent4 63 3" xfId="10875" xr:uid="{00000000-0005-0000-0000-0000D0160000}"/>
    <cellStyle name="20% - Accent4 63 3 2" xfId="22163" xr:uid="{00000000-0005-0000-0000-0000D1160000}"/>
    <cellStyle name="20% - Accent4 63 4" xfId="8881" xr:uid="{00000000-0005-0000-0000-0000D2160000}"/>
    <cellStyle name="20% - Accent4 63 4 2" xfId="20169" xr:uid="{00000000-0005-0000-0000-0000D3160000}"/>
    <cellStyle name="20% - Accent4 63 5" xfId="6887" xr:uid="{00000000-0005-0000-0000-0000D4160000}"/>
    <cellStyle name="20% - Accent4 63 5 2" xfId="18175" xr:uid="{00000000-0005-0000-0000-0000D5160000}"/>
    <cellStyle name="20% - Accent4 63 6" xfId="4893" xr:uid="{00000000-0005-0000-0000-0000D6160000}"/>
    <cellStyle name="20% - Accent4 63 6 2" xfId="16181" xr:uid="{00000000-0005-0000-0000-0000D7160000}"/>
    <cellStyle name="20% - Accent4 63 7" xfId="14187" xr:uid="{00000000-0005-0000-0000-0000D8160000}"/>
    <cellStyle name="20% - Accent4 63 8" xfId="12873" xr:uid="{00000000-0005-0000-0000-0000D9160000}"/>
    <cellStyle name="20% - Accent4 64" xfId="938" xr:uid="{00000000-0005-0000-0000-0000DA160000}"/>
    <cellStyle name="20% - Accent4 64 2" xfId="3894" xr:uid="{00000000-0005-0000-0000-0000DB160000}"/>
    <cellStyle name="20% - Accent4 64 2 2" xfId="11873" xr:uid="{00000000-0005-0000-0000-0000DC160000}"/>
    <cellStyle name="20% - Accent4 64 2 2 2" xfId="23161" xr:uid="{00000000-0005-0000-0000-0000DD160000}"/>
    <cellStyle name="20% - Accent4 64 2 3" xfId="9879" xr:uid="{00000000-0005-0000-0000-0000DE160000}"/>
    <cellStyle name="20% - Accent4 64 2 3 2" xfId="21167" xr:uid="{00000000-0005-0000-0000-0000DF160000}"/>
    <cellStyle name="20% - Accent4 64 2 4" xfId="7885" xr:uid="{00000000-0005-0000-0000-0000E0160000}"/>
    <cellStyle name="20% - Accent4 64 2 4 2" xfId="19173" xr:uid="{00000000-0005-0000-0000-0000E1160000}"/>
    <cellStyle name="20% - Accent4 64 2 5" xfId="5891" xr:uid="{00000000-0005-0000-0000-0000E2160000}"/>
    <cellStyle name="20% - Accent4 64 2 5 2" xfId="17179" xr:uid="{00000000-0005-0000-0000-0000E3160000}"/>
    <cellStyle name="20% - Accent4 64 2 6" xfId="15185" xr:uid="{00000000-0005-0000-0000-0000E4160000}"/>
    <cellStyle name="20% - Accent4 64 3" xfId="10876" xr:uid="{00000000-0005-0000-0000-0000E5160000}"/>
    <cellStyle name="20% - Accent4 64 3 2" xfId="22164" xr:uid="{00000000-0005-0000-0000-0000E6160000}"/>
    <cellStyle name="20% - Accent4 64 4" xfId="8882" xr:uid="{00000000-0005-0000-0000-0000E7160000}"/>
    <cellStyle name="20% - Accent4 64 4 2" xfId="20170" xr:uid="{00000000-0005-0000-0000-0000E8160000}"/>
    <cellStyle name="20% - Accent4 64 5" xfId="6888" xr:uid="{00000000-0005-0000-0000-0000E9160000}"/>
    <cellStyle name="20% - Accent4 64 5 2" xfId="18176" xr:uid="{00000000-0005-0000-0000-0000EA160000}"/>
    <cellStyle name="20% - Accent4 64 6" xfId="4894" xr:uid="{00000000-0005-0000-0000-0000EB160000}"/>
    <cellStyle name="20% - Accent4 64 6 2" xfId="16182" xr:uid="{00000000-0005-0000-0000-0000EC160000}"/>
    <cellStyle name="20% - Accent4 64 7" xfId="14188" xr:uid="{00000000-0005-0000-0000-0000ED160000}"/>
    <cellStyle name="20% - Accent4 64 8" xfId="12874" xr:uid="{00000000-0005-0000-0000-0000EE160000}"/>
    <cellStyle name="20% - Accent4 65" xfId="939" xr:uid="{00000000-0005-0000-0000-0000EF160000}"/>
    <cellStyle name="20% - Accent4 65 2" xfId="3895" xr:uid="{00000000-0005-0000-0000-0000F0160000}"/>
    <cellStyle name="20% - Accent4 65 2 2" xfId="11874" xr:uid="{00000000-0005-0000-0000-0000F1160000}"/>
    <cellStyle name="20% - Accent4 65 2 2 2" xfId="23162" xr:uid="{00000000-0005-0000-0000-0000F2160000}"/>
    <cellStyle name="20% - Accent4 65 2 3" xfId="9880" xr:uid="{00000000-0005-0000-0000-0000F3160000}"/>
    <cellStyle name="20% - Accent4 65 2 3 2" xfId="21168" xr:uid="{00000000-0005-0000-0000-0000F4160000}"/>
    <cellStyle name="20% - Accent4 65 2 4" xfId="7886" xr:uid="{00000000-0005-0000-0000-0000F5160000}"/>
    <cellStyle name="20% - Accent4 65 2 4 2" xfId="19174" xr:uid="{00000000-0005-0000-0000-0000F6160000}"/>
    <cellStyle name="20% - Accent4 65 2 5" xfId="5892" xr:uid="{00000000-0005-0000-0000-0000F7160000}"/>
    <cellStyle name="20% - Accent4 65 2 5 2" xfId="17180" xr:uid="{00000000-0005-0000-0000-0000F8160000}"/>
    <cellStyle name="20% - Accent4 65 2 6" xfId="15186" xr:uid="{00000000-0005-0000-0000-0000F9160000}"/>
    <cellStyle name="20% - Accent4 65 3" xfId="10877" xr:uid="{00000000-0005-0000-0000-0000FA160000}"/>
    <cellStyle name="20% - Accent4 65 3 2" xfId="22165" xr:uid="{00000000-0005-0000-0000-0000FB160000}"/>
    <cellStyle name="20% - Accent4 65 4" xfId="8883" xr:uid="{00000000-0005-0000-0000-0000FC160000}"/>
    <cellStyle name="20% - Accent4 65 4 2" xfId="20171" xr:uid="{00000000-0005-0000-0000-0000FD160000}"/>
    <cellStyle name="20% - Accent4 65 5" xfId="6889" xr:uid="{00000000-0005-0000-0000-0000FE160000}"/>
    <cellStyle name="20% - Accent4 65 5 2" xfId="18177" xr:uid="{00000000-0005-0000-0000-0000FF160000}"/>
    <cellStyle name="20% - Accent4 65 6" xfId="4895" xr:uid="{00000000-0005-0000-0000-000000170000}"/>
    <cellStyle name="20% - Accent4 65 6 2" xfId="16183" xr:uid="{00000000-0005-0000-0000-000001170000}"/>
    <cellStyle name="20% - Accent4 65 7" xfId="14189" xr:uid="{00000000-0005-0000-0000-000002170000}"/>
    <cellStyle name="20% - Accent4 65 8" xfId="12875" xr:uid="{00000000-0005-0000-0000-000003170000}"/>
    <cellStyle name="20% - Accent4 66" xfId="940" xr:uid="{00000000-0005-0000-0000-000004170000}"/>
    <cellStyle name="20% - Accent4 66 2" xfId="3896" xr:uid="{00000000-0005-0000-0000-000005170000}"/>
    <cellStyle name="20% - Accent4 66 2 2" xfId="11875" xr:uid="{00000000-0005-0000-0000-000006170000}"/>
    <cellStyle name="20% - Accent4 66 2 2 2" xfId="23163" xr:uid="{00000000-0005-0000-0000-000007170000}"/>
    <cellStyle name="20% - Accent4 66 2 3" xfId="9881" xr:uid="{00000000-0005-0000-0000-000008170000}"/>
    <cellStyle name="20% - Accent4 66 2 3 2" xfId="21169" xr:uid="{00000000-0005-0000-0000-000009170000}"/>
    <cellStyle name="20% - Accent4 66 2 4" xfId="7887" xr:uid="{00000000-0005-0000-0000-00000A170000}"/>
    <cellStyle name="20% - Accent4 66 2 4 2" xfId="19175" xr:uid="{00000000-0005-0000-0000-00000B170000}"/>
    <cellStyle name="20% - Accent4 66 2 5" xfId="5893" xr:uid="{00000000-0005-0000-0000-00000C170000}"/>
    <cellStyle name="20% - Accent4 66 2 5 2" xfId="17181" xr:uid="{00000000-0005-0000-0000-00000D170000}"/>
    <cellStyle name="20% - Accent4 66 2 6" xfId="15187" xr:uid="{00000000-0005-0000-0000-00000E170000}"/>
    <cellStyle name="20% - Accent4 66 3" xfId="10878" xr:uid="{00000000-0005-0000-0000-00000F170000}"/>
    <cellStyle name="20% - Accent4 66 3 2" xfId="22166" xr:uid="{00000000-0005-0000-0000-000010170000}"/>
    <cellStyle name="20% - Accent4 66 4" xfId="8884" xr:uid="{00000000-0005-0000-0000-000011170000}"/>
    <cellStyle name="20% - Accent4 66 4 2" xfId="20172" xr:uid="{00000000-0005-0000-0000-000012170000}"/>
    <cellStyle name="20% - Accent4 66 5" xfId="6890" xr:uid="{00000000-0005-0000-0000-000013170000}"/>
    <cellStyle name="20% - Accent4 66 5 2" xfId="18178" xr:uid="{00000000-0005-0000-0000-000014170000}"/>
    <cellStyle name="20% - Accent4 66 6" xfId="4896" xr:uid="{00000000-0005-0000-0000-000015170000}"/>
    <cellStyle name="20% - Accent4 66 6 2" xfId="16184" xr:uid="{00000000-0005-0000-0000-000016170000}"/>
    <cellStyle name="20% - Accent4 66 7" xfId="14190" xr:uid="{00000000-0005-0000-0000-000017170000}"/>
    <cellStyle name="20% - Accent4 66 8" xfId="12876" xr:uid="{00000000-0005-0000-0000-000018170000}"/>
    <cellStyle name="20% - Accent4 67" xfId="941" xr:uid="{00000000-0005-0000-0000-000019170000}"/>
    <cellStyle name="20% - Accent4 67 2" xfId="3897" xr:uid="{00000000-0005-0000-0000-00001A170000}"/>
    <cellStyle name="20% - Accent4 67 2 2" xfId="11876" xr:uid="{00000000-0005-0000-0000-00001B170000}"/>
    <cellStyle name="20% - Accent4 67 2 2 2" xfId="23164" xr:uid="{00000000-0005-0000-0000-00001C170000}"/>
    <cellStyle name="20% - Accent4 67 2 3" xfId="9882" xr:uid="{00000000-0005-0000-0000-00001D170000}"/>
    <cellStyle name="20% - Accent4 67 2 3 2" xfId="21170" xr:uid="{00000000-0005-0000-0000-00001E170000}"/>
    <cellStyle name="20% - Accent4 67 2 4" xfId="7888" xr:uid="{00000000-0005-0000-0000-00001F170000}"/>
    <cellStyle name="20% - Accent4 67 2 4 2" xfId="19176" xr:uid="{00000000-0005-0000-0000-000020170000}"/>
    <cellStyle name="20% - Accent4 67 2 5" xfId="5894" xr:uid="{00000000-0005-0000-0000-000021170000}"/>
    <cellStyle name="20% - Accent4 67 2 5 2" xfId="17182" xr:uid="{00000000-0005-0000-0000-000022170000}"/>
    <cellStyle name="20% - Accent4 67 2 6" xfId="15188" xr:uid="{00000000-0005-0000-0000-000023170000}"/>
    <cellStyle name="20% - Accent4 67 3" xfId="10879" xr:uid="{00000000-0005-0000-0000-000024170000}"/>
    <cellStyle name="20% - Accent4 67 3 2" xfId="22167" xr:uid="{00000000-0005-0000-0000-000025170000}"/>
    <cellStyle name="20% - Accent4 67 4" xfId="8885" xr:uid="{00000000-0005-0000-0000-000026170000}"/>
    <cellStyle name="20% - Accent4 67 4 2" xfId="20173" xr:uid="{00000000-0005-0000-0000-000027170000}"/>
    <cellStyle name="20% - Accent4 67 5" xfId="6891" xr:uid="{00000000-0005-0000-0000-000028170000}"/>
    <cellStyle name="20% - Accent4 67 5 2" xfId="18179" xr:uid="{00000000-0005-0000-0000-000029170000}"/>
    <cellStyle name="20% - Accent4 67 6" xfId="4897" xr:uid="{00000000-0005-0000-0000-00002A170000}"/>
    <cellStyle name="20% - Accent4 67 6 2" xfId="16185" xr:uid="{00000000-0005-0000-0000-00002B170000}"/>
    <cellStyle name="20% - Accent4 67 7" xfId="14191" xr:uid="{00000000-0005-0000-0000-00002C170000}"/>
    <cellStyle name="20% - Accent4 67 8" xfId="12877" xr:uid="{00000000-0005-0000-0000-00002D170000}"/>
    <cellStyle name="20% - Accent4 68" xfId="942" xr:uid="{00000000-0005-0000-0000-00002E170000}"/>
    <cellStyle name="20% - Accent4 68 2" xfId="3898" xr:uid="{00000000-0005-0000-0000-00002F170000}"/>
    <cellStyle name="20% - Accent4 68 2 2" xfId="11877" xr:uid="{00000000-0005-0000-0000-000030170000}"/>
    <cellStyle name="20% - Accent4 68 2 2 2" xfId="23165" xr:uid="{00000000-0005-0000-0000-000031170000}"/>
    <cellStyle name="20% - Accent4 68 2 3" xfId="9883" xr:uid="{00000000-0005-0000-0000-000032170000}"/>
    <cellStyle name="20% - Accent4 68 2 3 2" xfId="21171" xr:uid="{00000000-0005-0000-0000-000033170000}"/>
    <cellStyle name="20% - Accent4 68 2 4" xfId="7889" xr:uid="{00000000-0005-0000-0000-000034170000}"/>
    <cellStyle name="20% - Accent4 68 2 4 2" xfId="19177" xr:uid="{00000000-0005-0000-0000-000035170000}"/>
    <cellStyle name="20% - Accent4 68 2 5" xfId="5895" xr:uid="{00000000-0005-0000-0000-000036170000}"/>
    <cellStyle name="20% - Accent4 68 2 5 2" xfId="17183" xr:uid="{00000000-0005-0000-0000-000037170000}"/>
    <cellStyle name="20% - Accent4 68 2 6" xfId="15189" xr:uid="{00000000-0005-0000-0000-000038170000}"/>
    <cellStyle name="20% - Accent4 68 3" xfId="10880" xr:uid="{00000000-0005-0000-0000-000039170000}"/>
    <cellStyle name="20% - Accent4 68 3 2" xfId="22168" xr:uid="{00000000-0005-0000-0000-00003A170000}"/>
    <cellStyle name="20% - Accent4 68 4" xfId="8886" xr:uid="{00000000-0005-0000-0000-00003B170000}"/>
    <cellStyle name="20% - Accent4 68 4 2" xfId="20174" xr:uid="{00000000-0005-0000-0000-00003C170000}"/>
    <cellStyle name="20% - Accent4 68 5" xfId="6892" xr:uid="{00000000-0005-0000-0000-00003D170000}"/>
    <cellStyle name="20% - Accent4 68 5 2" xfId="18180" xr:uid="{00000000-0005-0000-0000-00003E170000}"/>
    <cellStyle name="20% - Accent4 68 6" xfId="4898" xr:uid="{00000000-0005-0000-0000-00003F170000}"/>
    <cellStyle name="20% - Accent4 68 6 2" xfId="16186" xr:uid="{00000000-0005-0000-0000-000040170000}"/>
    <cellStyle name="20% - Accent4 68 7" xfId="14192" xr:uid="{00000000-0005-0000-0000-000041170000}"/>
    <cellStyle name="20% - Accent4 68 8" xfId="12878" xr:uid="{00000000-0005-0000-0000-000042170000}"/>
    <cellStyle name="20% - Accent4 69" xfId="943" xr:uid="{00000000-0005-0000-0000-000043170000}"/>
    <cellStyle name="20% - Accent4 69 2" xfId="3899" xr:uid="{00000000-0005-0000-0000-000044170000}"/>
    <cellStyle name="20% - Accent4 69 2 2" xfId="11878" xr:uid="{00000000-0005-0000-0000-000045170000}"/>
    <cellStyle name="20% - Accent4 69 2 2 2" xfId="23166" xr:uid="{00000000-0005-0000-0000-000046170000}"/>
    <cellStyle name="20% - Accent4 69 2 3" xfId="9884" xr:uid="{00000000-0005-0000-0000-000047170000}"/>
    <cellStyle name="20% - Accent4 69 2 3 2" xfId="21172" xr:uid="{00000000-0005-0000-0000-000048170000}"/>
    <cellStyle name="20% - Accent4 69 2 4" xfId="7890" xr:uid="{00000000-0005-0000-0000-000049170000}"/>
    <cellStyle name="20% - Accent4 69 2 4 2" xfId="19178" xr:uid="{00000000-0005-0000-0000-00004A170000}"/>
    <cellStyle name="20% - Accent4 69 2 5" xfId="5896" xr:uid="{00000000-0005-0000-0000-00004B170000}"/>
    <cellStyle name="20% - Accent4 69 2 5 2" xfId="17184" xr:uid="{00000000-0005-0000-0000-00004C170000}"/>
    <cellStyle name="20% - Accent4 69 2 6" xfId="15190" xr:uid="{00000000-0005-0000-0000-00004D170000}"/>
    <cellStyle name="20% - Accent4 69 3" xfId="10881" xr:uid="{00000000-0005-0000-0000-00004E170000}"/>
    <cellStyle name="20% - Accent4 69 3 2" xfId="22169" xr:uid="{00000000-0005-0000-0000-00004F170000}"/>
    <cellStyle name="20% - Accent4 69 4" xfId="8887" xr:uid="{00000000-0005-0000-0000-000050170000}"/>
    <cellStyle name="20% - Accent4 69 4 2" xfId="20175" xr:uid="{00000000-0005-0000-0000-000051170000}"/>
    <cellStyle name="20% - Accent4 69 5" xfId="6893" xr:uid="{00000000-0005-0000-0000-000052170000}"/>
    <cellStyle name="20% - Accent4 69 5 2" xfId="18181" xr:uid="{00000000-0005-0000-0000-000053170000}"/>
    <cellStyle name="20% - Accent4 69 6" xfId="4899" xr:uid="{00000000-0005-0000-0000-000054170000}"/>
    <cellStyle name="20% - Accent4 69 6 2" xfId="16187" xr:uid="{00000000-0005-0000-0000-000055170000}"/>
    <cellStyle name="20% - Accent4 69 7" xfId="14193" xr:uid="{00000000-0005-0000-0000-000056170000}"/>
    <cellStyle name="20% - Accent4 69 8" xfId="12879" xr:uid="{00000000-0005-0000-0000-000057170000}"/>
    <cellStyle name="20% - Accent4 7" xfId="944" xr:uid="{00000000-0005-0000-0000-000058170000}"/>
    <cellStyle name="20% - Accent4 7 10" xfId="24582" xr:uid="{00000000-0005-0000-0000-000059170000}"/>
    <cellStyle name="20% - Accent4 7 11" xfId="24972" xr:uid="{00000000-0005-0000-0000-00005A170000}"/>
    <cellStyle name="20% - Accent4 7 2" xfId="3900" xr:uid="{00000000-0005-0000-0000-00005B170000}"/>
    <cellStyle name="20% - Accent4 7 2 2" xfId="11879" xr:uid="{00000000-0005-0000-0000-00005C170000}"/>
    <cellStyle name="20% - Accent4 7 2 2 2" xfId="23167" xr:uid="{00000000-0005-0000-0000-00005D170000}"/>
    <cellStyle name="20% - Accent4 7 2 3" xfId="9885" xr:uid="{00000000-0005-0000-0000-00005E170000}"/>
    <cellStyle name="20% - Accent4 7 2 3 2" xfId="21173" xr:uid="{00000000-0005-0000-0000-00005F170000}"/>
    <cellStyle name="20% - Accent4 7 2 4" xfId="7891" xr:uid="{00000000-0005-0000-0000-000060170000}"/>
    <cellStyle name="20% - Accent4 7 2 4 2" xfId="19179" xr:uid="{00000000-0005-0000-0000-000061170000}"/>
    <cellStyle name="20% - Accent4 7 2 5" xfId="5897" xr:uid="{00000000-0005-0000-0000-000062170000}"/>
    <cellStyle name="20% - Accent4 7 2 5 2" xfId="17185" xr:uid="{00000000-0005-0000-0000-000063170000}"/>
    <cellStyle name="20% - Accent4 7 2 6" xfId="15191" xr:uid="{00000000-0005-0000-0000-000064170000}"/>
    <cellStyle name="20% - Accent4 7 2 7" xfId="24343" xr:uid="{00000000-0005-0000-0000-000065170000}"/>
    <cellStyle name="20% - Accent4 7 2 8" xfId="24807" xr:uid="{00000000-0005-0000-0000-000066170000}"/>
    <cellStyle name="20% - Accent4 7 2 9" xfId="25174" xr:uid="{00000000-0005-0000-0000-000067170000}"/>
    <cellStyle name="20% - Accent4 7 3" xfId="10882" xr:uid="{00000000-0005-0000-0000-000068170000}"/>
    <cellStyle name="20% - Accent4 7 3 2" xfId="22170" xr:uid="{00000000-0005-0000-0000-000069170000}"/>
    <cellStyle name="20% - Accent4 7 4" xfId="8888" xr:uid="{00000000-0005-0000-0000-00006A170000}"/>
    <cellStyle name="20% - Accent4 7 4 2" xfId="20176" xr:uid="{00000000-0005-0000-0000-00006B170000}"/>
    <cellStyle name="20% - Accent4 7 5" xfId="6894" xr:uid="{00000000-0005-0000-0000-00006C170000}"/>
    <cellStyle name="20% - Accent4 7 5 2" xfId="18182" xr:uid="{00000000-0005-0000-0000-00006D170000}"/>
    <cellStyle name="20% - Accent4 7 6" xfId="4900" xr:uid="{00000000-0005-0000-0000-00006E170000}"/>
    <cellStyle name="20% - Accent4 7 6 2" xfId="16188" xr:uid="{00000000-0005-0000-0000-00006F170000}"/>
    <cellStyle name="20% - Accent4 7 7" xfId="14194" xr:uid="{00000000-0005-0000-0000-000070170000}"/>
    <cellStyle name="20% - Accent4 7 8" xfId="12880" xr:uid="{00000000-0005-0000-0000-000071170000}"/>
    <cellStyle name="20% - Accent4 7 9" xfId="23955" xr:uid="{00000000-0005-0000-0000-000072170000}"/>
    <cellStyle name="20% - Accent4 70" xfId="945" xr:uid="{00000000-0005-0000-0000-000073170000}"/>
    <cellStyle name="20% - Accent4 70 2" xfId="3901" xr:uid="{00000000-0005-0000-0000-000074170000}"/>
    <cellStyle name="20% - Accent4 70 2 2" xfId="11880" xr:uid="{00000000-0005-0000-0000-000075170000}"/>
    <cellStyle name="20% - Accent4 70 2 2 2" xfId="23168" xr:uid="{00000000-0005-0000-0000-000076170000}"/>
    <cellStyle name="20% - Accent4 70 2 3" xfId="9886" xr:uid="{00000000-0005-0000-0000-000077170000}"/>
    <cellStyle name="20% - Accent4 70 2 3 2" xfId="21174" xr:uid="{00000000-0005-0000-0000-000078170000}"/>
    <cellStyle name="20% - Accent4 70 2 4" xfId="7892" xr:uid="{00000000-0005-0000-0000-000079170000}"/>
    <cellStyle name="20% - Accent4 70 2 4 2" xfId="19180" xr:uid="{00000000-0005-0000-0000-00007A170000}"/>
    <cellStyle name="20% - Accent4 70 2 5" xfId="5898" xr:uid="{00000000-0005-0000-0000-00007B170000}"/>
    <cellStyle name="20% - Accent4 70 2 5 2" xfId="17186" xr:uid="{00000000-0005-0000-0000-00007C170000}"/>
    <cellStyle name="20% - Accent4 70 2 6" xfId="15192" xr:uid="{00000000-0005-0000-0000-00007D170000}"/>
    <cellStyle name="20% - Accent4 70 3" xfId="10883" xr:uid="{00000000-0005-0000-0000-00007E170000}"/>
    <cellStyle name="20% - Accent4 70 3 2" xfId="22171" xr:uid="{00000000-0005-0000-0000-00007F170000}"/>
    <cellStyle name="20% - Accent4 70 4" xfId="8889" xr:uid="{00000000-0005-0000-0000-000080170000}"/>
    <cellStyle name="20% - Accent4 70 4 2" xfId="20177" xr:uid="{00000000-0005-0000-0000-000081170000}"/>
    <cellStyle name="20% - Accent4 70 5" xfId="6895" xr:uid="{00000000-0005-0000-0000-000082170000}"/>
    <cellStyle name="20% - Accent4 70 5 2" xfId="18183" xr:uid="{00000000-0005-0000-0000-000083170000}"/>
    <cellStyle name="20% - Accent4 70 6" xfId="4901" xr:uid="{00000000-0005-0000-0000-000084170000}"/>
    <cellStyle name="20% - Accent4 70 6 2" xfId="16189" xr:uid="{00000000-0005-0000-0000-000085170000}"/>
    <cellStyle name="20% - Accent4 70 7" xfId="14195" xr:uid="{00000000-0005-0000-0000-000086170000}"/>
    <cellStyle name="20% - Accent4 70 8" xfId="12881" xr:uid="{00000000-0005-0000-0000-000087170000}"/>
    <cellStyle name="20% - Accent4 71" xfId="946" xr:uid="{00000000-0005-0000-0000-000088170000}"/>
    <cellStyle name="20% - Accent4 71 2" xfId="3902" xr:uid="{00000000-0005-0000-0000-000089170000}"/>
    <cellStyle name="20% - Accent4 71 2 2" xfId="11881" xr:uid="{00000000-0005-0000-0000-00008A170000}"/>
    <cellStyle name="20% - Accent4 71 2 2 2" xfId="23169" xr:uid="{00000000-0005-0000-0000-00008B170000}"/>
    <cellStyle name="20% - Accent4 71 2 3" xfId="9887" xr:uid="{00000000-0005-0000-0000-00008C170000}"/>
    <cellStyle name="20% - Accent4 71 2 3 2" xfId="21175" xr:uid="{00000000-0005-0000-0000-00008D170000}"/>
    <cellStyle name="20% - Accent4 71 2 4" xfId="7893" xr:uid="{00000000-0005-0000-0000-00008E170000}"/>
    <cellStyle name="20% - Accent4 71 2 4 2" xfId="19181" xr:uid="{00000000-0005-0000-0000-00008F170000}"/>
    <cellStyle name="20% - Accent4 71 2 5" xfId="5899" xr:uid="{00000000-0005-0000-0000-000090170000}"/>
    <cellStyle name="20% - Accent4 71 2 5 2" xfId="17187" xr:uid="{00000000-0005-0000-0000-000091170000}"/>
    <cellStyle name="20% - Accent4 71 2 6" xfId="15193" xr:uid="{00000000-0005-0000-0000-000092170000}"/>
    <cellStyle name="20% - Accent4 71 3" xfId="10884" xr:uid="{00000000-0005-0000-0000-000093170000}"/>
    <cellStyle name="20% - Accent4 71 3 2" xfId="22172" xr:uid="{00000000-0005-0000-0000-000094170000}"/>
    <cellStyle name="20% - Accent4 71 4" xfId="8890" xr:uid="{00000000-0005-0000-0000-000095170000}"/>
    <cellStyle name="20% - Accent4 71 4 2" xfId="20178" xr:uid="{00000000-0005-0000-0000-000096170000}"/>
    <cellStyle name="20% - Accent4 71 5" xfId="6896" xr:uid="{00000000-0005-0000-0000-000097170000}"/>
    <cellStyle name="20% - Accent4 71 5 2" xfId="18184" xr:uid="{00000000-0005-0000-0000-000098170000}"/>
    <cellStyle name="20% - Accent4 71 6" xfId="4902" xr:uid="{00000000-0005-0000-0000-000099170000}"/>
    <cellStyle name="20% - Accent4 71 6 2" xfId="16190" xr:uid="{00000000-0005-0000-0000-00009A170000}"/>
    <cellStyle name="20% - Accent4 71 7" xfId="14196" xr:uid="{00000000-0005-0000-0000-00009B170000}"/>
    <cellStyle name="20% - Accent4 71 8" xfId="12882" xr:uid="{00000000-0005-0000-0000-00009C170000}"/>
    <cellStyle name="20% - Accent4 72" xfId="947" xr:uid="{00000000-0005-0000-0000-00009D170000}"/>
    <cellStyle name="20% - Accent4 72 2" xfId="3903" xr:uid="{00000000-0005-0000-0000-00009E170000}"/>
    <cellStyle name="20% - Accent4 72 2 2" xfId="11882" xr:uid="{00000000-0005-0000-0000-00009F170000}"/>
    <cellStyle name="20% - Accent4 72 2 2 2" xfId="23170" xr:uid="{00000000-0005-0000-0000-0000A0170000}"/>
    <cellStyle name="20% - Accent4 72 2 3" xfId="9888" xr:uid="{00000000-0005-0000-0000-0000A1170000}"/>
    <cellStyle name="20% - Accent4 72 2 3 2" xfId="21176" xr:uid="{00000000-0005-0000-0000-0000A2170000}"/>
    <cellStyle name="20% - Accent4 72 2 4" xfId="7894" xr:uid="{00000000-0005-0000-0000-0000A3170000}"/>
    <cellStyle name="20% - Accent4 72 2 4 2" xfId="19182" xr:uid="{00000000-0005-0000-0000-0000A4170000}"/>
    <cellStyle name="20% - Accent4 72 2 5" xfId="5900" xr:uid="{00000000-0005-0000-0000-0000A5170000}"/>
    <cellStyle name="20% - Accent4 72 2 5 2" xfId="17188" xr:uid="{00000000-0005-0000-0000-0000A6170000}"/>
    <cellStyle name="20% - Accent4 72 2 6" xfId="15194" xr:uid="{00000000-0005-0000-0000-0000A7170000}"/>
    <cellStyle name="20% - Accent4 72 3" xfId="10885" xr:uid="{00000000-0005-0000-0000-0000A8170000}"/>
    <cellStyle name="20% - Accent4 72 3 2" xfId="22173" xr:uid="{00000000-0005-0000-0000-0000A9170000}"/>
    <cellStyle name="20% - Accent4 72 4" xfId="8891" xr:uid="{00000000-0005-0000-0000-0000AA170000}"/>
    <cellStyle name="20% - Accent4 72 4 2" xfId="20179" xr:uid="{00000000-0005-0000-0000-0000AB170000}"/>
    <cellStyle name="20% - Accent4 72 5" xfId="6897" xr:uid="{00000000-0005-0000-0000-0000AC170000}"/>
    <cellStyle name="20% - Accent4 72 5 2" xfId="18185" xr:uid="{00000000-0005-0000-0000-0000AD170000}"/>
    <cellStyle name="20% - Accent4 72 6" xfId="4903" xr:uid="{00000000-0005-0000-0000-0000AE170000}"/>
    <cellStyle name="20% - Accent4 72 6 2" xfId="16191" xr:uid="{00000000-0005-0000-0000-0000AF170000}"/>
    <cellStyle name="20% - Accent4 72 7" xfId="14197" xr:uid="{00000000-0005-0000-0000-0000B0170000}"/>
    <cellStyle name="20% - Accent4 72 8" xfId="12883" xr:uid="{00000000-0005-0000-0000-0000B1170000}"/>
    <cellStyle name="20% - Accent4 8" xfId="948" xr:uid="{00000000-0005-0000-0000-0000B2170000}"/>
    <cellStyle name="20% - Accent4 8 2" xfId="3904" xr:uid="{00000000-0005-0000-0000-0000B3170000}"/>
    <cellStyle name="20% - Accent4 8 2 2" xfId="11883" xr:uid="{00000000-0005-0000-0000-0000B4170000}"/>
    <cellStyle name="20% - Accent4 8 2 2 2" xfId="23171" xr:uid="{00000000-0005-0000-0000-0000B5170000}"/>
    <cellStyle name="20% - Accent4 8 2 3" xfId="9889" xr:uid="{00000000-0005-0000-0000-0000B6170000}"/>
    <cellStyle name="20% - Accent4 8 2 3 2" xfId="21177" xr:uid="{00000000-0005-0000-0000-0000B7170000}"/>
    <cellStyle name="20% - Accent4 8 2 4" xfId="7895" xr:uid="{00000000-0005-0000-0000-0000B8170000}"/>
    <cellStyle name="20% - Accent4 8 2 4 2" xfId="19183" xr:uid="{00000000-0005-0000-0000-0000B9170000}"/>
    <cellStyle name="20% - Accent4 8 2 5" xfId="5901" xr:uid="{00000000-0005-0000-0000-0000BA170000}"/>
    <cellStyle name="20% - Accent4 8 2 5 2" xfId="17189" xr:uid="{00000000-0005-0000-0000-0000BB170000}"/>
    <cellStyle name="20% - Accent4 8 2 6" xfId="15195" xr:uid="{00000000-0005-0000-0000-0000BC170000}"/>
    <cellStyle name="20% - Accent4 8 3" xfId="10886" xr:uid="{00000000-0005-0000-0000-0000BD170000}"/>
    <cellStyle name="20% - Accent4 8 3 2" xfId="22174" xr:uid="{00000000-0005-0000-0000-0000BE170000}"/>
    <cellStyle name="20% - Accent4 8 4" xfId="8892" xr:uid="{00000000-0005-0000-0000-0000BF170000}"/>
    <cellStyle name="20% - Accent4 8 4 2" xfId="20180" xr:uid="{00000000-0005-0000-0000-0000C0170000}"/>
    <cellStyle name="20% - Accent4 8 5" xfId="6898" xr:uid="{00000000-0005-0000-0000-0000C1170000}"/>
    <cellStyle name="20% - Accent4 8 5 2" xfId="18186" xr:uid="{00000000-0005-0000-0000-0000C2170000}"/>
    <cellStyle name="20% - Accent4 8 6" xfId="4904" xr:uid="{00000000-0005-0000-0000-0000C3170000}"/>
    <cellStyle name="20% - Accent4 8 6 2" xfId="16192" xr:uid="{00000000-0005-0000-0000-0000C4170000}"/>
    <cellStyle name="20% - Accent4 8 7" xfId="14198" xr:uid="{00000000-0005-0000-0000-0000C5170000}"/>
    <cellStyle name="20% - Accent4 8 8" xfId="12884" xr:uid="{00000000-0005-0000-0000-0000C6170000}"/>
    <cellStyle name="20% - Accent4 9" xfId="949" xr:uid="{00000000-0005-0000-0000-0000C7170000}"/>
    <cellStyle name="20% - Accent4 9 2" xfId="3905" xr:uid="{00000000-0005-0000-0000-0000C8170000}"/>
    <cellStyle name="20% - Accent4 9 2 2" xfId="11884" xr:uid="{00000000-0005-0000-0000-0000C9170000}"/>
    <cellStyle name="20% - Accent4 9 2 2 2" xfId="23172" xr:uid="{00000000-0005-0000-0000-0000CA170000}"/>
    <cellStyle name="20% - Accent4 9 2 3" xfId="9890" xr:uid="{00000000-0005-0000-0000-0000CB170000}"/>
    <cellStyle name="20% - Accent4 9 2 3 2" xfId="21178" xr:uid="{00000000-0005-0000-0000-0000CC170000}"/>
    <cellStyle name="20% - Accent4 9 2 4" xfId="7896" xr:uid="{00000000-0005-0000-0000-0000CD170000}"/>
    <cellStyle name="20% - Accent4 9 2 4 2" xfId="19184" xr:uid="{00000000-0005-0000-0000-0000CE170000}"/>
    <cellStyle name="20% - Accent4 9 2 5" xfId="5902" xr:uid="{00000000-0005-0000-0000-0000CF170000}"/>
    <cellStyle name="20% - Accent4 9 2 5 2" xfId="17190" xr:uid="{00000000-0005-0000-0000-0000D0170000}"/>
    <cellStyle name="20% - Accent4 9 2 6" xfId="15196" xr:uid="{00000000-0005-0000-0000-0000D1170000}"/>
    <cellStyle name="20% - Accent4 9 3" xfId="10887" xr:uid="{00000000-0005-0000-0000-0000D2170000}"/>
    <cellStyle name="20% - Accent4 9 3 2" xfId="22175" xr:uid="{00000000-0005-0000-0000-0000D3170000}"/>
    <cellStyle name="20% - Accent4 9 4" xfId="8893" xr:uid="{00000000-0005-0000-0000-0000D4170000}"/>
    <cellStyle name="20% - Accent4 9 4 2" xfId="20181" xr:uid="{00000000-0005-0000-0000-0000D5170000}"/>
    <cellStyle name="20% - Accent4 9 5" xfId="6899" xr:uid="{00000000-0005-0000-0000-0000D6170000}"/>
    <cellStyle name="20% - Accent4 9 5 2" xfId="18187" xr:uid="{00000000-0005-0000-0000-0000D7170000}"/>
    <cellStyle name="20% - Accent4 9 6" xfId="4905" xr:uid="{00000000-0005-0000-0000-0000D8170000}"/>
    <cellStyle name="20% - Accent4 9 6 2" xfId="16193" xr:uid="{00000000-0005-0000-0000-0000D9170000}"/>
    <cellStyle name="20% - Accent4 9 7" xfId="14199" xr:uid="{00000000-0005-0000-0000-0000DA170000}"/>
    <cellStyle name="20% - Accent4 9 8" xfId="12885" xr:uid="{00000000-0005-0000-0000-0000DB170000}"/>
    <cellStyle name="20% - Accent5 10" xfId="950" xr:uid="{00000000-0005-0000-0000-0000DC170000}"/>
    <cellStyle name="20% - Accent5 10 2" xfId="3906" xr:uid="{00000000-0005-0000-0000-0000DD170000}"/>
    <cellStyle name="20% - Accent5 10 2 2" xfId="11885" xr:uid="{00000000-0005-0000-0000-0000DE170000}"/>
    <cellStyle name="20% - Accent5 10 2 2 2" xfId="23173" xr:uid="{00000000-0005-0000-0000-0000DF170000}"/>
    <cellStyle name="20% - Accent5 10 2 3" xfId="9891" xr:uid="{00000000-0005-0000-0000-0000E0170000}"/>
    <cellStyle name="20% - Accent5 10 2 3 2" xfId="21179" xr:uid="{00000000-0005-0000-0000-0000E1170000}"/>
    <cellStyle name="20% - Accent5 10 2 4" xfId="7897" xr:uid="{00000000-0005-0000-0000-0000E2170000}"/>
    <cellStyle name="20% - Accent5 10 2 4 2" xfId="19185" xr:uid="{00000000-0005-0000-0000-0000E3170000}"/>
    <cellStyle name="20% - Accent5 10 2 5" xfId="5903" xr:uid="{00000000-0005-0000-0000-0000E4170000}"/>
    <cellStyle name="20% - Accent5 10 2 5 2" xfId="17191" xr:uid="{00000000-0005-0000-0000-0000E5170000}"/>
    <cellStyle name="20% - Accent5 10 2 6" xfId="15197" xr:uid="{00000000-0005-0000-0000-0000E6170000}"/>
    <cellStyle name="20% - Accent5 10 3" xfId="10888" xr:uid="{00000000-0005-0000-0000-0000E7170000}"/>
    <cellStyle name="20% - Accent5 10 3 2" xfId="22176" xr:uid="{00000000-0005-0000-0000-0000E8170000}"/>
    <cellStyle name="20% - Accent5 10 4" xfId="8894" xr:uid="{00000000-0005-0000-0000-0000E9170000}"/>
    <cellStyle name="20% - Accent5 10 4 2" xfId="20182" xr:uid="{00000000-0005-0000-0000-0000EA170000}"/>
    <cellStyle name="20% - Accent5 10 5" xfId="6900" xr:uid="{00000000-0005-0000-0000-0000EB170000}"/>
    <cellStyle name="20% - Accent5 10 5 2" xfId="18188" xr:uid="{00000000-0005-0000-0000-0000EC170000}"/>
    <cellStyle name="20% - Accent5 10 6" xfId="4906" xr:uid="{00000000-0005-0000-0000-0000ED170000}"/>
    <cellStyle name="20% - Accent5 10 6 2" xfId="16194" xr:uid="{00000000-0005-0000-0000-0000EE170000}"/>
    <cellStyle name="20% - Accent5 10 7" xfId="14200" xr:uid="{00000000-0005-0000-0000-0000EF170000}"/>
    <cellStyle name="20% - Accent5 10 8" xfId="12886" xr:uid="{00000000-0005-0000-0000-0000F0170000}"/>
    <cellStyle name="20% - Accent5 11" xfId="951" xr:uid="{00000000-0005-0000-0000-0000F1170000}"/>
    <cellStyle name="20% - Accent5 11 2" xfId="3907" xr:uid="{00000000-0005-0000-0000-0000F2170000}"/>
    <cellStyle name="20% - Accent5 11 2 2" xfId="11886" xr:uid="{00000000-0005-0000-0000-0000F3170000}"/>
    <cellStyle name="20% - Accent5 11 2 2 2" xfId="23174" xr:uid="{00000000-0005-0000-0000-0000F4170000}"/>
    <cellStyle name="20% - Accent5 11 2 3" xfId="9892" xr:uid="{00000000-0005-0000-0000-0000F5170000}"/>
    <cellStyle name="20% - Accent5 11 2 3 2" xfId="21180" xr:uid="{00000000-0005-0000-0000-0000F6170000}"/>
    <cellStyle name="20% - Accent5 11 2 4" xfId="7898" xr:uid="{00000000-0005-0000-0000-0000F7170000}"/>
    <cellStyle name="20% - Accent5 11 2 4 2" xfId="19186" xr:uid="{00000000-0005-0000-0000-0000F8170000}"/>
    <cellStyle name="20% - Accent5 11 2 5" xfId="5904" xr:uid="{00000000-0005-0000-0000-0000F9170000}"/>
    <cellStyle name="20% - Accent5 11 2 5 2" xfId="17192" xr:uid="{00000000-0005-0000-0000-0000FA170000}"/>
    <cellStyle name="20% - Accent5 11 2 6" xfId="15198" xr:uid="{00000000-0005-0000-0000-0000FB170000}"/>
    <cellStyle name="20% - Accent5 11 3" xfId="10889" xr:uid="{00000000-0005-0000-0000-0000FC170000}"/>
    <cellStyle name="20% - Accent5 11 3 2" xfId="22177" xr:uid="{00000000-0005-0000-0000-0000FD170000}"/>
    <cellStyle name="20% - Accent5 11 4" xfId="8895" xr:uid="{00000000-0005-0000-0000-0000FE170000}"/>
    <cellStyle name="20% - Accent5 11 4 2" xfId="20183" xr:uid="{00000000-0005-0000-0000-0000FF170000}"/>
    <cellStyle name="20% - Accent5 11 5" xfId="6901" xr:uid="{00000000-0005-0000-0000-000000180000}"/>
    <cellStyle name="20% - Accent5 11 5 2" xfId="18189" xr:uid="{00000000-0005-0000-0000-000001180000}"/>
    <cellStyle name="20% - Accent5 11 6" xfId="4907" xr:uid="{00000000-0005-0000-0000-000002180000}"/>
    <cellStyle name="20% - Accent5 11 6 2" xfId="16195" xr:uid="{00000000-0005-0000-0000-000003180000}"/>
    <cellStyle name="20% - Accent5 11 7" xfId="14201" xr:uid="{00000000-0005-0000-0000-000004180000}"/>
    <cellStyle name="20% - Accent5 11 8" xfId="12887" xr:uid="{00000000-0005-0000-0000-000005180000}"/>
    <cellStyle name="20% - Accent5 12" xfId="952" xr:uid="{00000000-0005-0000-0000-000006180000}"/>
    <cellStyle name="20% - Accent5 12 2" xfId="3908" xr:uid="{00000000-0005-0000-0000-000007180000}"/>
    <cellStyle name="20% - Accent5 12 2 2" xfId="11887" xr:uid="{00000000-0005-0000-0000-000008180000}"/>
    <cellStyle name="20% - Accent5 12 2 2 2" xfId="23175" xr:uid="{00000000-0005-0000-0000-000009180000}"/>
    <cellStyle name="20% - Accent5 12 2 3" xfId="9893" xr:uid="{00000000-0005-0000-0000-00000A180000}"/>
    <cellStyle name="20% - Accent5 12 2 3 2" xfId="21181" xr:uid="{00000000-0005-0000-0000-00000B180000}"/>
    <cellStyle name="20% - Accent5 12 2 4" xfId="7899" xr:uid="{00000000-0005-0000-0000-00000C180000}"/>
    <cellStyle name="20% - Accent5 12 2 4 2" xfId="19187" xr:uid="{00000000-0005-0000-0000-00000D180000}"/>
    <cellStyle name="20% - Accent5 12 2 5" xfId="5905" xr:uid="{00000000-0005-0000-0000-00000E180000}"/>
    <cellStyle name="20% - Accent5 12 2 5 2" xfId="17193" xr:uid="{00000000-0005-0000-0000-00000F180000}"/>
    <cellStyle name="20% - Accent5 12 2 6" xfId="15199" xr:uid="{00000000-0005-0000-0000-000010180000}"/>
    <cellStyle name="20% - Accent5 12 3" xfId="10890" xr:uid="{00000000-0005-0000-0000-000011180000}"/>
    <cellStyle name="20% - Accent5 12 3 2" xfId="22178" xr:uid="{00000000-0005-0000-0000-000012180000}"/>
    <cellStyle name="20% - Accent5 12 4" xfId="8896" xr:uid="{00000000-0005-0000-0000-000013180000}"/>
    <cellStyle name="20% - Accent5 12 4 2" xfId="20184" xr:uid="{00000000-0005-0000-0000-000014180000}"/>
    <cellStyle name="20% - Accent5 12 5" xfId="6902" xr:uid="{00000000-0005-0000-0000-000015180000}"/>
    <cellStyle name="20% - Accent5 12 5 2" xfId="18190" xr:uid="{00000000-0005-0000-0000-000016180000}"/>
    <cellStyle name="20% - Accent5 12 6" xfId="4908" xr:uid="{00000000-0005-0000-0000-000017180000}"/>
    <cellStyle name="20% - Accent5 12 6 2" xfId="16196" xr:uid="{00000000-0005-0000-0000-000018180000}"/>
    <cellStyle name="20% - Accent5 12 7" xfId="14202" xr:uid="{00000000-0005-0000-0000-000019180000}"/>
    <cellStyle name="20% - Accent5 12 8" xfId="12888" xr:uid="{00000000-0005-0000-0000-00001A180000}"/>
    <cellStyle name="20% - Accent5 13" xfId="953" xr:uid="{00000000-0005-0000-0000-00001B180000}"/>
    <cellStyle name="20% - Accent5 13 2" xfId="3909" xr:uid="{00000000-0005-0000-0000-00001C180000}"/>
    <cellStyle name="20% - Accent5 13 2 2" xfId="11888" xr:uid="{00000000-0005-0000-0000-00001D180000}"/>
    <cellStyle name="20% - Accent5 13 2 2 2" xfId="23176" xr:uid="{00000000-0005-0000-0000-00001E180000}"/>
    <cellStyle name="20% - Accent5 13 2 3" xfId="9894" xr:uid="{00000000-0005-0000-0000-00001F180000}"/>
    <cellStyle name="20% - Accent5 13 2 3 2" xfId="21182" xr:uid="{00000000-0005-0000-0000-000020180000}"/>
    <cellStyle name="20% - Accent5 13 2 4" xfId="7900" xr:uid="{00000000-0005-0000-0000-000021180000}"/>
    <cellStyle name="20% - Accent5 13 2 4 2" xfId="19188" xr:uid="{00000000-0005-0000-0000-000022180000}"/>
    <cellStyle name="20% - Accent5 13 2 5" xfId="5906" xr:uid="{00000000-0005-0000-0000-000023180000}"/>
    <cellStyle name="20% - Accent5 13 2 5 2" xfId="17194" xr:uid="{00000000-0005-0000-0000-000024180000}"/>
    <cellStyle name="20% - Accent5 13 2 6" xfId="15200" xr:uid="{00000000-0005-0000-0000-000025180000}"/>
    <cellStyle name="20% - Accent5 13 3" xfId="10891" xr:uid="{00000000-0005-0000-0000-000026180000}"/>
    <cellStyle name="20% - Accent5 13 3 2" xfId="22179" xr:uid="{00000000-0005-0000-0000-000027180000}"/>
    <cellStyle name="20% - Accent5 13 4" xfId="8897" xr:uid="{00000000-0005-0000-0000-000028180000}"/>
    <cellStyle name="20% - Accent5 13 4 2" xfId="20185" xr:uid="{00000000-0005-0000-0000-000029180000}"/>
    <cellStyle name="20% - Accent5 13 5" xfId="6903" xr:uid="{00000000-0005-0000-0000-00002A180000}"/>
    <cellStyle name="20% - Accent5 13 5 2" xfId="18191" xr:uid="{00000000-0005-0000-0000-00002B180000}"/>
    <cellStyle name="20% - Accent5 13 6" xfId="4909" xr:uid="{00000000-0005-0000-0000-00002C180000}"/>
    <cellStyle name="20% - Accent5 13 6 2" xfId="16197" xr:uid="{00000000-0005-0000-0000-00002D180000}"/>
    <cellStyle name="20% - Accent5 13 7" xfId="14203" xr:uid="{00000000-0005-0000-0000-00002E180000}"/>
    <cellStyle name="20% - Accent5 13 8" xfId="12889" xr:uid="{00000000-0005-0000-0000-00002F180000}"/>
    <cellStyle name="20% - Accent5 14" xfId="954" xr:uid="{00000000-0005-0000-0000-000030180000}"/>
    <cellStyle name="20% - Accent5 14 2" xfId="3910" xr:uid="{00000000-0005-0000-0000-000031180000}"/>
    <cellStyle name="20% - Accent5 14 2 2" xfId="11889" xr:uid="{00000000-0005-0000-0000-000032180000}"/>
    <cellStyle name="20% - Accent5 14 2 2 2" xfId="23177" xr:uid="{00000000-0005-0000-0000-000033180000}"/>
    <cellStyle name="20% - Accent5 14 2 3" xfId="9895" xr:uid="{00000000-0005-0000-0000-000034180000}"/>
    <cellStyle name="20% - Accent5 14 2 3 2" xfId="21183" xr:uid="{00000000-0005-0000-0000-000035180000}"/>
    <cellStyle name="20% - Accent5 14 2 4" xfId="7901" xr:uid="{00000000-0005-0000-0000-000036180000}"/>
    <cellStyle name="20% - Accent5 14 2 4 2" xfId="19189" xr:uid="{00000000-0005-0000-0000-000037180000}"/>
    <cellStyle name="20% - Accent5 14 2 5" xfId="5907" xr:uid="{00000000-0005-0000-0000-000038180000}"/>
    <cellStyle name="20% - Accent5 14 2 5 2" xfId="17195" xr:uid="{00000000-0005-0000-0000-000039180000}"/>
    <cellStyle name="20% - Accent5 14 2 6" xfId="15201" xr:uid="{00000000-0005-0000-0000-00003A180000}"/>
    <cellStyle name="20% - Accent5 14 3" xfId="10892" xr:uid="{00000000-0005-0000-0000-00003B180000}"/>
    <cellStyle name="20% - Accent5 14 3 2" xfId="22180" xr:uid="{00000000-0005-0000-0000-00003C180000}"/>
    <cellStyle name="20% - Accent5 14 4" xfId="8898" xr:uid="{00000000-0005-0000-0000-00003D180000}"/>
    <cellStyle name="20% - Accent5 14 4 2" xfId="20186" xr:uid="{00000000-0005-0000-0000-00003E180000}"/>
    <cellStyle name="20% - Accent5 14 5" xfId="6904" xr:uid="{00000000-0005-0000-0000-00003F180000}"/>
    <cellStyle name="20% - Accent5 14 5 2" xfId="18192" xr:uid="{00000000-0005-0000-0000-000040180000}"/>
    <cellStyle name="20% - Accent5 14 6" xfId="4910" xr:uid="{00000000-0005-0000-0000-000041180000}"/>
    <cellStyle name="20% - Accent5 14 6 2" xfId="16198" xr:uid="{00000000-0005-0000-0000-000042180000}"/>
    <cellStyle name="20% - Accent5 14 7" xfId="14204" xr:uid="{00000000-0005-0000-0000-000043180000}"/>
    <cellStyle name="20% - Accent5 14 8" xfId="12890" xr:uid="{00000000-0005-0000-0000-000044180000}"/>
    <cellStyle name="20% - Accent5 15" xfId="955" xr:uid="{00000000-0005-0000-0000-000045180000}"/>
    <cellStyle name="20% - Accent5 15 2" xfId="3911" xr:uid="{00000000-0005-0000-0000-000046180000}"/>
    <cellStyle name="20% - Accent5 15 2 2" xfId="11890" xr:uid="{00000000-0005-0000-0000-000047180000}"/>
    <cellStyle name="20% - Accent5 15 2 2 2" xfId="23178" xr:uid="{00000000-0005-0000-0000-000048180000}"/>
    <cellStyle name="20% - Accent5 15 2 3" xfId="9896" xr:uid="{00000000-0005-0000-0000-000049180000}"/>
    <cellStyle name="20% - Accent5 15 2 3 2" xfId="21184" xr:uid="{00000000-0005-0000-0000-00004A180000}"/>
    <cellStyle name="20% - Accent5 15 2 4" xfId="7902" xr:uid="{00000000-0005-0000-0000-00004B180000}"/>
    <cellStyle name="20% - Accent5 15 2 4 2" xfId="19190" xr:uid="{00000000-0005-0000-0000-00004C180000}"/>
    <cellStyle name="20% - Accent5 15 2 5" xfId="5908" xr:uid="{00000000-0005-0000-0000-00004D180000}"/>
    <cellStyle name="20% - Accent5 15 2 5 2" xfId="17196" xr:uid="{00000000-0005-0000-0000-00004E180000}"/>
    <cellStyle name="20% - Accent5 15 2 6" xfId="15202" xr:uid="{00000000-0005-0000-0000-00004F180000}"/>
    <cellStyle name="20% - Accent5 15 3" xfId="10893" xr:uid="{00000000-0005-0000-0000-000050180000}"/>
    <cellStyle name="20% - Accent5 15 3 2" xfId="22181" xr:uid="{00000000-0005-0000-0000-000051180000}"/>
    <cellStyle name="20% - Accent5 15 4" xfId="8899" xr:uid="{00000000-0005-0000-0000-000052180000}"/>
    <cellStyle name="20% - Accent5 15 4 2" xfId="20187" xr:uid="{00000000-0005-0000-0000-000053180000}"/>
    <cellStyle name="20% - Accent5 15 5" xfId="6905" xr:uid="{00000000-0005-0000-0000-000054180000}"/>
    <cellStyle name="20% - Accent5 15 5 2" xfId="18193" xr:uid="{00000000-0005-0000-0000-000055180000}"/>
    <cellStyle name="20% - Accent5 15 6" xfId="4911" xr:uid="{00000000-0005-0000-0000-000056180000}"/>
    <cellStyle name="20% - Accent5 15 6 2" xfId="16199" xr:uid="{00000000-0005-0000-0000-000057180000}"/>
    <cellStyle name="20% - Accent5 15 7" xfId="14205" xr:uid="{00000000-0005-0000-0000-000058180000}"/>
    <cellStyle name="20% - Accent5 15 8" xfId="12891" xr:uid="{00000000-0005-0000-0000-000059180000}"/>
    <cellStyle name="20% - Accent5 16" xfId="956" xr:uid="{00000000-0005-0000-0000-00005A180000}"/>
    <cellStyle name="20% - Accent5 16 2" xfId="3912" xr:uid="{00000000-0005-0000-0000-00005B180000}"/>
    <cellStyle name="20% - Accent5 16 2 2" xfId="11891" xr:uid="{00000000-0005-0000-0000-00005C180000}"/>
    <cellStyle name="20% - Accent5 16 2 2 2" xfId="23179" xr:uid="{00000000-0005-0000-0000-00005D180000}"/>
    <cellStyle name="20% - Accent5 16 2 3" xfId="9897" xr:uid="{00000000-0005-0000-0000-00005E180000}"/>
    <cellStyle name="20% - Accent5 16 2 3 2" xfId="21185" xr:uid="{00000000-0005-0000-0000-00005F180000}"/>
    <cellStyle name="20% - Accent5 16 2 4" xfId="7903" xr:uid="{00000000-0005-0000-0000-000060180000}"/>
    <cellStyle name="20% - Accent5 16 2 4 2" xfId="19191" xr:uid="{00000000-0005-0000-0000-000061180000}"/>
    <cellStyle name="20% - Accent5 16 2 5" xfId="5909" xr:uid="{00000000-0005-0000-0000-000062180000}"/>
    <cellStyle name="20% - Accent5 16 2 5 2" xfId="17197" xr:uid="{00000000-0005-0000-0000-000063180000}"/>
    <cellStyle name="20% - Accent5 16 2 6" xfId="15203" xr:uid="{00000000-0005-0000-0000-000064180000}"/>
    <cellStyle name="20% - Accent5 16 3" xfId="10894" xr:uid="{00000000-0005-0000-0000-000065180000}"/>
    <cellStyle name="20% - Accent5 16 3 2" xfId="22182" xr:uid="{00000000-0005-0000-0000-000066180000}"/>
    <cellStyle name="20% - Accent5 16 4" xfId="8900" xr:uid="{00000000-0005-0000-0000-000067180000}"/>
    <cellStyle name="20% - Accent5 16 4 2" xfId="20188" xr:uid="{00000000-0005-0000-0000-000068180000}"/>
    <cellStyle name="20% - Accent5 16 5" xfId="6906" xr:uid="{00000000-0005-0000-0000-000069180000}"/>
    <cellStyle name="20% - Accent5 16 5 2" xfId="18194" xr:uid="{00000000-0005-0000-0000-00006A180000}"/>
    <cellStyle name="20% - Accent5 16 6" xfId="4912" xr:uid="{00000000-0005-0000-0000-00006B180000}"/>
    <cellStyle name="20% - Accent5 16 6 2" xfId="16200" xr:uid="{00000000-0005-0000-0000-00006C180000}"/>
    <cellStyle name="20% - Accent5 16 7" xfId="14206" xr:uid="{00000000-0005-0000-0000-00006D180000}"/>
    <cellStyle name="20% - Accent5 16 8" xfId="12892" xr:uid="{00000000-0005-0000-0000-00006E180000}"/>
    <cellStyle name="20% - Accent5 17" xfId="957" xr:uid="{00000000-0005-0000-0000-00006F180000}"/>
    <cellStyle name="20% - Accent5 17 2" xfId="3913" xr:uid="{00000000-0005-0000-0000-000070180000}"/>
    <cellStyle name="20% - Accent5 17 2 2" xfId="11892" xr:uid="{00000000-0005-0000-0000-000071180000}"/>
    <cellStyle name="20% - Accent5 17 2 2 2" xfId="23180" xr:uid="{00000000-0005-0000-0000-000072180000}"/>
    <cellStyle name="20% - Accent5 17 2 3" xfId="9898" xr:uid="{00000000-0005-0000-0000-000073180000}"/>
    <cellStyle name="20% - Accent5 17 2 3 2" xfId="21186" xr:uid="{00000000-0005-0000-0000-000074180000}"/>
    <cellStyle name="20% - Accent5 17 2 4" xfId="7904" xr:uid="{00000000-0005-0000-0000-000075180000}"/>
    <cellStyle name="20% - Accent5 17 2 4 2" xfId="19192" xr:uid="{00000000-0005-0000-0000-000076180000}"/>
    <cellStyle name="20% - Accent5 17 2 5" xfId="5910" xr:uid="{00000000-0005-0000-0000-000077180000}"/>
    <cellStyle name="20% - Accent5 17 2 5 2" xfId="17198" xr:uid="{00000000-0005-0000-0000-000078180000}"/>
    <cellStyle name="20% - Accent5 17 2 6" xfId="15204" xr:uid="{00000000-0005-0000-0000-000079180000}"/>
    <cellStyle name="20% - Accent5 17 3" xfId="10895" xr:uid="{00000000-0005-0000-0000-00007A180000}"/>
    <cellStyle name="20% - Accent5 17 3 2" xfId="22183" xr:uid="{00000000-0005-0000-0000-00007B180000}"/>
    <cellStyle name="20% - Accent5 17 4" xfId="8901" xr:uid="{00000000-0005-0000-0000-00007C180000}"/>
    <cellStyle name="20% - Accent5 17 4 2" xfId="20189" xr:uid="{00000000-0005-0000-0000-00007D180000}"/>
    <cellStyle name="20% - Accent5 17 5" xfId="6907" xr:uid="{00000000-0005-0000-0000-00007E180000}"/>
    <cellStyle name="20% - Accent5 17 5 2" xfId="18195" xr:uid="{00000000-0005-0000-0000-00007F180000}"/>
    <cellStyle name="20% - Accent5 17 6" xfId="4913" xr:uid="{00000000-0005-0000-0000-000080180000}"/>
    <cellStyle name="20% - Accent5 17 6 2" xfId="16201" xr:uid="{00000000-0005-0000-0000-000081180000}"/>
    <cellStyle name="20% - Accent5 17 7" xfId="14207" xr:uid="{00000000-0005-0000-0000-000082180000}"/>
    <cellStyle name="20% - Accent5 17 8" xfId="12893" xr:uid="{00000000-0005-0000-0000-000083180000}"/>
    <cellStyle name="20% - Accent5 18" xfId="958" xr:uid="{00000000-0005-0000-0000-000084180000}"/>
    <cellStyle name="20% - Accent5 18 2" xfId="3914" xr:uid="{00000000-0005-0000-0000-000085180000}"/>
    <cellStyle name="20% - Accent5 18 2 2" xfId="11893" xr:uid="{00000000-0005-0000-0000-000086180000}"/>
    <cellStyle name="20% - Accent5 18 2 2 2" xfId="23181" xr:uid="{00000000-0005-0000-0000-000087180000}"/>
    <cellStyle name="20% - Accent5 18 2 3" xfId="9899" xr:uid="{00000000-0005-0000-0000-000088180000}"/>
    <cellStyle name="20% - Accent5 18 2 3 2" xfId="21187" xr:uid="{00000000-0005-0000-0000-000089180000}"/>
    <cellStyle name="20% - Accent5 18 2 4" xfId="7905" xr:uid="{00000000-0005-0000-0000-00008A180000}"/>
    <cellStyle name="20% - Accent5 18 2 4 2" xfId="19193" xr:uid="{00000000-0005-0000-0000-00008B180000}"/>
    <cellStyle name="20% - Accent5 18 2 5" xfId="5911" xr:uid="{00000000-0005-0000-0000-00008C180000}"/>
    <cellStyle name="20% - Accent5 18 2 5 2" xfId="17199" xr:uid="{00000000-0005-0000-0000-00008D180000}"/>
    <cellStyle name="20% - Accent5 18 2 6" xfId="15205" xr:uid="{00000000-0005-0000-0000-00008E180000}"/>
    <cellStyle name="20% - Accent5 18 3" xfId="10896" xr:uid="{00000000-0005-0000-0000-00008F180000}"/>
    <cellStyle name="20% - Accent5 18 3 2" xfId="22184" xr:uid="{00000000-0005-0000-0000-000090180000}"/>
    <cellStyle name="20% - Accent5 18 4" xfId="8902" xr:uid="{00000000-0005-0000-0000-000091180000}"/>
    <cellStyle name="20% - Accent5 18 4 2" xfId="20190" xr:uid="{00000000-0005-0000-0000-000092180000}"/>
    <cellStyle name="20% - Accent5 18 5" xfId="6908" xr:uid="{00000000-0005-0000-0000-000093180000}"/>
    <cellStyle name="20% - Accent5 18 5 2" xfId="18196" xr:uid="{00000000-0005-0000-0000-000094180000}"/>
    <cellStyle name="20% - Accent5 18 6" xfId="4914" xr:uid="{00000000-0005-0000-0000-000095180000}"/>
    <cellStyle name="20% - Accent5 18 6 2" xfId="16202" xr:uid="{00000000-0005-0000-0000-000096180000}"/>
    <cellStyle name="20% - Accent5 18 7" xfId="14208" xr:uid="{00000000-0005-0000-0000-000097180000}"/>
    <cellStyle name="20% - Accent5 18 8" xfId="12894" xr:uid="{00000000-0005-0000-0000-000098180000}"/>
    <cellStyle name="20% - Accent5 19" xfId="959" xr:uid="{00000000-0005-0000-0000-000099180000}"/>
    <cellStyle name="20% - Accent5 19 2" xfId="3915" xr:uid="{00000000-0005-0000-0000-00009A180000}"/>
    <cellStyle name="20% - Accent5 19 2 2" xfId="11894" xr:uid="{00000000-0005-0000-0000-00009B180000}"/>
    <cellStyle name="20% - Accent5 19 2 2 2" xfId="23182" xr:uid="{00000000-0005-0000-0000-00009C180000}"/>
    <cellStyle name="20% - Accent5 19 2 3" xfId="9900" xr:uid="{00000000-0005-0000-0000-00009D180000}"/>
    <cellStyle name="20% - Accent5 19 2 3 2" xfId="21188" xr:uid="{00000000-0005-0000-0000-00009E180000}"/>
    <cellStyle name="20% - Accent5 19 2 4" xfId="7906" xr:uid="{00000000-0005-0000-0000-00009F180000}"/>
    <cellStyle name="20% - Accent5 19 2 4 2" xfId="19194" xr:uid="{00000000-0005-0000-0000-0000A0180000}"/>
    <cellStyle name="20% - Accent5 19 2 5" xfId="5912" xr:uid="{00000000-0005-0000-0000-0000A1180000}"/>
    <cellStyle name="20% - Accent5 19 2 5 2" xfId="17200" xr:uid="{00000000-0005-0000-0000-0000A2180000}"/>
    <cellStyle name="20% - Accent5 19 2 6" xfId="15206" xr:uid="{00000000-0005-0000-0000-0000A3180000}"/>
    <cellStyle name="20% - Accent5 19 3" xfId="10897" xr:uid="{00000000-0005-0000-0000-0000A4180000}"/>
    <cellStyle name="20% - Accent5 19 3 2" xfId="22185" xr:uid="{00000000-0005-0000-0000-0000A5180000}"/>
    <cellStyle name="20% - Accent5 19 4" xfId="8903" xr:uid="{00000000-0005-0000-0000-0000A6180000}"/>
    <cellStyle name="20% - Accent5 19 4 2" xfId="20191" xr:uid="{00000000-0005-0000-0000-0000A7180000}"/>
    <cellStyle name="20% - Accent5 19 5" xfId="6909" xr:uid="{00000000-0005-0000-0000-0000A8180000}"/>
    <cellStyle name="20% - Accent5 19 5 2" xfId="18197" xr:uid="{00000000-0005-0000-0000-0000A9180000}"/>
    <cellStyle name="20% - Accent5 19 6" xfId="4915" xr:uid="{00000000-0005-0000-0000-0000AA180000}"/>
    <cellStyle name="20% - Accent5 19 6 2" xfId="16203" xr:uid="{00000000-0005-0000-0000-0000AB180000}"/>
    <cellStyle name="20% - Accent5 19 7" xfId="14209" xr:uid="{00000000-0005-0000-0000-0000AC180000}"/>
    <cellStyle name="20% - Accent5 19 8" xfId="12895" xr:uid="{00000000-0005-0000-0000-0000AD180000}"/>
    <cellStyle name="20% - Accent5 2" xfId="960" xr:uid="{00000000-0005-0000-0000-0000AE180000}"/>
    <cellStyle name="20% - Accent5 2 10" xfId="24583" xr:uid="{00000000-0005-0000-0000-0000AF180000}"/>
    <cellStyle name="20% - Accent5 2 11" xfId="24973" xr:uid="{00000000-0005-0000-0000-0000B0180000}"/>
    <cellStyle name="20% - Accent5 2 2" xfId="3916" xr:uid="{00000000-0005-0000-0000-0000B1180000}"/>
    <cellStyle name="20% - Accent5 2 2 2" xfId="11895" xr:uid="{00000000-0005-0000-0000-0000B2180000}"/>
    <cellStyle name="20% - Accent5 2 2 2 2" xfId="23183" xr:uid="{00000000-0005-0000-0000-0000B3180000}"/>
    <cellStyle name="20% - Accent5 2 2 3" xfId="9901" xr:uid="{00000000-0005-0000-0000-0000B4180000}"/>
    <cellStyle name="20% - Accent5 2 2 3 2" xfId="21189" xr:uid="{00000000-0005-0000-0000-0000B5180000}"/>
    <cellStyle name="20% - Accent5 2 2 4" xfId="7907" xr:uid="{00000000-0005-0000-0000-0000B6180000}"/>
    <cellStyle name="20% - Accent5 2 2 4 2" xfId="19195" xr:uid="{00000000-0005-0000-0000-0000B7180000}"/>
    <cellStyle name="20% - Accent5 2 2 5" xfId="5913" xr:uid="{00000000-0005-0000-0000-0000B8180000}"/>
    <cellStyle name="20% - Accent5 2 2 5 2" xfId="17201" xr:uid="{00000000-0005-0000-0000-0000B9180000}"/>
    <cellStyle name="20% - Accent5 2 2 6" xfId="15207" xr:uid="{00000000-0005-0000-0000-0000BA180000}"/>
    <cellStyle name="20% - Accent5 2 2 7" xfId="24344" xr:uid="{00000000-0005-0000-0000-0000BB180000}"/>
    <cellStyle name="20% - Accent5 2 2 8" xfId="24808" xr:uid="{00000000-0005-0000-0000-0000BC180000}"/>
    <cellStyle name="20% - Accent5 2 2 9" xfId="25175" xr:uid="{00000000-0005-0000-0000-0000BD180000}"/>
    <cellStyle name="20% - Accent5 2 3" xfId="10898" xr:uid="{00000000-0005-0000-0000-0000BE180000}"/>
    <cellStyle name="20% - Accent5 2 3 2" xfId="22186" xr:uid="{00000000-0005-0000-0000-0000BF180000}"/>
    <cellStyle name="20% - Accent5 2 4" xfId="8904" xr:uid="{00000000-0005-0000-0000-0000C0180000}"/>
    <cellStyle name="20% - Accent5 2 4 2" xfId="20192" xr:uid="{00000000-0005-0000-0000-0000C1180000}"/>
    <cellStyle name="20% - Accent5 2 5" xfId="6910" xr:uid="{00000000-0005-0000-0000-0000C2180000}"/>
    <cellStyle name="20% - Accent5 2 5 2" xfId="18198" xr:uid="{00000000-0005-0000-0000-0000C3180000}"/>
    <cellStyle name="20% - Accent5 2 6" xfId="4916" xr:uid="{00000000-0005-0000-0000-0000C4180000}"/>
    <cellStyle name="20% - Accent5 2 6 2" xfId="16204" xr:uid="{00000000-0005-0000-0000-0000C5180000}"/>
    <cellStyle name="20% - Accent5 2 7" xfId="14210" xr:uid="{00000000-0005-0000-0000-0000C6180000}"/>
    <cellStyle name="20% - Accent5 2 8" xfId="12896" xr:uid="{00000000-0005-0000-0000-0000C7180000}"/>
    <cellStyle name="20% - Accent5 2 9" xfId="23956" xr:uid="{00000000-0005-0000-0000-0000C8180000}"/>
    <cellStyle name="20% - Accent5 20" xfId="961" xr:uid="{00000000-0005-0000-0000-0000C9180000}"/>
    <cellStyle name="20% - Accent5 20 2" xfId="3917" xr:uid="{00000000-0005-0000-0000-0000CA180000}"/>
    <cellStyle name="20% - Accent5 20 2 2" xfId="11896" xr:uid="{00000000-0005-0000-0000-0000CB180000}"/>
    <cellStyle name="20% - Accent5 20 2 2 2" xfId="23184" xr:uid="{00000000-0005-0000-0000-0000CC180000}"/>
    <cellStyle name="20% - Accent5 20 2 3" xfId="9902" xr:uid="{00000000-0005-0000-0000-0000CD180000}"/>
    <cellStyle name="20% - Accent5 20 2 3 2" xfId="21190" xr:uid="{00000000-0005-0000-0000-0000CE180000}"/>
    <cellStyle name="20% - Accent5 20 2 4" xfId="7908" xr:uid="{00000000-0005-0000-0000-0000CF180000}"/>
    <cellStyle name="20% - Accent5 20 2 4 2" xfId="19196" xr:uid="{00000000-0005-0000-0000-0000D0180000}"/>
    <cellStyle name="20% - Accent5 20 2 5" xfId="5914" xr:uid="{00000000-0005-0000-0000-0000D1180000}"/>
    <cellStyle name="20% - Accent5 20 2 5 2" xfId="17202" xr:uid="{00000000-0005-0000-0000-0000D2180000}"/>
    <cellStyle name="20% - Accent5 20 2 6" xfId="15208" xr:uid="{00000000-0005-0000-0000-0000D3180000}"/>
    <cellStyle name="20% - Accent5 20 3" xfId="10899" xr:uid="{00000000-0005-0000-0000-0000D4180000}"/>
    <cellStyle name="20% - Accent5 20 3 2" xfId="22187" xr:uid="{00000000-0005-0000-0000-0000D5180000}"/>
    <cellStyle name="20% - Accent5 20 4" xfId="8905" xr:uid="{00000000-0005-0000-0000-0000D6180000}"/>
    <cellStyle name="20% - Accent5 20 4 2" xfId="20193" xr:uid="{00000000-0005-0000-0000-0000D7180000}"/>
    <cellStyle name="20% - Accent5 20 5" xfId="6911" xr:uid="{00000000-0005-0000-0000-0000D8180000}"/>
    <cellStyle name="20% - Accent5 20 5 2" xfId="18199" xr:uid="{00000000-0005-0000-0000-0000D9180000}"/>
    <cellStyle name="20% - Accent5 20 6" xfId="4917" xr:uid="{00000000-0005-0000-0000-0000DA180000}"/>
    <cellStyle name="20% - Accent5 20 6 2" xfId="16205" xr:uid="{00000000-0005-0000-0000-0000DB180000}"/>
    <cellStyle name="20% - Accent5 20 7" xfId="14211" xr:uid="{00000000-0005-0000-0000-0000DC180000}"/>
    <cellStyle name="20% - Accent5 20 8" xfId="12897" xr:uid="{00000000-0005-0000-0000-0000DD180000}"/>
    <cellStyle name="20% - Accent5 21" xfId="962" xr:uid="{00000000-0005-0000-0000-0000DE180000}"/>
    <cellStyle name="20% - Accent5 21 2" xfId="3918" xr:uid="{00000000-0005-0000-0000-0000DF180000}"/>
    <cellStyle name="20% - Accent5 21 2 2" xfId="11897" xr:uid="{00000000-0005-0000-0000-0000E0180000}"/>
    <cellStyle name="20% - Accent5 21 2 2 2" xfId="23185" xr:uid="{00000000-0005-0000-0000-0000E1180000}"/>
    <cellStyle name="20% - Accent5 21 2 3" xfId="9903" xr:uid="{00000000-0005-0000-0000-0000E2180000}"/>
    <cellStyle name="20% - Accent5 21 2 3 2" xfId="21191" xr:uid="{00000000-0005-0000-0000-0000E3180000}"/>
    <cellStyle name="20% - Accent5 21 2 4" xfId="7909" xr:uid="{00000000-0005-0000-0000-0000E4180000}"/>
    <cellStyle name="20% - Accent5 21 2 4 2" xfId="19197" xr:uid="{00000000-0005-0000-0000-0000E5180000}"/>
    <cellStyle name="20% - Accent5 21 2 5" xfId="5915" xr:uid="{00000000-0005-0000-0000-0000E6180000}"/>
    <cellStyle name="20% - Accent5 21 2 5 2" xfId="17203" xr:uid="{00000000-0005-0000-0000-0000E7180000}"/>
    <cellStyle name="20% - Accent5 21 2 6" xfId="15209" xr:uid="{00000000-0005-0000-0000-0000E8180000}"/>
    <cellStyle name="20% - Accent5 21 3" xfId="10900" xr:uid="{00000000-0005-0000-0000-0000E9180000}"/>
    <cellStyle name="20% - Accent5 21 3 2" xfId="22188" xr:uid="{00000000-0005-0000-0000-0000EA180000}"/>
    <cellStyle name="20% - Accent5 21 4" xfId="8906" xr:uid="{00000000-0005-0000-0000-0000EB180000}"/>
    <cellStyle name="20% - Accent5 21 4 2" xfId="20194" xr:uid="{00000000-0005-0000-0000-0000EC180000}"/>
    <cellStyle name="20% - Accent5 21 5" xfId="6912" xr:uid="{00000000-0005-0000-0000-0000ED180000}"/>
    <cellStyle name="20% - Accent5 21 5 2" xfId="18200" xr:uid="{00000000-0005-0000-0000-0000EE180000}"/>
    <cellStyle name="20% - Accent5 21 6" xfId="4918" xr:uid="{00000000-0005-0000-0000-0000EF180000}"/>
    <cellStyle name="20% - Accent5 21 6 2" xfId="16206" xr:uid="{00000000-0005-0000-0000-0000F0180000}"/>
    <cellStyle name="20% - Accent5 21 7" xfId="14212" xr:uid="{00000000-0005-0000-0000-0000F1180000}"/>
    <cellStyle name="20% - Accent5 21 8" xfId="12898" xr:uid="{00000000-0005-0000-0000-0000F2180000}"/>
    <cellStyle name="20% - Accent5 22" xfId="963" xr:uid="{00000000-0005-0000-0000-0000F3180000}"/>
    <cellStyle name="20% - Accent5 22 2" xfId="3919" xr:uid="{00000000-0005-0000-0000-0000F4180000}"/>
    <cellStyle name="20% - Accent5 22 2 2" xfId="11898" xr:uid="{00000000-0005-0000-0000-0000F5180000}"/>
    <cellStyle name="20% - Accent5 22 2 2 2" xfId="23186" xr:uid="{00000000-0005-0000-0000-0000F6180000}"/>
    <cellStyle name="20% - Accent5 22 2 3" xfId="9904" xr:uid="{00000000-0005-0000-0000-0000F7180000}"/>
    <cellStyle name="20% - Accent5 22 2 3 2" xfId="21192" xr:uid="{00000000-0005-0000-0000-0000F8180000}"/>
    <cellStyle name="20% - Accent5 22 2 4" xfId="7910" xr:uid="{00000000-0005-0000-0000-0000F9180000}"/>
    <cellStyle name="20% - Accent5 22 2 4 2" xfId="19198" xr:uid="{00000000-0005-0000-0000-0000FA180000}"/>
    <cellStyle name="20% - Accent5 22 2 5" xfId="5916" xr:uid="{00000000-0005-0000-0000-0000FB180000}"/>
    <cellStyle name="20% - Accent5 22 2 5 2" xfId="17204" xr:uid="{00000000-0005-0000-0000-0000FC180000}"/>
    <cellStyle name="20% - Accent5 22 2 6" xfId="15210" xr:uid="{00000000-0005-0000-0000-0000FD180000}"/>
    <cellStyle name="20% - Accent5 22 3" xfId="10901" xr:uid="{00000000-0005-0000-0000-0000FE180000}"/>
    <cellStyle name="20% - Accent5 22 3 2" xfId="22189" xr:uid="{00000000-0005-0000-0000-0000FF180000}"/>
    <cellStyle name="20% - Accent5 22 4" xfId="8907" xr:uid="{00000000-0005-0000-0000-000000190000}"/>
    <cellStyle name="20% - Accent5 22 4 2" xfId="20195" xr:uid="{00000000-0005-0000-0000-000001190000}"/>
    <cellStyle name="20% - Accent5 22 5" xfId="6913" xr:uid="{00000000-0005-0000-0000-000002190000}"/>
    <cellStyle name="20% - Accent5 22 5 2" xfId="18201" xr:uid="{00000000-0005-0000-0000-000003190000}"/>
    <cellStyle name="20% - Accent5 22 6" xfId="4919" xr:uid="{00000000-0005-0000-0000-000004190000}"/>
    <cellStyle name="20% - Accent5 22 6 2" xfId="16207" xr:uid="{00000000-0005-0000-0000-000005190000}"/>
    <cellStyle name="20% - Accent5 22 7" xfId="14213" xr:uid="{00000000-0005-0000-0000-000006190000}"/>
    <cellStyle name="20% - Accent5 22 8" xfId="12899" xr:uid="{00000000-0005-0000-0000-000007190000}"/>
    <cellStyle name="20% - Accent5 23" xfId="964" xr:uid="{00000000-0005-0000-0000-000008190000}"/>
    <cellStyle name="20% - Accent5 23 2" xfId="3920" xr:uid="{00000000-0005-0000-0000-000009190000}"/>
    <cellStyle name="20% - Accent5 23 2 2" xfId="11899" xr:uid="{00000000-0005-0000-0000-00000A190000}"/>
    <cellStyle name="20% - Accent5 23 2 2 2" xfId="23187" xr:uid="{00000000-0005-0000-0000-00000B190000}"/>
    <cellStyle name="20% - Accent5 23 2 3" xfId="9905" xr:uid="{00000000-0005-0000-0000-00000C190000}"/>
    <cellStyle name="20% - Accent5 23 2 3 2" xfId="21193" xr:uid="{00000000-0005-0000-0000-00000D190000}"/>
    <cellStyle name="20% - Accent5 23 2 4" xfId="7911" xr:uid="{00000000-0005-0000-0000-00000E190000}"/>
    <cellStyle name="20% - Accent5 23 2 4 2" xfId="19199" xr:uid="{00000000-0005-0000-0000-00000F190000}"/>
    <cellStyle name="20% - Accent5 23 2 5" xfId="5917" xr:uid="{00000000-0005-0000-0000-000010190000}"/>
    <cellStyle name="20% - Accent5 23 2 5 2" xfId="17205" xr:uid="{00000000-0005-0000-0000-000011190000}"/>
    <cellStyle name="20% - Accent5 23 2 6" xfId="15211" xr:uid="{00000000-0005-0000-0000-000012190000}"/>
    <cellStyle name="20% - Accent5 23 3" xfId="10902" xr:uid="{00000000-0005-0000-0000-000013190000}"/>
    <cellStyle name="20% - Accent5 23 3 2" xfId="22190" xr:uid="{00000000-0005-0000-0000-000014190000}"/>
    <cellStyle name="20% - Accent5 23 4" xfId="8908" xr:uid="{00000000-0005-0000-0000-000015190000}"/>
    <cellStyle name="20% - Accent5 23 4 2" xfId="20196" xr:uid="{00000000-0005-0000-0000-000016190000}"/>
    <cellStyle name="20% - Accent5 23 5" xfId="6914" xr:uid="{00000000-0005-0000-0000-000017190000}"/>
    <cellStyle name="20% - Accent5 23 5 2" xfId="18202" xr:uid="{00000000-0005-0000-0000-000018190000}"/>
    <cellStyle name="20% - Accent5 23 6" xfId="4920" xr:uid="{00000000-0005-0000-0000-000019190000}"/>
    <cellStyle name="20% - Accent5 23 6 2" xfId="16208" xr:uid="{00000000-0005-0000-0000-00001A190000}"/>
    <cellStyle name="20% - Accent5 23 7" xfId="14214" xr:uid="{00000000-0005-0000-0000-00001B190000}"/>
    <cellStyle name="20% - Accent5 23 8" xfId="12900" xr:uid="{00000000-0005-0000-0000-00001C190000}"/>
    <cellStyle name="20% - Accent5 24" xfId="965" xr:uid="{00000000-0005-0000-0000-00001D190000}"/>
    <cellStyle name="20% - Accent5 24 2" xfId="3921" xr:uid="{00000000-0005-0000-0000-00001E190000}"/>
    <cellStyle name="20% - Accent5 24 2 2" xfId="11900" xr:uid="{00000000-0005-0000-0000-00001F190000}"/>
    <cellStyle name="20% - Accent5 24 2 2 2" xfId="23188" xr:uid="{00000000-0005-0000-0000-000020190000}"/>
    <cellStyle name="20% - Accent5 24 2 3" xfId="9906" xr:uid="{00000000-0005-0000-0000-000021190000}"/>
    <cellStyle name="20% - Accent5 24 2 3 2" xfId="21194" xr:uid="{00000000-0005-0000-0000-000022190000}"/>
    <cellStyle name="20% - Accent5 24 2 4" xfId="7912" xr:uid="{00000000-0005-0000-0000-000023190000}"/>
    <cellStyle name="20% - Accent5 24 2 4 2" xfId="19200" xr:uid="{00000000-0005-0000-0000-000024190000}"/>
    <cellStyle name="20% - Accent5 24 2 5" xfId="5918" xr:uid="{00000000-0005-0000-0000-000025190000}"/>
    <cellStyle name="20% - Accent5 24 2 5 2" xfId="17206" xr:uid="{00000000-0005-0000-0000-000026190000}"/>
    <cellStyle name="20% - Accent5 24 2 6" xfId="15212" xr:uid="{00000000-0005-0000-0000-000027190000}"/>
    <cellStyle name="20% - Accent5 24 3" xfId="10903" xr:uid="{00000000-0005-0000-0000-000028190000}"/>
    <cellStyle name="20% - Accent5 24 3 2" xfId="22191" xr:uid="{00000000-0005-0000-0000-000029190000}"/>
    <cellStyle name="20% - Accent5 24 4" xfId="8909" xr:uid="{00000000-0005-0000-0000-00002A190000}"/>
    <cellStyle name="20% - Accent5 24 4 2" xfId="20197" xr:uid="{00000000-0005-0000-0000-00002B190000}"/>
    <cellStyle name="20% - Accent5 24 5" xfId="6915" xr:uid="{00000000-0005-0000-0000-00002C190000}"/>
    <cellStyle name="20% - Accent5 24 5 2" xfId="18203" xr:uid="{00000000-0005-0000-0000-00002D190000}"/>
    <cellStyle name="20% - Accent5 24 6" xfId="4921" xr:uid="{00000000-0005-0000-0000-00002E190000}"/>
    <cellStyle name="20% - Accent5 24 6 2" xfId="16209" xr:uid="{00000000-0005-0000-0000-00002F190000}"/>
    <cellStyle name="20% - Accent5 24 7" xfId="14215" xr:uid="{00000000-0005-0000-0000-000030190000}"/>
    <cellStyle name="20% - Accent5 24 8" xfId="12901" xr:uid="{00000000-0005-0000-0000-000031190000}"/>
    <cellStyle name="20% - Accent5 25" xfId="966" xr:uid="{00000000-0005-0000-0000-000032190000}"/>
    <cellStyle name="20% - Accent5 25 2" xfId="3922" xr:uid="{00000000-0005-0000-0000-000033190000}"/>
    <cellStyle name="20% - Accent5 25 2 2" xfId="11901" xr:uid="{00000000-0005-0000-0000-000034190000}"/>
    <cellStyle name="20% - Accent5 25 2 2 2" xfId="23189" xr:uid="{00000000-0005-0000-0000-000035190000}"/>
    <cellStyle name="20% - Accent5 25 2 3" xfId="9907" xr:uid="{00000000-0005-0000-0000-000036190000}"/>
    <cellStyle name="20% - Accent5 25 2 3 2" xfId="21195" xr:uid="{00000000-0005-0000-0000-000037190000}"/>
    <cellStyle name="20% - Accent5 25 2 4" xfId="7913" xr:uid="{00000000-0005-0000-0000-000038190000}"/>
    <cellStyle name="20% - Accent5 25 2 4 2" xfId="19201" xr:uid="{00000000-0005-0000-0000-000039190000}"/>
    <cellStyle name="20% - Accent5 25 2 5" xfId="5919" xr:uid="{00000000-0005-0000-0000-00003A190000}"/>
    <cellStyle name="20% - Accent5 25 2 5 2" xfId="17207" xr:uid="{00000000-0005-0000-0000-00003B190000}"/>
    <cellStyle name="20% - Accent5 25 2 6" xfId="15213" xr:uid="{00000000-0005-0000-0000-00003C190000}"/>
    <cellStyle name="20% - Accent5 25 3" xfId="10904" xr:uid="{00000000-0005-0000-0000-00003D190000}"/>
    <cellStyle name="20% - Accent5 25 3 2" xfId="22192" xr:uid="{00000000-0005-0000-0000-00003E190000}"/>
    <cellStyle name="20% - Accent5 25 4" xfId="8910" xr:uid="{00000000-0005-0000-0000-00003F190000}"/>
    <cellStyle name="20% - Accent5 25 4 2" xfId="20198" xr:uid="{00000000-0005-0000-0000-000040190000}"/>
    <cellStyle name="20% - Accent5 25 5" xfId="6916" xr:uid="{00000000-0005-0000-0000-000041190000}"/>
    <cellStyle name="20% - Accent5 25 5 2" xfId="18204" xr:uid="{00000000-0005-0000-0000-000042190000}"/>
    <cellStyle name="20% - Accent5 25 6" xfId="4922" xr:uid="{00000000-0005-0000-0000-000043190000}"/>
    <cellStyle name="20% - Accent5 25 6 2" xfId="16210" xr:uid="{00000000-0005-0000-0000-000044190000}"/>
    <cellStyle name="20% - Accent5 25 7" xfId="14216" xr:uid="{00000000-0005-0000-0000-000045190000}"/>
    <cellStyle name="20% - Accent5 25 8" xfId="12902" xr:uid="{00000000-0005-0000-0000-000046190000}"/>
    <cellStyle name="20% - Accent5 26" xfId="967" xr:uid="{00000000-0005-0000-0000-000047190000}"/>
    <cellStyle name="20% - Accent5 26 2" xfId="3923" xr:uid="{00000000-0005-0000-0000-000048190000}"/>
    <cellStyle name="20% - Accent5 26 2 2" xfId="11902" xr:uid="{00000000-0005-0000-0000-000049190000}"/>
    <cellStyle name="20% - Accent5 26 2 2 2" xfId="23190" xr:uid="{00000000-0005-0000-0000-00004A190000}"/>
    <cellStyle name="20% - Accent5 26 2 3" xfId="9908" xr:uid="{00000000-0005-0000-0000-00004B190000}"/>
    <cellStyle name="20% - Accent5 26 2 3 2" xfId="21196" xr:uid="{00000000-0005-0000-0000-00004C190000}"/>
    <cellStyle name="20% - Accent5 26 2 4" xfId="7914" xr:uid="{00000000-0005-0000-0000-00004D190000}"/>
    <cellStyle name="20% - Accent5 26 2 4 2" xfId="19202" xr:uid="{00000000-0005-0000-0000-00004E190000}"/>
    <cellStyle name="20% - Accent5 26 2 5" xfId="5920" xr:uid="{00000000-0005-0000-0000-00004F190000}"/>
    <cellStyle name="20% - Accent5 26 2 5 2" xfId="17208" xr:uid="{00000000-0005-0000-0000-000050190000}"/>
    <cellStyle name="20% - Accent5 26 2 6" xfId="15214" xr:uid="{00000000-0005-0000-0000-000051190000}"/>
    <cellStyle name="20% - Accent5 26 3" xfId="10905" xr:uid="{00000000-0005-0000-0000-000052190000}"/>
    <cellStyle name="20% - Accent5 26 3 2" xfId="22193" xr:uid="{00000000-0005-0000-0000-000053190000}"/>
    <cellStyle name="20% - Accent5 26 4" xfId="8911" xr:uid="{00000000-0005-0000-0000-000054190000}"/>
    <cellStyle name="20% - Accent5 26 4 2" xfId="20199" xr:uid="{00000000-0005-0000-0000-000055190000}"/>
    <cellStyle name="20% - Accent5 26 5" xfId="6917" xr:uid="{00000000-0005-0000-0000-000056190000}"/>
    <cellStyle name="20% - Accent5 26 5 2" xfId="18205" xr:uid="{00000000-0005-0000-0000-000057190000}"/>
    <cellStyle name="20% - Accent5 26 6" xfId="4923" xr:uid="{00000000-0005-0000-0000-000058190000}"/>
    <cellStyle name="20% - Accent5 26 6 2" xfId="16211" xr:uid="{00000000-0005-0000-0000-000059190000}"/>
    <cellStyle name="20% - Accent5 26 7" xfId="14217" xr:uid="{00000000-0005-0000-0000-00005A190000}"/>
    <cellStyle name="20% - Accent5 26 8" xfId="12903" xr:uid="{00000000-0005-0000-0000-00005B190000}"/>
    <cellStyle name="20% - Accent5 27" xfId="968" xr:uid="{00000000-0005-0000-0000-00005C190000}"/>
    <cellStyle name="20% - Accent5 27 2" xfId="3924" xr:uid="{00000000-0005-0000-0000-00005D190000}"/>
    <cellStyle name="20% - Accent5 27 2 2" xfId="11903" xr:uid="{00000000-0005-0000-0000-00005E190000}"/>
    <cellStyle name="20% - Accent5 27 2 2 2" xfId="23191" xr:uid="{00000000-0005-0000-0000-00005F190000}"/>
    <cellStyle name="20% - Accent5 27 2 3" xfId="9909" xr:uid="{00000000-0005-0000-0000-000060190000}"/>
    <cellStyle name="20% - Accent5 27 2 3 2" xfId="21197" xr:uid="{00000000-0005-0000-0000-000061190000}"/>
    <cellStyle name="20% - Accent5 27 2 4" xfId="7915" xr:uid="{00000000-0005-0000-0000-000062190000}"/>
    <cellStyle name="20% - Accent5 27 2 4 2" xfId="19203" xr:uid="{00000000-0005-0000-0000-000063190000}"/>
    <cellStyle name="20% - Accent5 27 2 5" xfId="5921" xr:uid="{00000000-0005-0000-0000-000064190000}"/>
    <cellStyle name="20% - Accent5 27 2 5 2" xfId="17209" xr:uid="{00000000-0005-0000-0000-000065190000}"/>
    <cellStyle name="20% - Accent5 27 2 6" xfId="15215" xr:uid="{00000000-0005-0000-0000-000066190000}"/>
    <cellStyle name="20% - Accent5 27 3" xfId="10906" xr:uid="{00000000-0005-0000-0000-000067190000}"/>
    <cellStyle name="20% - Accent5 27 3 2" xfId="22194" xr:uid="{00000000-0005-0000-0000-000068190000}"/>
    <cellStyle name="20% - Accent5 27 4" xfId="8912" xr:uid="{00000000-0005-0000-0000-000069190000}"/>
    <cellStyle name="20% - Accent5 27 4 2" xfId="20200" xr:uid="{00000000-0005-0000-0000-00006A190000}"/>
    <cellStyle name="20% - Accent5 27 5" xfId="6918" xr:uid="{00000000-0005-0000-0000-00006B190000}"/>
    <cellStyle name="20% - Accent5 27 5 2" xfId="18206" xr:uid="{00000000-0005-0000-0000-00006C190000}"/>
    <cellStyle name="20% - Accent5 27 6" xfId="4924" xr:uid="{00000000-0005-0000-0000-00006D190000}"/>
    <cellStyle name="20% - Accent5 27 6 2" xfId="16212" xr:uid="{00000000-0005-0000-0000-00006E190000}"/>
    <cellStyle name="20% - Accent5 27 7" xfId="14218" xr:uid="{00000000-0005-0000-0000-00006F190000}"/>
    <cellStyle name="20% - Accent5 27 8" xfId="12904" xr:uid="{00000000-0005-0000-0000-000070190000}"/>
    <cellStyle name="20% - Accent5 28" xfId="969" xr:uid="{00000000-0005-0000-0000-000071190000}"/>
    <cellStyle name="20% - Accent5 28 2" xfId="3925" xr:uid="{00000000-0005-0000-0000-000072190000}"/>
    <cellStyle name="20% - Accent5 28 2 2" xfId="11904" xr:uid="{00000000-0005-0000-0000-000073190000}"/>
    <cellStyle name="20% - Accent5 28 2 2 2" xfId="23192" xr:uid="{00000000-0005-0000-0000-000074190000}"/>
    <cellStyle name="20% - Accent5 28 2 3" xfId="9910" xr:uid="{00000000-0005-0000-0000-000075190000}"/>
    <cellStyle name="20% - Accent5 28 2 3 2" xfId="21198" xr:uid="{00000000-0005-0000-0000-000076190000}"/>
    <cellStyle name="20% - Accent5 28 2 4" xfId="7916" xr:uid="{00000000-0005-0000-0000-000077190000}"/>
    <cellStyle name="20% - Accent5 28 2 4 2" xfId="19204" xr:uid="{00000000-0005-0000-0000-000078190000}"/>
    <cellStyle name="20% - Accent5 28 2 5" xfId="5922" xr:uid="{00000000-0005-0000-0000-000079190000}"/>
    <cellStyle name="20% - Accent5 28 2 5 2" xfId="17210" xr:uid="{00000000-0005-0000-0000-00007A190000}"/>
    <cellStyle name="20% - Accent5 28 2 6" xfId="15216" xr:uid="{00000000-0005-0000-0000-00007B190000}"/>
    <cellStyle name="20% - Accent5 28 3" xfId="10907" xr:uid="{00000000-0005-0000-0000-00007C190000}"/>
    <cellStyle name="20% - Accent5 28 3 2" xfId="22195" xr:uid="{00000000-0005-0000-0000-00007D190000}"/>
    <cellStyle name="20% - Accent5 28 4" xfId="8913" xr:uid="{00000000-0005-0000-0000-00007E190000}"/>
    <cellStyle name="20% - Accent5 28 4 2" xfId="20201" xr:uid="{00000000-0005-0000-0000-00007F190000}"/>
    <cellStyle name="20% - Accent5 28 5" xfId="6919" xr:uid="{00000000-0005-0000-0000-000080190000}"/>
    <cellStyle name="20% - Accent5 28 5 2" xfId="18207" xr:uid="{00000000-0005-0000-0000-000081190000}"/>
    <cellStyle name="20% - Accent5 28 6" xfId="4925" xr:uid="{00000000-0005-0000-0000-000082190000}"/>
    <cellStyle name="20% - Accent5 28 6 2" xfId="16213" xr:uid="{00000000-0005-0000-0000-000083190000}"/>
    <cellStyle name="20% - Accent5 28 7" xfId="14219" xr:uid="{00000000-0005-0000-0000-000084190000}"/>
    <cellStyle name="20% - Accent5 28 8" xfId="12905" xr:uid="{00000000-0005-0000-0000-000085190000}"/>
    <cellStyle name="20% - Accent5 29" xfId="970" xr:uid="{00000000-0005-0000-0000-000086190000}"/>
    <cellStyle name="20% - Accent5 29 2" xfId="3926" xr:uid="{00000000-0005-0000-0000-000087190000}"/>
    <cellStyle name="20% - Accent5 29 2 2" xfId="11905" xr:uid="{00000000-0005-0000-0000-000088190000}"/>
    <cellStyle name="20% - Accent5 29 2 2 2" xfId="23193" xr:uid="{00000000-0005-0000-0000-000089190000}"/>
    <cellStyle name="20% - Accent5 29 2 3" xfId="9911" xr:uid="{00000000-0005-0000-0000-00008A190000}"/>
    <cellStyle name="20% - Accent5 29 2 3 2" xfId="21199" xr:uid="{00000000-0005-0000-0000-00008B190000}"/>
    <cellStyle name="20% - Accent5 29 2 4" xfId="7917" xr:uid="{00000000-0005-0000-0000-00008C190000}"/>
    <cellStyle name="20% - Accent5 29 2 4 2" xfId="19205" xr:uid="{00000000-0005-0000-0000-00008D190000}"/>
    <cellStyle name="20% - Accent5 29 2 5" xfId="5923" xr:uid="{00000000-0005-0000-0000-00008E190000}"/>
    <cellStyle name="20% - Accent5 29 2 5 2" xfId="17211" xr:uid="{00000000-0005-0000-0000-00008F190000}"/>
    <cellStyle name="20% - Accent5 29 2 6" xfId="15217" xr:uid="{00000000-0005-0000-0000-000090190000}"/>
    <cellStyle name="20% - Accent5 29 3" xfId="10908" xr:uid="{00000000-0005-0000-0000-000091190000}"/>
    <cellStyle name="20% - Accent5 29 3 2" xfId="22196" xr:uid="{00000000-0005-0000-0000-000092190000}"/>
    <cellStyle name="20% - Accent5 29 4" xfId="8914" xr:uid="{00000000-0005-0000-0000-000093190000}"/>
    <cellStyle name="20% - Accent5 29 4 2" xfId="20202" xr:uid="{00000000-0005-0000-0000-000094190000}"/>
    <cellStyle name="20% - Accent5 29 5" xfId="6920" xr:uid="{00000000-0005-0000-0000-000095190000}"/>
    <cellStyle name="20% - Accent5 29 5 2" xfId="18208" xr:uid="{00000000-0005-0000-0000-000096190000}"/>
    <cellStyle name="20% - Accent5 29 6" xfId="4926" xr:uid="{00000000-0005-0000-0000-000097190000}"/>
    <cellStyle name="20% - Accent5 29 6 2" xfId="16214" xr:uid="{00000000-0005-0000-0000-000098190000}"/>
    <cellStyle name="20% - Accent5 29 7" xfId="14220" xr:uid="{00000000-0005-0000-0000-000099190000}"/>
    <cellStyle name="20% - Accent5 29 8" xfId="12906" xr:uid="{00000000-0005-0000-0000-00009A190000}"/>
    <cellStyle name="20% - Accent5 3" xfId="971" xr:uid="{00000000-0005-0000-0000-00009B190000}"/>
    <cellStyle name="20% - Accent5 3 10" xfId="24584" xr:uid="{00000000-0005-0000-0000-00009C190000}"/>
    <cellStyle name="20% - Accent5 3 11" xfId="24974" xr:uid="{00000000-0005-0000-0000-00009D190000}"/>
    <cellStyle name="20% - Accent5 3 2" xfId="3927" xr:uid="{00000000-0005-0000-0000-00009E190000}"/>
    <cellStyle name="20% - Accent5 3 2 2" xfId="11906" xr:uid="{00000000-0005-0000-0000-00009F190000}"/>
    <cellStyle name="20% - Accent5 3 2 2 2" xfId="23194" xr:uid="{00000000-0005-0000-0000-0000A0190000}"/>
    <cellStyle name="20% - Accent5 3 2 3" xfId="9912" xr:uid="{00000000-0005-0000-0000-0000A1190000}"/>
    <cellStyle name="20% - Accent5 3 2 3 2" xfId="21200" xr:uid="{00000000-0005-0000-0000-0000A2190000}"/>
    <cellStyle name="20% - Accent5 3 2 4" xfId="7918" xr:uid="{00000000-0005-0000-0000-0000A3190000}"/>
    <cellStyle name="20% - Accent5 3 2 4 2" xfId="19206" xr:uid="{00000000-0005-0000-0000-0000A4190000}"/>
    <cellStyle name="20% - Accent5 3 2 5" xfId="5924" xr:uid="{00000000-0005-0000-0000-0000A5190000}"/>
    <cellStyle name="20% - Accent5 3 2 5 2" xfId="17212" xr:uid="{00000000-0005-0000-0000-0000A6190000}"/>
    <cellStyle name="20% - Accent5 3 2 6" xfId="15218" xr:uid="{00000000-0005-0000-0000-0000A7190000}"/>
    <cellStyle name="20% - Accent5 3 2 7" xfId="24345" xr:uid="{00000000-0005-0000-0000-0000A8190000}"/>
    <cellStyle name="20% - Accent5 3 2 8" xfId="24809" xr:uid="{00000000-0005-0000-0000-0000A9190000}"/>
    <cellStyle name="20% - Accent5 3 2 9" xfId="25176" xr:uid="{00000000-0005-0000-0000-0000AA190000}"/>
    <cellStyle name="20% - Accent5 3 3" xfId="10909" xr:uid="{00000000-0005-0000-0000-0000AB190000}"/>
    <cellStyle name="20% - Accent5 3 3 2" xfId="22197" xr:uid="{00000000-0005-0000-0000-0000AC190000}"/>
    <cellStyle name="20% - Accent5 3 4" xfId="8915" xr:uid="{00000000-0005-0000-0000-0000AD190000}"/>
    <cellStyle name="20% - Accent5 3 4 2" xfId="20203" xr:uid="{00000000-0005-0000-0000-0000AE190000}"/>
    <cellStyle name="20% - Accent5 3 5" xfId="6921" xr:uid="{00000000-0005-0000-0000-0000AF190000}"/>
    <cellStyle name="20% - Accent5 3 5 2" xfId="18209" xr:uid="{00000000-0005-0000-0000-0000B0190000}"/>
    <cellStyle name="20% - Accent5 3 6" xfId="4927" xr:uid="{00000000-0005-0000-0000-0000B1190000}"/>
    <cellStyle name="20% - Accent5 3 6 2" xfId="16215" xr:uid="{00000000-0005-0000-0000-0000B2190000}"/>
    <cellStyle name="20% - Accent5 3 7" xfId="14221" xr:uid="{00000000-0005-0000-0000-0000B3190000}"/>
    <cellStyle name="20% - Accent5 3 8" xfId="12907" xr:uid="{00000000-0005-0000-0000-0000B4190000}"/>
    <cellStyle name="20% - Accent5 3 9" xfId="23957" xr:uid="{00000000-0005-0000-0000-0000B5190000}"/>
    <cellStyle name="20% - Accent5 30" xfId="972" xr:uid="{00000000-0005-0000-0000-0000B6190000}"/>
    <cellStyle name="20% - Accent5 30 2" xfId="3928" xr:uid="{00000000-0005-0000-0000-0000B7190000}"/>
    <cellStyle name="20% - Accent5 30 2 2" xfId="11907" xr:uid="{00000000-0005-0000-0000-0000B8190000}"/>
    <cellStyle name="20% - Accent5 30 2 2 2" xfId="23195" xr:uid="{00000000-0005-0000-0000-0000B9190000}"/>
    <cellStyle name="20% - Accent5 30 2 3" xfId="9913" xr:uid="{00000000-0005-0000-0000-0000BA190000}"/>
    <cellStyle name="20% - Accent5 30 2 3 2" xfId="21201" xr:uid="{00000000-0005-0000-0000-0000BB190000}"/>
    <cellStyle name="20% - Accent5 30 2 4" xfId="7919" xr:uid="{00000000-0005-0000-0000-0000BC190000}"/>
    <cellStyle name="20% - Accent5 30 2 4 2" xfId="19207" xr:uid="{00000000-0005-0000-0000-0000BD190000}"/>
    <cellStyle name="20% - Accent5 30 2 5" xfId="5925" xr:uid="{00000000-0005-0000-0000-0000BE190000}"/>
    <cellStyle name="20% - Accent5 30 2 5 2" xfId="17213" xr:uid="{00000000-0005-0000-0000-0000BF190000}"/>
    <cellStyle name="20% - Accent5 30 2 6" xfId="15219" xr:uid="{00000000-0005-0000-0000-0000C0190000}"/>
    <cellStyle name="20% - Accent5 30 3" xfId="10910" xr:uid="{00000000-0005-0000-0000-0000C1190000}"/>
    <cellStyle name="20% - Accent5 30 3 2" xfId="22198" xr:uid="{00000000-0005-0000-0000-0000C2190000}"/>
    <cellStyle name="20% - Accent5 30 4" xfId="8916" xr:uid="{00000000-0005-0000-0000-0000C3190000}"/>
    <cellStyle name="20% - Accent5 30 4 2" xfId="20204" xr:uid="{00000000-0005-0000-0000-0000C4190000}"/>
    <cellStyle name="20% - Accent5 30 5" xfId="6922" xr:uid="{00000000-0005-0000-0000-0000C5190000}"/>
    <cellStyle name="20% - Accent5 30 5 2" xfId="18210" xr:uid="{00000000-0005-0000-0000-0000C6190000}"/>
    <cellStyle name="20% - Accent5 30 6" xfId="4928" xr:uid="{00000000-0005-0000-0000-0000C7190000}"/>
    <cellStyle name="20% - Accent5 30 6 2" xfId="16216" xr:uid="{00000000-0005-0000-0000-0000C8190000}"/>
    <cellStyle name="20% - Accent5 30 7" xfId="14222" xr:uid="{00000000-0005-0000-0000-0000C9190000}"/>
    <cellStyle name="20% - Accent5 30 8" xfId="12908" xr:uid="{00000000-0005-0000-0000-0000CA190000}"/>
    <cellStyle name="20% - Accent5 31" xfId="973" xr:uid="{00000000-0005-0000-0000-0000CB190000}"/>
    <cellStyle name="20% - Accent5 31 2" xfId="3929" xr:uid="{00000000-0005-0000-0000-0000CC190000}"/>
    <cellStyle name="20% - Accent5 31 2 2" xfId="11908" xr:uid="{00000000-0005-0000-0000-0000CD190000}"/>
    <cellStyle name="20% - Accent5 31 2 2 2" xfId="23196" xr:uid="{00000000-0005-0000-0000-0000CE190000}"/>
    <cellStyle name="20% - Accent5 31 2 3" xfId="9914" xr:uid="{00000000-0005-0000-0000-0000CF190000}"/>
    <cellStyle name="20% - Accent5 31 2 3 2" xfId="21202" xr:uid="{00000000-0005-0000-0000-0000D0190000}"/>
    <cellStyle name="20% - Accent5 31 2 4" xfId="7920" xr:uid="{00000000-0005-0000-0000-0000D1190000}"/>
    <cellStyle name="20% - Accent5 31 2 4 2" xfId="19208" xr:uid="{00000000-0005-0000-0000-0000D2190000}"/>
    <cellStyle name="20% - Accent5 31 2 5" xfId="5926" xr:uid="{00000000-0005-0000-0000-0000D3190000}"/>
    <cellStyle name="20% - Accent5 31 2 5 2" xfId="17214" xr:uid="{00000000-0005-0000-0000-0000D4190000}"/>
    <cellStyle name="20% - Accent5 31 2 6" xfId="15220" xr:uid="{00000000-0005-0000-0000-0000D5190000}"/>
    <cellStyle name="20% - Accent5 31 3" xfId="10911" xr:uid="{00000000-0005-0000-0000-0000D6190000}"/>
    <cellStyle name="20% - Accent5 31 3 2" xfId="22199" xr:uid="{00000000-0005-0000-0000-0000D7190000}"/>
    <cellStyle name="20% - Accent5 31 4" xfId="8917" xr:uid="{00000000-0005-0000-0000-0000D8190000}"/>
    <cellStyle name="20% - Accent5 31 4 2" xfId="20205" xr:uid="{00000000-0005-0000-0000-0000D9190000}"/>
    <cellStyle name="20% - Accent5 31 5" xfId="6923" xr:uid="{00000000-0005-0000-0000-0000DA190000}"/>
    <cellStyle name="20% - Accent5 31 5 2" xfId="18211" xr:uid="{00000000-0005-0000-0000-0000DB190000}"/>
    <cellStyle name="20% - Accent5 31 6" xfId="4929" xr:uid="{00000000-0005-0000-0000-0000DC190000}"/>
    <cellStyle name="20% - Accent5 31 6 2" xfId="16217" xr:uid="{00000000-0005-0000-0000-0000DD190000}"/>
    <cellStyle name="20% - Accent5 31 7" xfId="14223" xr:uid="{00000000-0005-0000-0000-0000DE190000}"/>
    <cellStyle name="20% - Accent5 31 8" xfId="12909" xr:uid="{00000000-0005-0000-0000-0000DF190000}"/>
    <cellStyle name="20% - Accent5 32" xfId="974" xr:uid="{00000000-0005-0000-0000-0000E0190000}"/>
    <cellStyle name="20% - Accent5 32 2" xfId="3930" xr:uid="{00000000-0005-0000-0000-0000E1190000}"/>
    <cellStyle name="20% - Accent5 32 2 2" xfId="11909" xr:uid="{00000000-0005-0000-0000-0000E2190000}"/>
    <cellStyle name="20% - Accent5 32 2 2 2" xfId="23197" xr:uid="{00000000-0005-0000-0000-0000E3190000}"/>
    <cellStyle name="20% - Accent5 32 2 3" xfId="9915" xr:uid="{00000000-0005-0000-0000-0000E4190000}"/>
    <cellStyle name="20% - Accent5 32 2 3 2" xfId="21203" xr:uid="{00000000-0005-0000-0000-0000E5190000}"/>
    <cellStyle name="20% - Accent5 32 2 4" xfId="7921" xr:uid="{00000000-0005-0000-0000-0000E6190000}"/>
    <cellStyle name="20% - Accent5 32 2 4 2" xfId="19209" xr:uid="{00000000-0005-0000-0000-0000E7190000}"/>
    <cellStyle name="20% - Accent5 32 2 5" xfId="5927" xr:uid="{00000000-0005-0000-0000-0000E8190000}"/>
    <cellStyle name="20% - Accent5 32 2 5 2" xfId="17215" xr:uid="{00000000-0005-0000-0000-0000E9190000}"/>
    <cellStyle name="20% - Accent5 32 2 6" xfId="15221" xr:uid="{00000000-0005-0000-0000-0000EA190000}"/>
    <cellStyle name="20% - Accent5 32 3" xfId="10912" xr:uid="{00000000-0005-0000-0000-0000EB190000}"/>
    <cellStyle name="20% - Accent5 32 3 2" xfId="22200" xr:uid="{00000000-0005-0000-0000-0000EC190000}"/>
    <cellStyle name="20% - Accent5 32 4" xfId="8918" xr:uid="{00000000-0005-0000-0000-0000ED190000}"/>
    <cellStyle name="20% - Accent5 32 4 2" xfId="20206" xr:uid="{00000000-0005-0000-0000-0000EE190000}"/>
    <cellStyle name="20% - Accent5 32 5" xfId="6924" xr:uid="{00000000-0005-0000-0000-0000EF190000}"/>
    <cellStyle name="20% - Accent5 32 5 2" xfId="18212" xr:uid="{00000000-0005-0000-0000-0000F0190000}"/>
    <cellStyle name="20% - Accent5 32 6" xfId="4930" xr:uid="{00000000-0005-0000-0000-0000F1190000}"/>
    <cellStyle name="20% - Accent5 32 6 2" xfId="16218" xr:uid="{00000000-0005-0000-0000-0000F2190000}"/>
    <cellStyle name="20% - Accent5 32 7" xfId="14224" xr:uid="{00000000-0005-0000-0000-0000F3190000}"/>
    <cellStyle name="20% - Accent5 32 8" xfId="12910" xr:uid="{00000000-0005-0000-0000-0000F4190000}"/>
    <cellStyle name="20% - Accent5 33" xfId="975" xr:uid="{00000000-0005-0000-0000-0000F5190000}"/>
    <cellStyle name="20% - Accent5 33 2" xfId="3931" xr:uid="{00000000-0005-0000-0000-0000F6190000}"/>
    <cellStyle name="20% - Accent5 33 2 2" xfId="11910" xr:uid="{00000000-0005-0000-0000-0000F7190000}"/>
    <cellStyle name="20% - Accent5 33 2 2 2" xfId="23198" xr:uid="{00000000-0005-0000-0000-0000F8190000}"/>
    <cellStyle name="20% - Accent5 33 2 3" xfId="9916" xr:uid="{00000000-0005-0000-0000-0000F9190000}"/>
    <cellStyle name="20% - Accent5 33 2 3 2" xfId="21204" xr:uid="{00000000-0005-0000-0000-0000FA190000}"/>
    <cellStyle name="20% - Accent5 33 2 4" xfId="7922" xr:uid="{00000000-0005-0000-0000-0000FB190000}"/>
    <cellStyle name="20% - Accent5 33 2 4 2" xfId="19210" xr:uid="{00000000-0005-0000-0000-0000FC190000}"/>
    <cellStyle name="20% - Accent5 33 2 5" xfId="5928" xr:uid="{00000000-0005-0000-0000-0000FD190000}"/>
    <cellStyle name="20% - Accent5 33 2 5 2" xfId="17216" xr:uid="{00000000-0005-0000-0000-0000FE190000}"/>
    <cellStyle name="20% - Accent5 33 2 6" xfId="15222" xr:uid="{00000000-0005-0000-0000-0000FF190000}"/>
    <cellStyle name="20% - Accent5 33 3" xfId="10913" xr:uid="{00000000-0005-0000-0000-0000001A0000}"/>
    <cellStyle name="20% - Accent5 33 3 2" xfId="22201" xr:uid="{00000000-0005-0000-0000-0000011A0000}"/>
    <cellStyle name="20% - Accent5 33 4" xfId="8919" xr:uid="{00000000-0005-0000-0000-0000021A0000}"/>
    <cellStyle name="20% - Accent5 33 4 2" xfId="20207" xr:uid="{00000000-0005-0000-0000-0000031A0000}"/>
    <cellStyle name="20% - Accent5 33 5" xfId="6925" xr:uid="{00000000-0005-0000-0000-0000041A0000}"/>
    <cellStyle name="20% - Accent5 33 5 2" xfId="18213" xr:uid="{00000000-0005-0000-0000-0000051A0000}"/>
    <cellStyle name="20% - Accent5 33 6" xfId="4931" xr:uid="{00000000-0005-0000-0000-0000061A0000}"/>
    <cellStyle name="20% - Accent5 33 6 2" xfId="16219" xr:uid="{00000000-0005-0000-0000-0000071A0000}"/>
    <cellStyle name="20% - Accent5 33 7" xfId="14225" xr:uid="{00000000-0005-0000-0000-0000081A0000}"/>
    <cellStyle name="20% - Accent5 33 8" xfId="12911" xr:uid="{00000000-0005-0000-0000-0000091A0000}"/>
    <cellStyle name="20% - Accent5 34" xfId="976" xr:uid="{00000000-0005-0000-0000-00000A1A0000}"/>
    <cellStyle name="20% - Accent5 34 2" xfId="3932" xr:uid="{00000000-0005-0000-0000-00000B1A0000}"/>
    <cellStyle name="20% - Accent5 34 2 2" xfId="11911" xr:uid="{00000000-0005-0000-0000-00000C1A0000}"/>
    <cellStyle name="20% - Accent5 34 2 2 2" xfId="23199" xr:uid="{00000000-0005-0000-0000-00000D1A0000}"/>
    <cellStyle name="20% - Accent5 34 2 3" xfId="9917" xr:uid="{00000000-0005-0000-0000-00000E1A0000}"/>
    <cellStyle name="20% - Accent5 34 2 3 2" xfId="21205" xr:uid="{00000000-0005-0000-0000-00000F1A0000}"/>
    <cellStyle name="20% - Accent5 34 2 4" xfId="7923" xr:uid="{00000000-0005-0000-0000-0000101A0000}"/>
    <cellStyle name="20% - Accent5 34 2 4 2" xfId="19211" xr:uid="{00000000-0005-0000-0000-0000111A0000}"/>
    <cellStyle name="20% - Accent5 34 2 5" xfId="5929" xr:uid="{00000000-0005-0000-0000-0000121A0000}"/>
    <cellStyle name="20% - Accent5 34 2 5 2" xfId="17217" xr:uid="{00000000-0005-0000-0000-0000131A0000}"/>
    <cellStyle name="20% - Accent5 34 2 6" xfId="15223" xr:uid="{00000000-0005-0000-0000-0000141A0000}"/>
    <cellStyle name="20% - Accent5 34 3" xfId="10914" xr:uid="{00000000-0005-0000-0000-0000151A0000}"/>
    <cellStyle name="20% - Accent5 34 3 2" xfId="22202" xr:uid="{00000000-0005-0000-0000-0000161A0000}"/>
    <cellStyle name="20% - Accent5 34 4" xfId="8920" xr:uid="{00000000-0005-0000-0000-0000171A0000}"/>
    <cellStyle name="20% - Accent5 34 4 2" xfId="20208" xr:uid="{00000000-0005-0000-0000-0000181A0000}"/>
    <cellStyle name="20% - Accent5 34 5" xfId="6926" xr:uid="{00000000-0005-0000-0000-0000191A0000}"/>
    <cellStyle name="20% - Accent5 34 5 2" xfId="18214" xr:uid="{00000000-0005-0000-0000-00001A1A0000}"/>
    <cellStyle name="20% - Accent5 34 6" xfId="4932" xr:uid="{00000000-0005-0000-0000-00001B1A0000}"/>
    <cellStyle name="20% - Accent5 34 6 2" xfId="16220" xr:uid="{00000000-0005-0000-0000-00001C1A0000}"/>
    <cellStyle name="20% - Accent5 34 7" xfId="14226" xr:uid="{00000000-0005-0000-0000-00001D1A0000}"/>
    <cellStyle name="20% - Accent5 34 8" xfId="12912" xr:uid="{00000000-0005-0000-0000-00001E1A0000}"/>
    <cellStyle name="20% - Accent5 35" xfId="977" xr:uid="{00000000-0005-0000-0000-00001F1A0000}"/>
    <cellStyle name="20% - Accent5 35 2" xfId="3933" xr:uid="{00000000-0005-0000-0000-0000201A0000}"/>
    <cellStyle name="20% - Accent5 35 2 2" xfId="11912" xr:uid="{00000000-0005-0000-0000-0000211A0000}"/>
    <cellStyle name="20% - Accent5 35 2 2 2" xfId="23200" xr:uid="{00000000-0005-0000-0000-0000221A0000}"/>
    <cellStyle name="20% - Accent5 35 2 3" xfId="9918" xr:uid="{00000000-0005-0000-0000-0000231A0000}"/>
    <cellStyle name="20% - Accent5 35 2 3 2" xfId="21206" xr:uid="{00000000-0005-0000-0000-0000241A0000}"/>
    <cellStyle name="20% - Accent5 35 2 4" xfId="7924" xr:uid="{00000000-0005-0000-0000-0000251A0000}"/>
    <cellStyle name="20% - Accent5 35 2 4 2" xfId="19212" xr:uid="{00000000-0005-0000-0000-0000261A0000}"/>
    <cellStyle name="20% - Accent5 35 2 5" xfId="5930" xr:uid="{00000000-0005-0000-0000-0000271A0000}"/>
    <cellStyle name="20% - Accent5 35 2 5 2" xfId="17218" xr:uid="{00000000-0005-0000-0000-0000281A0000}"/>
    <cellStyle name="20% - Accent5 35 2 6" xfId="15224" xr:uid="{00000000-0005-0000-0000-0000291A0000}"/>
    <cellStyle name="20% - Accent5 35 3" xfId="10915" xr:uid="{00000000-0005-0000-0000-00002A1A0000}"/>
    <cellStyle name="20% - Accent5 35 3 2" xfId="22203" xr:uid="{00000000-0005-0000-0000-00002B1A0000}"/>
    <cellStyle name="20% - Accent5 35 4" xfId="8921" xr:uid="{00000000-0005-0000-0000-00002C1A0000}"/>
    <cellStyle name="20% - Accent5 35 4 2" xfId="20209" xr:uid="{00000000-0005-0000-0000-00002D1A0000}"/>
    <cellStyle name="20% - Accent5 35 5" xfId="6927" xr:uid="{00000000-0005-0000-0000-00002E1A0000}"/>
    <cellStyle name="20% - Accent5 35 5 2" xfId="18215" xr:uid="{00000000-0005-0000-0000-00002F1A0000}"/>
    <cellStyle name="20% - Accent5 35 6" xfId="4933" xr:uid="{00000000-0005-0000-0000-0000301A0000}"/>
    <cellStyle name="20% - Accent5 35 6 2" xfId="16221" xr:uid="{00000000-0005-0000-0000-0000311A0000}"/>
    <cellStyle name="20% - Accent5 35 7" xfId="14227" xr:uid="{00000000-0005-0000-0000-0000321A0000}"/>
    <cellStyle name="20% - Accent5 35 8" xfId="12913" xr:uid="{00000000-0005-0000-0000-0000331A0000}"/>
    <cellStyle name="20% - Accent5 36" xfId="978" xr:uid="{00000000-0005-0000-0000-0000341A0000}"/>
    <cellStyle name="20% - Accent5 36 2" xfId="3934" xr:uid="{00000000-0005-0000-0000-0000351A0000}"/>
    <cellStyle name="20% - Accent5 36 2 2" xfId="11913" xr:uid="{00000000-0005-0000-0000-0000361A0000}"/>
    <cellStyle name="20% - Accent5 36 2 2 2" xfId="23201" xr:uid="{00000000-0005-0000-0000-0000371A0000}"/>
    <cellStyle name="20% - Accent5 36 2 3" xfId="9919" xr:uid="{00000000-0005-0000-0000-0000381A0000}"/>
    <cellStyle name="20% - Accent5 36 2 3 2" xfId="21207" xr:uid="{00000000-0005-0000-0000-0000391A0000}"/>
    <cellStyle name="20% - Accent5 36 2 4" xfId="7925" xr:uid="{00000000-0005-0000-0000-00003A1A0000}"/>
    <cellStyle name="20% - Accent5 36 2 4 2" xfId="19213" xr:uid="{00000000-0005-0000-0000-00003B1A0000}"/>
    <cellStyle name="20% - Accent5 36 2 5" xfId="5931" xr:uid="{00000000-0005-0000-0000-00003C1A0000}"/>
    <cellStyle name="20% - Accent5 36 2 5 2" xfId="17219" xr:uid="{00000000-0005-0000-0000-00003D1A0000}"/>
    <cellStyle name="20% - Accent5 36 2 6" xfId="15225" xr:uid="{00000000-0005-0000-0000-00003E1A0000}"/>
    <cellStyle name="20% - Accent5 36 3" xfId="10916" xr:uid="{00000000-0005-0000-0000-00003F1A0000}"/>
    <cellStyle name="20% - Accent5 36 3 2" xfId="22204" xr:uid="{00000000-0005-0000-0000-0000401A0000}"/>
    <cellStyle name="20% - Accent5 36 4" xfId="8922" xr:uid="{00000000-0005-0000-0000-0000411A0000}"/>
    <cellStyle name="20% - Accent5 36 4 2" xfId="20210" xr:uid="{00000000-0005-0000-0000-0000421A0000}"/>
    <cellStyle name="20% - Accent5 36 5" xfId="6928" xr:uid="{00000000-0005-0000-0000-0000431A0000}"/>
    <cellStyle name="20% - Accent5 36 5 2" xfId="18216" xr:uid="{00000000-0005-0000-0000-0000441A0000}"/>
    <cellStyle name="20% - Accent5 36 6" xfId="4934" xr:uid="{00000000-0005-0000-0000-0000451A0000}"/>
    <cellStyle name="20% - Accent5 36 6 2" xfId="16222" xr:uid="{00000000-0005-0000-0000-0000461A0000}"/>
    <cellStyle name="20% - Accent5 36 7" xfId="14228" xr:uid="{00000000-0005-0000-0000-0000471A0000}"/>
    <cellStyle name="20% - Accent5 36 8" xfId="12914" xr:uid="{00000000-0005-0000-0000-0000481A0000}"/>
    <cellStyle name="20% - Accent5 37" xfId="979" xr:uid="{00000000-0005-0000-0000-0000491A0000}"/>
    <cellStyle name="20% - Accent5 37 2" xfId="3935" xr:uid="{00000000-0005-0000-0000-00004A1A0000}"/>
    <cellStyle name="20% - Accent5 37 2 2" xfId="11914" xr:uid="{00000000-0005-0000-0000-00004B1A0000}"/>
    <cellStyle name="20% - Accent5 37 2 2 2" xfId="23202" xr:uid="{00000000-0005-0000-0000-00004C1A0000}"/>
    <cellStyle name="20% - Accent5 37 2 3" xfId="9920" xr:uid="{00000000-0005-0000-0000-00004D1A0000}"/>
    <cellStyle name="20% - Accent5 37 2 3 2" xfId="21208" xr:uid="{00000000-0005-0000-0000-00004E1A0000}"/>
    <cellStyle name="20% - Accent5 37 2 4" xfId="7926" xr:uid="{00000000-0005-0000-0000-00004F1A0000}"/>
    <cellStyle name="20% - Accent5 37 2 4 2" xfId="19214" xr:uid="{00000000-0005-0000-0000-0000501A0000}"/>
    <cellStyle name="20% - Accent5 37 2 5" xfId="5932" xr:uid="{00000000-0005-0000-0000-0000511A0000}"/>
    <cellStyle name="20% - Accent5 37 2 5 2" xfId="17220" xr:uid="{00000000-0005-0000-0000-0000521A0000}"/>
    <cellStyle name="20% - Accent5 37 2 6" xfId="15226" xr:uid="{00000000-0005-0000-0000-0000531A0000}"/>
    <cellStyle name="20% - Accent5 37 3" xfId="10917" xr:uid="{00000000-0005-0000-0000-0000541A0000}"/>
    <cellStyle name="20% - Accent5 37 3 2" xfId="22205" xr:uid="{00000000-0005-0000-0000-0000551A0000}"/>
    <cellStyle name="20% - Accent5 37 4" xfId="8923" xr:uid="{00000000-0005-0000-0000-0000561A0000}"/>
    <cellStyle name="20% - Accent5 37 4 2" xfId="20211" xr:uid="{00000000-0005-0000-0000-0000571A0000}"/>
    <cellStyle name="20% - Accent5 37 5" xfId="6929" xr:uid="{00000000-0005-0000-0000-0000581A0000}"/>
    <cellStyle name="20% - Accent5 37 5 2" xfId="18217" xr:uid="{00000000-0005-0000-0000-0000591A0000}"/>
    <cellStyle name="20% - Accent5 37 6" xfId="4935" xr:uid="{00000000-0005-0000-0000-00005A1A0000}"/>
    <cellStyle name="20% - Accent5 37 6 2" xfId="16223" xr:uid="{00000000-0005-0000-0000-00005B1A0000}"/>
    <cellStyle name="20% - Accent5 37 7" xfId="14229" xr:uid="{00000000-0005-0000-0000-00005C1A0000}"/>
    <cellStyle name="20% - Accent5 37 8" xfId="12915" xr:uid="{00000000-0005-0000-0000-00005D1A0000}"/>
    <cellStyle name="20% - Accent5 38" xfId="980" xr:uid="{00000000-0005-0000-0000-00005E1A0000}"/>
    <cellStyle name="20% - Accent5 38 2" xfId="3936" xr:uid="{00000000-0005-0000-0000-00005F1A0000}"/>
    <cellStyle name="20% - Accent5 38 2 2" xfId="11915" xr:uid="{00000000-0005-0000-0000-0000601A0000}"/>
    <cellStyle name="20% - Accent5 38 2 2 2" xfId="23203" xr:uid="{00000000-0005-0000-0000-0000611A0000}"/>
    <cellStyle name="20% - Accent5 38 2 3" xfId="9921" xr:uid="{00000000-0005-0000-0000-0000621A0000}"/>
    <cellStyle name="20% - Accent5 38 2 3 2" xfId="21209" xr:uid="{00000000-0005-0000-0000-0000631A0000}"/>
    <cellStyle name="20% - Accent5 38 2 4" xfId="7927" xr:uid="{00000000-0005-0000-0000-0000641A0000}"/>
    <cellStyle name="20% - Accent5 38 2 4 2" xfId="19215" xr:uid="{00000000-0005-0000-0000-0000651A0000}"/>
    <cellStyle name="20% - Accent5 38 2 5" xfId="5933" xr:uid="{00000000-0005-0000-0000-0000661A0000}"/>
    <cellStyle name="20% - Accent5 38 2 5 2" xfId="17221" xr:uid="{00000000-0005-0000-0000-0000671A0000}"/>
    <cellStyle name="20% - Accent5 38 2 6" xfId="15227" xr:uid="{00000000-0005-0000-0000-0000681A0000}"/>
    <cellStyle name="20% - Accent5 38 3" xfId="10918" xr:uid="{00000000-0005-0000-0000-0000691A0000}"/>
    <cellStyle name="20% - Accent5 38 3 2" xfId="22206" xr:uid="{00000000-0005-0000-0000-00006A1A0000}"/>
    <cellStyle name="20% - Accent5 38 4" xfId="8924" xr:uid="{00000000-0005-0000-0000-00006B1A0000}"/>
    <cellStyle name="20% - Accent5 38 4 2" xfId="20212" xr:uid="{00000000-0005-0000-0000-00006C1A0000}"/>
    <cellStyle name="20% - Accent5 38 5" xfId="6930" xr:uid="{00000000-0005-0000-0000-00006D1A0000}"/>
    <cellStyle name="20% - Accent5 38 5 2" xfId="18218" xr:uid="{00000000-0005-0000-0000-00006E1A0000}"/>
    <cellStyle name="20% - Accent5 38 6" xfId="4936" xr:uid="{00000000-0005-0000-0000-00006F1A0000}"/>
    <cellStyle name="20% - Accent5 38 6 2" xfId="16224" xr:uid="{00000000-0005-0000-0000-0000701A0000}"/>
    <cellStyle name="20% - Accent5 38 7" xfId="14230" xr:uid="{00000000-0005-0000-0000-0000711A0000}"/>
    <cellStyle name="20% - Accent5 38 8" xfId="12916" xr:uid="{00000000-0005-0000-0000-0000721A0000}"/>
    <cellStyle name="20% - Accent5 39" xfId="981" xr:uid="{00000000-0005-0000-0000-0000731A0000}"/>
    <cellStyle name="20% - Accent5 39 2" xfId="3937" xr:uid="{00000000-0005-0000-0000-0000741A0000}"/>
    <cellStyle name="20% - Accent5 39 2 2" xfId="11916" xr:uid="{00000000-0005-0000-0000-0000751A0000}"/>
    <cellStyle name="20% - Accent5 39 2 2 2" xfId="23204" xr:uid="{00000000-0005-0000-0000-0000761A0000}"/>
    <cellStyle name="20% - Accent5 39 2 3" xfId="9922" xr:uid="{00000000-0005-0000-0000-0000771A0000}"/>
    <cellStyle name="20% - Accent5 39 2 3 2" xfId="21210" xr:uid="{00000000-0005-0000-0000-0000781A0000}"/>
    <cellStyle name="20% - Accent5 39 2 4" xfId="7928" xr:uid="{00000000-0005-0000-0000-0000791A0000}"/>
    <cellStyle name="20% - Accent5 39 2 4 2" xfId="19216" xr:uid="{00000000-0005-0000-0000-00007A1A0000}"/>
    <cellStyle name="20% - Accent5 39 2 5" xfId="5934" xr:uid="{00000000-0005-0000-0000-00007B1A0000}"/>
    <cellStyle name="20% - Accent5 39 2 5 2" xfId="17222" xr:uid="{00000000-0005-0000-0000-00007C1A0000}"/>
    <cellStyle name="20% - Accent5 39 2 6" xfId="15228" xr:uid="{00000000-0005-0000-0000-00007D1A0000}"/>
    <cellStyle name="20% - Accent5 39 3" xfId="10919" xr:uid="{00000000-0005-0000-0000-00007E1A0000}"/>
    <cellStyle name="20% - Accent5 39 3 2" xfId="22207" xr:uid="{00000000-0005-0000-0000-00007F1A0000}"/>
    <cellStyle name="20% - Accent5 39 4" xfId="8925" xr:uid="{00000000-0005-0000-0000-0000801A0000}"/>
    <cellStyle name="20% - Accent5 39 4 2" xfId="20213" xr:uid="{00000000-0005-0000-0000-0000811A0000}"/>
    <cellStyle name="20% - Accent5 39 5" xfId="6931" xr:uid="{00000000-0005-0000-0000-0000821A0000}"/>
    <cellStyle name="20% - Accent5 39 5 2" xfId="18219" xr:uid="{00000000-0005-0000-0000-0000831A0000}"/>
    <cellStyle name="20% - Accent5 39 6" xfId="4937" xr:uid="{00000000-0005-0000-0000-0000841A0000}"/>
    <cellStyle name="20% - Accent5 39 6 2" xfId="16225" xr:uid="{00000000-0005-0000-0000-0000851A0000}"/>
    <cellStyle name="20% - Accent5 39 7" xfId="14231" xr:uid="{00000000-0005-0000-0000-0000861A0000}"/>
    <cellStyle name="20% - Accent5 39 8" xfId="12917" xr:uid="{00000000-0005-0000-0000-0000871A0000}"/>
    <cellStyle name="20% - Accent5 4" xfId="982" xr:uid="{00000000-0005-0000-0000-0000881A0000}"/>
    <cellStyle name="20% - Accent5 4 10" xfId="24585" xr:uid="{00000000-0005-0000-0000-0000891A0000}"/>
    <cellStyle name="20% - Accent5 4 11" xfId="24975" xr:uid="{00000000-0005-0000-0000-00008A1A0000}"/>
    <cellStyle name="20% - Accent5 4 2" xfId="3938" xr:uid="{00000000-0005-0000-0000-00008B1A0000}"/>
    <cellStyle name="20% - Accent5 4 2 2" xfId="11917" xr:uid="{00000000-0005-0000-0000-00008C1A0000}"/>
    <cellStyle name="20% - Accent5 4 2 2 2" xfId="23205" xr:uid="{00000000-0005-0000-0000-00008D1A0000}"/>
    <cellStyle name="20% - Accent5 4 2 3" xfId="9923" xr:uid="{00000000-0005-0000-0000-00008E1A0000}"/>
    <cellStyle name="20% - Accent5 4 2 3 2" xfId="21211" xr:uid="{00000000-0005-0000-0000-00008F1A0000}"/>
    <cellStyle name="20% - Accent5 4 2 4" xfId="7929" xr:uid="{00000000-0005-0000-0000-0000901A0000}"/>
    <cellStyle name="20% - Accent5 4 2 4 2" xfId="19217" xr:uid="{00000000-0005-0000-0000-0000911A0000}"/>
    <cellStyle name="20% - Accent5 4 2 5" xfId="5935" xr:uid="{00000000-0005-0000-0000-0000921A0000}"/>
    <cellStyle name="20% - Accent5 4 2 5 2" xfId="17223" xr:uid="{00000000-0005-0000-0000-0000931A0000}"/>
    <cellStyle name="20% - Accent5 4 2 6" xfId="15229" xr:uid="{00000000-0005-0000-0000-0000941A0000}"/>
    <cellStyle name="20% - Accent5 4 2 7" xfId="24346" xr:uid="{00000000-0005-0000-0000-0000951A0000}"/>
    <cellStyle name="20% - Accent5 4 2 8" xfId="24810" xr:uid="{00000000-0005-0000-0000-0000961A0000}"/>
    <cellStyle name="20% - Accent5 4 2 9" xfId="25177" xr:uid="{00000000-0005-0000-0000-0000971A0000}"/>
    <cellStyle name="20% - Accent5 4 3" xfId="10920" xr:uid="{00000000-0005-0000-0000-0000981A0000}"/>
    <cellStyle name="20% - Accent5 4 3 2" xfId="22208" xr:uid="{00000000-0005-0000-0000-0000991A0000}"/>
    <cellStyle name="20% - Accent5 4 4" xfId="8926" xr:uid="{00000000-0005-0000-0000-00009A1A0000}"/>
    <cellStyle name="20% - Accent5 4 4 2" xfId="20214" xr:uid="{00000000-0005-0000-0000-00009B1A0000}"/>
    <cellStyle name="20% - Accent5 4 5" xfId="6932" xr:uid="{00000000-0005-0000-0000-00009C1A0000}"/>
    <cellStyle name="20% - Accent5 4 5 2" xfId="18220" xr:uid="{00000000-0005-0000-0000-00009D1A0000}"/>
    <cellStyle name="20% - Accent5 4 6" xfId="4938" xr:uid="{00000000-0005-0000-0000-00009E1A0000}"/>
    <cellStyle name="20% - Accent5 4 6 2" xfId="16226" xr:uid="{00000000-0005-0000-0000-00009F1A0000}"/>
    <cellStyle name="20% - Accent5 4 7" xfId="14232" xr:uid="{00000000-0005-0000-0000-0000A01A0000}"/>
    <cellStyle name="20% - Accent5 4 8" xfId="12918" xr:uid="{00000000-0005-0000-0000-0000A11A0000}"/>
    <cellStyle name="20% - Accent5 4 9" xfId="23958" xr:uid="{00000000-0005-0000-0000-0000A21A0000}"/>
    <cellStyle name="20% - Accent5 40" xfId="983" xr:uid="{00000000-0005-0000-0000-0000A31A0000}"/>
    <cellStyle name="20% - Accent5 40 2" xfId="3939" xr:uid="{00000000-0005-0000-0000-0000A41A0000}"/>
    <cellStyle name="20% - Accent5 40 2 2" xfId="11918" xr:uid="{00000000-0005-0000-0000-0000A51A0000}"/>
    <cellStyle name="20% - Accent5 40 2 2 2" xfId="23206" xr:uid="{00000000-0005-0000-0000-0000A61A0000}"/>
    <cellStyle name="20% - Accent5 40 2 3" xfId="9924" xr:uid="{00000000-0005-0000-0000-0000A71A0000}"/>
    <cellStyle name="20% - Accent5 40 2 3 2" xfId="21212" xr:uid="{00000000-0005-0000-0000-0000A81A0000}"/>
    <cellStyle name="20% - Accent5 40 2 4" xfId="7930" xr:uid="{00000000-0005-0000-0000-0000A91A0000}"/>
    <cellStyle name="20% - Accent5 40 2 4 2" xfId="19218" xr:uid="{00000000-0005-0000-0000-0000AA1A0000}"/>
    <cellStyle name="20% - Accent5 40 2 5" xfId="5936" xr:uid="{00000000-0005-0000-0000-0000AB1A0000}"/>
    <cellStyle name="20% - Accent5 40 2 5 2" xfId="17224" xr:uid="{00000000-0005-0000-0000-0000AC1A0000}"/>
    <cellStyle name="20% - Accent5 40 2 6" xfId="15230" xr:uid="{00000000-0005-0000-0000-0000AD1A0000}"/>
    <cellStyle name="20% - Accent5 40 3" xfId="10921" xr:uid="{00000000-0005-0000-0000-0000AE1A0000}"/>
    <cellStyle name="20% - Accent5 40 3 2" xfId="22209" xr:uid="{00000000-0005-0000-0000-0000AF1A0000}"/>
    <cellStyle name="20% - Accent5 40 4" xfId="8927" xr:uid="{00000000-0005-0000-0000-0000B01A0000}"/>
    <cellStyle name="20% - Accent5 40 4 2" xfId="20215" xr:uid="{00000000-0005-0000-0000-0000B11A0000}"/>
    <cellStyle name="20% - Accent5 40 5" xfId="6933" xr:uid="{00000000-0005-0000-0000-0000B21A0000}"/>
    <cellStyle name="20% - Accent5 40 5 2" xfId="18221" xr:uid="{00000000-0005-0000-0000-0000B31A0000}"/>
    <cellStyle name="20% - Accent5 40 6" xfId="4939" xr:uid="{00000000-0005-0000-0000-0000B41A0000}"/>
    <cellStyle name="20% - Accent5 40 6 2" xfId="16227" xr:uid="{00000000-0005-0000-0000-0000B51A0000}"/>
    <cellStyle name="20% - Accent5 40 7" xfId="14233" xr:uid="{00000000-0005-0000-0000-0000B61A0000}"/>
    <cellStyle name="20% - Accent5 40 8" xfId="12919" xr:uid="{00000000-0005-0000-0000-0000B71A0000}"/>
    <cellStyle name="20% - Accent5 41" xfId="984" xr:uid="{00000000-0005-0000-0000-0000B81A0000}"/>
    <cellStyle name="20% - Accent5 41 2" xfId="3940" xr:uid="{00000000-0005-0000-0000-0000B91A0000}"/>
    <cellStyle name="20% - Accent5 41 2 2" xfId="11919" xr:uid="{00000000-0005-0000-0000-0000BA1A0000}"/>
    <cellStyle name="20% - Accent5 41 2 2 2" xfId="23207" xr:uid="{00000000-0005-0000-0000-0000BB1A0000}"/>
    <cellStyle name="20% - Accent5 41 2 3" xfId="9925" xr:uid="{00000000-0005-0000-0000-0000BC1A0000}"/>
    <cellStyle name="20% - Accent5 41 2 3 2" xfId="21213" xr:uid="{00000000-0005-0000-0000-0000BD1A0000}"/>
    <cellStyle name="20% - Accent5 41 2 4" xfId="7931" xr:uid="{00000000-0005-0000-0000-0000BE1A0000}"/>
    <cellStyle name="20% - Accent5 41 2 4 2" xfId="19219" xr:uid="{00000000-0005-0000-0000-0000BF1A0000}"/>
    <cellStyle name="20% - Accent5 41 2 5" xfId="5937" xr:uid="{00000000-0005-0000-0000-0000C01A0000}"/>
    <cellStyle name="20% - Accent5 41 2 5 2" xfId="17225" xr:uid="{00000000-0005-0000-0000-0000C11A0000}"/>
    <cellStyle name="20% - Accent5 41 2 6" xfId="15231" xr:uid="{00000000-0005-0000-0000-0000C21A0000}"/>
    <cellStyle name="20% - Accent5 41 3" xfId="10922" xr:uid="{00000000-0005-0000-0000-0000C31A0000}"/>
    <cellStyle name="20% - Accent5 41 3 2" xfId="22210" xr:uid="{00000000-0005-0000-0000-0000C41A0000}"/>
    <cellStyle name="20% - Accent5 41 4" xfId="8928" xr:uid="{00000000-0005-0000-0000-0000C51A0000}"/>
    <cellStyle name="20% - Accent5 41 4 2" xfId="20216" xr:uid="{00000000-0005-0000-0000-0000C61A0000}"/>
    <cellStyle name="20% - Accent5 41 5" xfId="6934" xr:uid="{00000000-0005-0000-0000-0000C71A0000}"/>
    <cellStyle name="20% - Accent5 41 5 2" xfId="18222" xr:uid="{00000000-0005-0000-0000-0000C81A0000}"/>
    <cellStyle name="20% - Accent5 41 6" xfId="4940" xr:uid="{00000000-0005-0000-0000-0000C91A0000}"/>
    <cellStyle name="20% - Accent5 41 6 2" xfId="16228" xr:uid="{00000000-0005-0000-0000-0000CA1A0000}"/>
    <cellStyle name="20% - Accent5 41 7" xfId="14234" xr:uid="{00000000-0005-0000-0000-0000CB1A0000}"/>
    <cellStyle name="20% - Accent5 41 8" xfId="12920" xr:uid="{00000000-0005-0000-0000-0000CC1A0000}"/>
    <cellStyle name="20% - Accent5 42" xfId="985" xr:uid="{00000000-0005-0000-0000-0000CD1A0000}"/>
    <cellStyle name="20% - Accent5 42 2" xfId="3941" xr:uid="{00000000-0005-0000-0000-0000CE1A0000}"/>
    <cellStyle name="20% - Accent5 42 2 2" xfId="11920" xr:uid="{00000000-0005-0000-0000-0000CF1A0000}"/>
    <cellStyle name="20% - Accent5 42 2 2 2" xfId="23208" xr:uid="{00000000-0005-0000-0000-0000D01A0000}"/>
    <cellStyle name="20% - Accent5 42 2 3" xfId="9926" xr:uid="{00000000-0005-0000-0000-0000D11A0000}"/>
    <cellStyle name="20% - Accent5 42 2 3 2" xfId="21214" xr:uid="{00000000-0005-0000-0000-0000D21A0000}"/>
    <cellStyle name="20% - Accent5 42 2 4" xfId="7932" xr:uid="{00000000-0005-0000-0000-0000D31A0000}"/>
    <cellStyle name="20% - Accent5 42 2 4 2" xfId="19220" xr:uid="{00000000-0005-0000-0000-0000D41A0000}"/>
    <cellStyle name="20% - Accent5 42 2 5" xfId="5938" xr:uid="{00000000-0005-0000-0000-0000D51A0000}"/>
    <cellStyle name="20% - Accent5 42 2 5 2" xfId="17226" xr:uid="{00000000-0005-0000-0000-0000D61A0000}"/>
    <cellStyle name="20% - Accent5 42 2 6" xfId="15232" xr:uid="{00000000-0005-0000-0000-0000D71A0000}"/>
    <cellStyle name="20% - Accent5 42 3" xfId="10923" xr:uid="{00000000-0005-0000-0000-0000D81A0000}"/>
    <cellStyle name="20% - Accent5 42 3 2" xfId="22211" xr:uid="{00000000-0005-0000-0000-0000D91A0000}"/>
    <cellStyle name="20% - Accent5 42 4" xfId="8929" xr:uid="{00000000-0005-0000-0000-0000DA1A0000}"/>
    <cellStyle name="20% - Accent5 42 4 2" xfId="20217" xr:uid="{00000000-0005-0000-0000-0000DB1A0000}"/>
    <cellStyle name="20% - Accent5 42 5" xfId="6935" xr:uid="{00000000-0005-0000-0000-0000DC1A0000}"/>
    <cellStyle name="20% - Accent5 42 5 2" xfId="18223" xr:uid="{00000000-0005-0000-0000-0000DD1A0000}"/>
    <cellStyle name="20% - Accent5 42 6" xfId="4941" xr:uid="{00000000-0005-0000-0000-0000DE1A0000}"/>
    <cellStyle name="20% - Accent5 42 6 2" xfId="16229" xr:uid="{00000000-0005-0000-0000-0000DF1A0000}"/>
    <cellStyle name="20% - Accent5 42 7" xfId="14235" xr:uid="{00000000-0005-0000-0000-0000E01A0000}"/>
    <cellStyle name="20% - Accent5 42 8" xfId="12921" xr:uid="{00000000-0005-0000-0000-0000E11A0000}"/>
    <cellStyle name="20% - Accent5 43" xfId="986" xr:uid="{00000000-0005-0000-0000-0000E21A0000}"/>
    <cellStyle name="20% - Accent5 43 2" xfId="3942" xr:uid="{00000000-0005-0000-0000-0000E31A0000}"/>
    <cellStyle name="20% - Accent5 43 2 2" xfId="11921" xr:uid="{00000000-0005-0000-0000-0000E41A0000}"/>
    <cellStyle name="20% - Accent5 43 2 2 2" xfId="23209" xr:uid="{00000000-0005-0000-0000-0000E51A0000}"/>
    <cellStyle name="20% - Accent5 43 2 3" xfId="9927" xr:uid="{00000000-0005-0000-0000-0000E61A0000}"/>
    <cellStyle name="20% - Accent5 43 2 3 2" xfId="21215" xr:uid="{00000000-0005-0000-0000-0000E71A0000}"/>
    <cellStyle name="20% - Accent5 43 2 4" xfId="7933" xr:uid="{00000000-0005-0000-0000-0000E81A0000}"/>
    <cellStyle name="20% - Accent5 43 2 4 2" xfId="19221" xr:uid="{00000000-0005-0000-0000-0000E91A0000}"/>
    <cellStyle name="20% - Accent5 43 2 5" xfId="5939" xr:uid="{00000000-0005-0000-0000-0000EA1A0000}"/>
    <cellStyle name="20% - Accent5 43 2 5 2" xfId="17227" xr:uid="{00000000-0005-0000-0000-0000EB1A0000}"/>
    <cellStyle name="20% - Accent5 43 2 6" xfId="15233" xr:uid="{00000000-0005-0000-0000-0000EC1A0000}"/>
    <cellStyle name="20% - Accent5 43 3" xfId="10924" xr:uid="{00000000-0005-0000-0000-0000ED1A0000}"/>
    <cellStyle name="20% - Accent5 43 3 2" xfId="22212" xr:uid="{00000000-0005-0000-0000-0000EE1A0000}"/>
    <cellStyle name="20% - Accent5 43 4" xfId="8930" xr:uid="{00000000-0005-0000-0000-0000EF1A0000}"/>
    <cellStyle name="20% - Accent5 43 4 2" xfId="20218" xr:uid="{00000000-0005-0000-0000-0000F01A0000}"/>
    <cellStyle name="20% - Accent5 43 5" xfId="6936" xr:uid="{00000000-0005-0000-0000-0000F11A0000}"/>
    <cellStyle name="20% - Accent5 43 5 2" xfId="18224" xr:uid="{00000000-0005-0000-0000-0000F21A0000}"/>
    <cellStyle name="20% - Accent5 43 6" xfId="4942" xr:uid="{00000000-0005-0000-0000-0000F31A0000}"/>
    <cellStyle name="20% - Accent5 43 6 2" xfId="16230" xr:uid="{00000000-0005-0000-0000-0000F41A0000}"/>
    <cellStyle name="20% - Accent5 43 7" xfId="14236" xr:uid="{00000000-0005-0000-0000-0000F51A0000}"/>
    <cellStyle name="20% - Accent5 43 8" xfId="12922" xr:uid="{00000000-0005-0000-0000-0000F61A0000}"/>
    <cellStyle name="20% - Accent5 44" xfId="987" xr:uid="{00000000-0005-0000-0000-0000F71A0000}"/>
    <cellStyle name="20% - Accent5 44 2" xfId="3943" xr:uid="{00000000-0005-0000-0000-0000F81A0000}"/>
    <cellStyle name="20% - Accent5 44 2 2" xfId="11922" xr:uid="{00000000-0005-0000-0000-0000F91A0000}"/>
    <cellStyle name="20% - Accent5 44 2 2 2" xfId="23210" xr:uid="{00000000-0005-0000-0000-0000FA1A0000}"/>
    <cellStyle name="20% - Accent5 44 2 3" xfId="9928" xr:uid="{00000000-0005-0000-0000-0000FB1A0000}"/>
    <cellStyle name="20% - Accent5 44 2 3 2" xfId="21216" xr:uid="{00000000-0005-0000-0000-0000FC1A0000}"/>
    <cellStyle name="20% - Accent5 44 2 4" xfId="7934" xr:uid="{00000000-0005-0000-0000-0000FD1A0000}"/>
    <cellStyle name="20% - Accent5 44 2 4 2" xfId="19222" xr:uid="{00000000-0005-0000-0000-0000FE1A0000}"/>
    <cellStyle name="20% - Accent5 44 2 5" xfId="5940" xr:uid="{00000000-0005-0000-0000-0000FF1A0000}"/>
    <cellStyle name="20% - Accent5 44 2 5 2" xfId="17228" xr:uid="{00000000-0005-0000-0000-0000001B0000}"/>
    <cellStyle name="20% - Accent5 44 2 6" xfId="15234" xr:uid="{00000000-0005-0000-0000-0000011B0000}"/>
    <cellStyle name="20% - Accent5 44 3" xfId="10925" xr:uid="{00000000-0005-0000-0000-0000021B0000}"/>
    <cellStyle name="20% - Accent5 44 3 2" xfId="22213" xr:uid="{00000000-0005-0000-0000-0000031B0000}"/>
    <cellStyle name="20% - Accent5 44 4" xfId="8931" xr:uid="{00000000-0005-0000-0000-0000041B0000}"/>
    <cellStyle name="20% - Accent5 44 4 2" xfId="20219" xr:uid="{00000000-0005-0000-0000-0000051B0000}"/>
    <cellStyle name="20% - Accent5 44 5" xfId="6937" xr:uid="{00000000-0005-0000-0000-0000061B0000}"/>
    <cellStyle name="20% - Accent5 44 5 2" xfId="18225" xr:uid="{00000000-0005-0000-0000-0000071B0000}"/>
    <cellStyle name="20% - Accent5 44 6" xfId="4943" xr:uid="{00000000-0005-0000-0000-0000081B0000}"/>
    <cellStyle name="20% - Accent5 44 6 2" xfId="16231" xr:uid="{00000000-0005-0000-0000-0000091B0000}"/>
    <cellStyle name="20% - Accent5 44 7" xfId="14237" xr:uid="{00000000-0005-0000-0000-00000A1B0000}"/>
    <cellStyle name="20% - Accent5 44 8" xfId="12923" xr:uid="{00000000-0005-0000-0000-00000B1B0000}"/>
    <cellStyle name="20% - Accent5 45" xfId="988" xr:uid="{00000000-0005-0000-0000-00000C1B0000}"/>
    <cellStyle name="20% - Accent5 45 2" xfId="3944" xr:uid="{00000000-0005-0000-0000-00000D1B0000}"/>
    <cellStyle name="20% - Accent5 45 2 2" xfId="11923" xr:uid="{00000000-0005-0000-0000-00000E1B0000}"/>
    <cellStyle name="20% - Accent5 45 2 2 2" xfId="23211" xr:uid="{00000000-0005-0000-0000-00000F1B0000}"/>
    <cellStyle name="20% - Accent5 45 2 3" xfId="9929" xr:uid="{00000000-0005-0000-0000-0000101B0000}"/>
    <cellStyle name="20% - Accent5 45 2 3 2" xfId="21217" xr:uid="{00000000-0005-0000-0000-0000111B0000}"/>
    <cellStyle name="20% - Accent5 45 2 4" xfId="7935" xr:uid="{00000000-0005-0000-0000-0000121B0000}"/>
    <cellStyle name="20% - Accent5 45 2 4 2" xfId="19223" xr:uid="{00000000-0005-0000-0000-0000131B0000}"/>
    <cellStyle name="20% - Accent5 45 2 5" xfId="5941" xr:uid="{00000000-0005-0000-0000-0000141B0000}"/>
    <cellStyle name="20% - Accent5 45 2 5 2" xfId="17229" xr:uid="{00000000-0005-0000-0000-0000151B0000}"/>
    <cellStyle name="20% - Accent5 45 2 6" xfId="15235" xr:uid="{00000000-0005-0000-0000-0000161B0000}"/>
    <cellStyle name="20% - Accent5 45 3" xfId="10926" xr:uid="{00000000-0005-0000-0000-0000171B0000}"/>
    <cellStyle name="20% - Accent5 45 3 2" xfId="22214" xr:uid="{00000000-0005-0000-0000-0000181B0000}"/>
    <cellStyle name="20% - Accent5 45 4" xfId="8932" xr:uid="{00000000-0005-0000-0000-0000191B0000}"/>
    <cellStyle name="20% - Accent5 45 4 2" xfId="20220" xr:uid="{00000000-0005-0000-0000-00001A1B0000}"/>
    <cellStyle name="20% - Accent5 45 5" xfId="6938" xr:uid="{00000000-0005-0000-0000-00001B1B0000}"/>
    <cellStyle name="20% - Accent5 45 5 2" xfId="18226" xr:uid="{00000000-0005-0000-0000-00001C1B0000}"/>
    <cellStyle name="20% - Accent5 45 6" xfId="4944" xr:uid="{00000000-0005-0000-0000-00001D1B0000}"/>
    <cellStyle name="20% - Accent5 45 6 2" xfId="16232" xr:uid="{00000000-0005-0000-0000-00001E1B0000}"/>
    <cellStyle name="20% - Accent5 45 7" xfId="14238" xr:uid="{00000000-0005-0000-0000-00001F1B0000}"/>
    <cellStyle name="20% - Accent5 45 8" xfId="12924" xr:uid="{00000000-0005-0000-0000-0000201B0000}"/>
    <cellStyle name="20% - Accent5 46" xfId="989" xr:uid="{00000000-0005-0000-0000-0000211B0000}"/>
    <cellStyle name="20% - Accent5 46 2" xfId="3945" xr:uid="{00000000-0005-0000-0000-0000221B0000}"/>
    <cellStyle name="20% - Accent5 46 2 2" xfId="11924" xr:uid="{00000000-0005-0000-0000-0000231B0000}"/>
    <cellStyle name="20% - Accent5 46 2 2 2" xfId="23212" xr:uid="{00000000-0005-0000-0000-0000241B0000}"/>
    <cellStyle name="20% - Accent5 46 2 3" xfId="9930" xr:uid="{00000000-0005-0000-0000-0000251B0000}"/>
    <cellStyle name="20% - Accent5 46 2 3 2" xfId="21218" xr:uid="{00000000-0005-0000-0000-0000261B0000}"/>
    <cellStyle name="20% - Accent5 46 2 4" xfId="7936" xr:uid="{00000000-0005-0000-0000-0000271B0000}"/>
    <cellStyle name="20% - Accent5 46 2 4 2" xfId="19224" xr:uid="{00000000-0005-0000-0000-0000281B0000}"/>
    <cellStyle name="20% - Accent5 46 2 5" xfId="5942" xr:uid="{00000000-0005-0000-0000-0000291B0000}"/>
    <cellStyle name="20% - Accent5 46 2 5 2" xfId="17230" xr:uid="{00000000-0005-0000-0000-00002A1B0000}"/>
    <cellStyle name="20% - Accent5 46 2 6" xfId="15236" xr:uid="{00000000-0005-0000-0000-00002B1B0000}"/>
    <cellStyle name="20% - Accent5 46 3" xfId="10927" xr:uid="{00000000-0005-0000-0000-00002C1B0000}"/>
    <cellStyle name="20% - Accent5 46 3 2" xfId="22215" xr:uid="{00000000-0005-0000-0000-00002D1B0000}"/>
    <cellStyle name="20% - Accent5 46 4" xfId="8933" xr:uid="{00000000-0005-0000-0000-00002E1B0000}"/>
    <cellStyle name="20% - Accent5 46 4 2" xfId="20221" xr:uid="{00000000-0005-0000-0000-00002F1B0000}"/>
    <cellStyle name="20% - Accent5 46 5" xfId="6939" xr:uid="{00000000-0005-0000-0000-0000301B0000}"/>
    <cellStyle name="20% - Accent5 46 5 2" xfId="18227" xr:uid="{00000000-0005-0000-0000-0000311B0000}"/>
    <cellStyle name="20% - Accent5 46 6" xfId="4945" xr:uid="{00000000-0005-0000-0000-0000321B0000}"/>
    <cellStyle name="20% - Accent5 46 6 2" xfId="16233" xr:uid="{00000000-0005-0000-0000-0000331B0000}"/>
    <cellStyle name="20% - Accent5 46 7" xfId="14239" xr:uid="{00000000-0005-0000-0000-0000341B0000}"/>
    <cellStyle name="20% - Accent5 46 8" xfId="12925" xr:uid="{00000000-0005-0000-0000-0000351B0000}"/>
    <cellStyle name="20% - Accent5 47" xfId="990" xr:uid="{00000000-0005-0000-0000-0000361B0000}"/>
    <cellStyle name="20% - Accent5 47 2" xfId="3946" xr:uid="{00000000-0005-0000-0000-0000371B0000}"/>
    <cellStyle name="20% - Accent5 47 2 2" xfId="11925" xr:uid="{00000000-0005-0000-0000-0000381B0000}"/>
    <cellStyle name="20% - Accent5 47 2 2 2" xfId="23213" xr:uid="{00000000-0005-0000-0000-0000391B0000}"/>
    <cellStyle name="20% - Accent5 47 2 3" xfId="9931" xr:uid="{00000000-0005-0000-0000-00003A1B0000}"/>
    <cellStyle name="20% - Accent5 47 2 3 2" xfId="21219" xr:uid="{00000000-0005-0000-0000-00003B1B0000}"/>
    <cellStyle name="20% - Accent5 47 2 4" xfId="7937" xr:uid="{00000000-0005-0000-0000-00003C1B0000}"/>
    <cellStyle name="20% - Accent5 47 2 4 2" xfId="19225" xr:uid="{00000000-0005-0000-0000-00003D1B0000}"/>
    <cellStyle name="20% - Accent5 47 2 5" xfId="5943" xr:uid="{00000000-0005-0000-0000-00003E1B0000}"/>
    <cellStyle name="20% - Accent5 47 2 5 2" xfId="17231" xr:uid="{00000000-0005-0000-0000-00003F1B0000}"/>
    <cellStyle name="20% - Accent5 47 2 6" xfId="15237" xr:uid="{00000000-0005-0000-0000-0000401B0000}"/>
    <cellStyle name="20% - Accent5 47 3" xfId="10928" xr:uid="{00000000-0005-0000-0000-0000411B0000}"/>
    <cellStyle name="20% - Accent5 47 3 2" xfId="22216" xr:uid="{00000000-0005-0000-0000-0000421B0000}"/>
    <cellStyle name="20% - Accent5 47 4" xfId="8934" xr:uid="{00000000-0005-0000-0000-0000431B0000}"/>
    <cellStyle name="20% - Accent5 47 4 2" xfId="20222" xr:uid="{00000000-0005-0000-0000-0000441B0000}"/>
    <cellStyle name="20% - Accent5 47 5" xfId="6940" xr:uid="{00000000-0005-0000-0000-0000451B0000}"/>
    <cellStyle name="20% - Accent5 47 5 2" xfId="18228" xr:uid="{00000000-0005-0000-0000-0000461B0000}"/>
    <cellStyle name="20% - Accent5 47 6" xfId="4946" xr:uid="{00000000-0005-0000-0000-0000471B0000}"/>
    <cellStyle name="20% - Accent5 47 6 2" xfId="16234" xr:uid="{00000000-0005-0000-0000-0000481B0000}"/>
    <cellStyle name="20% - Accent5 47 7" xfId="14240" xr:uid="{00000000-0005-0000-0000-0000491B0000}"/>
    <cellStyle name="20% - Accent5 47 8" xfId="12926" xr:uid="{00000000-0005-0000-0000-00004A1B0000}"/>
    <cellStyle name="20% - Accent5 48" xfId="991" xr:uid="{00000000-0005-0000-0000-00004B1B0000}"/>
    <cellStyle name="20% - Accent5 48 2" xfId="3947" xr:uid="{00000000-0005-0000-0000-00004C1B0000}"/>
    <cellStyle name="20% - Accent5 48 2 2" xfId="11926" xr:uid="{00000000-0005-0000-0000-00004D1B0000}"/>
    <cellStyle name="20% - Accent5 48 2 2 2" xfId="23214" xr:uid="{00000000-0005-0000-0000-00004E1B0000}"/>
    <cellStyle name="20% - Accent5 48 2 3" xfId="9932" xr:uid="{00000000-0005-0000-0000-00004F1B0000}"/>
    <cellStyle name="20% - Accent5 48 2 3 2" xfId="21220" xr:uid="{00000000-0005-0000-0000-0000501B0000}"/>
    <cellStyle name="20% - Accent5 48 2 4" xfId="7938" xr:uid="{00000000-0005-0000-0000-0000511B0000}"/>
    <cellStyle name="20% - Accent5 48 2 4 2" xfId="19226" xr:uid="{00000000-0005-0000-0000-0000521B0000}"/>
    <cellStyle name="20% - Accent5 48 2 5" xfId="5944" xr:uid="{00000000-0005-0000-0000-0000531B0000}"/>
    <cellStyle name="20% - Accent5 48 2 5 2" xfId="17232" xr:uid="{00000000-0005-0000-0000-0000541B0000}"/>
    <cellStyle name="20% - Accent5 48 2 6" xfId="15238" xr:uid="{00000000-0005-0000-0000-0000551B0000}"/>
    <cellStyle name="20% - Accent5 48 3" xfId="10929" xr:uid="{00000000-0005-0000-0000-0000561B0000}"/>
    <cellStyle name="20% - Accent5 48 3 2" xfId="22217" xr:uid="{00000000-0005-0000-0000-0000571B0000}"/>
    <cellStyle name="20% - Accent5 48 4" xfId="8935" xr:uid="{00000000-0005-0000-0000-0000581B0000}"/>
    <cellStyle name="20% - Accent5 48 4 2" xfId="20223" xr:uid="{00000000-0005-0000-0000-0000591B0000}"/>
    <cellStyle name="20% - Accent5 48 5" xfId="6941" xr:uid="{00000000-0005-0000-0000-00005A1B0000}"/>
    <cellStyle name="20% - Accent5 48 5 2" xfId="18229" xr:uid="{00000000-0005-0000-0000-00005B1B0000}"/>
    <cellStyle name="20% - Accent5 48 6" xfId="4947" xr:uid="{00000000-0005-0000-0000-00005C1B0000}"/>
    <cellStyle name="20% - Accent5 48 6 2" xfId="16235" xr:uid="{00000000-0005-0000-0000-00005D1B0000}"/>
    <cellStyle name="20% - Accent5 48 7" xfId="14241" xr:uid="{00000000-0005-0000-0000-00005E1B0000}"/>
    <cellStyle name="20% - Accent5 48 8" xfId="12927" xr:uid="{00000000-0005-0000-0000-00005F1B0000}"/>
    <cellStyle name="20% - Accent5 49" xfId="992" xr:uid="{00000000-0005-0000-0000-0000601B0000}"/>
    <cellStyle name="20% - Accent5 49 2" xfId="3948" xr:uid="{00000000-0005-0000-0000-0000611B0000}"/>
    <cellStyle name="20% - Accent5 49 2 2" xfId="11927" xr:uid="{00000000-0005-0000-0000-0000621B0000}"/>
    <cellStyle name="20% - Accent5 49 2 2 2" xfId="23215" xr:uid="{00000000-0005-0000-0000-0000631B0000}"/>
    <cellStyle name="20% - Accent5 49 2 3" xfId="9933" xr:uid="{00000000-0005-0000-0000-0000641B0000}"/>
    <cellStyle name="20% - Accent5 49 2 3 2" xfId="21221" xr:uid="{00000000-0005-0000-0000-0000651B0000}"/>
    <cellStyle name="20% - Accent5 49 2 4" xfId="7939" xr:uid="{00000000-0005-0000-0000-0000661B0000}"/>
    <cellStyle name="20% - Accent5 49 2 4 2" xfId="19227" xr:uid="{00000000-0005-0000-0000-0000671B0000}"/>
    <cellStyle name="20% - Accent5 49 2 5" xfId="5945" xr:uid="{00000000-0005-0000-0000-0000681B0000}"/>
    <cellStyle name="20% - Accent5 49 2 5 2" xfId="17233" xr:uid="{00000000-0005-0000-0000-0000691B0000}"/>
    <cellStyle name="20% - Accent5 49 2 6" xfId="15239" xr:uid="{00000000-0005-0000-0000-00006A1B0000}"/>
    <cellStyle name="20% - Accent5 49 3" xfId="10930" xr:uid="{00000000-0005-0000-0000-00006B1B0000}"/>
    <cellStyle name="20% - Accent5 49 3 2" xfId="22218" xr:uid="{00000000-0005-0000-0000-00006C1B0000}"/>
    <cellStyle name="20% - Accent5 49 4" xfId="8936" xr:uid="{00000000-0005-0000-0000-00006D1B0000}"/>
    <cellStyle name="20% - Accent5 49 4 2" xfId="20224" xr:uid="{00000000-0005-0000-0000-00006E1B0000}"/>
    <cellStyle name="20% - Accent5 49 5" xfId="6942" xr:uid="{00000000-0005-0000-0000-00006F1B0000}"/>
    <cellStyle name="20% - Accent5 49 5 2" xfId="18230" xr:uid="{00000000-0005-0000-0000-0000701B0000}"/>
    <cellStyle name="20% - Accent5 49 6" xfId="4948" xr:uid="{00000000-0005-0000-0000-0000711B0000}"/>
    <cellStyle name="20% - Accent5 49 6 2" xfId="16236" xr:uid="{00000000-0005-0000-0000-0000721B0000}"/>
    <cellStyle name="20% - Accent5 49 7" xfId="14242" xr:uid="{00000000-0005-0000-0000-0000731B0000}"/>
    <cellStyle name="20% - Accent5 49 8" xfId="12928" xr:uid="{00000000-0005-0000-0000-0000741B0000}"/>
    <cellStyle name="20% - Accent5 5" xfId="993" xr:uid="{00000000-0005-0000-0000-0000751B0000}"/>
    <cellStyle name="20% - Accent5 5 10" xfId="24586" xr:uid="{00000000-0005-0000-0000-0000761B0000}"/>
    <cellStyle name="20% - Accent5 5 11" xfId="24976" xr:uid="{00000000-0005-0000-0000-0000771B0000}"/>
    <cellStyle name="20% - Accent5 5 2" xfId="3949" xr:uid="{00000000-0005-0000-0000-0000781B0000}"/>
    <cellStyle name="20% - Accent5 5 2 2" xfId="11928" xr:uid="{00000000-0005-0000-0000-0000791B0000}"/>
    <cellStyle name="20% - Accent5 5 2 2 2" xfId="23216" xr:uid="{00000000-0005-0000-0000-00007A1B0000}"/>
    <cellStyle name="20% - Accent5 5 2 3" xfId="9934" xr:uid="{00000000-0005-0000-0000-00007B1B0000}"/>
    <cellStyle name="20% - Accent5 5 2 3 2" xfId="21222" xr:uid="{00000000-0005-0000-0000-00007C1B0000}"/>
    <cellStyle name="20% - Accent5 5 2 4" xfId="7940" xr:uid="{00000000-0005-0000-0000-00007D1B0000}"/>
    <cellStyle name="20% - Accent5 5 2 4 2" xfId="19228" xr:uid="{00000000-0005-0000-0000-00007E1B0000}"/>
    <cellStyle name="20% - Accent5 5 2 5" xfId="5946" xr:uid="{00000000-0005-0000-0000-00007F1B0000}"/>
    <cellStyle name="20% - Accent5 5 2 5 2" xfId="17234" xr:uid="{00000000-0005-0000-0000-0000801B0000}"/>
    <cellStyle name="20% - Accent5 5 2 6" xfId="15240" xr:uid="{00000000-0005-0000-0000-0000811B0000}"/>
    <cellStyle name="20% - Accent5 5 2 7" xfId="24347" xr:uid="{00000000-0005-0000-0000-0000821B0000}"/>
    <cellStyle name="20% - Accent5 5 2 8" xfId="24811" xr:uid="{00000000-0005-0000-0000-0000831B0000}"/>
    <cellStyle name="20% - Accent5 5 2 9" xfId="25178" xr:uid="{00000000-0005-0000-0000-0000841B0000}"/>
    <cellStyle name="20% - Accent5 5 3" xfId="10931" xr:uid="{00000000-0005-0000-0000-0000851B0000}"/>
    <cellStyle name="20% - Accent5 5 3 2" xfId="22219" xr:uid="{00000000-0005-0000-0000-0000861B0000}"/>
    <cellStyle name="20% - Accent5 5 4" xfId="8937" xr:uid="{00000000-0005-0000-0000-0000871B0000}"/>
    <cellStyle name="20% - Accent5 5 4 2" xfId="20225" xr:uid="{00000000-0005-0000-0000-0000881B0000}"/>
    <cellStyle name="20% - Accent5 5 5" xfId="6943" xr:uid="{00000000-0005-0000-0000-0000891B0000}"/>
    <cellStyle name="20% - Accent5 5 5 2" xfId="18231" xr:uid="{00000000-0005-0000-0000-00008A1B0000}"/>
    <cellStyle name="20% - Accent5 5 6" xfId="4949" xr:uid="{00000000-0005-0000-0000-00008B1B0000}"/>
    <cellStyle name="20% - Accent5 5 6 2" xfId="16237" xr:uid="{00000000-0005-0000-0000-00008C1B0000}"/>
    <cellStyle name="20% - Accent5 5 7" xfId="14243" xr:uid="{00000000-0005-0000-0000-00008D1B0000}"/>
    <cellStyle name="20% - Accent5 5 8" xfId="12929" xr:uid="{00000000-0005-0000-0000-00008E1B0000}"/>
    <cellStyle name="20% - Accent5 5 9" xfId="23959" xr:uid="{00000000-0005-0000-0000-00008F1B0000}"/>
    <cellStyle name="20% - Accent5 50" xfId="994" xr:uid="{00000000-0005-0000-0000-0000901B0000}"/>
    <cellStyle name="20% - Accent5 50 2" xfId="3950" xr:uid="{00000000-0005-0000-0000-0000911B0000}"/>
    <cellStyle name="20% - Accent5 50 2 2" xfId="11929" xr:uid="{00000000-0005-0000-0000-0000921B0000}"/>
    <cellStyle name="20% - Accent5 50 2 2 2" xfId="23217" xr:uid="{00000000-0005-0000-0000-0000931B0000}"/>
    <cellStyle name="20% - Accent5 50 2 3" xfId="9935" xr:uid="{00000000-0005-0000-0000-0000941B0000}"/>
    <cellStyle name="20% - Accent5 50 2 3 2" xfId="21223" xr:uid="{00000000-0005-0000-0000-0000951B0000}"/>
    <cellStyle name="20% - Accent5 50 2 4" xfId="7941" xr:uid="{00000000-0005-0000-0000-0000961B0000}"/>
    <cellStyle name="20% - Accent5 50 2 4 2" xfId="19229" xr:uid="{00000000-0005-0000-0000-0000971B0000}"/>
    <cellStyle name="20% - Accent5 50 2 5" xfId="5947" xr:uid="{00000000-0005-0000-0000-0000981B0000}"/>
    <cellStyle name="20% - Accent5 50 2 5 2" xfId="17235" xr:uid="{00000000-0005-0000-0000-0000991B0000}"/>
    <cellStyle name="20% - Accent5 50 2 6" xfId="15241" xr:uid="{00000000-0005-0000-0000-00009A1B0000}"/>
    <cellStyle name="20% - Accent5 50 3" xfId="10932" xr:uid="{00000000-0005-0000-0000-00009B1B0000}"/>
    <cellStyle name="20% - Accent5 50 3 2" xfId="22220" xr:uid="{00000000-0005-0000-0000-00009C1B0000}"/>
    <cellStyle name="20% - Accent5 50 4" xfId="8938" xr:uid="{00000000-0005-0000-0000-00009D1B0000}"/>
    <cellStyle name="20% - Accent5 50 4 2" xfId="20226" xr:uid="{00000000-0005-0000-0000-00009E1B0000}"/>
    <cellStyle name="20% - Accent5 50 5" xfId="6944" xr:uid="{00000000-0005-0000-0000-00009F1B0000}"/>
    <cellStyle name="20% - Accent5 50 5 2" xfId="18232" xr:uid="{00000000-0005-0000-0000-0000A01B0000}"/>
    <cellStyle name="20% - Accent5 50 6" xfId="4950" xr:uid="{00000000-0005-0000-0000-0000A11B0000}"/>
    <cellStyle name="20% - Accent5 50 6 2" xfId="16238" xr:uid="{00000000-0005-0000-0000-0000A21B0000}"/>
    <cellStyle name="20% - Accent5 50 7" xfId="14244" xr:uid="{00000000-0005-0000-0000-0000A31B0000}"/>
    <cellStyle name="20% - Accent5 50 8" xfId="12930" xr:uid="{00000000-0005-0000-0000-0000A41B0000}"/>
    <cellStyle name="20% - Accent5 51" xfId="995" xr:uid="{00000000-0005-0000-0000-0000A51B0000}"/>
    <cellStyle name="20% - Accent5 51 2" xfId="3951" xr:uid="{00000000-0005-0000-0000-0000A61B0000}"/>
    <cellStyle name="20% - Accent5 51 2 2" xfId="11930" xr:uid="{00000000-0005-0000-0000-0000A71B0000}"/>
    <cellStyle name="20% - Accent5 51 2 2 2" xfId="23218" xr:uid="{00000000-0005-0000-0000-0000A81B0000}"/>
    <cellStyle name="20% - Accent5 51 2 3" xfId="9936" xr:uid="{00000000-0005-0000-0000-0000A91B0000}"/>
    <cellStyle name="20% - Accent5 51 2 3 2" xfId="21224" xr:uid="{00000000-0005-0000-0000-0000AA1B0000}"/>
    <cellStyle name="20% - Accent5 51 2 4" xfId="7942" xr:uid="{00000000-0005-0000-0000-0000AB1B0000}"/>
    <cellStyle name="20% - Accent5 51 2 4 2" xfId="19230" xr:uid="{00000000-0005-0000-0000-0000AC1B0000}"/>
    <cellStyle name="20% - Accent5 51 2 5" xfId="5948" xr:uid="{00000000-0005-0000-0000-0000AD1B0000}"/>
    <cellStyle name="20% - Accent5 51 2 5 2" xfId="17236" xr:uid="{00000000-0005-0000-0000-0000AE1B0000}"/>
    <cellStyle name="20% - Accent5 51 2 6" xfId="15242" xr:uid="{00000000-0005-0000-0000-0000AF1B0000}"/>
    <cellStyle name="20% - Accent5 51 3" xfId="10933" xr:uid="{00000000-0005-0000-0000-0000B01B0000}"/>
    <cellStyle name="20% - Accent5 51 3 2" xfId="22221" xr:uid="{00000000-0005-0000-0000-0000B11B0000}"/>
    <cellStyle name="20% - Accent5 51 4" xfId="8939" xr:uid="{00000000-0005-0000-0000-0000B21B0000}"/>
    <cellStyle name="20% - Accent5 51 4 2" xfId="20227" xr:uid="{00000000-0005-0000-0000-0000B31B0000}"/>
    <cellStyle name="20% - Accent5 51 5" xfId="6945" xr:uid="{00000000-0005-0000-0000-0000B41B0000}"/>
    <cellStyle name="20% - Accent5 51 5 2" xfId="18233" xr:uid="{00000000-0005-0000-0000-0000B51B0000}"/>
    <cellStyle name="20% - Accent5 51 6" xfId="4951" xr:uid="{00000000-0005-0000-0000-0000B61B0000}"/>
    <cellStyle name="20% - Accent5 51 6 2" xfId="16239" xr:uid="{00000000-0005-0000-0000-0000B71B0000}"/>
    <cellStyle name="20% - Accent5 51 7" xfId="14245" xr:uid="{00000000-0005-0000-0000-0000B81B0000}"/>
    <cellStyle name="20% - Accent5 51 8" xfId="12931" xr:uid="{00000000-0005-0000-0000-0000B91B0000}"/>
    <cellStyle name="20% - Accent5 52" xfId="996" xr:uid="{00000000-0005-0000-0000-0000BA1B0000}"/>
    <cellStyle name="20% - Accent5 52 2" xfId="3952" xr:uid="{00000000-0005-0000-0000-0000BB1B0000}"/>
    <cellStyle name="20% - Accent5 52 2 2" xfId="11931" xr:uid="{00000000-0005-0000-0000-0000BC1B0000}"/>
    <cellStyle name="20% - Accent5 52 2 2 2" xfId="23219" xr:uid="{00000000-0005-0000-0000-0000BD1B0000}"/>
    <cellStyle name="20% - Accent5 52 2 3" xfId="9937" xr:uid="{00000000-0005-0000-0000-0000BE1B0000}"/>
    <cellStyle name="20% - Accent5 52 2 3 2" xfId="21225" xr:uid="{00000000-0005-0000-0000-0000BF1B0000}"/>
    <cellStyle name="20% - Accent5 52 2 4" xfId="7943" xr:uid="{00000000-0005-0000-0000-0000C01B0000}"/>
    <cellStyle name="20% - Accent5 52 2 4 2" xfId="19231" xr:uid="{00000000-0005-0000-0000-0000C11B0000}"/>
    <cellStyle name="20% - Accent5 52 2 5" xfId="5949" xr:uid="{00000000-0005-0000-0000-0000C21B0000}"/>
    <cellStyle name="20% - Accent5 52 2 5 2" xfId="17237" xr:uid="{00000000-0005-0000-0000-0000C31B0000}"/>
    <cellStyle name="20% - Accent5 52 2 6" xfId="15243" xr:uid="{00000000-0005-0000-0000-0000C41B0000}"/>
    <cellStyle name="20% - Accent5 52 3" xfId="10934" xr:uid="{00000000-0005-0000-0000-0000C51B0000}"/>
    <cellStyle name="20% - Accent5 52 3 2" xfId="22222" xr:uid="{00000000-0005-0000-0000-0000C61B0000}"/>
    <cellStyle name="20% - Accent5 52 4" xfId="8940" xr:uid="{00000000-0005-0000-0000-0000C71B0000}"/>
    <cellStyle name="20% - Accent5 52 4 2" xfId="20228" xr:uid="{00000000-0005-0000-0000-0000C81B0000}"/>
    <cellStyle name="20% - Accent5 52 5" xfId="6946" xr:uid="{00000000-0005-0000-0000-0000C91B0000}"/>
    <cellStyle name="20% - Accent5 52 5 2" xfId="18234" xr:uid="{00000000-0005-0000-0000-0000CA1B0000}"/>
    <cellStyle name="20% - Accent5 52 6" xfId="4952" xr:uid="{00000000-0005-0000-0000-0000CB1B0000}"/>
    <cellStyle name="20% - Accent5 52 6 2" xfId="16240" xr:uid="{00000000-0005-0000-0000-0000CC1B0000}"/>
    <cellStyle name="20% - Accent5 52 7" xfId="14246" xr:uid="{00000000-0005-0000-0000-0000CD1B0000}"/>
    <cellStyle name="20% - Accent5 52 8" xfId="12932" xr:uid="{00000000-0005-0000-0000-0000CE1B0000}"/>
    <cellStyle name="20% - Accent5 53" xfId="997" xr:uid="{00000000-0005-0000-0000-0000CF1B0000}"/>
    <cellStyle name="20% - Accent5 53 2" xfId="3953" xr:uid="{00000000-0005-0000-0000-0000D01B0000}"/>
    <cellStyle name="20% - Accent5 53 2 2" xfId="11932" xr:uid="{00000000-0005-0000-0000-0000D11B0000}"/>
    <cellStyle name="20% - Accent5 53 2 2 2" xfId="23220" xr:uid="{00000000-0005-0000-0000-0000D21B0000}"/>
    <cellStyle name="20% - Accent5 53 2 3" xfId="9938" xr:uid="{00000000-0005-0000-0000-0000D31B0000}"/>
    <cellStyle name="20% - Accent5 53 2 3 2" xfId="21226" xr:uid="{00000000-0005-0000-0000-0000D41B0000}"/>
    <cellStyle name="20% - Accent5 53 2 4" xfId="7944" xr:uid="{00000000-0005-0000-0000-0000D51B0000}"/>
    <cellStyle name="20% - Accent5 53 2 4 2" xfId="19232" xr:uid="{00000000-0005-0000-0000-0000D61B0000}"/>
    <cellStyle name="20% - Accent5 53 2 5" xfId="5950" xr:uid="{00000000-0005-0000-0000-0000D71B0000}"/>
    <cellStyle name="20% - Accent5 53 2 5 2" xfId="17238" xr:uid="{00000000-0005-0000-0000-0000D81B0000}"/>
    <cellStyle name="20% - Accent5 53 2 6" xfId="15244" xr:uid="{00000000-0005-0000-0000-0000D91B0000}"/>
    <cellStyle name="20% - Accent5 53 3" xfId="10935" xr:uid="{00000000-0005-0000-0000-0000DA1B0000}"/>
    <cellStyle name="20% - Accent5 53 3 2" xfId="22223" xr:uid="{00000000-0005-0000-0000-0000DB1B0000}"/>
    <cellStyle name="20% - Accent5 53 4" xfId="8941" xr:uid="{00000000-0005-0000-0000-0000DC1B0000}"/>
    <cellStyle name="20% - Accent5 53 4 2" xfId="20229" xr:uid="{00000000-0005-0000-0000-0000DD1B0000}"/>
    <cellStyle name="20% - Accent5 53 5" xfId="6947" xr:uid="{00000000-0005-0000-0000-0000DE1B0000}"/>
    <cellStyle name="20% - Accent5 53 5 2" xfId="18235" xr:uid="{00000000-0005-0000-0000-0000DF1B0000}"/>
    <cellStyle name="20% - Accent5 53 6" xfId="4953" xr:uid="{00000000-0005-0000-0000-0000E01B0000}"/>
    <cellStyle name="20% - Accent5 53 6 2" xfId="16241" xr:uid="{00000000-0005-0000-0000-0000E11B0000}"/>
    <cellStyle name="20% - Accent5 53 7" xfId="14247" xr:uid="{00000000-0005-0000-0000-0000E21B0000}"/>
    <cellStyle name="20% - Accent5 53 8" xfId="12933" xr:uid="{00000000-0005-0000-0000-0000E31B0000}"/>
    <cellStyle name="20% - Accent5 54" xfId="998" xr:uid="{00000000-0005-0000-0000-0000E41B0000}"/>
    <cellStyle name="20% - Accent5 54 2" xfId="3954" xr:uid="{00000000-0005-0000-0000-0000E51B0000}"/>
    <cellStyle name="20% - Accent5 54 2 2" xfId="11933" xr:uid="{00000000-0005-0000-0000-0000E61B0000}"/>
    <cellStyle name="20% - Accent5 54 2 2 2" xfId="23221" xr:uid="{00000000-0005-0000-0000-0000E71B0000}"/>
    <cellStyle name="20% - Accent5 54 2 3" xfId="9939" xr:uid="{00000000-0005-0000-0000-0000E81B0000}"/>
    <cellStyle name="20% - Accent5 54 2 3 2" xfId="21227" xr:uid="{00000000-0005-0000-0000-0000E91B0000}"/>
    <cellStyle name="20% - Accent5 54 2 4" xfId="7945" xr:uid="{00000000-0005-0000-0000-0000EA1B0000}"/>
    <cellStyle name="20% - Accent5 54 2 4 2" xfId="19233" xr:uid="{00000000-0005-0000-0000-0000EB1B0000}"/>
    <cellStyle name="20% - Accent5 54 2 5" xfId="5951" xr:uid="{00000000-0005-0000-0000-0000EC1B0000}"/>
    <cellStyle name="20% - Accent5 54 2 5 2" xfId="17239" xr:uid="{00000000-0005-0000-0000-0000ED1B0000}"/>
    <cellStyle name="20% - Accent5 54 2 6" xfId="15245" xr:uid="{00000000-0005-0000-0000-0000EE1B0000}"/>
    <cellStyle name="20% - Accent5 54 3" xfId="10936" xr:uid="{00000000-0005-0000-0000-0000EF1B0000}"/>
    <cellStyle name="20% - Accent5 54 3 2" xfId="22224" xr:uid="{00000000-0005-0000-0000-0000F01B0000}"/>
    <cellStyle name="20% - Accent5 54 4" xfId="8942" xr:uid="{00000000-0005-0000-0000-0000F11B0000}"/>
    <cellStyle name="20% - Accent5 54 4 2" xfId="20230" xr:uid="{00000000-0005-0000-0000-0000F21B0000}"/>
    <cellStyle name="20% - Accent5 54 5" xfId="6948" xr:uid="{00000000-0005-0000-0000-0000F31B0000}"/>
    <cellStyle name="20% - Accent5 54 5 2" xfId="18236" xr:uid="{00000000-0005-0000-0000-0000F41B0000}"/>
    <cellStyle name="20% - Accent5 54 6" xfId="4954" xr:uid="{00000000-0005-0000-0000-0000F51B0000}"/>
    <cellStyle name="20% - Accent5 54 6 2" xfId="16242" xr:uid="{00000000-0005-0000-0000-0000F61B0000}"/>
    <cellStyle name="20% - Accent5 54 7" xfId="14248" xr:uid="{00000000-0005-0000-0000-0000F71B0000}"/>
    <cellStyle name="20% - Accent5 54 8" xfId="12934" xr:uid="{00000000-0005-0000-0000-0000F81B0000}"/>
    <cellStyle name="20% - Accent5 55" xfId="999" xr:uid="{00000000-0005-0000-0000-0000F91B0000}"/>
    <cellStyle name="20% - Accent5 55 2" xfId="3955" xr:uid="{00000000-0005-0000-0000-0000FA1B0000}"/>
    <cellStyle name="20% - Accent5 55 2 2" xfId="11934" xr:uid="{00000000-0005-0000-0000-0000FB1B0000}"/>
    <cellStyle name="20% - Accent5 55 2 2 2" xfId="23222" xr:uid="{00000000-0005-0000-0000-0000FC1B0000}"/>
    <cellStyle name="20% - Accent5 55 2 3" xfId="9940" xr:uid="{00000000-0005-0000-0000-0000FD1B0000}"/>
    <cellStyle name="20% - Accent5 55 2 3 2" xfId="21228" xr:uid="{00000000-0005-0000-0000-0000FE1B0000}"/>
    <cellStyle name="20% - Accent5 55 2 4" xfId="7946" xr:uid="{00000000-0005-0000-0000-0000FF1B0000}"/>
    <cellStyle name="20% - Accent5 55 2 4 2" xfId="19234" xr:uid="{00000000-0005-0000-0000-0000001C0000}"/>
    <cellStyle name="20% - Accent5 55 2 5" xfId="5952" xr:uid="{00000000-0005-0000-0000-0000011C0000}"/>
    <cellStyle name="20% - Accent5 55 2 5 2" xfId="17240" xr:uid="{00000000-0005-0000-0000-0000021C0000}"/>
    <cellStyle name="20% - Accent5 55 2 6" xfId="15246" xr:uid="{00000000-0005-0000-0000-0000031C0000}"/>
    <cellStyle name="20% - Accent5 55 3" xfId="10937" xr:uid="{00000000-0005-0000-0000-0000041C0000}"/>
    <cellStyle name="20% - Accent5 55 3 2" xfId="22225" xr:uid="{00000000-0005-0000-0000-0000051C0000}"/>
    <cellStyle name="20% - Accent5 55 4" xfId="8943" xr:uid="{00000000-0005-0000-0000-0000061C0000}"/>
    <cellStyle name="20% - Accent5 55 4 2" xfId="20231" xr:uid="{00000000-0005-0000-0000-0000071C0000}"/>
    <cellStyle name="20% - Accent5 55 5" xfId="6949" xr:uid="{00000000-0005-0000-0000-0000081C0000}"/>
    <cellStyle name="20% - Accent5 55 5 2" xfId="18237" xr:uid="{00000000-0005-0000-0000-0000091C0000}"/>
    <cellStyle name="20% - Accent5 55 6" xfId="4955" xr:uid="{00000000-0005-0000-0000-00000A1C0000}"/>
    <cellStyle name="20% - Accent5 55 6 2" xfId="16243" xr:uid="{00000000-0005-0000-0000-00000B1C0000}"/>
    <cellStyle name="20% - Accent5 55 7" xfId="14249" xr:uid="{00000000-0005-0000-0000-00000C1C0000}"/>
    <cellStyle name="20% - Accent5 55 8" xfId="12935" xr:uid="{00000000-0005-0000-0000-00000D1C0000}"/>
    <cellStyle name="20% - Accent5 56" xfId="1000" xr:uid="{00000000-0005-0000-0000-00000E1C0000}"/>
    <cellStyle name="20% - Accent5 56 2" xfId="3956" xr:uid="{00000000-0005-0000-0000-00000F1C0000}"/>
    <cellStyle name="20% - Accent5 56 2 2" xfId="11935" xr:uid="{00000000-0005-0000-0000-0000101C0000}"/>
    <cellStyle name="20% - Accent5 56 2 2 2" xfId="23223" xr:uid="{00000000-0005-0000-0000-0000111C0000}"/>
    <cellStyle name="20% - Accent5 56 2 3" xfId="9941" xr:uid="{00000000-0005-0000-0000-0000121C0000}"/>
    <cellStyle name="20% - Accent5 56 2 3 2" xfId="21229" xr:uid="{00000000-0005-0000-0000-0000131C0000}"/>
    <cellStyle name="20% - Accent5 56 2 4" xfId="7947" xr:uid="{00000000-0005-0000-0000-0000141C0000}"/>
    <cellStyle name="20% - Accent5 56 2 4 2" xfId="19235" xr:uid="{00000000-0005-0000-0000-0000151C0000}"/>
    <cellStyle name="20% - Accent5 56 2 5" xfId="5953" xr:uid="{00000000-0005-0000-0000-0000161C0000}"/>
    <cellStyle name="20% - Accent5 56 2 5 2" xfId="17241" xr:uid="{00000000-0005-0000-0000-0000171C0000}"/>
    <cellStyle name="20% - Accent5 56 2 6" xfId="15247" xr:uid="{00000000-0005-0000-0000-0000181C0000}"/>
    <cellStyle name="20% - Accent5 56 3" xfId="10938" xr:uid="{00000000-0005-0000-0000-0000191C0000}"/>
    <cellStyle name="20% - Accent5 56 3 2" xfId="22226" xr:uid="{00000000-0005-0000-0000-00001A1C0000}"/>
    <cellStyle name="20% - Accent5 56 4" xfId="8944" xr:uid="{00000000-0005-0000-0000-00001B1C0000}"/>
    <cellStyle name="20% - Accent5 56 4 2" xfId="20232" xr:uid="{00000000-0005-0000-0000-00001C1C0000}"/>
    <cellStyle name="20% - Accent5 56 5" xfId="6950" xr:uid="{00000000-0005-0000-0000-00001D1C0000}"/>
    <cellStyle name="20% - Accent5 56 5 2" xfId="18238" xr:uid="{00000000-0005-0000-0000-00001E1C0000}"/>
    <cellStyle name="20% - Accent5 56 6" xfId="4956" xr:uid="{00000000-0005-0000-0000-00001F1C0000}"/>
    <cellStyle name="20% - Accent5 56 6 2" xfId="16244" xr:uid="{00000000-0005-0000-0000-0000201C0000}"/>
    <cellStyle name="20% - Accent5 56 7" xfId="14250" xr:uid="{00000000-0005-0000-0000-0000211C0000}"/>
    <cellStyle name="20% - Accent5 56 8" xfId="12936" xr:uid="{00000000-0005-0000-0000-0000221C0000}"/>
    <cellStyle name="20% - Accent5 57" xfId="1001" xr:uid="{00000000-0005-0000-0000-0000231C0000}"/>
    <cellStyle name="20% - Accent5 57 2" xfId="3957" xr:uid="{00000000-0005-0000-0000-0000241C0000}"/>
    <cellStyle name="20% - Accent5 57 2 2" xfId="11936" xr:uid="{00000000-0005-0000-0000-0000251C0000}"/>
    <cellStyle name="20% - Accent5 57 2 2 2" xfId="23224" xr:uid="{00000000-0005-0000-0000-0000261C0000}"/>
    <cellStyle name="20% - Accent5 57 2 3" xfId="9942" xr:uid="{00000000-0005-0000-0000-0000271C0000}"/>
    <cellStyle name="20% - Accent5 57 2 3 2" xfId="21230" xr:uid="{00000000-0005-0000-0000-0000281C0000}"/>
    <cellStyle name="20% - Accent5 57 2 4" xfId="7948" xr:uid="{00000000-0005-0000-0000-0000291C0000}"/>
    <cellStyle name="20% - Accent5 57 2 4 2" xfId="19236" xr:uid="{00000000-0005-0000-0000-00002A1C0000}"/>
    <cellStyle name="20% - Accent5 57 2 5" xfId="5954" xr:uid="{00000000-0005-0000-0000-00002B1C0000}"/>
    <cellStyle name="20% - Accent5 57 2 5 2" xfId="17242" xr:uid="{00000000-0005-0000-0000-00002C1C0000}"/>
    <cellStyle name="20% - Accent5 57 2 6" xfId="15248" xr:uid="{00000000-0005-0000-0000-00002D1C0000}"/>
    <cellStyle name="20% - Accent5 57 3" xfId="10939" xr:uid="{00000000-0005-0000-0000-00002E1C0000}"/>
    <cellStyle name="20% - Accent5 57 3 2" xfId="22227" xr:uid="{00000000-0005-0000-0000-00002F1C0000}"/>
    <cellStyle name="20% - Accent5 57 4" xfId="8945" xr:uid="{00000000-0005-0000-0000-0000301C0000}"/>
    <cellStyle name="20% - Accent5 57 4 2" xfId="20233" xr:uid="{00000000-0005-0000-0000-0000311C0000}"/>
    <cellStyle name="20% - Accent5 57 5" xfId="6951" xr:uid="{00000000-0005-0000-0000-0000321C0000}"/>
    <cellStyle name="20% - Accent5 57 5 2" xfId="18239" xr:uid="{00000000-0005-0000-0000-0000331C0000}"/>
    <cellStyle name="20% - Accent5 57 6" xfId="4957" xr:uid="{00000000-0005-0000-0000-0000341C0000}"/>
    <cellStyle name="20% - Accent5 57 6 2" xfId="16245" xr:uid="{00000000-0005-0000-0000-0000351C0000}"/>
    <cellStyle name="20% - Accent5 57 7" xfId="14251" xr:uid="{00000000-0005-0000-0000-0000361C0000}"/>
    <cellStyle name="20% - Accent5 57 8" xfId="12937" xr:uid="{00000000-0005-0000-0000-0000371C0000}"/>
    <cellStyle name="20% - Accent5 58" xfId="1002" xr:uid="{00000000-0005-0000-0000-0000381C0000}"/>
    <cellStyle name="20% - Accent5 58 2" xfId="3958" xr:uid="{00000000-0005-0000-0000-0000391C0000}"/>
    <cellStyle name="20% - Accent5 58 2 2" xfId="11937" xr:uid="{00000000-0005-0000-0000-00003A1C0000}"/>
    <cellStyle name="20% - Accent5 58 2 2 2" xfId="23225" xr:uid="{00000000-0005-0000-0000-00003B1C0000}"/>
    <cellStyle name="20% - Accent5 58 2 3" xfId="9943" xr:uid="{00000000-0005-0000-0000-00003C1C0000}"/>
    <cellStyle name="20% - Accent5 58 2 3 2" xfId="21231" xr:uid="{00000000-0005-0000-0000-00003D1C0000}"/>
    <cellStyle name="20% - Accent5 58 2 4" xfId="7949" xr:uid="{00000000-0005-0000-0000-00003E1C0000}"/>
    <cellStyle name="20% - Accent5 58 2 4 2" xfId="19237" xr:uid="{00000000-0005-0000-0000-00003F1C0000}"/>
    <cellStyle name="20% - Accent5 58 2 5" xfId="5955" xr:uid="{00000000-0005-0000-0000-0000401C0000}"/>
    <cellStyle name="20% - Accent5 58 2 5 2" xfId="17243" xr:uid="{00000000-0005-0000-0000-0000411C0000}"/>
    <cellStyle name="20% - Accent5 58 2 6" xfId="15249" xr:uid="{00000000-0005-0000-0000-0000421C0000}"/>
    <cellStyle name="20% - Accent5 58 3" xfId="10940" xr:uid="{00000000-0005-0000-0000-0000431C0000}"/>
    <cellStyle name="20% - Accent5 58 3 2" xfId="22228" xr:uid="{00000000-0005-0000-0000-0000441C0000}"/>
    <cellStyle name="20% - Accent5 58 4" xfId="8946" xr:uid="{00000000-0005-0000-0000-0000451C0000}"/>
    <cellStyle name="20% - Accent5 58 4 2" xfId="20234" xr:uid="{00000000-0005-0000-0000-0000461C0000}"/>
    <cellStyle name="20% - Accent5 58 5" xfId="6952" xr:uid="{00000000-0005-0000-0000-0000471C0000}"/>
    <cellStyle name="20% - Accent5 58 5 2" xfId="18240" xr:uid="{00000000-0005-0000-0000-0000481C0000}"/>
    <cellStyle name="20% - Accent5 58 6" xfId="4958" xr:uid="{00000000-0005-0000-0000-0000491C0000}"/>
    <cellStyle name="20% - Accent5 58 6 2" xfId="16246" xr:uid="{00000000-0005-0000-0000-00004A1C0000}"/>
    <cellStyle name="20% - Accent5 58 7" xfId="14252" xr:uid="{00000000-0005-0000-0000-00004B1C0000}"/>
    <cellStyle name="20% - Accent5 58 8" xfId="12938" xr:uid="{00000000-0005-0000-0000-00004C1C0000}"/>
    <cellStyle name="20% - Accent5 59" xfId="1003" xr:uid="{00000000-0005-0000-0000-00004D1C0000}"/>
    <cellStyle name="20% - Accent5 59 2" xfId="3959" xr:uid="{00000000-0005-0000-0000-00004E1C0000}"/>
    <cellStyle name="20% - Accent5 59 2 2" xfId="11938" xr:uid="{00000000-0005-0000-0000-00004F1C0000}"/>
    <cellStyle name="20% - Accent5 59 2 2 2" xfId="23226" xr:uid="{00000000-0005-0000-0000-0000501C0000}"/>
    <cellStyle name="20% - Accent5 59 2 3" xfId="9944" xr:uid="{00000000-0005-0000-0000-0000511C0000}"/>
    <cellStyle name="20% - Accent5 59 2 3 2" xfId="21232" xr:uid="{00000000-0005-0000-0000-0000521C0000}"/>
    <cellStyle name="20% - Accent5 59 2 4" xfId="7950" xr:uid="{00000000-0005-0000-0000-0000531C0000}"/>
    <cellStyle name="20% - Accent5 59 2 4 2" xfId="19238" xr:uid="{00000000-0005-0000-0000-0000541C0000}"/>
    <cellStyle name="20% - Accent5 59 2 5" xfId="5956" xr:uid="{00000000-0005-0000-0000-0000551C0000}"/>
    <cellStyle name="20% - Accent5 59 2 5 2" xfId="17244" xr:uid="{00000000-0005-0000-0000-0000561C0000}"/>
    <cellStyle name="20% - Accent5 59 2 6" xfId="15250" xr:uid="{00000000-0005-0000-0000-0000571C0000}"/>
    <cellStyle name="20% - Accent5 59 3" xfId="10941" xr:uid="{00000000-0005-0000-0000-0000581C0000}"/>
    <cellStyle name="20% - Accent5 59 3 2" xfId="22229" xr:uid="{00000000-0005-0000-0000-0000591C0000}"/>
    <cellStyle name="20% - Accent5 59 4" xfId="8947" xr:uid="{00000000-0005-0000-0000-00005A1C0000}"/>
    <cellStyle name="20% - Accent5 59 4 2" xfId="20235" xr:uid="{00000000-0005-0000-0000-00005B1C0000}"/>
    <cellStyle name="20% - Accent5 59 5" xfId="6953" xr:uid="{00000000-0005-0000-0000-00005C1C0000}"/>
    <cellStyle name="20% - Accent5 59 5 2" xfId="18241" xr:uid="{00000000-0005-0000-0000-00005D1C0000}"/>
    <cellStyle name="20% - Accent5 59 6" xfId="4959" xr:uid="{00000000-0005-0000-0000-00005E1C0000}"/>
    <cellStyle name="20% - Accent5 59 6 2" xfId="16247" xr:uid="{00000000-0005-0000-0000-00005F1C0000}"/>
    <cellStyle name="20% - Accent5 59 7" xfId="14253" xr:uid="{00000000-0005-0000-0000-0000601C0000}"/>
    <cellStyle name="20% - Accent5 59 8" xfId="12939" xr:uid="{00000000-0005-0000-0000-0000611C0000}"/>
    <cellStyle name="20% - Accent5 6" xfId="1004" xr:uid="{00000000-0005-0000-0000-0000621C0000}"/>
    <cellStyle name="20% - Accent5 6 10" xfId="24587" xr:uid="{00000000-0005-0000-0000-0000631C0000}"/>
    <cellStyle name="20% - Accent5 6 11" xfId="24977" xr:uid="{00000000-0005-0000-0000-0000641C0000}"/>
    <cellStyle name="20% - Accent5 6 2" xfId="3960" xr:uid="{00000000-0005-0000-0000-0000651C0000}"/>
    <cellStyle name="20% - Accent5 6 2 2" xfId="11939" xr:uid="{00000000-0005-0000-0000-0000661C0000}"/>
    <cellStyle name="20% - Accent5 6 2 2 2" xfId="23227" xr:uid="{00000000-0005-0000-0000-0000671C0000}"/>
    <cellStyle name="20% - Accent5 6 2 3" xfId="9945" xr:uid="{00000000-0005-0000-0000-0000681C0000}"/>
    <cellStyle name="20% - Accent5 6 2 3 2" xfId="21233" xr:uid="{00000000-0005-0000-0000-0000691C0000}"/>
    <cellStyle name="20% - Accent5 6 2 4" xfId="7951" xr:uid="{00000000-0005-0000-0000-00006A1C0000}"/>
    <cellStyle name="20% - Accent5 6 2 4 2" xfId="19239" xr:uid="{00000000-0005-0000-0000-00006B1C0000}"/>
    <cellStyle name="20% - Accent5 6 2 5" xfId="5957" xr:uid="{00000000-0005-0000-0000-00006C1C0000}"/>
    <cellStyle name="20% - Accent5 6 2 5 2" xfId="17245" xr:uid="{00000000-0005-0000-0000-00006D1C0000}"/>
    <cellStyle name="20% - Accent5 6 2 6" xfId="15251" xr:uid="{00000000-0005-0000-0000-00006E1C0000}"/>
    <cellStyle name="20% - Accent5 6 2 7" xfId="24348" xr:uid="{00000000-0005-0000-0000-00006F1C0000}"/>
    <cellStyle name="20% - Accent5 6 2 8" xfId="24812" xr:uid="{00000000-0005-0000-0000-0000701C0000}"/>
    <cellStyle name="20% - Accent5 6 2 9" xfId="25179" xr:uid="{00000000-0005-0000-0000-0000711C0000}"/>
    <cellStyle name="20% - Accent5 6 3" xfId="10942" xr:uid="{00000000-0005-0000-0000-0000721C0000}"/>
    <cellStyle name="20% - Accent5 6 3 2" xfId="22230" xr:uid="{00000000-0005-0000-0000-0000731C0000}"/>
    <cellStyle name="20% - Accent5 6 4" xfId="8948" xr:uid="{00000000-0005-0000-0000-0000741C0000}"/>
    <cellStyle name="20% - Accent5 6 4 2" xfId="20236" xr:uid="{00000000-0005-0000-0000-0000751C0000}"/>
    <cellStyle name="20% - Accent5 6 5" xfId="6954" xr:uid="{00000000-0005-0000-0000-0000761C0000}"/>
    <cellStyle name="20% - Accent5 6 5 2" xfId="18242" xr:uid="{00000000-0005-0000-0000-0000771C0000}"/>
    <cellStyle name="20% - Accent5 6 6" xfId="4960" xr:uid="{00000000-0005-0000-0000-0000781C0000}"/>
    <cellStyle name="20% - Accent5 6 6 2" xfId="16248" xr:uid="{00000000-0005-0000-0000-0000791C0000}"/>
    <cellStyle name="20% - Accent5 6 7" xfId="14254" xr:uid="{00000000-0005-0000-0000-00007A1C0000}"/>
    <cellStyle name="20% - Accent5 6 8" xfId="12940" xr:uid="{00000000-0005-0000-0000-00007B1C0000}"/>
    <cellStyle name="20% - Accent5 6 9" xfId="23960" xr:uid="{00000000-0005-0000-0000-00007C1C0000}"/>
    <cellStyle name="20% - Accent5 60" xfId="1005" xr:uid="{00000000-0005-0000-0000-00007D1C0000}"/>
    <cellStyle name="20% - Accent5 60 2" xfId="3961" xr:uid="{00000000-0005-0000-0000-00007E1C0000}"/>
    <cellStyle name="20% - Accent5 60 2 2" xfId="11940" xr:uid="{00000000-0005-0000-0000-00007F1C0000}"/>
    <cellStyle name="20% - Accent5 60 2 2 2" xfId="23228" xr:uid="{00000000-0005-0000-0000-0000801C0000}"/>
    <cellStyle name="20% - Accent5 60 2 3" xfId="9946" xr:uid="{00000000-0005-0000-0000-0000811C0000}"/>
    <cellStyle name="20% - Accent5 60 2 3 2" xfId="21234" xr:uid="{00000000-0005-0000-0000-0000821C0000}"/>
    <cellStyle name="20% - Accent5 60 2 4" xfId="7952" xr:uid="{00000000-0005-0000-0000-0000831C0000}"/>
    <cellStyle name="20% - Accent5 60 2 4 2" xfId="19240" xr:uid="{00000000-0005-0000-0000-0000841C0000}"/>
    <cellStyle name="20% - Accent5 60 2 5" xfId="5958" xr:uid="{00000000-0005-0000-0000-0000851C0000}"/>
    <cellStyle name="20% - Accent5 60 2 5 2" xfId="17246" xr:uid="{00000000-0005-0000-0000-0000861C0000}"/>
    <cellStyle name="20% - Accent5 60 2 6" xfId="15252" xr:uid="{00000000-0005-0000-0000-0000871C0000}"/>
    <cellStyle name="20% - Accent5 60 3" xfId="10943" xr:uid="{00000000-0005-0000-0000-0000881C0000}"/>
    <cellStyle name="20% - Accent5 60 3 2" xfId="22231" xr:uid="{00000000-0005-0000-0000-0000891C0000}"/>
    <cellStyle name="20% - Accent5 60 4" xfId="8949" xr:uid="{00000000-0005-0000-0000-00008A1C0000}"/>
    <cellStyle name="20% - Accent5 60 4 2" xfId="20237" xr:uid="{00000000-0005-0000-0000-00008B1C0000}"/>
    <cellStyle name="20% - Accent5 60 5" xfId="6955" xr:uid="{00000000-0005-0000-0000-00008C1C0000}"/>
    <cellStyle name="20% - Accent5 60 5 2" xfId="18243" xr:uid="{00000000-0005-0000-0000-00008D1C0000}"/>
    <cellStyle name="20% - Accent5 60 6" xfId="4961" xr:uid="{00000000-0005-0000-0000-00008E1C0000}"/>
    <cellStyle name="20% - Accent5 60 6 2" xfId="16249" xr:uid="{00000000-0005-0000-0000-00008F1C0000}"/>
    <cellStyle name="20% - Accent5 60 7" xfId="14255" xr:uid="{00000000-0005-0000-0000-0000901C0000}"/>
    <cellStyle name="20% - Accent5 60 8" xfId="12941" xr:uid="{00000000-0005-0000-0000-0000911C0000}"/>
    <cellStyle name="20% - Accent5 61" xfId="1006" xr:uid="{00000000-0005-0000-0000-0000921C0000}"/>
    <cellStyle name="20% - Accent5 61 2" xfId="3962" xr:uid="{00000000-0005-0000-0000-0000931C0000}"/>
    <cellStyle name="20% - Accent5 61 2 2" xfId="11941" xr:uid="{00000000-0005-0000-0000-0000941C0000}"/>
    <cellStyle name="20% - Accent5 61 2 2 2" xfId="23229" xr:uid="{00000000-0005-0000-0000-0000951C0000}"/>
    <cellStyle name="20% - Accent5 61 2 3" xfId="9947" xr:uid="{00000000-0005-0000-0000-0000961C0000}"/>
    <cellStyle name="20% - Accent5 61 2 3 2" xfId="21235" xr:uid="{00000000-0005-0000-0000-0000971C0000}"/>
    <cellStyle name="20% - Accent5 61 2 4" xfId="7953" xr:uid="{00000000-0005-0000-0000-0000981C0000}"/>
    <cellStyle name="20% - Accent5 61 2 4 2" xfId="19241" xr:uid="{00000000-0005-0000-0000-0000991C0000}"/>
    <cellStyle name="20% - Accent5 61 2 5" xfId="5959" xr:uid="{00000000-0005-0000-0000-00009A1C0000}"/>
    <cellStyle name="20% - Accent5 61 2 5 2" xfId="17247" xr:uid="{00000000-0005-0000-0000-00009B1C0000}"/>
    <cellStyle name="20% - Accent5 61 2 6" xfId="15253" xr:uid="{00000000-0005-0000-0000-00009C1C0000}"/>
    <cellStyle name="20% - Accent5 61 3" xfId="10944" xr:uid="{00000000-0005-0000-0000-00009D1C0000}"/>
    <cellStyle name="20% - Accent5 61 3 2" xfId="22232" xr:uid="{00000000-0005-0000-0000-00009E1C0000}"/>
    <cellStyle name="20% - Accent5 61 4" xfId="8950" xr:uid="{00000000-0005-0000-0000-00009F1C0000}"/>
    <cellStyle name="20% - Accent5 61 4 2" xfId="20238" xr:uid="{00000000-0005-0000-0000-0000A01C0000}"/>
    <cellStyle name="20% - Accent5 61 5" xfId="6956" xr:uid="{00000000-0005-0000-0000-0000A11C0000}"/>
    <cellStyle name="20% - Accent5 61 5 2" xfId="18244" xr:uid="{00000000-0005-0000-0000-0000A21C0000}"/>
    <cellStyle name="20% - Accent5 61 6" xfId="4962" xr:uid="{00000000-0005-0000-0000-0000A31C0000}"/>
    <cellStyle name="20% - Accent5 61 6 2" xfId="16250" xr:uid="{00000000-0005-0000-0000-0000A41C0000}"/>
    <cellStyle name="20% - Accent5 61 7" xfId="14256" xr:uid="{00000000-0005-0000-0000-0000A51C0000}"/>
    <cellStyle name="20% - Accent5 61 8" xfId="12942" xr:uid="{00000000-0005-0000-0000-0000A61C0000}"/>
    <cellStyle name="20% - Accent5 62" xfId="1007" xr:uid="{00000000-0005-0000-0000-0000A71C0000}"/>
    <cellStyle name="20% - Accent5 62 2" xfId="3963" xr:uid="{00000000-0005-0000-0000-0000A81C0000}"/>
    <cellStyle name="20% - Accent5 62 2 2" xfId="11942" xr:uid="{00000000-0005-0000-0000-0000A91C0000}"/>
    <cellStyle name="20% - Accent5 62 2 2 2" xfId="23230" xr:uid="{00000000-0005-0000-0000-0000AA1C0000}"/>
    <cellStyle name="20% - Accent5 62 2 3" xfId="9948" xr:uid="{00000000-0005-0000-0000-0000AB1C0000}"/>
    <cellStyle name="20% - Accent5 62 2 3 2" xfId="21236" xr:uid="{00000000-0005-0000-0000-0000AC1C0000}"/>
    <cellStyle name="20% - Accent5 62 2 4" xfId="7954" xr:uid="{00000000-0005-0000-0000-0000AD1C0000}"/>
    <cellStyle name="20% - Accent5 62 2 4 2" xfId="19242" xr:uid="{00000000-0005-0000-0000-0000AE1C0000}"/>
    <cellStyle name="20% - Accent5 62 2 5" xfId="5960" xr:uid="{00000000-0005-0000-0000-0000AF1C0000}"/>
    <cellStyle name="20% - Accent5 62 2 5 2" xfId="17248" xr:uid="{00000000-0005-0000-0000-0000B01C0000}"/>
    <cellStyle name="20% - Accent5 62 2 6" xfId="15254" xr:uid="{00000000-0005-0000-0000-0000B11C0000}"/>
    <cellStyle name="20% - Accent5 62 3" xfId="10945" xr:uid="{00000000-0005-0000-0000-0000B21C0000}"/>
    <cellStyle name="20% - Accent5 62 3 2" xfId="22233" xr:uid="{00000000-0005-0000-0000-0000B31C0000}"/>
    <cellStyle name="20% - Accent5 62 4" xfId="8951" xr:uid="{00000000-0005-0000-0000-0000B41C0000}"/>
    <cellStyle name="20% - Accent5 62 4 2" xfId="20239" xr:uid="{00000000-0005-0000-0000-0000B51C0000}"/>
    <cellStyle name="20% - Accent5 62 5" xfId="6957" xr:uid="{00000000-0005-0000-0000-0000B61C0000}"/>
    <cellStyle name="20% - Accent5 62 5 2" xfId="18245" xr:uid="{00000000-0005-0000-0000-0000B71C0000}"/>
    <cellStyle name="20% - Accent5 62 6" xfId="4963" xr:uid="{00000000-0005-0000-0000-0000B81C0000}"/>
    <cellStyle name="20% - Accent5 62 6 2" xfId="16251" xr:uid="{00000000-0005-0000-0000-0000B91C0000}"/>
    <cellStyle name="20% - Accent5 62 7" xfId="14257" xr:uid="{00000000-0005-0000-0000-0000BA1C0000}"/>
    <cellStyle name="20% - Accent5 62 8" xfId="12943" xr:uid="{00000000-0005-0000-0000-0000BB1C0000}"/>
    <cellStyle name="20% - Accent5 63" xfId="1008" xr:uid="{00000000-0005-0000-0000-0000BC1C0000}"/>
    <cellStyle name="20% - Accent5 63 2" xfId="3964" xr:uid="{00000000-0005-0000-0000-0000BD1C0000}"/>
    <cellStyle name="20% - Accent5 63 2 2" xfId="11943" xr:uid="{00000000-0005-0000-0000-0000BE1C0000}"/>
    <cellStyle name="20% - Accent5 63 2 2 2" xfId="23231" xr:uid="{00000000-0005-0000-0000-0000BF1C0000}"/>
    <cellStyle name="20% - Accent5 63 2 3" xfId="9949" xr:uid="{00000000-0005-0000-0000-0000C01C0000}"/>
    <cellStyle name="20% - Accent5 63 2 3 2" xfId="21237" xr:uid="{00000000-0005-0000-0000-0000C11C0000}"/>
    <cellStyle name="20% - Accent5 63 2 4" xfId="7955" xr:uid="{00000000-0005-0000-0000-0000C21C0000}"/>
    <cellStyle name="20% - Accent5 63 2 4 2" xfId="19243" xr:uid="{00000000-0005-0000-0000-0000C31C0000}"/>
    <cellStyle name="20% - Accent5 63 2 5" xfId="5961" xr:uid="{00000000-0005-0000-0000-0000C41C0000}"/>
    <cellStyle name="20% - Accent5 63 2 5 2" xfId="17249" xr:uid="{00000000-0005-0000-0000-0000C51C0000}"/>
    <cellStyle name="20% - Accent5 63 2 6" xfId="15255" xr:uid="{00000000-0005-0000-0000-0000C61C0000}"/>
    <cellStyle name="20% - Accent5 63 3" xfId="10946" xr:uid="{00000000-0005-0000-0000-0000C71C0000}"/>
    <cellStyle name="20% - Accent5 63 3 2" xfId="22234" xr:uid="{00000000-0005-0000-0000-0000C81C0000}"/>
    <cellStyle name="20% - Accent5 63 4" xfId="8952" xr:uid="{00000000-0005-0000-0000-0000C91C0000}"/>
    <cellStyle name="20% - Accent5 63 4 2" xfId="20240" xr:uid="{00000000-0005-0000-0000-0000CA1C0000}"/>
    <cellStyle name="20% - Accent5 63 5" xfId="6958" xr:uid="{00000000-0005-0000-0000-0000CB1C0000}"/>
    <cellStyle name="20% - Accent5 63 5 2" xfId="18246" xr:uid="{00000000-0005-0000-0000-0000CC1C0000}"/>
    <cellStyle name="20% - Accent5 63 6" xfId="4964" xr:uid="{00000000-0005-0000-0000-0000CD1C0000}"/>
    <cellStyle name="20% - Accent5 63 6 2" xfId="16252" xr:uid="{00000000-0005-0000-0000-0000CE1C0000}"/>
    <cellStyle name="20% - Accent5 63 7" xfId="14258" xr:uid="{00000000-0005-0000-0000-0000CF1C0000}"/>
    <cellStyle name="20% - Accent5 63 8" xfId="12944" xr:uid="{00000000-0005-0000-0000-0000D01C0000}"/>
    <cellStyle name="20% - Accent5 64" xfId="1009" xr:uid="{00000000-0005-0000-0000-0000D11C0000}"/>
    <cellStyle name="20% - Accent5 64 2" xfId="3965" xr:uid="{00000000-0005-0000-0000-0000D21C0000}"/>
    <cellStyle name="20% - Accent5 64 2 2" xfId="11944" xr:uid="{00000000-0005-0000-0000-0000D31C0000}"/>
    <cellStyle name="20% - Accent5 64 2 2 2" xfId="23232" xr:uid="{00000000-0005-0000-0000-0000D41C0000}"/>
    <cellStyle name="20% - Accent5 64 2 3" xfId="9950" xr:uid="{00000000-0005-0000-0000-0000D51C0000}"/>
    <cellStyle name="20% - Accent5 64 2 3 2" xfId="21238" xr:uid="{00000000-0005-0000-0000-0000D61C0000}"/>
    <cellStyle name="20% - Accent5 64 2 4" xfId="7956" xr:uid="{00000000-0005-0000-0000-0000D71C0000}"/>
    <cellStyle name="20% - Accent5 64 2 4 2" xfId="19244" xr:uid="{00000000-0005-0000-0000-0000D81C0000}"/>
    <cellStyle name="20% - Accent5 64 2 5" xfId="5962" xr:uid="{00000000-0005-0000-0000-0000D91C0000}"/>
    <cellStyle name="20% - Accent5 64 2 5 2" xfId="17250" xr:uid="{00000000-0005-0000-0000-0000DA1C0000}"/>
    <cellStyle name="20% - Accent5 64 2 6" xfId="15256" xr:uid="{00000000-0005-0000-0000-0000DB1C0000}"/>
    <cellStyle name="20% - Accent5 64 3" xfId="10947" xr:uid="{00000000-0005-0000-0000-0000DC1C0000}"/>
    <cellStyle name="20% - Accent5 64 3 2" xfId="22235" xr:uid="{00000000-0005-0000-0000-0000DD1C0000}"/>
    <cellStyle name="20% - Accent5 64 4" xfId="8953" xr:uid="{00000000-0005-0000-0000-0000DE1C0000}"/>
    <cellStyle name="20% - Accent5 64 4 2" xfId="20241" xr:uid="{00000000-0005-0000-0000-0000DF1C0000}"/>
    <cellStyle name="20% - Accent5 64 5" xfId="6959" xr:uid="{00000000-0005-0000-0000-0000E01C0000}"/>
    <cellStyle name="20% - Accent5 64 5 2" xfId="18247" xr:uid="{00000000-0005-0000-0000-0000E11C0000}"/>
    <cellStyle name="20% - Accent5 64 6" xfId="4965" xr:uid="{00000000-0005-0000-0000-0000E21C0000}"/>
    <cellStyle name="20% - Accent5 64 6 2" xfId="16253" xr:uid="{00000000-0005-0000-0000-0000E31C0000}"/>
    <cellStyle name="20% - Accent5 64 7" xfId="14259" xr:uid="{00000000-0005-0000-0000-0000E41C0000}"/>
    <cellStyle name="20% - Accent5 64 8" xfId="12945" xr:uid="{00000000-0005-0000-0000-0000E51C0000}"/>
    <cellStyle name="20% - Accent5 65" xfId="1010" xr:uid="{00000000-0005-0000-0000-0000E61C0000}"/>
    <cellStyle name="20% - Accent5 65 2" xfId="3966" xr:uid="{00000000-0005-0000-0000-0000E71C0000}"/>
    <cellStyle name="20% - Accent5 65 2 2" xfId="11945" xr:uid="{00000000-0005-0000-0000-0000E81C0000}"/>
    <cellStyle name="20% - Accent5 65 2 2 2" xfId="23233" xr:uid="{00000000-0005-0000-0000-0000E91C0000}"/>
    <cellStyle name="20% - Accent5 65 2 3" xfId="9951" xr:uid="{00000000-0005-0000-0000-0000EA1C0000}"/>
    <cellStyle name="20% - Accent5 65 2 3 2" xfId="21239" xr:uid="{00000000-0005-0000-0000-0000EB1C0000}"/>
    <cellStyle name="20% - Accent5 65 2 4" xfId="7957" xr:uid="{00000000-0005-0000-0000-0000EC1C0000}"/>
    <cellStyle name="20% - Accent5 65 2 4 2" xfId="19245" xr:uid="{00000000-0005-0000-0000-0000ED1C0000}"/>
    <cellStyle name="20% - Accent5 65 2 5" xfId="5963" xr:uid="{00000000-0005-0000-0000-0000EE1C0000}"/>
    <cellStyle name="20% - Accent5 65 2 5 2" xfId="17251" xr:uid="{00000000-0005-0000-0000-0000EF1C0000}"/>
    <cellStyle name="20% - Accent5 65 2 6" xfId="15257" xr:uid="{00000000-0005-0000-0000-0000F01C0000}"/>
    <cellStyle name="20% - Accent5 65 3" xfId="10948" xr:uid="{00000000-0005-0000-0000-0000F11C0000}"/>
    <cellStyle name="20% - Accent5 65 3 2" xfId="22236" xr:uid="{00000000-0005-0000-0000-0000F21C0000}"/>
    <cellStyle name="20% - Accent5 65 4" xfId="8954" xr:uid="{00000000-0005-0000-0000-0000F31C0000}"/>
    <cellStyle name="20% - Accent5 65 4 2" xfId="20242" xr:uid="{00000000-0005-0000-0000-0000F41C0000}"/>
    <cellStyle name="20% - Accent5 65 5" xfId="6960" xr:uid="{00000000-0005-0000-0000-0000F51C0000}"/>
    <cellStyle name="20% - Accent5 65 5 2" xfId="18248" xr:uid="{00000000-0005-0000-0000-0000F61C0000}"/>
    <cellStyle name="20% - Accent5 65 6" xfId="4966" xr:uid="{00000000-0005-0000-0000-0000F71C0000}"/>
    <cellStyle name="20% - Accent5 65 6 2" xfId="16254" xr:uid="{00000000-0005-0000-0000-0000F81C0000}"/>
    <cellStyle name="20% - Accent5 65 7" xfId="14260" xr:uid="{00000000-0005-0000-0000-0000F91C0000}"/>
    <cellStyle name="20% - Accent5 65 8" xfId="12946" xr:uid="{00000000-0005-0000-0000-0000FA1C0000}"/>
    <cellStyle name="20% - Accent5 66" xfId="1011" xr:uid="{00000000-0005-0000-0000-0000FB1C0000}"/>
    <cellStyle name="20% - Accent5 66 2" xfId="3967" xr:uid="{00000000-0005-0000-0000-0000FC1C0000}"/>
    <cellStyle name="20% - Accent5 66 2 2" xfId="11946" xr:uid="{00000000-0005-0000-0000-0000FD1C0000}"/>
    <cellStyle name="20% - Accent5 66 2 2 2" xfId="23234" xr:uid="{00000000-0005-0000-0000-0000FE1C0000}"/>
    <cellStyle name="20% - Accent5 66 2 3" xfId="9952" xr:uid="{00000000-0005-0000-0000-0000FF1C0000}"/>
    <cellStyle name="20% - Accent5 66 2 3 2" xfId="21240" xr:uid="{00000000-0005-0000-0000-0000001D0000}"/>
    <cellStyle name="20% - Accent5 66 2 4" xfId="7958" xr:uid="{00000000-0005-0000-0000-0000011D0000}"/>
    <cellStyle name="20% - Accent5 66 2 4 2" xfId="19246" xr:uid="{00000000-0005-0000-0000-0000021D0000}"/>
    <cellStyle name="20% - Accent5 66 2 5" xfId="5964" xr:uid="{00000000-0005-0000-0000-0000031D0000}"/>
    <cellStyle name="20% - Accent5 66 2 5 2" xfId="17252" xr:uid="{00000000-0005-0000-0000-0000041D0000}"/>
    <cellStyle name="20% - Accent5 66 2 6" xfId="15258" xr:uid="{00000000-0005-0000-0000-0000051D0000}"/>
    <cellStyle name="20% - Accent5 66 3" xfId="10949" xr:uid="{00000000-0005-0000-0000-0000061D0000}"/>
    <cellStyle name="20% - Accent5 66 3 2" xfId="22237" xr:uid="{00000000-0005-0000-0000-0000071D0000}"/>
    <cellStyle name="20% - Accent5 66 4" xfId="8955" xr:uid="{00000000-0005-0000-0000-0000081D0000}"/>
    <cellStyle name="20% - Accent5 66 4 2" xfId="20243" xr:uid="{00000000-0005-0000-0000-0000091D0000}"/>
    <cellStyle name="20% - Accent5 66 5" xfId="6961" xr:uid="{00000000-0005-0000-0000-00000A1D0000}"/>
    <cellStyle name="20% - Accent5 66 5 2" xfId="18249" xr:uid="{00000000-0005-0000-0000-00000B1D0000}"/>
    <cellStyle name="20% - Accent5 66 6" xfId="4967" xr:uid="{00000000-0005-0000-0000-00000C1D0000}"/>
    <cellStyle name="20% - Accent5 66 6 2" xfId="16255" xr:uid="{00000000-0005-0000-0000-00000D1D0000}"/>
    <cellStyle name="20% - Accent5 66 7" xfId="14261" xr:uid="{00000000-0005-0000-0000-00000E1D0000}"/>
    <cellStyle name="20% - Accent5 66 8" xfId="12947" xr:uid="{00000000-0005-0000-0000-00000F1D0000}"/>
    <cellStyle name="20% - Accent5 67" xfId="1012" xr:uid="{00000000-0005-0000-0000-0000101D0000}"/>
    <cellStyle name="20% - Accent5 67 2" xfId="3968" xr:uid="{00000000-0005-0000-0000-0000111D0000}"/>
    <cellStyle name="20% - Accent5 67 2 2" xfId="11947" xr:uid="{00000000-0005-0000-0000-0000121D0000}"/>
    <cellStyle name="20% - Accent5 67 2 2 2" xfId="23235" xr:uid="{00000000-0005-0000-0000-0000131D0000}"/>
    <cellStyle name="20% - Accent5 67 2 3" xfId="9953" xr:uid="{00000000-0005-0000-0000-0000141D0000}"/>
    <cellStyle name="20% - Accent5 67 2 3 2" xfId="21241" xr:uid="{00000000-0005-0000-0000-0000151D0000}"/>
    <cellStyle name="20% - Accent5 67 2 4" xfId="7959" xr:uid="{00000000-0005-0000-0000-0000161D0000}"/>
    <cellStyle name="20% - Accent5 67 2 4 2" xfId="19247" xr:uid="{00000000-0005-0000-0000-0000171D0000}"/>
    <cellStyle name="20% - Accent5 67 2 5" xfId="5965" xr:uid="{00000000-0005-0000-0000-0000181D0000}"/>
    <cellStyle name="20% - Accent5 67 2 5 2" xfId="17253" xr:uid="{00000000-0005-0000-0000-0000191D0000}"/>
    <cellStyle name="20% - Accent5 67 2 6" xfId="15259" xr:uid="{00000000-0005-0000-0000-00001A1D0000}"/>
    <cellStyle name="20% - Accent5 67 3" xfId="10950" xr:uid="{00000000-0005-0000-0000-00001B1D0000}"/>
    <cellStyle name="20% - Accent5 67 3 2" xfId="22238" xr:uid="{00000000-0005-0000-0000-00001C1D0000}"/>
    <cellStyle name="20% - Accent5 67 4" xfId="8956" xr:uid="{00000000-0005-0000-0000-00001D1D0000}"/>
    <cellStyle name="20% - Accent5 67 4 2" xfId="20244" xr:uid="{00000000-0005-0000-0000-00001E1D0000}"/>
    <cellStyle name="20% - Accent5 67 5" xfId="6962" xr:uid="{00000000-0005-0000-0000-00001F1D0000}"/>
    <cellStyle name="20% - Accent5 67 5 2" xfId="18250" xr:uid="{00000000-0005-0000-0000-0000201D0000}"/>
    <cellStyle name="20% - Accent5 67 6" xfId="4968" xr:uid="{00000000-0005-0000-0000-0000211D0000}"/>
    <cellStyle name="20% - Accent5 67 6 2" xfId="16256" xr:uid="{00000000-0005-0000-0000-0000221D0000}"/>
    <cellStyle name="20% - Accent5 67 7" xfId="14262" xr:uid="{00000000-0005-0000-0000-0000231D0000}"/>
    <cellStyle name="20% - Accent5 67 8" xfId="12948" xr:uid="{00000000-0005-0000-0000-0000241D0000}"/>
    <cellStyle name="20% - Accent5 68" xfId="1013" xr:uid="{00000000-0005-0000-0000-0000251D0000}"/>
    <cellStyle name="20% - Accent5 68 2" xfId="3969" xr:uid="{00000000-0005-0000-0000-0000261D0000}"/>
    <cellStyle name="20% - Accent5 68 2 2" xfId="11948" xr:uid="{00000000-0005-0000-0000-0000271D0000}"/>
    <cellStyle name="20% - Accent5 68 2 2 2" xfId="23236" xr:uid="{00000000-0005-0000-0000-0000281D0000}"/>
    <cellStyle name="20% - Accent5 68 2 3" xfId="9954" xr:uid="{00000000-0005-0000-0000-0000291D0000}"/>
    <cellStyle name="20% - Accent5 68 2 3 2" xfId="21242" xr:uid="{00000000-0005-0000-0000-00002A1D0000}"/>
    <cellStyle name="20% - Accent5 68 2 4" xfId="7960" xr:uid="{00000000-0005-0000-0000-00002B1D0000}"/>
    <cellStyle name="20% - Accent5 68 2 4 2" xfId="19248" xr:uid="{00000000-0005-0000-0000-00002C1D0000}"/>
    <cellStyle name="20% - Accent5 68 2 5" xfId="5966" xr:uid="{00000000-0005-0000-0000-00002D1D0000}"/>
    <cellStyle name="20% - Accent5 68 2 5 2" xfId="17254" xr:uid="{00000000-0005-0000-0000-00002E1D0000}"/>
    <cellStyle name="20% - Accent5 68 2 6" xfId="15260" xr:uid="{00000000-0005-0000-0000-00002F1D0000}"/>
    <cellStyle name="20% - Accent5 68 3" xfId="10951" xr:uid="{00000000-0005-0000-0000-0000301D0000}"/>
    <cellStyle name="20% - Accent5 68 3 2" xfId="22239" xr:uid="{00000000-0005-0000-0000-0000311D0000}"/>
    <cellStyle name="20% - Accent5 68 4" xfId="8957" xr:uid="{00000000-0005-0000-0000-0000321D0000}"/>
    <cellStyle name="20% - Accent5 68 4 2" xfId="20245" xr:uid="{00000000-0005-0000-0000-0000331D0000}"/>
    <cellStyle name="20% - Accent5 68 5" xfId="6963" xr:uid="{00000000-0005-0000-0000-0000341D0000}"/>
    <cellStyle name="20% - Accent5 68 5 2" xfId="18251" xr:uid="{00000000-0005-0000-0000-0000351D0000}"/>
    <cellStyle name="20% - Accent5 68 6" xfId="4969" xr:uid="{00000000-0005-0000-0000-0000361D0000}"/>
    <cellStyle name="20% - Accent5 68 6 2" xfId="16257" xr:uid="{00000000-0005-0000-0000-0000371D0000}"/>
    <cellStyle name="20% - Accent5 68 7" xfId="14263" xr:uid="{00000000-0005-0000-0000-0000381D0000}"/>
    <cellStyle name="20% - Accent5 68 8" xfId="12949" xr:uid="{00000000-0005-0000-0000-0000391D0000}"/>
    <cellStyle name="20% - Accent5 69" xfId="1014" xr:uid="{00000000-0005-0000-0000-00003A1D0000}"/>
    <cellStyle name="20% - Accent5 69 2" xfId="3970" xr:uid="{00000000-0005-0000-0000-00003B1D0000}"/>
    <cellStyle name="20% - Accent5 69 2 2" xfId="11949" xr:uid="{00000000-0005-0000-0000-00003C1D0000}"/>
    <cellStyle name="20% - Accent5 69 2 2 2" xfId="23237" xr:uid="{00000000-0005-0000-0000-00003D1D0000}"/>
    <cellStyle name="20% - Accent5 69 2 3" xfId="9955" xr:uid="{00000000-0005-0000-0000-00003E1D0000}"/>
    <cellStyle name="20% - Accent5 69 2 3 2" xfId="21243" xr:uid="{00000000-0005-0000-0000-00003F1D0000}"/>
    <cellStyle name="20% - Accent5 69 2 4" xfId="7961" xr:uid="{00000000-0005-0000-0000-0000401D0000}"/>
    <cellStyle name="20% - Accent5 69 2 4 2" xfId="19249" xr:uid="{00000000-0005-0000-0000-0000411D0000}"/>
    <cellStyle name="20% - Accent5 69 2 5" xfId="5967" xr:uid="{00000000-0005-0000-0000-0000421D0000}"/>
    <cellStyle name="20% - Accent5 69 2 5 2" xfId="17255" xr:uid="{00000000-0005-0000-0000-0000431D0000}"/>
    <cellStyle name="20% - Accent5 69 2 6" xfId="15261" xr:uid="{00000000-0005-0000-0000-0000441D0000}"/>
    <cellStyle name="20% - Accent5 69 3" xfId="10952" xr:uid="{00000000-0005-0000-0000-0000451D0000}"/>
    <cellStyle name="20% - Accent5 69 3 2" xfId="22240" xr:uid="{00000000-0005-0000-0000-0000461D0000}"/>
    <cellStyle name="20% - Accent5 69 4" xfId="8958" xr:uid="{00000000-0005-0000-0000-0000471D0000}"/>
    <cellStyle name="20% - Accent5 69 4 2" xfId="20246" xr:uid="{00000000-0005-0000-0000-0000481D0000}"/>
    <cellStyle name="20% - Accent5 69 5" xfId="6964" xr:uid="{00000000-0005-0000-0000-0000491D0000}"/>
    <cellStyle name="20% - Accent5 69 5 2" xfId="18252" xr:uid="{00000000-0005-0000-0000-00004A1D0000}"/>
    <cellStyle name="20% - Accent5 69 6" xfId="4970" xr:uid="{00000000-0005-0000-0000-00004B1D0000}"/>
    <cellStyle name="20% - Accent5 69 6 2" xfId="16258" xr:uid="{00000000-0005-0000-0000-00004C1D0000}"/>
    <cellStyle name="20% - Accent5 69 7" xfId="14264" xr:uid="{00000000-0005-0000-0000-00004D1D0000}"/>
    <cellStyle name="20% - Accent5 69 8" xfId="12950" xr:uid="{00000000-0005-0000-0000-00004E1D0000}"/>
    <cellStyle name="20% - Accent5 7" xfId="1015" xr:uid="{00000000-0005-0000-0000-00004F1D0000}"/>
    <cellStyle name="20% - Accent5 7 10" xfId="24588" xr:uid="{00000000-0005-0000-0000-0000501D0000}"/>
    <cellStyle name="20% - Accent5 7 11" xfId="24978" xr:uid="{00000000-0005-0000-0000-0000511D0000}"/>
    <cellStyle name="20% - Accent5 7 2" xfId="3971" xr:uid="{00000000-0005-0000-0000-0000521D0000}"/>
    <cellStyle name="20% - Accent5 7 2 2" xfId="11950" xr:uid="{00000000-0005-0000-0000-0000531D0000}"/>
    <cellStyle name="20% - Accent5 7 2 2 2" xfId="23238" xr:uid="{00000000-0005-0000-0000-0000541D0000}"/>
    <cellStyle name="20% - Accent5 7 2 3" xfId="9956" xr:uid="{00000000-0005-0000-0000-0000551D0000}"/>
    <cellStyle name="20% - Accent5 7 2 3 2" xfId="21244" xr:uid="{00000000-0005-0000-0000-0000561D0000}"/>
    <cellStyle name="20% - Accent5 7 2 4" xfId="7962" xr:uid="{00000000-0005-0000-0000-0000571D0000}"/>
    <cellStyle name="20% - Accent5 7 2 4 2" xfId="19250" xr:uid="{00000000-0005-0000-0000-0000581D0000}"/>
    <cellStyle name="20% - Accent5 7 2 5" xfId="5968" xr:uid="{00000000-0005-0000-0000-0000591D0000}"/>
    <cellStyle name="20% - Accent5 7 2 5 2" xfId="17256" xr:uid="{00000000-0005-0000-0000-00005A1D0000}"/>
    <cellStyle name="20% - Accent5 7 2 6" xfId="15262" xr:uid="{00000000-0005-0000-0000-00005B1D0000}"/>
    <cellStyle name="20% - Accent5 7 2 7" xfId="24349" xr:uid="{00000000-0005-0000-0000-00005C1D0000}"/>
    <cellStyle name="20% - Accent5 7 2 8" xfId="24813" xr:uid="{00000000-0005-0000-0000-00005D1D0000}"/>
    <cellStyle name="20% - Accent5 7 2 9" xfId="25180" xr:uid="{00000000-0005-0000-0000-00005E1D0000}"/>
    <cellStyle name="20% - Accent5 7 3" xfId="10953" xr:uid="{00000000-0005-0000-0000-00005F1D0000}"/>
    <cellStyle name="20% - Accent5 7 3 2" xfId="22241" xr:uid="{00000000-0005-0000-0000-0000601D0000}"/>
    <cellStyle name="20% - Accent5 7 4" xfId="8959" xr:uid="{00000000-0005-0000-0000-0000611D0000}"/>
    <cellStyle name="20% - Accent5 7 4 2" xfId="20247" xr:uid="{00000000-0005-0000-0000-0000621D0000}"/>
    <cellStyle name="20% - Accent5 7 5" xfId="6965" xr:uid="{00000000-0005-0000-0000-0000631D0000}"/>
    <cellStyle name="20% - Accent5 7 5 2" xfId="18253" xr:uid="{00000000-0005-0000-0000-0000641D0000}"/>
    <cellStyle name="20% - Accent5 7 6" xfId="4971" xr:uid="{00000000-0005-0000-0000-0000651D0000}"/>
    <cellStyle name="20% - Accent5 7 6 2" xfId="16259" xr:uid="{00000000-0005-0000-0000-0000661D0000}"/>
    <cellStyle name="20% - Accent5 7 7" xfId="14265" xr:uid="{00000000-0005-0000-0000-0000671D0000}"/>
    <cellStyle name="20% - Accent5 7 8" xfId="12951" xr:uid="{00000000-0005-0000-0000-0000681D0000}"/>
    <cellStyle name="20% - Accent5 7 9" xfId="23961" xr:uid="{00000000-0005-0000-0000-0000691D0000}"/>
    <cellStyle name="20% - Accent5 70" xfId="1016" xr:uid="{00000000-0005-0000-0000-00006A1D0000}"/>
    <cellStyle name="20% - Accent5 70 2" xfId="3972" xr:uid="{00000000-0005-0000-0000-00006B1D0000}"/>
    <cellStyle name="20% - Accent5 70 2 2" xfId="11951" xr:uid="{00000000-0005-0000-0000-00006C1D0000}"/>
    <cellStyle name="20% - Accent5 70 2 2 2" xfId="23239" xr:uid="{00000000-0005-0000-0000-00006D1D0000}"/>
    <cellStyle name="20% - Accent5 70 2 3" xfId="9957" xr:uid="{00000000-0005-0000-0000-00006E1D0000}"/>
    <cellStyle name="20% - Accent5 70 2 3 2" xfId="21245" xr:uid="{00000000-0005-0000-0000-00006F1D0000}"/>
    <cellStyle name="20% - Accent5 70 2 4" xfId="7963" xr:uid="{00000000-0005-0000-0000-0000701D0000}"/>
    <cellStyle name="20% - Accent5 70 2 4 2" xfId="19251" xr:uid="{00000000-0005-0000-0000-0000711D0000}"/>
    <cellStyle name="20% - Accent5 70 2 5" xfId="5969" xr:uid="{00000000-0005-0000-0000-0000721D0000}"/>
    <cellStyle name="20% - Accent5 70 2 5 2" xfId="17257" xr:uid="{00000000-0005-0000-0000-0000731D0000}"/>
    <cellStyle name="20% - Accent5 70 2 6" xfId="15263" xr:uid="{00000000-0005-0000-0000-0000741D0000}"/>
    <cellStyle name="20% - Accent5 70 3" xfId="10954" xr:uid="{00000000-0005-0000-0000-0000751D0000}"/>
    <cellStyle name="20% - Accent5 70 3 2" xfId="22242" xr:uid="{00000000-0005-0000-0000-0000761D0000}"/>
    <cellStyle name="20% - Accent5 70 4" xfId="8960" xr:uid="{00000000-0005-0000-0000-0000771D0000}"/>
    <cellStyle name="20% - Accent5 70 4 2" xfId="20248" xr:uid="{00000000-0005-0000-0000-0000781D0000}"/>
    <cellStyle name="20% - Accent5 70 5" xfId="6966" xr:uid="{00000000-0005-0000-0000-0000791D0000}"/>
    <cellStyle name="20% - Accent5 70 5 2" xfId="18254" xr:uid="{00000000-0005-0000-0000-00007A1D0000}"/>
    <cellStyle name="20% - Accent5 70 6" xfId="4972" xr:uid="{00000000-0005-0000-0000-00007B1D0000}"/>
    <cellStyle name="20% - Accent5 70 6 2" xfId="16260" xr:uid="{00000000-0005-0000-0000-00007C1D0000}"/>
    <cellStyle name="20% - Accent5 70 7" xfId="14266" xr:uid="{00000000-0005-0000-0000-00007D1D0000}"/>
    <cellStyle name="20% - Accent5 70 8" xfId="12952" xr:uid="{00000000-0005-0000-0000-00007E1D0000}"/>
    <cellStyle name="20% - Accent5 71" xfId="1017" xr:uid="{00000000-0005-0000-0000-00007F1D0000}"/>
    <cellStyle name="20% - Accent5 71 2" xfId="3973" xr:uid="{00000000-0005-0000-0000-0000801D0000}"/>
    <cellStyle name="20% - Accent5 71 2 2" xfId="11952" xr:uid="{00000000-0005-0000-0000-0000811D0000}"/>
    <cellStyle name="20% - Accent5 71 2 2 2" xfId="23240" xr:uid="{00000000-0005-0000-0000-0000821D0000}"/>
    <cellStyle name="20% - Accent5 71 2 3" xfId="9958" xr:uid="{00000000-0005-0000-0000-0000831D0000}"/>
    <cellStyle name="20% - Accent5 71 2 3 2" xfId="21246" xr:uid="{00000000-0005-0000-0000-0000841D0000}"/>
    <cellStyle name="20% - Accent5 71 2 4" xfId="7964" xr:uid="{00000000-0005-0000-0000-0000851D0000}"/>
    <cellStyle name="20% - Accent5 71 2 4 2" xfId="19252" xr:uid="{00000000-0005-0000-0000-0000861D0000}"/>
    <cellStyle name="20% - Accent5 71 2 5" xfId="5970" xr:uid="{00000000-0005-0000-0000-0000871D0000}"/>
    <cellStyle name="20% - Accent5 71 2 5 2" xfId="17258" xr:uid="{00000000-0005-0000-0000-0000881D0000}"/>
    <cellStyle name="20% - Accent5 71 2 6" xfId="15264" xr:uid="{00000000-0005-0000-0000-0000891D0000}"/>
    <cellStyle name="20% - Accent5 71 3" xfId="10955" xr:uid="{00000000-0005-0000-0000-00008A1D0000}"/>
    <cellStyle name="20% - Accent5 71 3 2" xfId="22243" xr:uid="{00000000-0005-0000-0000-00008B1D0000}"/>
    <cellStyle name="20% - Accent5 71 4" xfId="8961" xr:uid="{00000000-0005-0000-0000-00008C1D0000}"/>
    <cellStyle name="20% - Accent5 71 4 2" xfId="20249" xr:uid="{00000000-0005-0000-0000-00008D1D0000}"/>
    <cellStyle name="20% - Accent5 71 5" xfId="6967" xr:uid="{00000000-0005-0000-0000-00008E1D0000}"/>
    <cellStyle name="20% - Accent5 71 5 2" xfId="18255" xr:uid="{00000000-0005-0000-0000-00008F1D0000}"/>
    <cellStyle name="20% - Accent5 71 6" xfId="4973" xr:uid="{00000000-0005-0000-0000-0000901D0000}"/>
    <cellStyle name="20% - Accent5 71 6 2" xfId="16261" xr:uid="{00000000-0005-0000-0000-0000911D0000}"/>
    <cellStyle name="20% - Accent5 71 7" xfId="14267" xr:uid="{00000000-0005-0000-0000-0000921D0000}"/>
    <cellStyle name="20% - Accent5 71 8" xfId="12953" xr:uid="{00000000-0005-0000-0000-0000931D0000}"/>
    <cellStyle name="20% - Accent5 72" xfId="1018" xr:uid="{00000000-0005-0000-0000-0000941D0000}"/>
    <cellStyle name="20% - Accent5 72 2" xfId="3974" xr:uid="{00000000-0005-0000-0000-0000951D0000}"/>
    <cellStyle name="20% - Accent5 72 2 2" xfId="11953" xr:uid="{00000000-0005-0000-0000-0000961D0000}"/>
    <cellStyle name="20% - Accent5 72 2 2 2" xfId="23241" xr:uid="{00000000-0005-0000-0000-0000971D0000}"/>
    <cellStyle name="20% - Accent5 72 2 3" xfId="9959" xr:uid="{00000000-0005-0000-0000-0000981D0000}"/>
    <cellStyle name="20% - Accent5 72 2 3 2" xfId="21247" xr:uid="{00000000-0005-0000-0000-0000991D0000}"/>
    <cellStyle name="20% - Accent5 72 2 4" xfId="7965" xr:uid="{00000000-0005-0000-0000-00009A1D0000}"/>
    <cellStyle name="20% - Accent5 72 2 4 2" xfId="19253" xr:uid="{00000000-0005-0000-0000-00009B1D0000}"/>
    <cellStyle name="20% - Accent5 72 2 5" xfId="5971" xr:uid="{00000000-0005-0000-0000-00009C1D0000}"/>
    <cellStyle name="20% - Accent5 72 2 5 2" xfId="17259" xr:uid="{00000000-0005-0000-0000-00009D1D0000}"/>
    <cellStyle name="20% - Accent5 72 2 6" xfId="15265" xr:uid="{00000000-0005-0000-0000-00009E1D0000}"/>
    <cellStyle name="20% - Accent5 72 3" xfId="10956" xr:uid="{00000000-0005-0000-0000-00009F1D0000}"/>
    <cellStyle name="20% - Accent5 72 3 2" xfId="22244" xr:uid="{00000000-0005-0000-0000-0000A01D0000}"/>
    <cellStyle name="20% - Accent5 72 4" xfId="8962" xr:uid="{00000000-0005-0000-0000-0000A11D0000}"/>
    <cellStyle name="20% - Accent5 72 4 2" xfId="20250" xr:uid="{00000000-0005-0000-0000-0000A21D0000}"/>
    <cellStyle name="20% - Accent5 72 5" xfId="6968" xr:uid="{00000000-0005-0000-0000-0000A31D0000}"/>
    <cellStyle name="20% - Accent5 72 5 2" xfId="18256" xr:uid="{00000000-0005-0000-0000-0000A41D0000}"/>
    <cellStyle name="20% - Accent5 72 6" xfId="4974" xr:uid="{00000000-0005-0000-0000-0000A51D0000}"/>
    <cellStyle name="20% - Accent5 72 6 2" xfId="16262" xr:uid="{00000000-0005-0000-0000-0000A61D0000}"/>
    <cellStyle name="20% - Accent5 72 7" xfId="14268" xr:uid="{00000000-0005-0000-0000-0000A71D0000}"/>
    <cellStyle name="20% - Accent5 72 8" xfId="12954" xr:uid="{00000000-0005-0000-0000-0000A81D0000}"/>
    <cellStyle name="20% - Accent5 8" xfId="1019" xr:uid="{00000000-0005-0000-0000-0000A91D0000}"/>
    <cellStyle name="20% - Accent5 8 2" xfId="3975" xr:uid="{00000000-0005-0000-0000-0000AA1D0000}"/>
    <cellStyle name="20% - Accent5 8 2 2" xfId="11954" xr:uid="{00000000-0005-0000-0000-0000AB1D0000}"/>
    <cellStyle name="20% - Accent5 8 2 2 2" xfId="23242" xr:uid="{00000000-0005-0000-0000-0000AC1D0000}"/>
    <cellStyle name="20% - Accent5 8 2 3" xfId="9960" xr:uid="{00000000-0005-0000-0000-0000AD1D0000}"/>
    <cellStyle name="20% - Accent5 8 2 3 2" xfId="21248" xr:uid="{00000000-0005-0000-0000-0000AE1D0000}"/>
    <cellStyle name="20% - Accent5 8 2 4" xfId="7966" xr:uid="{00000000-0005-0000-0000-0000AF1D0000}"/>
    <cellStyle name="20% - Accent5 8 2 4 2" xfId="19254" xr:uid="{00000000-0005-0000-0000-0000B01D0000}"/>
    <cellStyle name="20% - Accent5 8 2 5" xfId="5972" xr:uid="{00000000-0005-0000-0000-0000B11D0000}"/>
    <cellStyle name="20% - Accent5 8 2 5 2" xfId="17260" xr:uid="{00000000-0005-0000-0000-0000B21D0000}"/>
    <cellStyle name="20% - Accent5 8 2 6" xfId="15266" xr:uid="{00000000-0005-0000-0000-0000B31D0000}"/>
    <cellStyle name="20% - Accent5 8 3" xfId="10957" xr:uid="{00000000-0005-0000-0000-0000B41D0000}"/>
    <cellStyle name="20% - Accent5 8 3 2" xfId="22245" xr:uid="{00000000-0005-0000-0000-0000B51D0000}"/>
    <cellStyle name="20% - Accent5 8 4" xfId="8963" xr:uid="{00000000-0005-0000-0000-0000B61D0000}"/>
    <cellStyle name="20% - Accent5 8 4 2" xfId="20251" xr:uid="{00000000-0005-0000-0000-0000B71D0000}"/>
    <cellStyle name="20% - Accent5 8 5" xfId="6969" xr:uid="{00000000-0005-0000-0000-0000B81D0000}"/>
    <cellStyle name="20% - Accent5 8 5 2" xfId="18257" xr:uid="{00000000-0005-0000-0000-0000B91D0000}"/>
    <cellStyle name="20% - Accent5 8 6" xfId="4975" xr:uid="{00000000-0005-0000-0000-0000BA1D0000}"/>
    <cellStyle name="20% - Accent5 8 6 2" xfId="16263" xr:uid="{00000000-0005-0000-0000-0000BB1D0000}"/>
    <cellStyle name="20% - Accent5 8 7" xfId="14269" xr:uid="{00000000-0005-0000-0000-0000BC1D0000}"/>
    <cellStyle name="20% - Accent5 8 8" xfId="12955" xr:uid="{00000000-0005-0000-0000-0000BD1D0000}"/>
    <cellStyle name="20% - Accent5 9" xfId="1020" xr:uid="{00000000-0005-0000-0000-0000BE1D0000}"/>
    <cellStyle name="20% - Accent5 9 2" xfId="3976" xr:uid="{00000000-0005-0000-0000-0000BF1D0000}"/>
    <cellStyle name="20% - Accent5 9 2 2" xfId="11955" xr:uid="{00000000-0005-0000-0000-0000C01D0000}"/>
    <cellStyle name="20% - Accent5 9 2 2 2" xfId="23243" xr:uid="{00000000-0005-0000-0000-0000C11D0000}"/>
    <cellStyle name="20% - Accent5 9 2 3" xfId="9961" xr:uid="{00000000-0005-0000-0000-0000C21D0000}"/>
    <cellStyle name="20% - Accent5 9 2 3 2" xfId="21249" xr:uid="{00000000-0005-0000-0000-0000C31D0000}"/>
    <cellStyle name="20% - Accent5 9 2 4" xfId="7967" xr:uid="{00000000-0005-0000-0000-0000C41D0000}"/>
    <cellStyle name="20% - Accent5 9 2 4 2" xfId="19255" xr:uid="{00000000-0005-0000-0000-0000C51D0000}"/>
    <cellStyle name="20% - Accent5 9 2 5" xfId="5973" xr:uid="{00000000-0005-0000-0000-0000C61D0000}"/>
    <cellStyle name="20% - Accent5 9 2 5 2" xfId="17261" xr:uid="{00000000-0005-0000-0000-0000C71D0000}"/>
    <cellStyle name="20% - Accent5 9 2 6" xfId="15267" xr:uid="{00000000-0005-0000-0000-0000C81D0000}"/>
    <cellStyle name="20% - Accent5 9 3" xfId="10958" xr:uid="{00000000-0005-0000-0000-0000C91D0000}"/>
    <cellStyle name="20% - Accent5 9 3 2" xfId="22246" xr:uid="{00000000-0005-0000-0000-0000CA1D0000}"/>
    <cellStyle name="20% - Accent5 9 4" xfId="8964" xr:uid="{00000000-0005-0000-0000-0000CB1D0000}"/>
    <cellStyle name="20% - Accent5 9 4 2" xfId="20252" xr:uid="{00000000-0005-0000-0000-0000CC1D0000}"/>
    <cellStyle name="20% - Accent5 9 5" xfId="6970" xr:uid="{00000000-0005-0000-0000-0000CD1D0000}"/>
    <cellStyle name="20% - Accent5 9 5 2" xfId="18258" xr:uid="{00000000-0005-0000-0000-0000CE1D0000}"/>
    <cellStyle name="20% - Accent5 9 6" xfId="4976" xr:uid="{00000000-0005-0000-0000-0000CF1D0000}"/>
    <cellStyle name="20% - Accent5 9 6 2" xfId="16264" xr:uid="{00000000-0005-0000-0000-0000D01D0000}"/>
    <cellStyle name="20% - Accent5 9 7" xfId="14270" xr:uid="{00000000-0005-0000-0000-0000D11D0000}"/>
    <cellStyle name="20% - Accent5 9 8" xfId="12956" xr:uid="{00000000-0005-0000-0000-0000D21D0000}"/>
    <cellStyle name="20% - Accent6 10" xfId="1021" xr:uid="{00000000-0005-0000-0000-0000D31D0000}"/>
    <cellStyle name="20% - Accent6 10 2" xfId="3977" xr:uid="{00000000-0005-0000-0000-0000D41D0000}"/>
    <cellStyle name="20% - Accent6 10 2 2" xfId="11956" xr:uid="{00000000-0005-0000-0000-0000D51D0000}"/>
    <cellStyle name="20% - Accent6 10 2 2 2" xfId="23244" xr:uid="{00000000-0005-0000-0000-0000D61D0000}"/>
    <cellStyle name="20% - Accent6 10 2 3" xfId="9962" xr:uid="{00000000-0005-0000-0000-0000D71D0000}"/>
    <cellStyle name="20% - Accent6 10 2 3 2" xfId="21250" xr:uid="{00000000-0005-0000-0000-0000D81D0000}"/>
    <cellStyle name="20% - Accent6 10 2 4" xfId="7968" xr:uid="{00000000-0005-0000-0000-0000D91D0000}"/>
    <cellStyle name="20% - Accent6 10 2 4 2" xfId="19256" xr:uid="{00000000-0005-0000-0000-0000DA1D0000}"/>
    <cellStyle name="20% - Accent6 10 2 5" xfId="5974" xr:uid="{00000000-0005-0000-0000-0000DB1D0000}"/>
    <cellStyle name="20% - Accent6 10 2 5 2" xfId="17262" xr:uid="{00000000-0005-0000-0000-0000DC1D0000}"/>
    <cellStyle name="20% - Accent6 10 2 6" xfId="15268" xr:uid="{00000000-0005-0000-0000-0000DD1D0000}"/>
    <cellStyle name="20% - Accent6 10 3" xfId="10959" xr:uid="{00000000-0005-0000-0000-0000DE1D0000}"/>
    <cellStyle name="20% - Accent6 10 3 2" xfId="22247" xr:uid="{00000000-0005-0000-0000-0000DF1D0000}"/>
    <cellStyle name="20% - Accent6 10 4" xfId="8965" xr:uid="{00000000-0005-0000-0000-0000E01D0000}"/>
    <cellStyle name="20% - Accent6 10 4 2" xfId="20253" xr:uid="{00000000-0005-0000-0000-0000E11D0000}"/>
    <cellStyle name="20% - Accent6 10 5" xfId="6971" xr:uid="{00000000-0005-0000-0000-0000E21D0000}"/>
    <cellStyle name="20% - Accent6 10 5 2" xfId="18259" xr:uid="{00000000-0005-0000-0000-0000E31D0000}"/>
    <cellStyle name="20% - Accent6 10 6" xfId="4977" xr:uid="{00000000-0005-0000-0000-0000E41D0000}"/>
    <cellStyle name="20% - Accent6 10 6 2" xfId="16265" xr:uid="{00000000-0005-0000-0000-0000E51D0000}"/>
    <cellStyle name="20% - Accent6 10 7" xfId="14271" xr:uid="{00000000-0005-0000-0000-0000E61D0000}"/>
    <cellStyle name="20% - Accent6 10 8" xfId="12957" xr:uid="{00000000-0005-0000-0000-0000E71D0000}"/>
    <cellStyle name="20% - Accent6 11" xfId="1022" xr:uid="{00000000-0005-0000-0000-0000E81D0000}"/>
    <cellStyle name="20% - Accent6 11 2" xfId="3978" xr:uid="{00000000-0005-0000-0000-0000E91D0000}"/>
    <cellStyle name="20% - Accent6 11 2 2" xfId="11957" xr:uid="{00000000-0005-0000-0000-0000EA1D0000}"/>
    <cellStyle name="20% - Accent6 11 2 2 2" xfId="23245" xr:uid="{00000000-0005-0000-0000-0000EB1D0000}"/>
    <cellStyle name="20% - Accent6 11 2 3" xfId="9963" xr:uid="{00000000-0005-0000-0000-0000EC1D0000}"/>
    <cellStyle name="20% - Accent6 11 2 3 2" xfId="21251" xr:uid="{00000000-0005-0000-0000-0000ED1D0000}"/>
    <cellStyle name="20% - Accent6 11 2 4" xfId="7969" xr:uid="{00000000-0005-0000-0000-0000EE1D0000}"/>
    <cellStyle name="20% - Accent6 11 2 4 2" xfId="19257" xr:uid="{00000000-0005-0000-0000-0000EF1D0000}"/>
    <cellStyle name="20% - Accent6 11 2 5" xfId="5975" xr:uid="{00000000-0005-0000-0000-0000F01D0000}"/>
    <cellStyle name="20% - Accent6 11 2 5 2" xfId="17263" xr:uid="{00000000-0005-0000-0000-0000F11D0000}"/>
    <cellStyle name="20% - Accent6 11 2 6" xfId="15269" xr:uid="{00000000-0005-0000-0000-0000F21D0000}"/>
    <cellStyle name="20% - Accent6 11 3" xfId="10960" xr:uid="{00000000-0005-0000-0000-0000F31D0000}"/>
    <cellStyle name="20% - Accent6 11 3 2" xfId="22248" xr:uid="{00000000-0005-0000-0000-0000F41D0000}"/>
    <cellStyle name="20% - Accent6 11 4" xfId="8966" xr:uid="{00000000-0005-0000-0000-0000F51D0000}"/>
    <cellStyle name="20% - Accent6 11 4 2" xfId="20254" xr:uid="{00000000-0005-0000-0000-0000F61D0000}"/>
    <cellStyle name="20% - Accent6 11 5" xfId="6972" xr:uid="{00000000-0005-0000-0000-0000F71D0000}"/>
    <cellStyle name="20% - Accent6 11 5 2" xfId="18260" xr:uid="{00000000-0005-0000-0000-0000F81D0000}"/>
    <cellStyle name="20% - Accent6 11 6" xfId="4978" xr:uid="{00000000-0005-0000-0000-0000F91D0000}"/>
    <cellStyle name="20% - Accent6 11 6 2" xfId="16266" xr:uid="{00000000-0005-0000-0000-0000FA1D0000}"/>
    <cellStyle name="20% - Accent6 11 7" xfId="14272" xr:uid="{00000000-0005-0000-0000-0000FB1D0000}"/>
    <cellStyle name="20% - Accent6 11 8" xfId="12958" xr:uid="{00000000-0005-0000-0000-0000FC1D0000}"/>
    <cellStyle name="20% - Accent6 12" xfId="1023" xr:uid="{00000000-0005-0000-0000-0000FD1D0000}"/>
    <cellStyle name="20% - Accent6 12 2" xfId="3979" xr:uid="{00000000-0005-0000-0000-0000FE1D0000}"/>
    <cellStyle name="20% - Accent6 12 2 2" xfId="11958" xr:uid="{00000000-0005-0000-0000-0000FF1D0000}"/>
    <cellStyle name="20% - Accent6 12 2 2 2" xfId="23246" xr:uid="{00000000-0005-0000-0000-0000001E0000}"/>
    <cellStyle name="20% - Accent6 12 2 3" xfId="9964" xr:uid="{00000000-0005-0000-0000-0000011E0000}"/>
    <cellStyle name="20% - Accent6 12 2 3 2" xfId="21252" xr:uid="{00000000-0005-0000-0000-0000021E0000}"/>
    <cellStyle name="20% - Accent6 12 2 4" xfId="7970" xr:uid="{00000000-0005-0000-0000-0000031E0000}"/>
    <cellStyle name="20% - Accent6 12 2 4 2" xfId="19258" xr:uid="{00000000-0005-0000-0000-0000041E0000}"/>
    <cellStyle name="20% - Accent6 12 2 5" xfId="5976" xr:uid="{00000000-0005-0000-0000-0000051E0000}"/>
    <cellStyle name="20% - Accent6 12 2 5 2" xfId="17264" xr:uid="{00000000-0005-0000-0000-0000061E0000}"/>
    <cellStyle name="20% - Accent6 12 2 6" xfId="15270" xr:uid="{00000000-0005-0000-0000-0000071E0000}"/>
    <cellStyle name="20% - Accent6 12 3" xfId="10961" xr:uid="{00000000-0005-0000-0000-0000081E0000}"/>
    <cellStyle name="20% - Accent6 12 3 2" xfId="22249" xr:uid="{00000000-0005-0000-0000-0000091E0000}"/>
    <cellStyle name="20% - Accent6 12 4" xfId="8967" xr:uid="{00000000-0005-0000-0000-00000A1E0000}"/>
    <cellStyle name="20% - Accent6 12 4 2" xfId="20255" xr:uid="{00000000-0005-0000-0000-00000B1E0000}"/>
    <cellStyle name="20% - Accent6 12 5" xfId="6973" xr:uid="{00000000-0005-0000-0000-00000C1E0000}"/>
    <cellStyle name="20% - Accent6 12 5 2" xfId="18261" xr:uid="{00000000-0005-0000-0000-00000D1E0000}"/>
    <cellStyle name="20% - Accent6 12 6" xfId="4979" xr:uid="{00000000-0005-0000-0000-00000E1E0000}"/>
    <cellStyle name="20% - Accent6 12 6 2" xfId="16267" xr:uid="{00000000-0005-0000-0000-00000F1E0000}"/>
    <cellStyle name="20% - Accent6 12 7" xfId="14273" xr:uid="{00000000-0005-0000-0000-0000101E0000}"/>
    <cellStyle name="20% - Accent6 12 8" xfId="12959" xr:uid="{00000000-0005-0000-0000-0000111E0000}"/>
    <cellStyle name="20% - Accent6 13" xfId="1024" xr:uid="{00000000-0005-0000-0000-0000121E0000}"/>
    <cellStyle name="20% - Accent6 13 2" xfId="3980" xr:uid="{00000000-0005-0000-0000-0000131E0000}"/>
    <cellStyle name="20% - Accent6 13 2 2" xfId="11959" xr:uid="{00000000-0005-0000-0000-0000141E0000}"/>
    <cellStyle name="20% - Accent6 13 2 2 2" xfId="23247" xr:uid="{00000000-0005-0000-0000-0000151E0000}"/>
    <cellStyle name="20% - Accent6 13 2 3" xfId="9965" xr:uid="{00000000-0005-0000-0000-0000161E0000}"/>
    <cellStyle name="20% - Accent6 13 2 3 2" xfId="21253" xr:uid="{00000000-0005-0000-0000-0000171E0000}"/>
    <cellStyle name="20% - Accent6 13 2 4" xfId="7971" xr:uid="{00000000-0005-0000-0000-0000181E0000}"/>
    <cellStyle name="20% - Accent6 13 2 4 2" xfId="19259" xr:uid="{00000000-0005-0000-0000-0000191E0000}"/>
    <cellStyle name="20% - Accent6 13 2 5" xfId="5977" xr:uid="{00000000-0005-0000-0000-00001A1E0000}"/>
    <cellStyle name="20% - Accent6 13 2 5 2" xfId="17265" xr:uid="{00000000-0005-0000-0000-00001B1E0000}"/>
    <cellStyle name="20% - Accent6 13 2 6" xfId="15271" xr:uid="{00000000-0005-0000-0000-00001C1E0000}"/>
    <cellStyle name="20% - Accent6 13 3" xfId="10962" xr:uid="{00000000-0005-0000-0000-00001D1E0000}"/>
    <cellStyle name="20% - Accent6 13 3 2" xfId="22250" xr:uid="{00000000-0005-0000-0000-00001E1E0000}"/>
    <cellStyle name="20% - Accent6 13 4" xfId="8968" xr:uid="{00000000-0005-0000-0000-00001F1E0000}"/>
    <cellStyle name="20% - Accent6 13 4 2" xfId="20256" xr:uid="{00000000-0005-0000-0000-0000201E0000}"/>
    <cellStyle name="20% - Accent6 13 5" xfId="6974" xr:uid="{00000000-0005-0000-0000-0000211E0000}"/>
    <cellStyle name="20% - Accent6 13 5 2" xfId="18262" xr:uid="{00000000-0005-0000-0000-0000221E0000}"/>
    <cellStyle name="20% - Accent6 13 6" xfId="4980" xr:uid="{00000000-0005-0000-0000-0000231E0000}"/>
    <cellStyle name="20% - Accent6 13 6 2" xfId="16268" xr:uid="{00000000-0005-0000-0000-0000241E0000}"/>
    <cellStyle name="20% - Accent6 13 7" xfId="14274" xr:uid="{00000000-0005-0000-0000-0000251E0000}"/>
    <cellStyle name="20% - Accent6 13 8" xfId="12960" xr:uid="{00000000-0005-0000-0000-0000261E0000}"/>
    <cellStyle name="20% - Accent6 14" xfId="1025" xr:uid="{00000000-0005-0000-0000-0000271E0000}"/>
    <cellStyle name="20% - Accent6 14 2" xfId="3981" xr:uid="{00000000-0005-0000-0000-0000281E0000}"/>
    <cellStyle name="20% - Accent6 14 2 2" xfId="11960" xr:uid="{00000000-0005-0000-0000-0000291E0000}"/>
    <cellStyle name="20% - Accent6 14 2 2 2" xfId="23248" xr:uid="{00000000-0005-0000-0000-00002A1E0000}"/>
    <cellStyle name="20% - Accent6 14 2 3" xfId="9966" xr:uid="{00000000-0005-0000-0000-00002B1E0000}"/>
    <cellStyle name="20% - Accent6 14 2 3 2" xfId="21254" xr:uid="{00000000-0005-0000-0000-00002C1E0000}"/>
    <cellStyle name="20% - Accent6 14 2 4" xfId="7972" xr:uid="{00000000-0005-0000-0000-00002D1E0000}"/>
    <cellStyle name="20% - Accent6 14 2 4 2" xfId="19260" xr:uid="{00000000-0005-0000-0000-00002E1E0000}"/>
    <cellStyle name="20% - Accent6 14 2 5" xfId="5978" xr:uid="{00000000-0005-0000-0000-00002F1E0000}"/>
    <cellStyle name="20% - Accent6 14 2 5 2" xfId="17266" xr:uid="{00000000-0005-0000-0000-0000301E0000}"/>
    <cellStyle name="20% - Accent6 14 2 6" xfId="15272" xr:uid="{00000000-0005-0000-0000-0000311E0000}"/>
    <cellStyle name="20% - Accent6 14 3" xfId="10963" xr:uid="{00000000-0005-0000-0000-0000321E0000}"/>
    <cellStyle name="20% - Accent6 14 3 2" xfId="22251" xr:uid="{00000000-0005-0000-0000-0000331E0000}"/>
    <cellStyle name="20% - Accent6 14 4" xfId="8969" xr:uid="{00000000-0005-0000-0000-0000341E0000}"/>
    <cellStyle name="20% - Accent6 14 4 2" xfId="20257" xr:uid="{00000000-0005-0000-0000-0000351E0000}"/>
    <cellStyle name="20% - Accent6 14 5" xfId="6975" xr:uid="{00000000-0005-0000-0000-0000361E0000}"/>
    <cellStyle name="20% - Accent6 14 5 2" xfId="18263" xr:uid="{00000000-0005-0000-0000-0000371E0000}"/>
    <cellStyle name="20% - Accent6 14 6" xfId="4981" xr:uid="{00000000-0005-0000-0000-0000381E0000}"/>
    <cellStyle name="20% - Accent6 14 6 2" xfId="16269" xr:uid="{00000000-0005-0000-0000-0000391E0000}"/>
    <cellStyle name="20% - Accent6 14 7" xfId="14275" xr:uid="{00000000-0005-0000-0000-00003A1E0000}"/>
    <cellStyle name="20% - Accent6 14 8" xfId="12961" xr:uid="{00000000-0005-0000-0000-00003B1E0000}"/>
    <cellStyle name="20% - Accent6 15" xfId="1026" xr:uid="{00000000-0005-0000-0000-00003C1E0000}"/>
    <cellStyle name="20% - Accent6 15 2" xfId="3982" xr:uid="{00000000-0005-0000-0000-00003D1E0000}"/>
    <cellStyle name="20% - Accent6 15 2 2" xfId="11961" xr:uid="{00000000-0005-0000-0000-00003E1E0000}"/>
    <cellStyle name="20% - Accent6 15 2 2 2" xfId="23249" xr:uid="{00000000-0005-0000-0000-00003F1E0000}"/>
    <cellStyle name="20% - Accent6 15 2 3" xfId="9967" xr:uid="{00000000-0005-0000-0000-0000401E0000}"/>
    <cellStyle name="20% - Accent6 15 2 3 2" xfId="21255" xr:uid="{00000000-0005-0000-0000-0000411E0000}"/>
    <cellStyle name="20% - Accent6 15 2 4" xfId="7973" xr:uid="{00000000-0005-0000-0000-0000421E0000}"/>
    <cellStyle name="20% - Accent6 15 2 4 2" xfId="19261" xr:uid="{00000000-0005-0000-0000-0000431E0000}"/>
    <cellStyle name="20% - Accent6 15 2 5" xfId="5979" xr:uid="{00000000-0005-0000-0000-0000441E0000}"/>
    <cellStyle name="20% - Accent6 15 2 5 2" xfId="17267" xr:uid="{00000000-0005-0000-0000-0000451E0000}"/>
    <cellStyle name="20% - Accent6 15 2 6" xfId="15273" xr:uid="{00000000-0005-0000-0000-0000461E0000}"/>
    <cellStyle name="20% - Accent6 15 3" xfId="10964" xr:uid="{00000000-0005-0000-0000-0000471E0000}"/>
    <cellStyle name="20% - Accent6 15 3 2" xfId="22252" xr:uid="{00000000-0005-0000-0000-0000481E0000}"/>
    <cellStyle name="20% - Accent6 15 4" xfId="8970" xr:uid="{00000000-0005-0000-0000-0000491E0000}"/>
    <cellStyle name="20% - Accent6 15 4 2" xfId="20258" xr:uid="{00000000-0005-0000-0000-00004A1E0000}"/>
    <cellStyle name="20% - Accent6 15 5" xfId="6976" xr:uid="{00000000-0005-0000-0000-00004B1E0000}"/>
    <cellStyle name="20% - Accent6 15 5 2" xfId="18264" xr:uid="{00000000-0005-0000-0000-00004C1E0000}"/>
    <cellStyle name="20% - Accent6 15 6" xfId="4982" xr:uid="{00000000-0005-0000-0000-00004D1E0000}"/>
    <cellStyle name="20% - Accent6 15 6 2" xfId="16270" xr:uid="{00000000-0005-0000-0000-00004E1E0000}"/>
    <cellStyle name="20% - Accent6 15 7" xfId="14276" xr:uid="{00000000-0005-0000-0000-00004F1E0000}"/>
    <cellStyle name="20% - Accent6 15 8" xfId="12962" xr:uid="{00000000-0005-0000-0000-0000501E0000}"/>
    <cellStyle name="20% - Accent6 16" xfId="1027" xr:uid="{00000000-0005-0000-0000-0000511E0000}"/>
    <cellStyle name="20% - Accent6 16 2" xfId="3983" xr:uid="{00000000-0005-0000-0000-0000521E0000}"/>
    <cellStyle name="20% - Accent6 16 2 2" xfId="11962" xr:uid="{00000000-0005-0000-0000-0000531E0000}"/>
    <cellStyle name="20% - Accent6 16 2 2 2" xfId="23250" xr:uid="{00000000-0005-0000-0000-0000541E0000}"/>
    <cellStyle name="20% - Accent6 16 2 3" xfId="9968" xr:uid="{00000000-0005-0000-0000-0000551E0000}"/>
    <cellStyle name="20% - Accent6 16 2 3 2" xfId="21256" xr:uid="{00000000-0005-0000-0000-0000561E0000}"/>
    <cellStyle name="20% - Accent6 16 2 4" xfId="7974" xr:uid="{00000000-0005-0000-0000-0000571E0000}"/>
    <cellStyle name="20% - Accent6 16 2 4 2" xfId="19262" xr:uid="{00000000-0005-0000-0000-0000581E0000}"/>
    <cellStyle name="20% - Accent6 16 2 5" xfId="5980" xr:uid="{00000000-0005-0000-0000-0000591E0000}"/>
    <cellStyle name="20% - Accent6 16 2 5 2" xfId="17268" xr:uid="{00000000-0005-0000-0000-00005A1E0000}"/>
    <cellStyle name="20% - Accent6 16 2 6" xfId="15274" xr:uid="{00000000-0005-0000-0000-00005B1E0000}"/>
    <cellStyle name="20% - Accent6 16 3" xfId="10965" xr:uid="{00000000-0005-0000-0000-00005C1E0000}"/>
    <cellStyle name="20% - Accent6 16 3 2" xfId="22253" xr:uid="{00000000-0005-0000-0000-00005D1E0000}"/>
    <cellStyle name="20% - Accent6 16 4" xfId="8971" xr:uid="{00000000-0005-0000-0000-00005E1E0000}"/>
    <cellStyle name="20% - Accent6 16 4 2" xfId="20259" xr:uid="{00000000-0005-0000-0000-00005F1E0000}"/>
    <cellStyle name="20% - Accent6 16 5" xfId="6977" xr:uid="{00000000-0005-0000-0000-0000601E0000}"/>
    <cellStyle name="20% - Accent6 16 5 2" xfId="18265" xr:uid="{00000000-0005-0000-0000-0000611E0000}"/>
    <cellStyle name="20% - Accent6 16 6" xfId="4983" xr:uid="{00000000-0005-0000-0000-0000621E0000}"/>
    <cellStyle name="20% - Accent6 16 6 2" xfId="16271" xr:uid="{00000000-0005-0000-0000-0000631E0000}"/>
    <cellStyle name="20% - Accent6 16 7" xfId="14277" xr:uid="{00000000-0005-0000-0000-0000641E0000}"/>
    <cellStyle name="20% - Accent6 16 8" xfId="12963" xr:uid="{00000000-0005-0000-0000-0000651E0000}"/>
    <cellStyle name="20% - Accent6 17" xfId="1028" xr:uid="{00000000-0005-0000-0000-0000661E0000}"/>
    <cellStyle name="20% - Accent6 17 2" xfId="3984" xr:uid="{00000000-0005-0000-0000-0000671E0000}"/>
    <cellStyle name="20% - Accent6 17 2 2" xfId="11963" xr:uid="{00000000-0005-0000-0000-0000681E0000}"/>
    <cellStyle name="20% - Accent6 17 2 2 2" xfId="23251" xr:uid="{00000000-0005-0000-0000-0000691E0000}"/>
    <cellStyle name="20% - Accent6 17 2 3" xfId="9969" xr:uid="{00000000-0005-0000-0000-00006A1E0000}"/>
    <cellStyle name="20% - Accent6 17 2 3 2" xfId="21257" xr:uid="{00000000-0005-0000-0000-00006B1E0000}"/>
    <cellStyle name="20% - Accent6 17 2 4" xfId="7975" xr:uid="{00000000-0005-0000-0000-00006C1E0000}"/>
    <cellStyle name="20% - Accent6 17 2 4 2" xfId="19263" xr:uid="{00000000-0005-0000-0000-00006D1E0000}"/>
    <cellStyle name="20% - Accent6 17 2 5" xfId="5981" xr:uid="{00000000-0005-0000-0000-00006E1E0000}"/>
    <cellStyle name="20% - Accent6 17 2 5 2" xfId="17269" xr:uid="{00000000-0005-0000-0000-00006F1E0000}"/>
    <cellStyle name="20% - Accent6 17 2 6" xfId="15275" xr:uid="{00000000-0005-0000-0000-0000701E0000}"/>
    <cellStyle name="20% - Accent6 17 3" xfId="10966" xr:uid="{00000000-0005-0000-0000-0000711E0000}"/>
    <cellStyle name="20% - Accent6 17 3 2" xfId="22254" xr:uid="{00000000-0005-0000-0000-0000721E0000}"/>
    <cellStyle name="20% - Accent6 17 4" xfId="8972" xr:uid="{00000000-0005-0000-0000-0000731E0000}"/>
    <cellStyle name="20% - Accent6 17 4 2" xfId="20260" xr:uid="{00000000-0005-0000-0000-0000741E0000}"/>
    <cellStyle name="20% - Accent6 17 5" xfId="6978" xr:uid="{00000000-0005-0000-0000-0000751E0000}"/>
    <cellStyle name="20% - Accent6 17 5 2" xfId="18266" xr:uid="{00000000-0005-0000-0000-0000761E0000}"/>
    <cellStyle name="20% - Accent6 17 6" xfId="4984" xr:uid="{00000000-0005-0000-0000-0000771E0000}"/>
    <cellStyle name="20% - Accent6 17 6 2" xfId="16272" xr:uid="{00000000-0005-0000-0000-0000781E0000}"/>
    <cellStyle name="20% - Accent6 17 7" xfId="14278" xr:uid="{00000000-0005-0000-0000-0000791E0000}"/>
    <cellStyle name="20% - Accent6 17 8" xfId="12964" xr:uid="{00000000-0005-0000-0000-00007A1E0000}"/>
    <cellStyle name="20% - Accent6 18" xfId="1029" xr:uid="{00000000-0005-0000-0000-00007B1E0000}"/>
    <cellStyle name="20% - Accent6 18 2" xfId="3985" xr:uid="{00000000-0005-0000-0000-00007C1E0000}"/>
    <cellStyle name="20% - Accent6 18 2 2" xfId="11964" xr:uid="{00000000-0005-0000-0000-00007D1E0000}"/>
    <cellStyle name="20% - Accent6 18 2 2 2" xfId="23252" xr:uid="{00000000-0005-0000-0000-00007E1E0000}"/>
    <cellStyle name="20% - Accent6 18 2 3" xfId="9970" xr:uid="{00000000-0005-0000-0000-00007F1E0000}"/>
    <cellStyle name="20% - Accent6 18 2 3 2" xfId="21258" xr:uid="{00000000-0005-0000-0000-0000801E0000}"/>
    <cellStyle name="20% - Accent6 18 2 4" xfId="7976" xr:uid="{00000000-0005-0000-0000-0000811E0000}"/>
    <cellStyle name="20% - Accent6 18 2 4 2" xfId="19264" xr:uid="{00000000-0005-0000-0000-0000821E0000}"/>
    <cellStyle name="20% - Accent6 18 2 5" xfId="5982" xr:uid="{00000000-0005-0000-0000-0000831E0000}"/>
    <cellStyle name="20% - Accent6 18 2 5 2" xfId="17270" xr:uid="{00000000-0005-0000-0000-0000841E0000}"/>
    <cellStyle name="20% - Accent6 18 2 6" xfId="15276" xr:uid="{00000000-0005-0000-0000-0000851E0000}"/>
    <cellStyle name="20% - Accent6 18 3" xfId="10967" xr:uid="{00000000-0005-0000-0000-0000861E0000}"/>
    <cellStyle name="20% - Accent6 18 3 2" xfId="22255" xr:uid="{00000000-0005-0000-0000-0000871E0000}"/>
    <cellStyle name="20% - Accent6 18 4" xfId="8973" xr:uid="{00000000-0005-0000-0000-0000881E0000}"/>
    <cellStyle name="20% - Accent6 18 4 2" xfId="20261" xr:uid="{00000000-0005-0000-0000-0000891E0000}"/>
    <cellStyle name="20% - Accent6 18 5" xfId="6979" xr:uid="{00000000-0005-0000-0000-00008A1E0000}"/>
    <cellStyle name="20% - Accent6 18 5 2" xfId="18267" xr:uid="{00000000-0005-0000-0000-00008B1E0000}"/>
    <cellStyle name="20% - Accent6 18 6" xfId="4985" xr:uid="{00000000-0005-0000-0000-00008C1E0000}"/>
    <cellStyle name="20% - Accent6 18 6 2" xfId="16273" xr:uid="{00000000-0005-0000-0000-00008D1E0000}"/>
    <cellStyle name="20% - Accent6 18 7" xfId="14279" xr:uid="{00000000-0005-0000-0000-00008E1E0000}"/>
    <cellStyle name="20% - Accent6 18 8" xfId="12965" xr:uid="{00000000-0005-0000-0000-00008F1E0000}"/>
    <cellStyle name="20% - Accent6 19" xfId="1030" xr:uid="{00000000-0005-0000-0000-0000901E0000}"/>
    <cellStyle name="20% - Accent6 19 2" xfId="3986" xr:uid="{00000000-0005-0000-0000-0000911E0000}"/>
    <cellStyle name="20% - Accent6 19 2 2" xfId="11965" xr:uid="{00000000-0005-0000-0000-0000921E0000}"/>
    <cellStyle name="20% - Accent6 19 2 2 2" xfId="23253" xr:uid="{00000000-0005-0000-0000-0000931E0000}"/>
    <cellStyle name="20% - Accent6 19 2 3" xfId="9971" xr:uid="{00000000-0005-0000-0000-0000941E0000}"/>
    <cellStyle name="20% - Accent6 19 2 3 2" xfId="21259" xr:uid="{00000000-0005-0000-0000-0000951E0000}"/>
    <cellStyle name="20% - Accent6 19 2 4" xfId="7977" xr:uid="{00000000-0005-0000-0000-0000961E0000}"/>
    <cellStyle name="20% - Accent6 19 2 4 2" xfId="19265" xr:uid="{00000000-0005-0000-0000-0000971E0000}"/>
    <cellStyle name="20% - Accent6 19 2 5" xfId="5983" xr:uid="{00000000-0005-0000-0000-0000981E0000}"/>
    <cellStyle name="20% - Accent6 19 2 5 2" xfId="17271" xr:uid="{00000000-0005-0000-0000-0000991E0000}"/>
    <cellStyle name="20% - Accent6 19 2 6" xfId="15277" xr:uid="{00000000-0005-0000-0000-00009A1E0000}"/>
    <cellStyle name="20% - Accent6 19 3" xfId="10968" xr:uid="{00000000-0005-0000-0000-00009B1E0000}"/>
    <cellStyle name="20% - Accent6 19 3 2" xfId="22256" xr:uid="{00000000-0005-0000-0000-00009C1E0000}"/>
    <cellStyle name="20% - Accent6 19 4" xfId="8974" xr:uid="{00000000-0005-0000-0000-00009D1E0000}"/>
    <cellStyle name="20% - Accent6 19 4 2" xfId="20262" xr:uid="{00000000-0005-0000-0000-00009E1E0000}"/>
    <cellStyle name="20% - Accent6 19 5" xfId="6980" xr:uid="{00000000-0005-0000-0000-00009F1E0000}"/>
    <cellStyle name="20% - Accent6 19 5 2" xfId="18268" xr:uid="{00000000-0005-0000-0000-0000A01E0000}"/>
    <cellStyle name="20% - Accent6 19 6" xfId="4986" xr:uid="{00000000-0005-0000-0000-0000A11E0000}"/>
    <cellStyle name="20% - Accent6 19 6 2" xfId="16274" xr:uid="{00000000-0005-0000-0000-0000A21E0000}"/>
    <cellStyle name="20% - Accent6 19 7" xfId="14280" xr:uid="{00000000-0005-0000-0000-0000A31E0000}"/>
    <cellStyle name="20% - Accent6 19 8" xfId="12966" xr:uid="{00000000-0005-0000-0000-0000A41E0000}"/>
    <cellStyle name="20% - Accent6 2" xfId="1031" xr:uid="{00000000-0005-0000-0000-0000A51E0000}"/>
    <cellStyle name="20% - Accent6 2 10" xfId="24589" xr:uid="{00000000-0005-0000-0000-0000A61E0000}"/>
    <cellStyle name="20% - Accent6 2 11" xfId="24979" xr:uid="{00000000-0005-0000-0000-0000A71E0000}"/>
    <cellStyle name="20% - Accent6 2 2" xfId="3987" xr:uid="{00000000-0005-0000-0000-0000A81E0000}"/>
    <cellStyle name="20% - Accent6 2 2 2" xfId="11966" xr:uid="{00000000-0005-0000-0000-0000A91E0000}"/>
    <cellStyle name="20% - Accent6 2 2 2 2" xfId="23254" xr:uid="{00000000-0005-0000-0000-0000AA1E0000}"/>
    <cellStyle name="20% - Accent6 2 2 3" xfId="9972" xr:uid="{00000000-0005-0000-0000-0000AB1E0000}"/>
    <cellStyle name="20% - Accent6 2 2 3 2" xfId="21260" xr:uid="{00000000-0005-0000-0000-0000AC1E0000}"/>
    <cellStyle name="20% - Accent6 2 2 4" xfId="7978" xr:uid="{00000000-0005-0000-0000-0000AD1E0000}"/>
    <cellStyle name="20% - Accent6 2 2 4 2" xfId="19266" xr:uid="{00000000-0005-0000-0000-0000AE1E0000}"/>
    <cellStyle name="20% - Accent6 2 2 5" xfId="5984" xr:uid="{00000000-0005-0000-0000-0000AF1E0000}"/>
    <cellStyle name="20% - Accent6 2 2 5 2" xfId="17272" xr:uid="{00000000-0005-0000-0000-0000B01E0000}"/>
    <cellStyle name="20% - Accent6 2 2 6" xfId="15278" xr:uid="{00000000-0005-0000-0000-0000B11E0000}"/>
    <cellStyle name="20% - Accent6 2 2 7" xfId="24350" xr:uid="{00000000-0005-0000-0000-0000B21E0000}"/>
    <cellStyle name="20% - Accent6 2 2 8" xfId="24814" xr:uid="{00000000-0005-0000-0000-0000B31E0000}"/>
    <cellStyle name="20% - Accent6 2 2 9" xfId="25181" xr:uid="{00000000-0005-0000-0000-0000B41E0000}"/>
    <cellStyle name="20% - Accent6 2 3" xfId="10969" xr:uid="{00000000-0005-0000-0000-0000B51E0000}"/>
    <cellStyle name="20% - Accent6 2 3 2" xfId="22257" xr:uid="{00000000-0005-0000-0000-0000B61E0000}"/>
    <cellStyle name="20% - Accent6 2 4" xfId="8975" xr:uid="{00000000-0005-0000-0000-0000B71E0000}"/>
    <cellStyle name="20% - Accent6 2 4 2" xfId="20263" xr:uid="{00000000-0005-0000-0000-0000B81E0000}"/>
    <cellStyle name="20% - Accent6 2 5" xfId="6981" xr:uid="{00000000-0005-0000-0000-0000B91E0000}"/>
    <cellStyle name="20% - Accent6 2 5 2" xfId="18269" xr:uid="{00000000-0005-0000-0000-0000BA1E0000}"/>
    <cellStyle name="20% - Accent6 2 6" xfId="4987" xr:uid="{00000000-0005-0000-0000-0000BB1E0000}"/>
    <cellStyle name="20% - Accent6 2 6 2" xfId="16275" xr:uid="{00000000-0005-0000-0000-0000BC1E0000}"/>
    <cellStyle name="20% - Accent6 2 7" xfId="14281" xr:uid="{00000000-0005-0000-0000-0000BD1E0000}"/>
    <cellStyle name="20% - Accent6 2 8" xfId="12967" xr:uid="{00000000-0005-0000-0000-0000BE1E0000}"/>
    <cellStyle name="20% - Accent6 2 9" xfId="23962" xr:uid="{00000000-0005-0000-0000-0000BF1E0000}"/>
    <cellStyle name="20% - Accent6 20" xfId="1032" xr:uid="{00000000-0005-0000-0000-0000C01E0000}"/>
    <cellStyle name="20% - Accent6 20 2" xfId="3988" xr:uid="{00000000-0005-0000-0000-0000C11E0000}"/>
    <cellStyle name="20% - Accent6 20 2 2" xfId="11967" xr:uid="{00000000-0005-0000-0000-0000C21E0000}"/>
    <cellStyle name="20% - Accent6 20 2 2 2" xfId="23255" xr:uid="{00000000-0005-0000-0000-0000C31E0000}"/>
    <cellStyle name="20% - Accent6 20 2 3" xfId="9973" xr:uid="{00000000-0005-0000-0000-0000C41E0000}"/>
    <cellStyle name="20% - Accent6 20 2 3 2" xfId="21261" xr:uid="{00000000-0005-0000-0000-0000C51E0000}"/>
    <cellStyle name="20% - Accent6 20 2 4" xfId="7979" xr:uid="{00000000-0005-0000-0000-0000C61E0000}"/>
    <cellStyle name="20% - Accent6 20 2 4 2" xfId="19267" xr:uid="{00000000-0005-0000-0000-0000C71E0000}"/>
    <cellStyle name="20% - Accent6 20 2 5" xfId="5985" xr:uid="{00000000-0005-0000-0000-0000C81E0000}"/>
    <cellStyle name="20% - Accent6 20 2 5 2" xfId="17273" xr:uid="{00000000-0005-0000-0000-0000C91E0000}"/>
    <cellStyle name="20% - Accent6 20 2 6" xfId="15279" xr:uid="{00000000-0005-0000-0000-0000CA1E0000}"/>
    <cellStyle name="20% - Accent6 20 3" xfId="10970" xr:uid="{00000000-0005-0000-0000-0000CB1E0000}"/>
    <cellStyle name="20% - Accent6 20 3 2" xfId="22258" xr:uid="{00000000-0005-0000-0000-0000CC1E0000}"/>
    <cellStyle name="20% - Accent6 20 4" xfId="8976" xr:uid="{00000000-0005-0000-0000-0000CD1E0000}"/>
    <cellStyle name="20% - Accent6 20 4 2" xfId="20264" xr:uid="{00000000-0005-0000-0000-0000CE1E0000}"/>
    <cellStyle name="20% - Accent6 20 5" xfId="6982" xr:uid="{00000000-0005-0000-0000-0000CF1E0000}"/>
    <cellStyle name="20% - Accent6 20 5 2" xfId="18270" xr:uid="{00000000-0005-0000-0000-0000D01E0000}"/>
    <cellStyle name="20% - Accent6 20 6" xfId="4988" xr:uid="{00000000-0005-0000-0000-0000D11E0000}"/>
    <cellStyle name="20% - Accent6 20 6 2" xfId="16276" xr:uid="{00000000-0005-0000-0000-0000D21E0000}"/>
    <cellStyle name="20% - Accent6 20 7" xfId="14282" xr:uid="{00000000-0005-0000-0000-0000D31E0000}"/>
    <cellStyle name="20% - Accent6 20 8" xfId="12968" xr:uid="{00000000-0005-0000-0000-0000D41E0000}"/>
    <cellStyle name="20% - Accent6 21" xfId="1033" xr:uid="{00000000-0005-0000-0000-0000D51E0000}"/>
    <cellStyle name="20% - Accent6 21 2" xfId="3989" xr:uid="{00000000-0005-0000-0000-0000D61E0000}"/>
    <cellStyle name="20% - Accent6 21 2 2" xfId="11968" xr:uid="{00000000-0005-0000-0000-0000D71E0000}"/>
    <cellStyle name="20% - Accent6 21 2 2 2" xfId="23256" xr:uid="{00000000-0005-0000-0000-0000D81E0000}"/>
    <cellStyle name="20% - Accent6 21 2 3" xfId="9974" xr:uid="{00000000-0005-0000-0000-0000D91E0000}"/>
    <cellStyle name="20% - Accent6 21 2 3 2" xfId="21262" xr:uid="{00000000-0005-0000-0000-0000DA1E0000}"/>
    <cellStyle name="20% - Accent6 21 2 4" xfId="7980" xr:uid="{00000000-0005-0000-0000-0000DB1E0000}"/>
    <cellStyle name="20% - Accent6 21 2 4 2" xfId="19268" xr:uid="{00000000-0005-0000-0000-0000DC1E0000}"/>
    <cellStyle name="20% - Accent6 21 2 5" xfId="5986" xr:uid="{00000000-0005-0000-0000-0000DD1E0000}"/>
    <cellStyle name="20% - Accent6 21 2 5 2" xfId="17274" xr:uid="{00000000-0005-0000-0000-0000DE1E0000}"/>
    <cellStyle name="20% - Accent6 21 2 6" xfId="15280" xr:uid="{00000000-0005-0000-0000-0000DF1E0000}"/>
    <cellStyle name="20% - Accent6 21 3" xfId="10971" xr:uid="{00000000-0005-0000-0000-0000E01E0000}"/>
    <cellStyle name="20% - Accent6 21 3 2" xfId="22259" xr:uid="{00000000-0005-0000-0000-0000E11E0000}"/>
    <cellStyle name="20% - Accent6 21 4" xfId="8977" xr:uid="{00000000-0005-0000-0000-0000E21E0000}"/>
    <cellStyle name="20% - Accent6 21 4 2" xfId="20265" xr:uid="{00000000-0005-0000-0000-0000E31E0000}"/>
    <cellStyle name="20% - Accent6 21 5" xfId="6983" xr:uid="{00000000-0005-0000-0000-0000E41E0000}"/>
    <cellStyle name="20% - Accent6 21 5 2" xfId="18271" xr:uid="{00000000-0005-0000-0000-0000E51E0000}"/>
    <cellStyle name="20% - Accent6 21 6" xfId="4989" xr:uid="{00000000-0005-0000-0000-0000E61E0000}"/>
    <cellStyle name="20% - Accent6 21 6 2" xfId="16277" xr:uid="{00000000-0005-0000-0000-0000E71E0000}"/>
    <cellStyle name="20% - Accent6 21 7" xfId="14283" xr:uid="{00000000-0005-0000-0000-0000E81E0000}"/>
    <cellStyle name="20% - Accent6 21 8" xfId="12969" xr:uid="{00000000-0005-0000-0000-0000E91E0000}"/>
    <cellStyle name="20% - Accent6 22" xfId="1034" xr:uid="{00000000-0005-0000-0000-0000EA1E0000}"/>
    <cellStyle name="20% - Accent6 22 2" xfId="3990" xr:uid="{00000000-0005-0000-0000-0000EB1E0000}"/>
    <cellStyle name="20% - Accent6 22 2 2" xfId="11969" xr:uid="{00000000-0005-0000-0000-0000EC1E0000}"/>
    <cellStyle name="20% - Accent6 22 2 2 2" xfId="23257" xr:uid="{00000000-0005-0000-0000-0000ED1E0000}"/>
    <cellStyle name="20% - Accent6 22 2 3" xfId="9975" xr:uid="{00000000-0005-0000-0000-0000EE1E0000}"/>
    <cellStyle name="20% - Accent6 22 2 3 2" xfId="21263" xr:uid="{00000000-0005-0000-0000-0000EF1E0000}"/>
    <cellStyle name="20% - Accent6 22 2 4" xfId="7981" xr:uid="{00000000-0005-0000-0000-0000F01E0000}"/>
    <cellStyle name="20% - Accent6 22 2 4 2" xfId="19269" xr:uid="{00000000-0005-0000-0000-0000F11E0000}"/>
    <cellStyle name="20% - Accent6 22 2 5" xfId="5987" xr:uid="{00000000-0005-0000-0000-0000F21E0000}"/>
    <cellStyle name="20% - Accent6 22 2 5 2" xfId="17275" xr:uid="{00000000-0005-0000-0000-0000F31E0000}"/>
    <cellStyle name="20% - Accent6 22 2 6" xfId="15281" xr:uid="{00000000-0005-0000-0000-0000F41E0000}"/>
    <cellStyle name="20% - Accent6 22 3" xfId="10972" xr:uid="{00000000-0005-0000-0000-0000F51E0000}"/>
    <cellStyle name="20% - Accent6 22 3 2" xfId="22260" xr:uid="{00000000-0005-0000-0000-0000F61E0000}"/>
    <cellStyle name="20% - Accent6 22 4" xfId="8978" xr:uid="{00000000-0005-0000-0000-0000F71E0000}"/>
    <cellStyle name="20% - Accent6 22 4 2" xfId="20266" xr:uid="{00000000-0005-0000-0000-0000F81E0000}"/>
    <cellStyle name="20% - Accent6 22 5" xfId="6984" xr:uid="{00000000-0005-0000-0000-0000F91E0000}"/>
    <cellStyle name="20% - Accent6 22 5 2" xfId="18272" xr:uid="{00000000-0005-0000-0000-0000FA1E0000}"/>
    <cellStyle name="20% - Accent6 22 6" xfId="4990" xr:uid="{00000000-0005-0000-0000-0000FB1E0000}"/>
    <cellStyle name="20% - Accent6 22 6 2" xfId="16278" xr:uid="{00000000-0005-0000-0000-0000FC1E0000}"/>
    <cellStyle name="20% - Accent6 22 7" xfId="14284" xr:uid="{00000000-0005-0000-0000-0000FD1E0000}"/>
    <cellStyle name="20% - Accent6 22 8" xfId="12970" xr:uid="{00000000-0005-0000-0000-0000FE1E0000}"/>
    <cellStyle name="20% - Accent6 23" xfId="1035" xr:uid="{00000000-0005-0000-0000-0000FF1E0000}"/>
    <cellStyle name="20% - Accent6 23 2" xfId="3991" xr:uid="{00000000-0005-0000-0000-0000001F0000}"/>
    <cellStyle name="20% - Accent6 23 2 2" xfId="11970" xr:uid="{00000000-0005-0000-0000-0000011F0000}"/>
    <cellStyle name="20% - Accent6 23 2 2 2" xfId="23258" xr:uid="{00000000-0005-0000-0000-0000021F0000}"/>
    <cellStyle name="20% - Accent6 23 2 3" xfId="9976" xr:uid="{00000000-0005-0000-0000-0000031F0000}"/>
    <cellStyle name="20% - Accent6 23 2 3 2" xfId="21264" xr:uid="{00000000-0005-0000-0000-0000041F0000}"/>
    <cellStyle name="20% - Accent6 23 2 4" xfId="7982" xr:uid="{00000000-0005-0000-0000-0000051F0000}"/>
    <cellStyle name="20% - Accent6 23 2 4 2" xfId="19270" xr:uid="{00000000-0005-0000-0000-0000061F0000}"/>
    <cellStyle name="20% - Accent6 23 2 5" xfId="5988" xr:uid="{00000000-0005-0000-0000-0000071F0000}"/>
    <cellStyle name="20% - Accent6 23 2 5 2" xfId="17276" xr:uid="{00000000-0005-0000-0000-0000081F0000}"/>
    <cellStyle name="20% - Accent6 23 2 6" xfId="15282" xr:uid="{00000000-0005-0000-0000-0000091F0000}"/>
    <cellStyle name="20% - Accent6 23 3" xfId="10973" xr:uid="{00000000-0005-0000-0000-00000A1F0000}"/>
    <cellStyle name="20% - Accent6 23 3 2" xfId="22261" xr:uid="{00000000-0005-0000-0000-00000B1F0000}"/>
    <cellStyle name="20% - Accent6 23 4" xfId="8979" xr:uid="{00000000-0005-0000-0000-00000C1F0000}"/>
    <cellStyle name="20% - Accent6 23 4 2" xfId="20267" xr:uid="{00000000-0005-0000-0000-00000D1F0000}"/>
    <cellStyle name="20% - Accent6 23 5" xfId="6985" xr:uid="{00000000-0005-0000-0000-00000E1F0000}"/>
    <cellStyle name="20% - Accent6 23 5 2" xfId="18273" xr:uid="{00000000-0005-0000-0000-00000F1F0000}"/>
    <cellStyle name="20% - Accent6 23 6" xfId="4991" xr:uid="{00000000-0005-0000-0000-0000101F0000}"/>
    <cellStyle name="20% - Accent6 23 6 2" xfId="16279" xr:uid="{00000000-0005-0000-0000-0000111F0000}"/>
    <cellStyle name="20% - Accent6 23 7" xfId="14285" xr:uid="{00000000-0005-0000-0000-0000121F0000}"/>
    <cellStyle name="20% - Accent6 23 8" xfId="12971" xr:uid="{00000000-0005-0000-0000-0000131F0000}"/>
    <cellStyle name="20% - Accent6 24" xfId="1036" xr:uid="{00000000-0005-0000-0000-0000141F0000}"/>
    <cellStyle name="20% - Accent6 24 2" xfId="3992" xr:uid="{00000000-0005-0000-0000-0000151F0000}"/>
    <cellStyle name="20% - Accent6 24 2 2" xfId="11971" xr:uid="{00000000-0005-0000-0000-0000161F0000}"/>
    <cellStyle name="20% - Accent6 24 2 2 2" xfId="23259" xr:uid="{00000000-0005-0000-0000-0000171F0000}"/>
    <cellStyle name="20% - Accent6 24 2 3" xfId="9977" xr:uid="{00000000-0005-0000-0000-0000181F0000}"/>
    <cellStyle name="20% - Accent6 24 2 3 2" xfId="21265" xr:uid="{00000000-0005-0000-0000-0000191F0000}"/>
    <cellStyle name="20% - Accent6 24 2 4" xfId="7983" xr:uid="{00000000-0005-0000-0000-00001A1F0000}"/>
    <cellStyle name="20% - Accent6 24 2 4 2" xfId="19271" xr:uid="{00000000-0005-0000-0000-00001B1F0000}"/>
    <cellStyle name="20% - Accent6 24 2 5" xfId="5989" xr:uid="{00000000-0005-0000-0000-00001C1F0000}"/>
    <cellStyle name="20% - Accent6 24 2 5 2" xfId="17277" xr:uid="{00000000-0005-0000-0000-00001D1F0000}"/>
    <cellStyle name="20% - Accent6 24 2 6" xfId="15283" xr:uid="{00000000-0005-0000-0000-00001E1F0000}"/>
    <cellStyle name="20% - Accent6 24 3" xfId="10974" xr:uid="{00000000-0005-0000-0000-00001F1F0000}"/>
    <cellStyle name="20% - Accent6 24 3 2" xfId="22262" xr:uid="{00000000-0005-0000-0000-0000201F0000}"/>
    <cellStyle name="20% - Accent6 24 4" xfId="8980" xr:uid="{00000000-0005-0000-0000-0000211F0000}"/>
    <cellStyle name="20% - Accent6 24 4 2" xfId="20268" xr:uid="{00000000-0005-0000-0000-0000221F0000}"/>
    <cellStyle name="20% - Accent6 24 5" xfId="6986" xr:uid="{00000000-0005-0000-0000-0000231F0000}"/>
    <cellStyle name="20% - Accent6 24 5 2" xfId="18274" xr:uid="{00000000-0005-0000-0000-0000241F0000}"/>
    <cellStyle name="20% - Accent6 24 6" xfId="4992" xr:uid="{00000000-0005-0000-0000-0000251F0000}"/>
    <cellStyle name="20% - Accent6 24 6 2" xfId="16280" xr:uid="{00000000-0005-0000-0000-0000261F0000}"/>
    <cellStyle name="20% - Accent6 24 7" xfId="14286" xr:uid="{00000000-0005-0000-0000-0000271F0000}"/>
    <cellStyle name="20% - Accent6 24 8" xfId="12972" xr:uid="{00000000-0005-0000-0000-0000281F0000}"/>
    <cellStyle name="20% - Accent6 25" xfId="1037" xr:uid="{00000000-0005-0000-0000-0000291F0000}"/>
    <cellStyle name="20% - Accent6 25 2" xfId="3993" xr:uid="{00000000-0005-0000-0000-00002A1F0000}"/>
    <cellStyle name="20% - Accent6 25 2 2" xfId="11972" xr:uid="{00000000-0005-0000-0000-00002B1F0000}"/>
    <cellStyle name="20% - Accent6 25 2 2 2" xfId="23260" xr:uid="{00000000-0005-0000-0000-00002C1F0000}"/>
    <cellStyle name="20% - Accent6 25 2 3" xfId="9978" xr:uid="{00000000-0005-0000-0000-00002D1F0000}"/>
    <cellStyle name="20% - Accent6 25 2 3 2" xfId="21266" xr:uid="{00000000-0005-0000-0000-00002E1F0000}"/>
    <cellStyle name="20% - Accent6 25 2 4" xfId="7984" xr:uid="{00000000-0005-0000-0000-00002F1F0000}"/>
    <cellStyle name="20% - Accent6 25 2 4 2" xfId="19272" xr:uid="{00000000-0005-0000-0000-0000301F0000}"/>
    <cellStyle name="20% - Accent6 25 2 5" xfId="5990" xr:uid="{00000000-0005-0000-0000-0000311F0000}"/>
    <cellStyle name="20% - Accent6 25 2 5 2" xfId="17278" xr:uid="{00000000-0005-0000-0000-0000321F0000}"/>
    <cellStyle name="20% - Accent6 25 2 6" xfId="15284" xr:uid="{00000000-0005-0000-0000-0000331F0000}"/>
    <cellStyle name="20% - Accent6 25 3" xfId="10975" xr:uid="{00000000-0005-0000-0000-0000341F0000}"/>
    <cellStyle name="20% - Accent6 25 3 2" xfId="22263" xr:uid="{00000000-0005-0000-0000-0000351F0000}"/>
    <cellStyle name="20% - Accent6 25 4" xfId="8981" xr:uid="{00000000-0005-0000-0000-0000361F0000}"/>
    <cellStyle name="20% - Accent6 25 4 2" xfId="20269" xr:uid="{00000000-0005-0000-0000-0000371F0000}"/>
    <cellStyle name="20% - Accent6 25 5" xfId="6987" xr:uid="{00000000-0005-0000-0000-0000381F0000}"/>
    <cellStyle name="20% - Accent6 25 5 2" xfId="18275" xr:uid="{00000000-0005-0000-0000-0000391F0000}"/>
    <cellStyle name="20% - Accent6 25 6" xfId="4993" xr:uid="{00000000-0005-0000-0000-00003A1F0000}"/>
    <cellStyle name="20% - Accent6 25 6 2" xfId="16281" xr:uid="{00000000-0005-0000-0000-00003B1F0000}"/>
    <cellStyle name="20% - Accent6 25 7" xfId="14287" xr:uid="{00000000-0005-0000-0000-00003C1F0000}"/>
    <cellStyle name="20% - Accent6 25 8" xfId="12973" xr:uid="{00000000-0005-0000-0000-00003D1F0000}"/>
    <cellStyle name="20% - Accent6 26" xfId="1038" xr:uid="{00000000-0005-0000-0000-00003E1F0000}"/>
    <cellStyle name="20% - Accent6 26 2" xfId="3994" xr:uid="{00000000-0005-0000-0000-00003F1F0000}"/>
    <cellStyle name="20% - Accent6 26 2 2" xfId="11973" xr:uid="{00000000-0005-0000-0000-0000401F0000}"/>
    <cellStyle name="20% - Accent6 26 2 2 2" xfId="23261" xr:uid="{00000000-0005-0000-0000-0000411F0000}"/>
    <cellStyle name="20% - Accent6 26 2 3" xfId="9979" xr:uid="{00000000-0005-0000-0000-0000421F0000}"/>
    <cellStyle name="20% - Accent6 26 2 3 2" xfId="21267" xr:uid="{00000000-0005-0000-0000-0000431F0000}"/>
    <cellStyle name="20% - Accent6 26 2 4" xfId="7985" xr:uid="{00000000-0005-0000-0000-0000441F0000}"/>
    <cellStyle name="20% - Accent6 26 2 4 2" xfId="19273" xr:uid="{00000000-0005-0000-0000-0000451F0000}"/>
    <cellStyle name="20% - Accent6 26 2 5" xfId="5991" xr:uid="{00000000-0005-0000-0000-0000461F0000}"/>
    <cellStyle name="20% - Accent6 26 2 5 2" xfId="17279" xr:uid="{00000000-0005-0000-0000-0000471F0000}"/>
    <cellStyle name="20% - Accent6 26 2 6" xfId="15285" xr:uid="{00000000-0005-0000-0000-0000481F0000}"/>
    <cellStyle name="20% - Accent6 26 3" xfId="10976" xr:uid="{00000000-0005-0000-0000-0000491F0000}"/>
    <cellStyle name="20% - Accent6 26 3 2" xfId="22264" xr:uid="{00000000-0005-0000-0000-00004A1F0000}"/>
    <cellStyle name="20% - Accent6 26 4" xfId="8982" xr:uid="{00000000-0005-0000-0000-00004B1F0000}"/>
    <cellStyle name="20% - Accent6 26 4 2" xfId="20270" xr:uid="{00000000-0005-0000-0000-00004C1F0000}"/>
    <cellStyle name="20% - Accent6 26 5" xfId="6988" xr:uid="{00000000-0005-0000-0000-00004D1F0000}"/>
    <cellStyle name="20% - Accent6 26 5 2" xfId="18276" xr:uid="{00000000-0005-0000-0000-00004E1F0000}"/>
    <cellStyle name="20% - Accent6 26 6" xfId="4994" xr:uid="{00000000-0005-0000-0000-00004F1F0000}"/>
    <cellStyle name="20% - Accent6 26 6 2" xfId="16282" xr:uid="{00000000-0005-0000-0000-0000501F0000}"/>
    <cellStyle name="20% - Accent6 26 7" xfId="14288" xr:uid="{00000000-0005-0000-0000-0000511F0000}"/>
    <cellStyle name="20% - Accent6 26 8" xfId="12974" xr:uid="{00000000-0005-0000-0000-0000521F0000}"/>
    <cellStyle name="20% - Accent6 27" xfId="1039" xr:uid="{00000000-0005-0000-0000-0000531F0000}"/>
    <cellStyle name="20% - Accent6 27 2" xfId="3995" xr:uid="{00000000-0005-0000-0000-0000541F0000}"/>
    <cellStyle name="20% - Accent6 27 2 2" xfId="11974" xr:uid="{00000000-0005-0000-0000-0000551F0000}"/>
    <cellStyle name="20% - Accent6 27 2 2 2" xfId="23262" xr:uid="{00000000-0005-0000-0000-0000561F0000}"/>
    <cellStyle name="20% - Accent6 27 2 3" xfId="9980" xr:uid="{00000000-0005-0000-0000-0000571F0000}"/>
    <cellStyle name="20% - Accent6 27 2 3 2" xfId="21268" xr:uid="{00000000-0005-0000-0000-0000581F0000}"/>
    <cellStyle name="20% - Accent6 27 2 4" xfId="7986" xr:uid="{00000000-0005-0000-0000-0000591F0000}"/>
    <cellStyle name="20% - Accent6 27 2 4 2" xfId="19274" xr:uid="{00000000-0005-0000-0000-00005A1F0000}"/>
    <cellStyle name="20% - Accent6 27 2 5" xfId="5992" xr:uid="{00000000-0005-0000-0000-00005B1F0000}"/>
    <cellStyle name="20% - Accent6 27 2 5 2" xfId="17280" xr:uid="{00000000-0005-0000-0000-00005C1F0000}"/>
    <cellStyle name="20% - Accent6 27 2 6" xfId="15286" xr:uid="{00000000-0005-0000-0000-00005D1F0000}"/>
    <cellStyle name="20% - Accent6 27 3" xfId="10977" xr:uid="{00000000-0005-0000-0000-00005E1F0000}"/>
    <cellStyle name="20% - Accent6 27 3 2" xfId="22265" xr:uid="{00000000-0005-0000-0000-00005F1F0000}"/>
    <cellStyle name="20% - Accent6 27 4" xfId="8983" xr:uid="{00000000-0005-0000-0000-0000601F0000}"/>
    <cellStyle name="20% - Accent6 27 4 2" xfId="20271" xr:uid="{00000000-0005-0000-0000-0000611F0000}"/>
    <cellStyle name="20% - Accent6 27 5" xfId="6989" xr:uid="{00000000-0005-0000-0000-0000621F0000}"/>
    <cellStyle name="20% - Accent6 27 5 2" xfId="18277" xr:uid="{00000000-0005-0000-0000-0000631F0000}"/>
    <cellStyle name="20% - Accent6 27 6" xfId="4995" xr:uid="{00000000-0005-0000-0000-0000641F0000}"/>
    <cellStyle name="20% - Accent6 27 6 2" xfId="16283" xr:uid="{00000000-0005-0000-0000-0000651F0000}"/>
    <cellStyle name="20% - Accent6 27 7" xfId="14289" xr:uid="{00000000-0005-0000-0000-0000661F0000}"/>
    <cellStyle name="20% - Accent6 27 8" xfId="12975" xr:uid="{00000000-0005-0000-0000-0000671F0000}"/>
    <cellStyle name="20% - Accent6 28" xfId="1040" xr:uid="{00000000-0005-0000-0000-0000681F0000}"/>
    <cellStyle name="20% - Accent6 28 2" xfId="3996" xr:uid="{00000000-0005-0000-0000-0000691F0000}"/>
    <cellStyle name="20% - Accent6 28 2 2" xfId="11975" xr:uid="{00000000-0005-0000-0000-00006A1F0000}"/>
    <cellStyle name="20% - Accent6 28 2 2 2" xfId="23263" xr:uid="{00000000-0005-0000-0000-00006B1F0000}"/>
    <cellStyle name="20% - Accent6 28 2 3" xfId="9981" xr:uid="{00000000-0005-0000-0000-00006C1F0000}"/>
    <cellStyle name="20% - Accent6 28 2 3 2" xfId="21269" xr:uid="{00000000-0005-0000-0000-00006D1F0000}"/>
    <cellStyle name="20% - Accent6 28 2 4" xfId="7987" xr:uid="{00000000-0005-0000-0000-00006E1F0000}"/>
    <cellStyle name="20% - Accent6 28 2 4 2" xfId="19275" xr:uid="{00000000-0005-0000-0000-00006F1F0000}"/>
    <cellStyle name="20% - Accent6 28 2 5" xfId="5993" xr:uid="{00000000-0005-0000-0000-0000701F0000}"/>
    <cellStyle name="20% - Accent6 28 2 5 2" xfId="17281" xr:uid="{00000000-0005-0000-0000-0000711F0000}"/>
    <cellStyle name="20% - Accent6 28 2 6" xfId="15287" xr:uid="{00000000-0005-0000-0000-0000721F0000}"/>
    <cellStyle name="20% - Accent6 28 3" xfId="10978" xr:uid="{00000000-0005-0000-0000-0000731F0000}"/>
    <cellStyle name="20% - Accent6 28 3 2" xfId="22266" xr:uid="{00000000-0005-0000-0000-0000741F0000}"/>
    <cellStyle name="20% - Accent6 28 4" xfId="8984" xr:uid="{00000000-0005-0000-0000-0000751F0000}"/>
    <cellStyle name="20% - Accent6 28 4 2" xfId="20272" xr:uid="{00000000-0005-0000-0000-0000761F0000}"/>
    <cellStyle name="20% - Accent6 28 5" xfId="6990" xr:uid="{00000000-0005-0000-0000-0000771F0000}"/>
    <cellStyle name="20% - Accent6 28 5 2" xfId="18278" xr:uid="{00000000-0005-0000-0000-0000781F0000}"/>
    <cellStyle name="20% - Accent6 28 6" xfId="4996" xr:uid="{00000000-0005-0000-0000-0000791F0000}"/>
    <cellStyle name="20% - Accent6 28 6 2" xfId="16284" xr:uid="{00000000-0005-0000-0000-00007A1F0000}"/>
    <cellStyle name="20% - Accent6 28 7" xfId="14290" xr:uid="{00000000-0005-0000-0000-00007B1F0000}"/>
    <cellStyle name="20% - Accent6 28 8" xfId="12976" xr:uid="{00000000-0005-0000-0000-00007C1F0000}"/>
    <cellStyle name="20% - Accent6 29" xfId="1041" xr:uid="{00000000-0005-0000-0000-00007D1F0000}"/>
    <cellStyle name="20% - Accent6 29 2" xfId="3997" xr:uid="{00000000-0005-0000-0000-00007E1F0000}"/>
    <cellStyle name="20% - Accent6 29 2 2" xfId="11976" xr:uid="{00000000-0005-0000-0000-00007F1F0000}"/>
    <cellStyle name="20% - Accent6 29 2 2 2" xfId="23264" xr:uid="{00000000-0005-0000-0000-0000801F0000}"/>
    <cellStyle name="20% - Accent6 29 2 3" xfId="9982" xr:uid="{00000000-0005-0000-0000-0000811F0000}"/>
    <cellStyle name="20% - Accent6 29 2 3 2" xfId="21270" xr:uid="{00000000-0005-0000-0000-0000821F0000}"/>
    <cellStyle name="20% - Accent6 29 2 4" xfId="7988" xr:uid="{00000000-0005-0000-0000-0000831F0000}"/>
    <cellStyle name="20% - Accent6 29 2 4 2" xfId="19276" xr:uid="{00000000-0005-0000-0000-0000841F0000}"/>
    <cellStyle name="20% - Accent6 29 2 5" xfId="5994" xr:uid="{00000000-0005-0000-0000-0000851F0000}"/>
    <cellStyle name="20% - Accent6 29 2 5 2" xfId="17282" xr:uid="{00000000-0005-0000-0000-0000861F0000}"/>
    <cellStyle name="20% - Accent6 29 2 6" xfId="15288" xr:uid="{00000000-0005-0000-0000-0000871F0000}"/>
    <cellStyle name="20% - Accent6 29 3" xfId="10979" xr:uid="{00000000-0005-0000-0000-0000881F0000}"/>
    <cellStyle name="20% - Accent6 29 3 2" xfId="22267" xr:uid="{00000000-0005-0000-0000-0000891F0000}"/>
    <cellStyle name="20% - Accent6 29 4" xfId="8985" xr:uid="{00000000-0005-0000-0000-00008A1F0000}"/>
    <cellStyle name="20% - Accent6 29 4 2" xfId="20273" xr:uid="{00000000-0005-0000-0000-00008B1F0000}"/>
    <cellStyle name="20% - Accent6 29 5" xfId="6991" xr:uid="{00000000-0005-0000-0000-00008C1F0000}"/>
    <cellStyle name="20% - Accent6 29 5 2" xfId="18279" xr:uid="{00000000-0005-0000-0000-00008D1F0000}"/>
    <cellStyle name="20% - Accent6 29 6" xfId="4997" xr:uid="{00000000-0005-0000-0000-00008E1F0000}"/>
    <cellStyle name="20% - Accent6 29 6 2" xfId="16285" xr:uid="{00000000-0005-0000-0000-00008F1F0000}"/>
    <cellStyle name="20% - Accent6 29 7" xfId="14291" xr:uid="{00000000-0005-0000-0000-0000901F0000}"/>
    <cellStyle name="20% - Accent6 29 8" xfId="12977" xr:uid="{00000000-0005-0000-0000-0000911F0000}"/>
    <cellStyle name="20% - Accent6 3" xfId="1042" xr:uid="{00000000-0005-0000-0000-0000921F0000}"/>
    <cellStyle name="20% - Accent6 3 10" xfId="24590" xr:uid="{00000000-0005-0000-0000-0000931F0000}"/>
    <cellStyle name="20% - Accent6 3 11" xfId="24980" xr:uid="{00000000-0005-0000-0000-0000941F0000}"/>
    <cellStyle name="20% - Accent6 3 2" xfId="3998" xr:uid="{00000000-0005-0000-0000-0000951F0000}"/>
    <cellStyle name="20% - Accent6 3 2 2" xfId="11977" xr:uid="{00000000-0005-0000-0000-0000961F0000}"/>
    <cellStyle name="20% - Accent6 3 2 2 2" xfId="23265" xr:uid="{00000000-0005-0000-0000-0000971F0000}"/>
    <cellStyle name="20% - Accent6 3 2 3" xfId="9983" xr:uid="{00000000-0005-0000-0000-0000981F0000}"/>
    <cellStyle name="20% - Accent6 3 2 3 2" xfId="21271" xr:uid="{00000000-0005-0000-0000-0000991F0000}"/>
    <cellStyle name="20% - Accent6 3 2 4" xfId="7989" xr:uid="{00000000-0005-0000-0000-00009A1F0000}"/>
    <cellStyle name="20% - Accent6 3 2 4 2" xfId="19277" xr:uid="{00000000-0005-0000-0000-00009B1F0000}"/>
    <cellStyle name="20% - Accent6 3 2 5" xfId="5995" xr:uid="{00000000-0005-0000-0000-00009C1F0000}"/>
    <cellStyle name="20% - Accent6 3 2 5 2" xfId="17283" xr:uid="{00000000-0005-0000-0000-00009D1F0000}"/>
    <cellStyle name="20% - Accent6 3 2 6" xfId="15289" xr:uid="{00000000-0005-0000-0000-00009E1F0000}"/>
    <cellStyle name="20% - Accent6 3 2 7" xfId="24351" xr:uid="{00000000-0005-0000-0000-00009F1F0000}"/>
    <cellStyle name="20% - Accent6 3 2 8" xfId="24815" xr:uid="{00000000-0005-0000-0000-0000A01F0000}"/>
    <cellStyle name="20% - Accent6 3 2 9" xfId="25182" xr:uid="{00000000-0005-0000-0000-0000A11F0000}"/>
    <cellStyle name="20% - Accent6 3 3" xfId="10980" xr:uid="{00000000-0005-0000-0000-0000A21F0000}"/>
    <cellStyle name="20% - Accent6 3 3 2" xfId="22268" xr:uid="{00000000-0005-0000-0000-0000A31F0000}"/>
    <cellStyle name="20% - Accent6 3 4" xfId="8986" xr:uid="{00000000-0005-0000-0000-0000A41F0000}"/>
    <cellStyle name="20% - Accent6 3 4 2" xfId="20274" xr:uid="{00000000-0005-0000-0000-0000A51F0000}"/>
    <cellStyle name="20% - Accent6 3 5" xfId="6992" xr:uid="{00000000-0005-0000-0000-0000A61F0000}"/>
    <cellStyle name="20% - Accent6 3 5 2" xfId="18280" xr:uid="{00000000-0005-0000-0000-0000A71F0000}"/>
    <cellStyle name="20% - Accent6 3 6" xfId="4998" xr:uid="{00000000-0005-0000-0000-0000A81F0000}"/>
    <cellStyle name="20% - Accent6 3 6 2" xfId="16286" xr:uid="{00000000-0005-0000-0000-0000A91F0000}"/>
    <cellStyle name="20% - Accent6 3 7" xfId="14292" xr:uid="{00000000-0005-0000-0000-0000AA1F0000}"/>
    <cellStyle name="20% - Accent6 3 8" xfId="12978" xr:uid="{00000000-0005-0000-0000-0000AB1F0000}"/>
    <cellStyle name="20% - Accent6 3 9" xfId="23963" xr:uid="{00000000-0005-0000-0000-0000AC1F0000}"/>
    <cellStyle name="20% - Accent6 30" xfId="1043" xr:uid="{00000000-0005-0000-0000-0000AD1F0000}"/>
    <cellStyle name="20% - Accent6 30 2" xfId="3999" xr:uid="{00000000-0005-0000-0000-0000AE1F0000}"/>
    <cellStyle name="20% - Accent6 30 2 2" xfId="11978" xr:uid="{00000000-0005-0000-0000-0000AF1F0000}"/>
    <cellStyle name="20% - Accent6 30 2 2 2" xfId="23266" xr:uid="{00000000-0005-0000-0000-0000B01F0000}"/>
    <cellStyle name="20% - Accent6 30 2 3" xfId="9984" xr:uid="{00000000-0005-0000-0000-0000B11F0000}"/>
    <cellStyle name="20% - Accent6 30 2 3 2" xfId="21272" xr:uid="{00000000-0005-0000-0000-0000B21F0000}"/>
    <cellStyle name="20% - Accent6 30 2 4" xfId="7990" xr:uid="{00000000-0005-0000-0000-0000B31F0000}"/>
    <cellStyle name="20% - Accent6 30 2 4 2" xfId="19278" xr:uid="{00000000-0005-0000-0000-0000B41F0000}"/>
    <cellStyle name="20% - Accent6 30 2 5" xfId="5996" xr:uid="{00000000-0005-0000-0000-0000B51F0000}"/>
    <cellStyle name="20% - Accent6 30 2 5 2" xfId="17284" xr:uid="{00000000-0005-0000-0000-0000B61F0000}"/>
    <cellStyle name="20% - Accent6 30 2 6" xfId="15290" xr:uid="{00000000-0005-0000-0000-0000B71F0000}"/>
    <cellStyle name="20% - Accent6 30 3" xfId="10981" xr:uid="{00000000-0005-0000-0000-0000B81F0000}"/>
    <cellStyle name="20% - Accent6 30 3 2" xfId="22269" xr:uid="{00000000-0005-0000-0000-0000B91F0000}"/>
    <cellStyle name="20% - Accent6 30 4" xfId="8987" xr:uid="{00000000-0005-0000-0000-0000BA1F0000}"/>
    <cellStyle name="20% - Accent6 30 4 2" xfId="20275" xr:uid="{00000000-0005-0000-0000-0000BB1F0000}"/>
    <cellStyle name="20% - Accent6 30 5" xfId="6993" xr:uid="{00000000-0005-0000-0000-0000BC1F0000}"/>
    <cellStyle name="20% - Accent6 30 5 2" xfId="18281" xr:uid="{00000000-0005-0000-0000-0000BD1F0000}"/>
    <cellStyle name="20% - Accent6 30 6" xfId="4999" xr:uid="{00000000-0005-0000-0000-0000BE1F0000}"/>
    <cellStyle name="20% - Accent6 30 6 2" xfId="16287" xr:uid="{00000000-0005-0000-0000-0000BF1F0000}"/>
    <cellStyle name="20% - Accent6 30 7" xfId="14293" xr:uid="{00000000-0005-0000-0000-0000C01F0000}"/>
    <cellStyle name="20% - Accent6 30 8" xfId="12979" xr:uid="{00000000-0005-0000-0000-0000C11F0000}"/>
    <cellStyle name="20% - Accent6 31" xfId="1044" xr:uid="{00000000-0005-0000-0000-0000C21F0000}"/>
    <cellStyle name="20% - Accent6 31 2" xfId="4000" xr:uid="{00000000-0005-0000-0000-0000C31F0000}"/>
    <cellStyle name="20% - Accent6 31 2 2" xfId="11979" xr:uid="{00000000-0005-0000-0000-0000C41F0000}"/>
    <cellStyle name="20% - Accent6 31 2 2 2" xfId="23267" xr:uid="{00000000-0005-0000-0000-0000C51F0000}"/>
    <cellStyle name="20% - Accent6 31 2 3" xfId="9985" xr:uid="{00000000-0005-0000-0000-0000C61F0000}"/>
    <cellStyle name="20% - Accent6 31 2 3 2" xfId="21273" xr:uid="{00000000-0005-0000-0000-0000C71F0000}"/>
    <cellStyle name="20% - Accent6 31 2 4" xfId="7991" xr:uid="{00000000-0005-0000-0000-0000C81F0000}"/>
    <cellStyle name="20% - Accent6 31 2 4 2" xfId="19279" xr:uid="{00000000-0005-0000-0000-0000C91F0000}"/>
    <cellStyle name="20% - Accent6 31 2 5" xfId="5997" xr:uid="{00000000-0005-0000-0000-0000CA1F0000}"/>
    <cellStyle name="20% - Accent6 31 2 5 2" xfId="17285" xr:uid="{00000000-0005-0000-0000-0000CB1F0000}"/>
    <cellStyle name="20% - Accent6 31 2 6" xfId="15291" xr:uid="{00000000-0005-0000-0000-0000CC1F0000}"/>
    <cellStyle name="20% - Accent6 31 3" xfId="10982" xr:uid="{00000000-0005-0000-0000-0000CD1F0000}"/>
    <cellStyle name="20% - Accent6 31 3 2" xfId="22270" xr:uid="{00000000-0005-0000-0000-0000CE1F0000}"/>
    <cellStyle name="20% - Accent6 31 4" xfId="8988" xr:uid="{00000000-0005-0000-0000-0000CF1F0000}"/>
    <cellStyle name="20% - Accent6 31 4 2" xfId="20276" xr:uid="{00000000-0005-0000-0000-0000D01F0000}"/>
    <cellStyle name="20% - Accent6 31 5" xfId="6994" xr:uid="{00000000-0005-0000-0000-0000D11F0000}"/>
    <cellStyle name="20% - Accent6 31 5 2" xfId="18282" xr:uid="{00000000-0005-0000-0000-0000D21F0000}"/>
    <cellStyle name="20% - Accent6 31 6" xfId="5000" xr:uid="{00000000-0005-0000-0000-0000D31F0000}"/>
    <cellStyle name="20% - Accent6 31 6 2" xfId="16288" xr:uid="{00000000-0005-0000-0000-0000D41F0000}"/>
    <cellStyle name="20% - Accent6 31 7" xfId="14294" xr:uid="{00000000-0005-0000-0000-0000D51F0000}"/>
    <cellStyle name="20% - Accent6 31 8" xfId="12980" xr:uid="{00000000-0005-0000-0000-0000D61F0000}"/>
    <cellStyle name="20% - Accent6 32" xfId="1045" xr:uid="{00000000-0005-0000-0000-0000D71F0000}"/>
    <cellStyle name="20% - Accent6 32 2" xfId="4001" xr:uid="{00000000-0005-0000-0000-0000D81F0000}"/>
    <cellStyle name="20% - Accent6 32 2 2" xfId="11980" xr:uid="{00000000-0005-0000-0000-0000D91F0000}"/>
    <cellStyle name="20% - Accent6 32 2 2 2" xfId="23268" xr:uid="{00000000-0005-0000-0000-0000DA1F0000}"/>
    <cellStyle name="20% - Accent6 32 2 3" xfId="9986" xr:uid="{00000000-0005-0000-0000-0000DB1F0000}"/>
    <cellStyle name="20% - Accent6 32 2 3 2" xfId="21274" xr:uid="{00000000-0005-0000-0000-0000DC1F0000}"/>
    <cellStyle name="20% - Accent6 32 2 4" xfId="7992" xr:uid="{00000000-0005-0000-0000-0000DD1F0000}"/>
    <cellStyle name="20% - Accent6 32 2 4 2" xfId="19280" xr:uid="{00000000-0005-0000-0000-0000DE1F0000}"/>
    <cellStyle name="20% - Accent6 32 2 5" xfId="5998" xr:uid="{00000000-0005-0000-0000-0000DF1F0000}"/>
    <cellStyle name="20% - Accent6 32 2 5 2" xfId="17286" xr:uid="{00000000-0005-0000-0000-0000E01F0000}"/>
    <cellStyle name="20% - Accent6 32 2 6" xfId="15292" xr:uid="{00000000-0005-0000-0000-0000E11F0000}"/>
    <cellStyle name="20% - Accent6 32 3" xfId="10983" xr:uid="{00000000-0005-0000-0000-0000E21F0000}"/>
    <cellStyle name="20% - Accent6 32 3 2" xfId="22271" xr:uid="{00000000-0005-0000-0000-0000E31F0000}"/>
    <cellStyle name="20% - Accent6 32 4" xfId="8989" xr:uid="{00000000-0005-0000-0000-0000E41F0000}"/>
    <cellStyle name="20% - Accent6 32 4 2" xfId="20277" xr:uid="{00000000-0005-0000-0000-0000E51F0000}"/>
    <cellStyle name="20% - Accent6 32 5" xfId="6995" xr:uid="{00000000-0005-0000-0000-0000E61F0000}"/>
    <cellStyle name="20% - Accent6 32 5 2" xfId="18283" xr:uid="{00000000-0005-0000-0000-0000E71F0000}"/>
    <cellStyle name="20% - Accent6 32 6" xfId="5001" xr:uid="{00000000-0005-0000-0000-0000E81F0000}"/>
    <cellStyle name="20% - Accent6 32 6 2" xfId="16289" xr:uid="{00000000-0005-0000-0000-0000E91F0000}"/>
    <cellStyle name="20% - Accent6 32 7" xfId="14295" xr:uid="{00000000-0005-0000-0000-0000EA1F0000}"/>
    <cellStyle name="20% - Accent6 32 8" xfId="12981" xr:uid="{00000000-0005-0000-0000-0000EB1F0000}"/>
    <cellStyle name="20% - Accent6 33" xfId="1046" xr:uid="{00000000-0005-0000-0000-0000EC1F0000}"/>
    <cellStyle name="20% - Accent6 33 2" xfId="4002" xr:uid="{00000000-0005-0000-0000-0000ED1F0000}"/>
    <cellStyle name="20% - Accent6 33 2 2" xfId="11981" xr:uid="{00000000-0005-0000-0000-0000EE1F0000}"/>
    <cellStyle name="20% - Accent6 33 2 2 2" xfId="23269" xr:uid="{00000000-0005-0000-0000-0000EF1F0000}"/>
    <cellStyle name="20% - Accent6 33 2 3" xfId="9987" xr:uid="{00000000-0005-0000-0000-0000F01F0000}"/>
    <cellStyle name="20% - Accent6 33 2 3 2" xfId="21275" xr:uid="{00000000-0005-0000-0000-0000F11F0000}"/>
    <cellStyle name="20% - Accent6 33 2 4" xfId="7993" xr:uid="{00000000-0005-0000-0000-0000F21F0000}"/>
    <cellStyle name="20% - Accent6 33 2 4 2" xfId="19281" xr:uid="{00000000-0005-0000-0000-0000F31F0000}"/>
    <cellStyle name="20% - Accent6 33 2 5" xfId="5999" xr:uid="{00000000-0005-0000-0000-0000F41F0000}"/>
    <cellStyle name="20% - Accent6 33 2 5 2" xfId="17287" xr:uid="{00000000-0005-0000-0000-0000F51F0000}"/>
    <cellStyle name="20% - Accent6 33 2 6" xfId="15293" xr:uid="{00000000-0005-0000-0000-0000F61F0000}"/>
    <cellStyle name="20% - Accent6 33 3" xfId="10984" xr:uid="{00000000-0005-0000-0000-0000F71F0000}"/>
    <cellStyle name="20% - Accent6 33 3 2" xfId="22272" xr:uid="{00000000-0005-0000-0000-0000F81F0000}"/>
    <cellStyle name="20% - Accent6 33 4" xfId="8990" xr:uid="{00000000-0005-0000-0000-0000F91F0000}"/>
    <cellStyle name="20% - Accent6 33 4 2" xfId="20278" xr:uid="{00000000-0005-0000-0000-0000FA1F0000}"/>
    <cellStyle name="20% - Accent6 33 5" xfId="6996" xr:uid="{00000000-0005-0000-0000-0000FB1F0000}"/>
    <cellStyle name="20% - Accent6 33 5 2" xfId="18284" xr:uid="{00000000-0005-0000-0000-0000FC1F0000}"/>
    <cellStyle name="20% - Accent6 33 6" xfId="5002" xr:uid="{00000000-0005-0000-0000-0000FD1F0000}"/>
    <cellStyle name="20% - Accent6 33 6 2" xfId="16290" xr:uid="{00000000-0005-0000-0000-0000FE1F0000}"/>
    <cellStyle name="20% - Accent6 33 7" xfId="14296" xr:uid="{00000000-0005-0000-0000-0000FF1F0000}"/>
    <cellStyle name="20% - Accent6 33 8" xfId="12982" xr:uid="{00000000-0005-0000-0000-000000200000}"/>
    <cellStyle name="20% - Accent6 34" xfId="1047" xr:uid="{00000000-0005-0000-0000-000001200000}"/>
    <cellStyle name="20% - Accent6 34 2" xfId="4003" xr:uid="{00000000-0005-0000-0000-000002200000}"/>
    <cellStyle name="20% - Accent6 34 2 2" xfId="11982" xr:uid="{00000000-0005-0000-0000-000003200000}"/>
    <cellStyle name="20% - Accent6 34 2 2 2" xfId="23270" xr:uid="{00000000-0005-0000-0000-000004200000}"/>
    <cellStyle name="20% - Accent6 34 2 3" xfId="9988" xr:uid="{00000000-0005-0000-0000-000005200000}"/>
    <cellStyle name="20% - Accent6 34 2 3 2" xfId="21276" xr:uid="{00000000-0005-0000-0000-000006200000}"/>
    <cellStyle name="20% - Accent6 34 2 4" xfId="7994" xr:uid="{00000000-0005-0000-0000-000007200000}"/>
    <cellStyle name="20% - Accent6 34 2 4 2" xfId="19282" xr:uid="{00000000-0005-0000-0000-000008200000}"/>
    <cellStyle name="20% - Accent6 34 2 5" xfId="6000" xr:uid="{00000000-0005-0000-0000-000009200000}"/>
    <cellStyle name="20% - Accent6 34 2 5 2" xfId="17288" xr:uid="{00000000-0005-0000-0000-00000A200000}"/>
    <cellStyle name="20% - Accent6 34 2 6" xfId="15294" xr:uid="{00000000-0005-0000-0000-00000B200000}"/>
    <cellStyle name="20% - Accent6 34 3" xfId="10985" xr:uid="{00000000-0005-0000-0000-00000C200000}"/>
    <cellStyle name="20% - Accent6 34 3 2" xfId="22273" xr:uid="{00000000-0005-0000-0000-00000D200000}"/>
    <cellStyle name="20% - Accent6 34 4" xfId="8991" xr:uid="{00000000-0005-0000-0000-00000E200000}"/>
    <cellStyle name="20% - Accent6 34 4 2" xfId="20279" xr:uid="{00000000-0005-0000-0000-00000F200000}"/>
    <cellStyle name="20% - Accent6 34 5" xfId="6997" xr:uid="{00000000-0005-0000-0000-000010200000}"/>
    <cellStyle name="20% - Accent6 34 5 2" xfId="18285" xr:uid="{00000000-0005-0000-0000-000011200000}"/>
    <cellStyle name="20% - Accent6 34 6" xfId="5003" xr:uid="{00000000-0005-0000-0000-000012200000}"/>
    <cellStyle name="20% - Accent6 34 6 2" xfId="16291" xr:uid="{00000000-0005-0000-0000-000013200000}"/>
    <cellStyle name="20% - Accent6 34 7" xfId="14297" xr:uid="{00000000-0005-0000-0000-000014200000}"/>
    <cellStyle name="20% - Accent6 34 8" xfId="12983" xr:uid="{00000000-0005-0000-0000-000015200000}"/>
    <cellStyle name="20% - Accent6 35" xfId="1048" xr:uid="{00000000-0005-0000-0000-000016200000}"/>
    <cellStyle name="20% - Accent6 35 2" xfId="4004" xr:uid="{00000000-0005-0000-0000-000017200000}"/>
    <cellStyle name="20% - Accent6 35 2 2" xfId="11983" xr:uid="{00000000-0005-0000-0000-000018200000}"/>
    <cellStyle name="20% - Accent6 35 2 2 2" xfId="23271" xr:uid="{00000000-0005-0000-0000-000019200000}"/>
    <cellStyle name="20% - Accent6 35 2 3" xfId="9989" xr:uid="{00000000-0005-0000-0000-00001A200000}"/>
    <cellStyle name="20% - Accent6 35 2 3 2" xfId="21277" xr:uid="{00000000-0005-0000-0000-00001B200000}"/>
    <cellStyle name="20% - Accent6 35 2 4" xfId="7995" xr:uid="{00000000-0005-0000-0000-00001C200000}"/>
    <cellStyle name="20% - Accent6 35 2 4 2" xfId="19283" xr:uid="{00000000-0005-0000-0000-00001D200000}"/>
    <cellStyle name="20% - Accent6 35 2 5" xfId="6001" xr:uid="{00000000-0005-0000-0000-00001E200000}"/>
    <cellStyle name="20% - Accent6 35 2 5 2" xfId="17289" xr:uid="{00000000-0005-0000-0000-00001F200000}"/>
    <cellStyle name="20% - Accent6 35 2 6" xfId="15295" xr:uid="{00000000-0005-0000-0000-000020200000}"/>
    <cellStyle name="20% - Accent6 35 3" xfId="10986" xr:uid="{00000000-0005-0000-0000-000021200000}"/>
    <cellStyle name="20% - Accent6 35 3 2" xfId="22274" xr:uid="{00000000-0005-0000-0000-000022200000}"/>
    <cellStyle name="20% - Accent6 35 4" xfId="8992" xr:uid="{00000000-0005-0000-0000-000023200000}"/>
    <cellStyle name="20% - Accent6 35 4 2" xfId="20280" xr:uid="{00000000-0005-0000-0000-000024200000}"/>
    <cellStyle name="20% - Accent6 35 5" xfId="6998" xr:uid="{00000000-0005-0000-0000-000025200000}"/>
    <cellStyle name="20% - Accent6 35 5 2" xfId="18286" xr:uid="{00000000-0005-0000-0000-000026200000}"/>
    <cellStyle name="20% - Accent6 35 6" xfId="5004" xr:uid="{00000000-0005-0000-0000-000027200000}"/>
    <cellStyle name="20% - Accent6 35 6 2" xfId="16292" xr:uid="{00000000-0005-0000-0000-000028200000}"/>
    <cellStyle name="20% - Accent6 35 7" xfId="14298" xr:uid="{00000000-0005-0000-0000-000029200000}"/>
    <cellStyle name="20% - Accent6 35 8" xfId="12984" xr:uid="{00000000-0005-0000-0000-00002A200000}"/>
    <cellStyle name="20% - Accent6 36" xfId="1049" xr:uid="{00000000-0005-0000-0000-00002B200000}"/>
    <cellStyle name="20% - Accent6 36 2" xfId="4005" xr:uid="{00000000-0005-0000-0000-00002C200000}"/>
    <cellStyle name="20% - Accent6 36 2 2" xfId="11984" xr:uid="{00000000-0005-0000-0000-00002D200000}"/>
    <cellStyle name="20% - Accent6 36 2 2 2" xfId="23272" xr:uid="{00000000-0005-0000-0000-00002E200000}"/>
    <cellStyle name="20% - Accent6 36 2 3" xfId="9990" xr:uid="{00000000-0005-0000-0000-00002F200000}"/>
    <cellStyle name="20% - Accent6 36 2 3 2" xfId="21278" xr:uid="{00000000-0005-0000-0000-000030200000}"/>
    <cellStyle name="20% - Accent6 36 2 4" xfId="7996" xr:uid="{00000000-0005-0000-0000-000031200000}"/>
    <cellStyle name="20% - Accent6 36 2 4 2" xfId="19284" xr:uid="{00000000-0005-0000-0000-000032200000}"/>
    <cellStyle name="20% - Accent6 36 2 5" xfId="6002" xr:uid="{00000000-0005-0000-0000-000033200000}"/>
    <cellStyle name="20% - Accent6 36 2 5 2" xfId="17290" xr:uid="{00000000-0005-0000-0000-000034200000}"/>
    <cellStyle name="20% - Accent6 36 2 6" xfId="15296" xr:uid="{00000000-0005-0000-0000-000035200000}"/>
    <cellStyle name="20% - Accent6 36 3" xfId="10987" xr:uid="{00000000-0005-0000-0000-000036200000}"/>
    <cellStyle name="20% - Accent6 36 3 2" xfId="22275" xr:uid="{00000000-0005-0000-0000-000037200000}"/>
    <cellStyle name="20% - Accent6 36 4" xfId="8993" xr:uid="{00000000-0005-0000-0000-000038200000}"/>
    <cellStyle name="20% - Accent6 36 4 2" xfId="20281" xr:uid="{00000000-0005-0000-0000-000039200000}"/>
    <cellStyle name="20% - Accent6 36 5" xfId="6999" xr:uid="{00000000-0005-0000-0000-00003A200000}"/>
    <cellStyle name="20% - Accent6 36 5 2" xfId="18287" xr:uid="{00000000-0005-0000-0000-00003B200000}"/>
    <cellStyle name="20% - Accent6 36 6" xfId="5005" xr:uid="{00000000-0005-0000-0000-00003C200000}"/>
    <cellStyle name="20% - Accent6 36 6 2" xfId="16293" xr:uid="{00000000-0005-0000-0000-00003D200000}"/>
    <cellStyle name="20% - Accent6 36 7" xfId="14299" xr:uid="{00000000-0005-0000-0000-00003E200000}"/>
    <cellStyle name="20% - Accent6 36 8" xfId="12985" xr:uid="{00000000-0005-0000-0000-00003F200000}"/>
    <cellStyle name="20% - Accent6 37" xfId="1050" xr:uid="{00000000-0005-0000-0000-000040200000}"/>
    <cellStyle name="20% - Accent6 37 2" xfId="4006" xr:uid="{00000000-0005-0000-0000-000041200000}"/>
    <cellStyle name="20% - Accent6 37 2 2" xfId="11985" xr:uid="{00000000-0005-0000-0000-000042200000}"/>
    <cellStyle name="20% - Accent6 37 2 2 2" xfId="23273" xr:uid="{00000000-0005-0000-0000-000043200000}"/>
    <cellStyle name="20% - Accent6 37 2 3" xfId="9991" xr:uid="{00000000-0005-0000-0000-000044200000}"/>
    <cellStyle name="20% - Accent6 37 2 3 2" xfId="21279" xr:uid="{00000000-0005-0000-0000-000045200000}"/>
    <cellStyle name="20% - Accent6 37 2 4" xfId="7997" xr:uid="{00000000-0005-0000-0000-000046200000}"/>
    <cellStyle name="20% - Accent6 37 2 4 2" xfId="19285" xr:uid="{00000000-0005-0000-0000-000047200000}"/>
    <cellStyle name="20% - Accent6 37 2 5" xfId="6003" xr:uid="{00000000-0005-0000-0000-000048200000}"/>
    <cellStyle name="20% - Accent6 37 2 5 2" xfId="17291" xr:uid="{00000000-0005-0000-0000-000049200000}"/>
    <cellStyle name="20% - Accent6 37 2 6" xfId="15297" xr:uid="{00000000-0005-0000-0000-00004A200000}"/>
    <cellStyle name="20% - Accent6 37 3" xfId="10988" xr:uid="{00000000-0005-0000-0000-00004B200000}"/>
    <cellStyle name="20% - Accent6 37 3 2" xfId="22276" xr:uid="{00000000-0005-0000-0000-00004C200000}"/>
    <cellStyle name="20% - Accent6 37 4" xfId="8994" xr:uid="{00000000-0005-0000-0000-00004D200000}"/>
    <cellStyle name="20% - Accent6 37 4 2" xfId="20282" xr:uid="{00000000-0005-0000-0000-00004E200000}"/>
    <cellStyle name="20% - Accent6 37 5" xfId="7000" xr:uid="{00000000-0005-0000-0000-00004F200000}"/>
    <cellStyle name="20% - Accent6 37 5 2" xfId="18288" xr:uid="{00000000-0005-0000-0000-000050200000}"/>
    <cellStyle name="20% - Accent6 37 6" xfId="5006" xr:uid="{00000000-0005-0000-0000-000051200000}"/>
    <cellStyle name="20% - Accent6 37 6 2" xfId="16294" xr:uid="{00000000-0005-0000-0000-000052200000}"/>
    <cellStyle name="20% - Accent6 37 7" xfId="14300" xr:uid="{00000000-0005-0000-0000-000053200000}"/>
    <cellStyle name="20% - Accent6 37 8" xfId="12986" xr:uid="{00000000-0005-0000-0000-000054200000}"/>
    <cellStyle name="20% - Accent6 38" xfId="1051" xr:uid="{00000000-0005-0000-0000-000055200000}"/>
    <cellStyle name="20% - Accent6 38 2" xfId="4007" xr:uid="{00000000-0005-0000-0000-000056200000}"/>
    <cellStyle name="20% - Accent6 38 2 2" xfId="11986" xr:uid="{00000000-0005-0000-0000-000057200000}"/>
    <cellStyle name="20% - Accent6 38 2 2 2" xfId="23274" xr:uid="{00000000-0005-0000-0000-000058200000}"/>
    <cellStyle name="20% - Accent6 38 2 3" xfId="9992" xr:uid="{00000000-0005-0000-0000-000059200000}"/>
    <cellStyle name="20% - Accent6 38 2 3 2" xfId="21280" xr:uid="{00000000-0005-0000-0000-00005A200000}"/>
    <cellStyle name="20% - Accent6 38 2 4" xfId="7998" xr:uid="{00000000-0005-0000-0000-00005B200000}"/>
    <cellStyle name="20% - Accent6 38 2 4 2" xfId="19286" xr:uid="{00000000-0005-0000-0000-00005C200000}"/>
    <cellStyle name="20% - Accent6 38 2 5" xfId="6004" xr:uid="{00000000-0005-0000-0000-00005D200000}"/>
    <cellStyle name="20% - Accent6 38 2 5 2" xfId="17292" xr:uid="{00000000-0005-0000-0000-00005E200000}"/>
    <cellStyle name="20% - Accent6 38 2 6" xfId="15298" xr:uid="{00000000-0005-0000-0000-00005F200000}"/>
    <cellStyle name="20% - Accent6 38 3" xfId="10989" xr:uid="{00000000-0005-0000-0000-000060200000}"/>
    <cellStyle name="20% - Accent6 38 3 2" xfId="22277" xr:uid="{00000000-0005-0000-0000-000061200000}"/>
    <cellStyle name="20% - Accent6 38 4" xfId="8995" xr:uid="{00000000-0005-0000-0000-000062200000}"/>
    <cellStyle name="20% - Accent6 38 4 2" xfId="20283" xr:uid="{00000000-0005-0000-0000-000063200000}"/>
    <cellStyle name="20% - Accent6 38 5" xfId="7001" xr:uid="{00000000-0005-0000-0000-000064200000}"/>
    <cellStyle name="20% - Accent6 38 5 2" xfId="18289" xr:uid="{00000000-0005-0000-0000-000065200000}"/>
    <cellStyle name="20% - Accent6 38 6" xfId="5007" xr:uid="{00000000-0005-0000-0000-000066200000}"/>
    <cellStyle name="20% - Accent6 38 6 2" xfId="16295" xr:uid="{00000000-0005-0000-0000-000067200000}"/>
    <cellStyle name="20% - Accent6 38 7" xfId="14301" xr:uid="{00000000-0005-0000-0000-000068200000}"/>
    <cellStyle name="20% - Accent6 38 8" xfId="12987" xr:uid="{00000000-0005-0000-0000-000069200000}"/>
    <cellStyle name="20% - Accent6 39" xfId="1052" xr:uid="{00000000-0005-0000-0000-00006A200000}"/>
    <cellStyle name="20% - Accent6 39 2" xfId="4008" xr:uid="{00000000-0005-0000-0000-00006B200000}"/>
    <cellStyle name="20% - Accent6 39 2 2" xfId="11987" xr:uid="{00000000-0005-0000-0000-00006C200000}"/>
    <cellStyle name="20% - Accent6 39 2 2 2" xfId="23275" xr:uid="{00000000-0005-0000-0000-00006D200000}"/>
    <cellStyle name="20% - Accent6 39 2 3" xfId="9993" xr:uid="{00000000-0005-0000-0000-00006E200000}"/>
    <cellStyle name="20% - Accent6 39 2 3 2" xfId="21281" xr:uid="{00000000-0005-0000-0000-00006F200000}"/>
    <cellStyle name="20% - Accent6 39 2 4" xfId="7999" xr:uid="{00000000-0005-0000-0000-000070200000}"/>
    <cellStyle name="20% - Accent6 39 2 4 2" xfId="19287" xr:uid="{00000000-0005-0000-0000-000071200000}"/>
    <cellStyle name="20% - Accent6 39 2 5" xfId="6005" xr:uid="{00000000-0005-0000-0000-000072200000}"/>
    <cellStyle name="20% - Accent6 39 2 5 2" xfId="17293" xr:uid="{00000000-0005-0000-0000-000073200000}"/>
    <cellStyle name="20% - Accent6 39 2 6" xfId="15299" xr:uid="{00000000-0005-0000-0000-000074200000}"/>
    <cellStyle name="20% - Accent6 39 3" xfId="10990" xr:uid="{00000000-0005-0000-0000-000075200000}"/>
    <cellStyle name="20% - Accent6 39 3 2" xfId="22278" xr:uid="{00000000-0005-0000-0000-000076200000}"/>
    <cellStyle name="20% - Accent6 39 4" xfId="8996" xr:uid="{00000000-0005-0000-0000-000077200000}"/>
    <cellStyle name="20% - Accent6 39 4 2" xfId="20284" xr:uid="{00000000-0005-0000-0000-000078200000}"/>
    <cellStyle name="20% - Accent6 39 5" xfId="7002" xr:uid="{00000000-0005-0000-0000-000079200000}"/>
    <cellStyle name="20% - Accent6 39 5 2" xfId="18290" xr:uid="{00000000-0005-0000-0000-00007A200000}"/>
    <cellStyle name="20% - Accent6 39 6" xfId="5008" xr:uid="{00000000-0005-0000-0000-00007B200000}"/>
    <cellStyle name="20% - Accent6 39 6 2" xfId="16296" xr:uid="{00000000-0005-0000-0000-00007C200000}"/>
    <cellStyle name="20% - Accent6 39 7" xfId="14302" xr:uid="{00000000-0005-0000-0000-00007D200000}"/>
    <cellStyle name="20% - Accent6 39 8" xfId="12988" xr:uid="{00000000-0005-0000-0000-00007E200000}"/>
    <cellStyle name="20% - Accent6 4" xfId="1053" xr:uid="{00000000-0005-0000-0000-00007F200000}"/>
    <cellStyle name="20% - Accent6 4 10" xfId="24591" xr:uid="{00000000-0005-0000-0000-000080200000}"/>
    <cellStyle name="20% - Accent6 4 11" xfId="24981" xr:uid="{00000000-0005-0000-0000-000081200000}"/>
    <cellStyle name="20% - Accent6 4 2" xfId="4009" xr:uid="{00000000-0005-0000-0000-000082200000}"/>
    <cellStyle name="20% - Accent6 4 2 2" xfId="11988" xr:uid="{00000000-0005-0000-0000-000083200000}"/>
    <cellStyle name="20% - Accent6 4 2 2 2" xfId="23276" xr:uid="{00000000-0005-0000-0000-000084200000}"/>
    <cellStyle name="20% - Accent6 4 2 3" xfId="9994" xr:uid="{00000000-0005-0000-0000-000085200000}"/>
    <cellStyle name="20% - Accent6 4 2 3 2" xfId="21282" xr:uid="{00000000-0005-0000-0000-000086200000}"/>
    <cellStyle name="20% - Accent6 4 2 4" xfId="8000" xr:uid="{00000000-0005-0000-0000-000087200000}"/>
    <cellStyle name="20% - Accent6 4 2 4 2" xfId="19288" xr:uid="{00000000-0005-0000-0000-000088200000}"/>
    <cellStyle name="20% - Accent6 4 2 5" xfId="6006" xr:uid="{00000000-0005-0000-0000-000089200000}"/>
    <cellStyle name="20% - Accent6 4 2 5 2" xfId="17294" xr:uid="{00000000-0005-0000-0000-00008A200000}"/>
    <cellStyle name="20% - Accent6 4 2 6" xfId="15300" xr:uid="{00000000-0005-0000-0000-00008B200000}"/>
    <cellStyle name="20% - Accent6 4 2 7" xfId="24352" xr:uid="{00000000-0005-0000-0000-00008C200000}"/>
    <cellStyle name="20% - Accent6 4 2 8" xfId="24816" xr:uid="{00000000-0005-0000-0000-00008D200000}"/>
    <cellStyle name="20% - Accent6 4 2 9" xfId="25183" xr:uid="{00000000-0005-0000-0000-00008E200000}"/>
    <cellStyle name="20% - Accent6 4 3" xfId="10991" xr:uid="{00000000-0005-0000-0000-00008F200000}"/>
    <cellStyle name="20% - Accent6 4 3 2" xfId="22279" xr:uid="{00000000-0005-0000-0000-000090200000}"/>
    <cellStyle name="20% - Accent6 4 4" xfId="8997" xr:uid="{00000000-0005-0000-0000-000091200000}"/>
    <cellStyle name="20% - Accent6 4 4 2" xfId="20285" xr:uid="{00000000-0005-0000-0000-000092200000}"/>
    <cellStyle name="20% - Accent6 4 5" xfId="7003" xr:uid="{00000000-0005-0000-0000-000093200000}"/>
    <cellStyle name="20% - Accent6 4 5 2" xfId="18291" xr:uid="{00000000-0005-0000-0000-000094200000}"/>
    <cellStyle name="20% - Accent6 4 6" xfId="5009" xr:uid="{00000000-0005-0000-0000-000095200000}"/>
    <cellStyle name="20% - Accent6 4 6 2" xfId="16297" xr:uid="{00000000-0005-0000-0000-000096200000}"/>
    <cellStyle name="20% - Accent6 4 7" xfId="14303" xr:uid="{00000000-0005-0000-0000-000097200000}"/>
    <cellStyle name="20% - Accent6 4 8" xfId="12989" xr:uid="{00000000-0005-0000-0000-000098200000}"/>
    <cellStyle name="20% - Accent6 4 9" xfId="23964" xr:uid="{00000000-0005-0000-0000-000099200000}"/>
    <cellStyle name="20% - Accent6 40" xfId="1054" xr:uid="{00000000-0005-0000-0000-00009A200000}"/>
    <cellStyle name="20% - Accent6 40 2" xfId="4010" xr:uid="{00000000-0005-0000-0000-00009B200000}"/>
    <cellStyle name="20% - Accent6 40 2 2" xfId="11989" xr:uid="{00000000-0005-0000-0000-00009C200000}"/>
    <cellStyle name="20% - Accent6 40 2 2 2" xfId="23277" xr:uid="{00000000-0005-0000-0000-00009D200000}"/>
    <cellStyle name="20% - Accent6 40 2 3" xfId="9995" xr:uid="{00000000-0005-0000-0000-00009E200000}"/>
    <cellStyle name="20% - Accent6 40 2 3 2" xfId="21283" xr:uid="{00000000-0005-0000-0000-00009F200000}"/>
    <cellStyle name="20% - Accent6 40 2 4" xfId="8001" xr:uid="{00000000-0005-0000-0000-0000A0200000}"/>
    <cellStyle name="20% - Accent6 40 2 4 2" xfId="19289" xr:uid="{00000000-0005-0000-0000-0000A1200000}"/>
    <cellStyle name="20% - Accent6 40 2 5" xfId="6007" xr:uid="{00000000-0005-0000-0000-0000A2200000}"/>
    <cellStyle name="20% - Accent6 40 2 5 2" xfId="17295" xr:uid="{00000000-0005-0000-0000-0000A3200000}"/>
    <cellStyle name="20% - Accent6 40 2 6" xfId="15301" xr:uid="{00000000-0005-0000-0000-0000A4200000}"/>
    <cellStyle name="20% - Accent6 40 3" xfId="10992" xr:uid="{00000000-0005-0000-0000-0000A5200000}"/>
    <cellStyle name="20% - Accent6 40 3 2" xfId="22280" xr:uid="{00000000-0005-0000-0000-0000A6200000}"/>
    <cellStyle name="20% - Accent6 40 4" xfId="8998" xr:uid="{00000000-0005-0000-0000-0000A7200000}"/>
    <cellStyle name="20% - Accent6 40 4 2" xfId="20286" xr:uid="{00000000-0005-0000-0000-0000A8200000}"/>
    <cellStyle name="20% - Accent6 40 5" xfId="7004" xr:uid="{00000000-0005-0000-0000-0000A9200000}"/>
    <cellStyle name="20% - Accent6 40 5 2" xfId="18292" xr:uid="{00000000-0005-0000-0000-0000AA200000}"/>
    <cellStyle name="20% - Accent6 40 6" xfId="5010" xr:uid="{00000000-0005-0000-0000-0000AB200000}"/>
    <cellStyle name="20% - Accent6 40 6 2" xfId="16298" xr:uid="{00000000-0005-0000-0000-0000AC200000}"/>
    <cellStyle name="20% - Accent6 40 7" xfId="14304" xr:uid="{00000000-0005-0000-0000-0000AD200000}"/>
    <cellStyle name="20% - Accent6 40 8" xfId="12990" xr:uid="{00000000-0005-0000-0000-0000AE200000}"/>
    <cellStyle name="20% - Accent6 41" xfId="1055" xr:uid="{00000000-0005-0000-0000-0000AF200000}"/>
    <cellStyle name="20% - Accent6 41 2" xfId="4011" xr:uid="{00000000-0005-0000-0000-0000B0200000}"/>
    <cellStyle name="20% - Accent6 41 2 2" xfId="11990" xr:uid="{00000000-0005-0000-0000-0000B1200000}"/>
    <cellStyle name="20% - Accent6 41 2 2 2" xfId="23278" xr:uid="{00000000-0005-0000-0000-0000B2200000}"/>
    <cellStyle name="20% - Accent6 41 2 3" xfId="9996" xr:uid="{00000000-0005-0000-0000-0000B3200000}"/>
    <cellStyle name="20% - Accent6 41 2 3 2" xfId="21284" xr:uid="{00000000-0005-0000-0000-0000B4200000}"/>
    <cellStyle name="20% - Accent6 41 2 4" xfId="8002" xr:uid="{00000000-0005-0000-0000-0000B5200000}"/>
    <cellStyle name="20% - Accent6 41 2 4 2" xfId="19290" xr:uid="{00000000-0005-0000-0000-0000B6200000}"/>
    <cellStyle name="20% - Accent6 41 2 5" xfId="6008" xr:uid="{00000000-0005-0000-0000-0000B7200000}"/>
    <cellStyle name="20% - Accent6 41 2 5 2" xfId="17296" xr:uid="{00000000-0005-0000-0000-0000B8200000}"/>
    <cellStyle name="20% - Accent6 41 2 6" xfId="15302" xr:uid="{00000000-0005-0000-0000-0000B9200000}"/>
    <cellStyle name="20% - Accent6 41 3" xfId="10993" xr:uid="{00000000-0005-0000-0000-0000BA200000}"/>
    <cellStyle name="20% - Accent6 41 3 2" xfId="22281" xr:uid="{00000000-0005-0000-0000-0000BB200000}"/>
    <cellStyle name="20% - Accent6 41 4" xfId="8999" xr:uid="{00000000-0005-0000-0000-0000BC200000}"/>
    <cellStyle name="20% - Accent6 41 4 2" xfId="20287" xr:uid="{00000000-0005-0000-0000-0000BD200000}"/>
    <cellStyle name="20% - Accent6 41 5" xfId="7005" xr:uid="{00000000-0005-0000-0000-0000BE200000}"/>
    <cellStyle name="20% - Accent6 41 5 2" xfId="18293" xr:uid="{00000000-0005-0000-0000-0000BF200000}"/>
    <cellStyle name="20% - Accent6 41 6" xfId="5011" xr:uid="{00000000-0005-0000-0000-0000C0200000}"/>
    <cellStyle name="20% - Accent6 41 6 2" xfId="16299" xr:uid="{00000000-0005-0000-0000-0000C1200000}"/>
    <cellStyle name="20% - Accent6 41 7" xfId="14305" xr:uid="{00000000-0005-0000-0000-0000C2200000}"/>
    <cellStyle name="20% - Accent6 41 8" xfId="12991" xr:uid="{00000000-0005-0000-0000-0000C3200000}"/>
    <cellStyle name="20% - Accent6 42" xfId="1056" xr:uid="{00000000-0005-0000-0000-0000C4200000}"/>
    <cellStyle name="20% - Accent6 42 2" xfId="4012" xr:uid="{00000000-0005-0000-0000-0000C5200000}"/>
    <cellStyle name="20% - Accent6 42 2 2" xfId="11991" xr:uid="{00000000-0005-0000-0000-0000C6200000}"/>
    <cellStyle name="20% - Accent6 42 2 2 2" xfId="23279" xr:uid="{00000000-0005-0000-0000-0000C7200000}"/>
    <cellStyle name="20% - Accent6 42 2 3" xfId="9997" xr:uid="{00000000-0005-0000-0000-0000C8200000}"/>
    <cellStyle name="20% - Accent6 42 2 3 2" xfId="21285" xr:uid="{00000000-0005-0000-0000-0000C9200000}"/>
    <cellStyle name="20% - Accent6 42 2 4" xfId="8003" xr:uid="{00000000-0005-0000-0000-0000CA200000}"/>
    <cellStyle name="20% - Accent6 42 2 4 2" xfId="19291" xr:uid="{00000000-0005-0000-0000-0000CB200000}"/>
    <cellStyle name="20% - Accent6 42 2 5" xfId="6009" xr:uid="{00000000-0005-0000-0000-0000CC200000}"/>
    <cellStyle name="20% - Accent6 42 2 5 2" xfId="17297" xr:uid="{00000000-0005-0000-0000-0000CD200000}"/>
    <cellStyle name="20% - Accent6 42 2 6" xfId="15303" xr:uid="{00000000-0005-0000-0000-0000CE200000}"/>
    <cellStyle name="20% - Accent6 42 3" xfId="10994" xr:uid="{00000000-0005-0000-0000-0000CF200000}"/>
    <cellStyle name="20% - Accent6 42 3 2" xfId="22282" xr:uid="{00000000-0005-0000-0000-0000D0200000}"/>
    <cellStyle name="20% - Accent6 42 4" xfId="9000" xr:uid="{00000000-0005-0000-0000-0000D1200000}"/>
    <cellStyle name="20% - Accent6 42 4 2" xfId="20288" xr:uid="{00000000-0005-0000-0000-0000D2200000}"/>
    <cellStyle name="20% - Accent6 42 5" xfId="7006" xr:uid="{00000000-0005-0000-0000-0000D3200000}"/>
    <cellStyle name="20% - Accent6 42 5 2" xfId="18294" xr:uid="{00000000-0005-0000-0000-0000D4200000}"/>
    <cellStyle name="20% - Accent6 42 6" xfId="5012" xr:uid="{00000000-0005-0000-0000-0000D5200000}"/>
    <cellStyle name="20% - Accent6 42 6 2" xfId="16300" xr:uid="{00000000-0005-0000-0000-0000D6200000}"/>
    <cellStyle name="20% - Accent6 42 7" xfId="14306" xr:uid="{00000000-0005-0000-0000-0000D7200000}"/>
    <cellStyle name="20% - Accent6 42 8" xfId="12992" xr:uid="{00000000-0005-0000-0000-0000D8200000}"/>
    <cellStyle name="20% - Accent6 43" xfId="1057" xr:uid="{00000000-0005-0000-0000-0000D9200000}"/>
    <cellStyle name="20% - Accent6 43 2" xfId="4013" xr:uid="{00000000-0005-0000-0000-0000DA200000}"/>
    <cellStyle name="20% - Accent6 43 2 2" xfId="11992" xr:uid="{00000000-0005-0000-0000-0000DB200000}"/>
    <cellStyle name="20% - Accent6 43 2 2 2" xfId="23280" xr:uid="{00000000-0005-0000-0000-0000DC200000}"/>
    <cellStyle name="20% - Accent6 43 2 3" xfId="9998" xr:uid="{00000000-0005-0000-0000-0000DD200000}"/>
    <cellStyle name="20% - Accent6 43 2 3 2" xfId="21286" xr:uid="{00000000-0005-0000-0000-0000DE200000}"/>
    <cellStyle name="20% - Accent6 43 2 4" xfId="8004" xr:uid="{00000000-0005-0000-0000-0000DF200000}"/>
    <cellStyle name="20% - Accent6 43 2 4 2" xfId="19292" xr:uid="{00000000-0005-0000-0000-0000E0200000}"/>
    <cellStyle name="20% - Accent6 43 2 5" xfId="6010" xr:uid="{00000000-0005-0000-0000-0000E1200000}"/>
    <cellStyle name="20% - Accent6 43 2 5 2" xfId="17298" xr:uid="{00000000-0005-0000-0000-0000E2200000}"/>
    <cellStyle name="20% - Accent6 43 2 6" xfId="15304" xr:uid="{00000000-0005-0000-0000-0000E3200000}"/>
    <cellStyle name="20% - Accent6 43 3" xfId="10995" xr:uid="{00000000-0005-0000-0000-0000E4200000}"/>
    <cellStyle name="20% - Accent6 43 3 2" xfId="22283" xr:uid="{00000000-0005-0000-0000-0000E5200000}"/>
    <cellStyle name="20% - Accent6 43 4" xfId="9001" xr:uid="{00000000-0005-0000-0000-0000E6200000}"/>
    <cellStyle name="20% - Accent6 43 4 2" xfId="20289" xr:uid="{00000000-0005-0000-0000-0000E7200000}"/>
    <cellStyle name="20% - Accent6 43 5" xfId="7007" xr:uid="{00000000-0005-0000-0000-0000E8200000}"/>
    <cellStyle name="20% - Accent6 43 5 2" xfId="18295" xr:uid="{00000000-0005-0000-0000-0000E9200000}"/>
    <cellStyle name="20% - Accent6 43 6" xfId="5013" xr:uid="{00000000-0005-0000-0000-0000EA200000}"/>
    <cellStyle name="20% - Accent6 43 6 2" xfId="16301" xr:uid="{00000000-0005-0000-0000-0000EB200000}"/>
    <cellStyle name="20% - Accent6 43 7" xfId="14307" xr:uid="{00000000-0005-0000-0000-0000EC200000}"/>
    <cellStyle name="20% - Accent6 43 8" xfId="12993" xr:uid="{00000000-0005-0000-0000-0000ED200000}"/>
    <cellStyle name="20% - Accent6 44" xfId="1058" xr:uid="{00000000-0005-0000-0000-0000EE200000}"/>
    <cellStyle name="20% - Accent6 44 2" xfId="4014" xr:uid="{00000000-0005-0000-0000-0000EF200000}"/>
    <cellStyle name="20% - Accent6 44 2 2" xfId="11993" xr:uid="{00000000-0005-0000-0000-0000F0200000}"/>
    <cellStyle name="20% - Accent6 44 2 2 2" xfId="23281" xr:uid="{00000000-0005-0000-0000-0000F1200000}"/>
    <cellStyle name="20% - Accent6 44 2 3" xfId="9999" xr:uid="{00000000-0005-0000-0000-0000F2200000}"/>
    <cellStyle name="20% - Accent6 44 2 3 2" xfId="21287" xr:uid="{00000000-0005-0000-0000-0000F3200000}"/>
    <cellStyle name="20% - Accent6 44 2 4" xfId="8005" xr:uid="{00000000-0005-0000-0000-0000F4200000}"/>
    <cellStyle name="20% - Accent6 44 2 4 2" xfId="19293" xr:uid="{00000000-0005-0000-0000-0000F5200000}"/>
    <cellStyle name="20% - Accent6 44 2 5" xfId="6011" xr:uid="{00000000-0005-0000-0000-0000F6200000}"/>
    <cellStyle name="20% - Accent6 44 2 5 2" xfId="17299" xr:uid="{00000000-0005-0000-0000-0000F7200000}"/>
    <cellStyle name="20% - Accent6 44 2 6" xfId="15305" xr:uid="{00000000-0005-0000-0000-0000F8200000}"/>
    <cellStyle name="20% - Accent6 44 3" xfId="10996" xr:uid="{00000000-0005-0000-0000-0000F9200000}"/>
    <cellStyle name="20% - Accent6 44 3 2" xfId="22284" xr:uid="{00000000-0005-0000-0000-0000FA200000}"/>
    <cellStyle name="20% - Accent6 44 4" xfId="9002" xr:uid="{00000000-0005-0000-0000-0000FB200000}"/>
    <cellStyle name="20% - Accent6 44 4 2" xfId="20290" xr:uid="{00000000-0005-0000-0000-0000FC200000}"/>
    <cellStyle name="20% - Accent6 44 5" xfId="7008" xr:uid="{00000000-0005-0000-0000-0000FD200000}"/>
    <cellStyle name="20% - Accent6 44 5 2" xfId="18296" xr:uid="{00000000-0005-0000-0000-0000FE200000}"/>
    <cellStyle name="20% - Accent6 44 6" xfId="5014" xr:uid="{00000000-0005-0000-0000-0000FF200000}"/>
    <cellStyle name="20% - Accent6 44 6 2" xfId="16302" xr:uid="{00000000-0005-0000-0000-000000210000}"/>
    <cellStyle name="20% - Accent6 44 7" xfId="14308" xr:uid="{00000000-0005-0000-0000-000001210000}"/>
    <cellStyle name="20% - Accent6 44 8" xfId="12994" xr:uid="{00000000-0005-0000-0000-000002210000}"/>
    <cellStyle name="20% - Accent6 45" xfId="1059" xr:uid="{00000000-0005-0000-0000-000003210000}"/>
    <cellStyle name="20% - Accent6 45 2" xfId="4015" xr:uid="{00000000-0005-0000-0000-000004210000}"/>
    <cellStyle name="20% - Accent6 45 2 2" xfId="11994" xr:uid="{00000000-0005-0000-0000-000005210000}"/>
    <cellStyle name="20% - Accent6 45 2 2 2" xfId="23282" xr:uid="{00000000-0005-0000-0000-000006210000}"/>
    <cellStyle name="20% - Accent6 45 2 3" xfId="10000" xr:uid="{00000000-0005-0000-0000-000007210000}"/>
    <cellStyle name="20% - Accent6 45 2 3 2" xfId="21288" xr:uid="{00000000-0005-0000-0000-000008210000}"/>
    <cellStyle name="20% - Accent6 45 2 4" xfId="8006" xr:uid="{00000000-0005-0000-0000-000009210000}"/>
    <cellStyle name="20% - Accent6 45 2 4 2" xfId="19294" xr:uid="{00000000-0005-0000-0000-00000A210000}"/>
    <cellStyle name="20% - Accent6 45 2 5" xfId="6012" xr:uid="{00000000-0005-0000-0000-00000B210000}"/>
    <cellStyle name="20% - Accent6 45 2 5 2" xfId="17300" xr:uid="{00000000-0005-0000-0000-00000C210000}"/>
    <cellStyle name="20% - Accent6 45 2 6" xfId="15306" xr:uid="{00000000-0005-0000-0000-00000D210000}"/>
    <cellStyle name="20% - Accent6 45 3" xfId="10997" xr:uid="{00000000-0005-0000-0000-00000E210000}"/>
    <cellStyle name="20% - Accent6 45 3 2" xfId="22285" xr:uid="{00000000-0005-0000-0000-00000F210000}"/>
    <cellStyle name="20% - Accent6 45 4" xfId="9003" xr:uid="{00000000-0005-0000-0000-000010210000}"/>
    <cellStyle name="20% - Accent6 45 4 2" xfId="20291" xr:uid="{00000000-0005-0000-0000-000011210000}"/>
    <cellStyle name="20% - Accent6 45 5" xfId="7009" xr:uid="{00000000-0005-0000-0000-000012210000}"/>
    <cellStyle name="20% - Accent6 45 5 2" xfId="18297" xr:uid="{00000000-0005-0000-0000-000013210000}"/>
    <cellStyle name="20% - Accent6 45 6" xfId="5015" xr:uid="{00000000-0005-0000-0000-000014210000}"/>
    <cellStyle name="20% - Accent6 45 6 2" xfId="16303" xr:uid="{00000000-0005-0000-0000-000015210000}"/>
    <cellStyle name="20% - Accent6 45 7" xfId="14309" xr:uid="{00000000-0005-0000-0000-000016210000}"/>
    <cellStyle name="20% - Accent6 45 8" xfId="12995" xr:uid="{00000000-0005-0000-0000-000017210000}"/>
    <cellStyle name="20% - Accent6 46" xfId="1060" xr:uid="{00000000-0005-0000-0000-000018210000}"/>
    <cellStyle name="20% - Accent6 46 2" xfId="4016" xr:uid="{00000000-0005-0000-0000-000019210000}"/>
    <cellStyle name="20% - Accent6 46 2 2" xfId="11995" xr:uid="{00000000-0005-0000-0000-00001A210000}"/>
    <cellStyle name="20% - Accent6 46 2 2 2" xfId="23283" xr:uid="{00000000-0005-0000-0000-00001B210000}"/>
    <cellStyle name="20% - Accent6 46 2 3" xfId="10001" xr:uid="{00000000-0005-0000-0000-00001C210000}"/>
    <cellStyle name="20% - Accent6 46 2 3 2" xfId="21289" xr:uid="{00000000-0005-0000-0000-00001D210000}"/>
    <cellStyle name="20% - Accent6 46 2 4" xfId="8007" xr:uid="{00000000-0005-0000-0000-00001E210000}"/>
    <cellStyle name="20% - Accent6 46 2 4 2" xfId="19295" xr:uid="{00000000-0005-0000-0000-00001F210000}"/>
    <cellStyle name="20% - Accent6 46 2 5" xfId="6013" xr:uid="{00000000-0005-0000-0000-000020210000}"/>
    <cellStyle name="20% - Accent6 46 2 5 2" xfId="17301" xr:uid="{00000000-0005-0000-0000-000021210000}"/>
    <cellStyle name="20% - Accent6 46 2 6" xfId="15307" xr:uid="{00000000-0005-0000-0000-000022210000}"/>
    <cellStyle name="20% - Accent6 46 3" xfId="10998" xr:uid="{00000000-0005-0000-0000-000023210000}"/>
    <cellStyle name="20% - Accent6 46 3 2" xfId="22286" xr:uid="{00000000-0005-0000-0000-000024210000}"/>
    <cellStyle name="20% - Accent6 46 4" xfId="9004" xr:uid="{00000000-0005-0000-0000-000025210000}"/>
    <cellStyle name="20% - Accent6 46 4 2" xfId="20292" xr:uid="{00000000-0005-0000-0000-000026210000}"/>
    <cellStyle name="20% - Accent6 46 5" xfId="7010" xr:uid="{00000000-0005-0000-0000-000027210000}"/>
    <cellStyle name="20% - Accent6 46 5 2" xfId="18298" xr:uid="{00000000-0005-0000-0000-000028210000}"/>
    <cellStyle name="20% - Accent6 46 6" xfId="5016" xr:uid="{00000000-0005-0000-0000-000029210000}"/>
    <cellStyle name="20% - Accent6 46 6 2" xfId="16304" xr:uid="{00000000-0005-0000-0000-00002A210000}"/>
    <cellStyle name="20% - Accent6 46 7" xfId="14310" xr:uid="{00000000-0005-0000-0000-00002B210000}"/>
    <cellStyle name="20% - Accent6 46 8" xfId="12996" xr:uid="{00000000-0005-0000-0000-00002C210000}"/>
    <cellStyle name="20% - Accent6 47" xfId="1061" xr:uid="{00000000-0005-0000-0000-00002D210000}"/>
    <cellStyle name="20% - Accent6 47 2" xfId="4017" xr:uid="{00000000-0005-0000-0000-00002E210000}"/>
    <cellStyle name="20% - Accent6 47 2 2" xfId="11996" xr:uid="{00000000-0005-0000-0000-00002F210000}"/>
    <cellStyle name="20% - Accent6 47 2 2 2" xfId="23284" xr:uid="{00000000-0005-0000-0000-000030210000}"/>
    <cellStyle name="20% - Accent6 47 2 3" xfId="10002" xr:uid="{00000000-0005-0000-0000-000031210000}"/>
    <cellStyle name="20% - Accent6 47 2 3 2" xfId="21290" xr:uid="{00000000-0005-0000-0000-000032210000}"/>
    <cellStyle name="20% - Accent6 47 2 4" xfId="8008" xr:uid="{00000000-0005-0000-0000-000033210000}"/>
    <cellStyle name="20% - Accent6 47 2 4 2" xfId="19296" xr:uid="{00000000-0005-0000-0000-000034210000}"/>
    <cellStyle name="20% - Accent6 47 2 5" xfId="6014" xr:uid="{00000000-0005-0000-0000-000035210000}"/>
    <cellStyle name="20% - Accent6 47 2 5 2" xfId="17302" xr:uid="{00000000-0005-0000-0000-000036210000}"/>
    <cellStyle name="20% - Accent6 47 2 6" xfId="15308" xr:uid="{00000000-0005-0000-0000-000037210000}"/>
    <cellStyle name="20% - Accent6 47 3" xfId="10999" xr:uid="{00000000-0005-0000-0000-000038210000}"/>
    <cellStyle name="20% - Accent6 47 3 2" xfId="22287" xr:uid="{00000000-0005-0000-0000-000039210000}"/>
    <cellStyle name="20% - Accent6 47 4" xfId="9005" xr:uid="{00000000-0005-0000-0000-00003A210000}"/>
    <cellStyle name="20% - Accent6 47 4 2" xfId="20293" xr:uid="{00000000-0005-0000-0000-00003B210000}"/>
    <cellStyle name="20% - Accent6 47 5" xfId="7011" xr:uid="{00000000-0005-0000-0000-00003C210000}"/>
    <cellStyle name="20% - Accent6 47 5 2" xfId="18299" xr:uid="{00000000-0005-0000-0000-00003D210000}"/>
    <cellStyle name="20% - Accent6 47 6" xfId="5017" xr:uid="{00000000-0005-0000-0000-00003E210000}"/>
    <cellStyle name="20% - Accent6 47 6 2" xfId="16305" xr:uid="{00000000-0005-0000-0000-00003F210000}"/>
    <cellStyle name="20% - Accent6 47 7" xfId="14311" xr:uid="{00000000-0005-0000-0000-000040210000}"/>
    <cellStyle name="20% - Accent6 47 8" xfId="12997" xr:uid="{00000000-0005-0000-0000-000041210000}"/>
    <cellStyle name="20% - Accent6 48" xfId="1062" xr:uid="{00000000-0005-0000-0000-000042210000}"/>
    <cellStyle name="20% - Accent6 48 2" xfId="4018" xr:uid="{00000000-0005-0000-0000-000043210000}"/>
    <cellStyle name="20% - Accent6 48 2 2" xfId="11997" xr:uid="{00000000-0005-0000-0000-000044210000}"/>
    <cellStyle name="20% - Accent6 48 2 2 2" xfId="23285" xr:uid="{00000000-0005-0000-0000-000045210000}"/>
    <cellStyle name="20% - Accent6 48 2 3" xfId="10003" xr:uid="{00000000-0005-0000-0000-000046210000}"/>
    <cellStyle name="20% - Accent6 48 2 3 2" xfId="21291" xr:uid="{00000000-0005-0000-0000-000047210000}"/>
    <cellStyle name="20% - Accent6 48 2 4" xfId="8009" xr:uid="{00000000-0005-0000-0000-000048210000}"/>
    <cellStyle name="20% - Accent6 48 2 4 2" xfId="19297" xr:uid="{00000000-0005-0000-0000-000049210000}"/>
    <cellStyle name="20% - Accent6 48 2 5" xfId="6015" xr:uid="{00000000-0005-0000-0000-00004A210000}"/>
    <cellStyle name="20% - Accent6 48 2 5 2" xfId="17303" xr:uid="{00000000-0005-0000-0000-00004B210000}"/>
    <cellStyle name="20% - Accent6 48 2 6" xfId="15309" xr:uid="{00000000-0005-0000-0000-00004C210000}"/>
    <cellStyle name="20% - Accent6 48 3" xfId="11000" xr:uid="{00000000-0005-0000-0000-00004D210000}"/>
    <cellStyle name="20% - Accent6 48 3 2" xfId="22288" xr:uid="{00000000-0005-0000-0000-00004E210000}"/>
    <cellStyle name="20% - Accent6 48 4" xfId="9006" xr:uid="{00000000-0005-0000-0000-00004F210000}"/>
    <cellStyle name="20% - Accent6 48 4 2" xfId="20294" xr:uid="{00000000-0005-0000-0000-000050210000}"/>
    <cellStyle name="20% - Accent6 48 5" xfId="7012" xr:uid="{00000000-0005-0000-0000-000051210000}"/>
    <cellStyle name="20% - Accent6 48 5 2" xfId="18300" xr:uid="{00000000-0005-0000-0000-000052210000}"/>
    <cellStyle name="20% - Accent6 48 6" xfId="5018" xr:uid="{00000000-0005-0000-0000-000053210000}"/>
    <cellStyle name="20% - Accent6 48 6 2" xfId="16306" xr:uid="{00000000-0005-0000-0000-000054210000}"/>
    <cellStyle name="20% - Accent6 48 7" xfId="14312" xr:uid="{00000000-0005-0000-0000-000055210000}"/>
    <cellStyle name="20% - Accent6 48 8" xfId="12998" xr:uid="{00000000-0005-0000-0000-000056210000}"/>
    <cellStyle name="20% - Accent6 49" xfId="1063" xr:uid="{00000000-0005-0000-0000-000057210000}"/>
    <cellStyle name="20% - Accent6 49 2" xfId="4019" xr:uid="{00000000-0005-0000-0000-000058210000}"/>
    <cellStyle name="20% - Accent6 49 2 2" xfId="11998" xr:uid="{00000000-0005-0000-0000-000059210000}"/>
    <cellStyle name="20% - Accent6 49 2 2 2" xfId="23286" xr:uid="{00000000-0005-0000-0000-00005A210000}"/>
    <cellStyle name="20% - Accent6 49 2 3" xfId="10004" xr:uid="{00000000-0005-0000-0000-00005B210000}"/>
    <cellStyle name="20% - Accent6 49 2 3 2" xfId="21292" xr:uid="{00000000-0005-0000-0000-00005C210000}"/>
    <cellStyle name="20% - Accent6 49 2 4" xfId="8010" xr:uid="{00000000-0005-0000-0000-00005D210000}"/>
    <cellStyle name="20% - Accent6 49 2 4 2" xfId="19298" xr:uid="{00000000-0005-0000-0000-00005E210000}"/>
    <cellStyle name="20% - Accent6 49 2 5" xfId="6016" xr:uid="{00000000-0005-0000-0000-00005F210000}"/>
    <cellStyle name="20% - Accent6 49 2 5 2" xfId="17304" xr:uid="{00000000-0005-0000-0000-000060210000}"/>
    <cellStyle name="20% - Accent6 49 2 6" xfId="15310" xr:uid="{00000000-0005-0000-0000-000061210000}"/>
    <cellStyle name="20% - Accent6 49 3" xfId="11001" xr:uid="{00000000-0005-0000-0000-000062210000}"/>
    <cellStyle name="20% - Accent6 49 3 2" xfId="22289" xr:uid="{00000000-0005-0000-0000-000063210000}"/>
    <cellStyle name="20% - Accent6 49 4" xfId="9007" xr:uid="{00000000-0005-0000-0000-000064210000}"/>
    <cellStyle name="20% - Accent6 49 4 2" xfId="20295" xr:uid="{00000000-0005-0000-0000-000065210000}"/>
    <cellStyle name="20% - Accent6 49 5" xfId="7013" xr:uid="{00000000-0005-0000-0000-000066210000}"/>
    <cellStyle name="20% - Accent6 49 5 2" xfId="18301" xr:uid="{00000000-0005-0000-0000-000067210000}"/>
    <cellStyle name="20% - Accent6 49 6" xfId="5019" xr:uid="{00000000-0005-0000-0000-000068210000}"/>
    <cellStyle name="20% - Accent6 49 6 2" xfId="16307" xr:uid="{00000000-0005-0000-0000-000069210000}"/>
    <cellStyle name="20% - Accent6 49 7" xfId="14313" xr:uid="{00000000-0005-0000-0000-00006A210000}"/>
    <cellStyle name="20% - Accent6 49 8" xfId="12999" xr:uid="{00000000-0005-0000-0000-00006B210000}"/>
    <cellStyle name="20% - Accent6 5" xfId="1064" xr:uid="{00000000-0005-0000-0000-00006C210000}"/>
    <cellStyle name="20% - Accent6 5 10" xfId="24592" xr:uid="{00000000-0005-0000-0000-00006D210000}"/>
    <cellStyle name="20% - Accent6 5 11" xfId="24982" xr:uid="{00000000-0005-0000-0000-00006E210000}"/>
    <cellStyle name="20% - Accent6 5 2" xfId="4020" xr:uid="{00000000-0005-0000-0000-00006F210000}"/>
    <cellStyle name="20% - Accent6 5 2 2" xfId="11999" xr:uid="{00000000-0005-0000-0000-000070210000}"/>
    <cellStyle name="20% - Accent6 5 2 2 2" xfId="23287" xr:uid="{00000000-0005-0000-0000-000071210000}"/>
    <cellStyle name="20% - Accent6 5 2 3" xfId="10005" xr:uid="{00000000-0005-0000-0000-000072210000}"/>
    <cellStyle name="20% - Accent6 5 2 3 2" xfId="21293" xr:uid="{00000000-0005-0000-0000-000073210000}"/>
    <cellStyle name="20% - Accent6 5 2 4" xfId="8011" xr:uid="{00000000-0005-0000-0000-000074210000}"/>
    <cellStyle name="20% - Accent6 5 2 4 2" xfId="19299" xr:uid="{00000000-0005-0000-0000-000075210000}"/>
    <cellStyle name="20% - Accent6 5 2 5" xfId="6017" xr:uid="{00000000-0005-0000-0000-000076210000}"/>
    <cellStyle name="20% - Accent6 5 2 5 2" xfId="17305" xr:uid="{00000000-0005-0000-0000-000077210000}"/>
    <cellStyle name="20% - Accent6 5 2 6" xfId="15311" xr:uid="{00000000-0005-0000-0000-000078210000}"/>
    <cellStyle name="20% - Accent6 5 2 7" xfId="24353" xr:uid="{00000000-0005-0000-0000-000079210000}"/>
    <cellStyle name="20% - Accent6 5 2 8" xfId="24817" xr:uid="{00000000-0005-0000-0000-00007A210000}"/>
    <cellStyle name="20% - Accent6 5 2 9" xfId="25184" xr:uid="{00000000-0005-0000-0000-00007B210000}"/>
    <cellStyle name="20% - Accent6 5 3" xfId="11002" xr:uid="{00000000-0005-0000-0000-00007C210000}"/>
    <cellStyle name="20% - Accent6 5 3 2" xfId="22290" xr:uid="{00000000-0005-0000-0000-00007D210000}"/>
    <cellStyle name="20% - Accent6 5 4" xfId="9008" xr:uid="{00000000-0005-0000-0000-00007E210000}"/>
    <cellStyle name="20% - Accent6 5 4 2" xfId="20296" xr:uid="{00000000-0005-0000-0000-00007F210000}"/>
    <cellStyle name="20% - Accent6 5 5" xfId="7014" xr:uid="{00000000-0005-0000-0000-000080210000}"/>
    <cellStyle name="20% - Accent6 5 5 2" xfId="18302" xr:uid="{00000000-0005-0000-0000-000081210000}"/>
    <cellStyle name="20% - Accent6 5 6" xfId="5020" xr:uid="{00000000-0005-0000-0000-000082210000}"/>
    <cellStyle name="20% - Accent6 5 6 2" xfId="16308" xr:uid="{00000000-0005-0000-0000-000083210000}"/>
    <cellStyle name="20% - Accent6 5 7" xfId="14314" xr:uid="{00000000-0005-0000-0000-000084210000}"/>
    <cellStyle name="20% - Accent6 5 8" xfId="13000" xr:uid="{00000000-0005-0000-0000-000085210000}"/>
    <cellStyle name="20% - Accent6 5 9" xfId="23965" xr:uid="{00000000-0005-0000-0000-000086210000}"/>
    <cellStyle name="20% - Accent6 50" xfId="1065" xr:uid="{00000000-0005-0000-0000-000087210000}"/>
    <cellStyle name="20% - Accent6 50 2" xfId="4021" xr:uid="{00000000-0005-0000-0000-000088210000}"/>
    <cellStyle name="20% - Accent6 50 2 2" xfId="12000" xr:uid="{00000000-0005-0000-0000-000089210000}"/>
    <cellStyle name="20% - Accent6 50 2 2 2" xfId="23288" xr:uid="{00000000-0005-0000-0000-00008A210000}"/>
    <cellStyle name="20% - Accent6 50 2 3" xfId="10006" xr:uid="{00000000-0005-0000-0000-00008B210000}"/>
    <cellStyle name="20% - Accent6 50 2 3 2" xfId="21294" xr:uid="{00000000-0005-0000-0000-00008C210000}"/>
    <cellStyle name="20% - Accent6 50 2 4" xfId="8012" xr:uid="{00000000-0005-0000-0000-00008D210000}"/>
    <cellStyle name="20% - Accent6 50 2 4 2" xfId="19300" xr:uid="{00000000-0005-0000-0000-00008E210000}"/>
    <cellStyle name="20% - Accent6 50 2 5" xfId="6018" xr:uid="{00000000-0005-0000-0000-00008F210000}"/>
    <cellStyle name="20% - Accent6 50 2 5 2" xfId="17306" xr:uid="{00000000-0005-0000-0000-000090210000}"/>
    <cellStyle name="20% - Accent6 50 2 6" xfId="15312" xr:uid="{00000000-0005-0000-0000-000091210000}"/>
    <cellStyle name="20% - Accent6 50 3" xfId="11003" xr:uid="{00000000-0005-0000-0000-000092210000}"/>
    <cellStyle name="20% - Accent6 50 3 2" xfId="22291" xr:uid="{00000000-0005-0000-0000-000093210000}"/>
    <cellStyle name="20% - Accent6 50 4" xfId="9009" xr:uid="{00000000-0005-0000-0000-000094210000}"/>
    <cellStyle name="20% - Accent6 50 4 2" xfId="20297" xr:uid="{00000000-0005-0000-0000-000095210000}"/>
    <cellStyle name="20% - Accent6 50 5" xfId="7015" xr:uid="{00000000-0005-0000-0000-000096210000}"/>
    <cellStyle name="20% - Accent6 50 5 2" xfId="18303" xr:uid="{00000000-0005-0000-0000-000097210000}"/>
    <cellStyle name="20% - Accent6 50 6" xfId="5021" xr:uid="{00000000-0005-0000-0000-000098210000}"/>
    <cellStyle name="20% - Accent6 50 6 2" xfId="16309" xr:uid="{00000000-0005-0000-0000-000099210000}"/>
    <cellStyle name="20% - Accent6 50 7" xfId="14315" xr:uid="{00000000-0005-0000-0000-00009A210000}"/>
    <cellStyle name="20% - Accent6 50 8" xfId="13001" xr:uid="{00000000-0005-0000-0000-00009B210000}"/>
    <cellStyle name="20% - Accent6 51" xfId="1066" xr:uid="{00000000-0005-0000-0000-00009C210000}"/>
    <cellStyle name="20% - Accent6 51 2" xfId="4022" xr:uid="{00000000-0005-0000-0000-00009D210000}"/>
    <cellStyle name="20% - Accent6 51 2 2" xfId="12001" xr:uid="{00000000-0005-0000-0000-00009E210000}"/>
    <cellStyle name="20% - Accent6 51 2 2 2" xfId="23289" xr:uid="{00000000-0005-0000-0000-00009F210000}"/>
    <cellStyle name="20% - Accent6 51 2 3" xfId="10007" xr:uid="{00000000-0005-0000-0000-0000A0210000}"/>
    <cellStyle name="20% - Accent6 51 2 3 2" xfId="21295" xr:uid="{00000000-0005-0000-0000-0000A1210000}"/>
    <cellStyle name="20% - Accent6 51 2 4" xfId="8013" xr:uid="{00000000-0005-0000-0000-0000A2210000}"/>
    <cellStyle name="20% - Accent6 51 2 4 2" xfId="19301" xr:uid="{00000000-0005-0000-0000-0000A3210000}"/>
    <cellStyle name="20% - Accent6 51 2 5" xfId="6019" xr:uid="{00000000-0005-0000-0000-0000A4210000}"/>
    <cellStyle name="20% - Accent6 51 2 5 2" xfId="17307" xr:uid="{00000000-0005-0000-0000-0000A5210000}"/>
    <cellStyle name="20% - Accent6 51 2 6" xfId="15313" xr:uid="{00000000-0005-0000-0000-0000A6210000}"/>
    <cellStyle name="20% - Accent6 51 3" xfId="11004" xr:uid="{00000000-0005-0000-0000-0000A7210000}"/>
    <cellStyle name="20% - Accent6 51 3 2" xfId="22292" xr:uid="{00000000-0005-0000-0000-0000A8210000}"/>
    <cellStyle name="20% - Accent6 51 4" xfId="9010" xr:uid="{00000000-0005-0000-0000-0000A9210000}"/>
    <cellStyle name="20% - Accent6 51 4 2" xfId="20298" xr:uid="{00000000-0005-0000-0000-0000AA210000}"/>
    <cellStyle name="20% - Accent6 51 5" xfId="7016" xr:uid="{00000000-0005-0000-0000-0000AB210000}"/>
    <cellStyle name="20% - Accent6 51 5 2" xfId="18304" xr:uid="{00000000-0005-0000-0000-0000AC210000}"/>
    <cellStyle name="20% - Accent6 51 6" xfId="5022" xr:uid="{00000000-0005-0000-0000-0000AD210000}"/>
    <cellStyle name="20% - Accent6 51 6 2" xfId="16310" xr:uid="{00000000-0005-0000-0000-0000AE210000}"/>
    <cellStyle name="20% - Accent6 51 7" xfId="14316" xr:uid="{00000000-0005-0000-0000-0000AF210000}"/>
    <cellStyle name="20% - Accent6 51 8" xfId="13002" xr:uid="{00000000-0005-0000-0000-0000B0210000}"/>
    <cellStyle name="20% - Accent6 52" xfId="1067" xr:uid="{00000000-0005-0000-0000-0000B1210000}"/>
    <cellStyle name="20% - Accent6 52 2" xfId="4023" xr:uid="{00000000-0005-0000-0000-0000B2210000}"/>
    <cellStyle name="20% - Accent6 52 2 2" xfId="12002" xr:uid="{00000000-0005-0000-0000-0000B3210000}"/>
    <cellStyle name="20% - Accent6 52 2 2 2" xfId="23290" xr:uid="{00000000-0005-0000-0000-0000B4210000}"/>
    <cellStyle name="20% - Accent6 52 2 3" xfId="10008" xr:uid="{00000000-0005-0000-0000-0000B5210000}"/>
    <cellStyle name="20% - Accent6 52 2 3 2" xfId="21296" xr:uid="{00000000-0005-0000-0000-0000B6210000}"/>
    <cellStyle name="20% - Accent6 52 2 4" xfId="8014" xr:uid="{00000000-0005-0000-0000-0000B7210000}"/>
    <cellStyle name="20% - Accent6 52 2 4 2" xfId="19302" xr:uid="{00000000-0005-0000-0000-0000B8210000}"/>
    <cellStyle name="20% - Accent6 52 2 5" xfId="6020" xr:uid="{00000000-0005-0000-0000-0000B9210000}"/>
    <cellStyle name="20% - Accent6 52 2 5 2" xfId="17308" xr:uid="{00000000-0005-0000-0000-0000BA210000}"/>
    <cellStyle name="20% - Accent6 52 2 6" xfId="15314" xr:uid="{00000000-0005-0000-0000-0000BB210000}"/>
    <cellStyle name="20% - Accent6 52 3" xfId="11005" xr:uid="{00000000-0005-0000-0000-0000BC210000}"/>
    <cellStyle name="20% - Accent6 52 3 2" xfId="22293" xr:uid="{00000000-0005-0000-0000-0000BD210000}"/>
    <cellStyle name="20% - Accent6 52 4" xfId="9011" xr:uid="{00000000-0005-0000-0000-0000BE210000}"/>
    <cellStyle name="20% - Accent6 52 4 2" xfId="20299" xr:uid="{00000000-0005-0000-0000-0000BF210000}"/>
    <cellStyle name="20% - Accent6 52 5" xfId="7017" xr:uid="{00000000-0005-0000-0000-0000C0210000}"/>
    <cellStyle name="20% - Accent6 52 5 2" xfId="18305" xr:uid="{00000000-0005-0000-0000-0000C1210000}"/>
    <cellStyle name="20% - Accent6 52 6" xfId="5023" xr:uid="{00000000-0005-0000-0000-0000C2210000}"/>
    <cellStyle name="20% - Accent6 52 6 2" xfId="16311" xr:uid="{00000000-0005-0000-0000-0000C3210000}"/>
    <cellStyle name="20% - Accent6 52 7" xfId="14317" xr:uid="{00000000-0005-0000-0000-0000C4210000}"/>
    <cellStyle name="20% - Accent6 52 8" xfId="13003" xr:uid="{00000000-0005-0000-0000-0000C5210000}"/>
    <cellStyle name="20% - Accent6 53" xfId="1068" xr:uid="{00000000-0005-0000-0000-0000C6210000}"/>
    <cellStyle name="20% - Accent6 53 2" xfId="4024" xr:uid="{00000000-0005-0000-0000-0000C7210000}"/>
    <cellStyle name="20% - Accent6 53 2 2" xfId="12003" xr:uid="{00000000-0005-0000-0000-0000C8210000}"/>
    <cellStyle name="20% - Accent6 53 2 2 2" xfId="23291" xr:uid="{00000000-0005-0000-0000-0000C9210000}"/>
    <cellStyle name="20% - Accent6 53 2 3" xfId="10009" xr:uid="{00000000-0005-0000-0000-0000CA210000}"/>
    <cellStyle name="20% - Accent6 53 2 3 2" xfId="21297" xr:uid="{00000000-0005-0000-0000-0000CB210000}"/>
    <cellStyle name="20% - Accent6 53 2 4" xfId="8015" xr:uid="{00000000-0005-0000-0000-0000CC210000}"/>
    <cellStyle name="20% - Accent6 53 2 4 2" xfId="19303" xr:uid="{00000000-0005-0000-0000-0000CD210000}"/>
    <cellStyle name="20% - Accent6 53 2 5" xfId="6021" xr:uid="{00000000-0005-0000-0000-0000CE210000}"/>
    <cellStyle name="20% - Accent6 53 2 5 2" xfId="17309" xr:uid="{00000000-0005-0000-0000-0000CF210000}"/>
    <cellStyle name="20% - Accent6 53 2 6" xfId="15315" xr:uid="{00000000-0005-0000-0000-0000D0210000}"/>
    <cellStyle name="20% - Accent6 53 3" xfId="11006" xr:uid="{00000000-0005-0000-0000-0000D1210000}"/>
    <cellStyle name="20% - Accent6 53 3 2" xfId="22294" xr:uid="{00000000-0005-0000-0000-0000D2210000}"/>
    <cellStyle name="20% - Accent6 53 4" xfId="9012" xr:uid="{00000000-0005-0000-0000-0000D3210000}"/>
    <cellStyle name="20% - Accent6 53 4 2" xfId="20300" xr:uid="{00000000-0005-0000-0000-0000D4210000}"/>
    <cellStyle name="20% - Accent6 53 5" xfId="7018" xr:uid="{00000000-0005-0000-0000-0000D5210000}"/>
    <cellStyle name="20% - Accent6 53 5 2" xfId="18306" xr:uid="{00000000-0005-0000-0000-0000D6210000}"/>
    <cellStyle name="20% - Accent6 53 6" xfId="5024" xr:uid="{00000000-0005-0000-0000-0000D7210000}"/>
    <cellStyle name="20% - Accent6 53 6 2" xfId="16312" xr:uid="{00000000-0005-0000-0000-0000D8210000}"/>
    <cellStyle name="20% - Accent6 53 7" xfId="14318" xr:uid="{00000000-0005-0000-0000-0000D9210000}"/>
    <cellStyle name="20% - Accent6 53 8" xfId="13004" xr:uid="{00000000-0005-0000-0000-0000DA210000}"/>
    <cellStyle name="20% - Accent6 54" xfId="1069" xr:uid="{00000000-0005-0000-0000-0000DB210000}"/>
    <cellStyle name="20% - Accent6 54 2" xfId="4025" xr:uid="{00000000-0005-0000-0000-0000DC210000}"/>
    <cellStyle name="20% - Accent6 54 2 2" xfId="12004" xr:uid="{00000000-0005-0000-0000-0000DD210000}"/>
    <cellStyle name="20% - Accent6 54 2 2 2" xfId="23292" xr:uid="{00000000-0005-0000-0000-0000DE210000}"/>
    <cellStyle name="20% - Accent6 54 2 3" xfId="10010" xr:uid="{00000000-0005-0000-0000-0000DF210000}"/>
    <cellStyle name="20% - Accent6 54 2 3 2" xfId="21298" xr:uid="{00000000-0005-0000-0000-0000E0210000}"/>
    <cellStyle name="20% - Accent6 54 2 4" xfId="8016" xr:uid="{00000000-0005-0000-0000-0000E1210000}"/>
    <cellStyle name="20% - Accent6 54 2 4 2" xfId="19304" xr:uid="{00000000-0005-0000-0000-0000E2210000}"/>
    <cellStyle name="20% - Accent6 54 2 5" xfId="6022" xr:uid="{00000000-0005-0000-0000-0000E3210000}"/>
    <cellStyle name="20% - Accent6 54 2 5 2" xfId="17310" xr:uid="{00000000-0005-0000-0000-0000E4210000}"/>
    <cellStyle name="20% - Accent6 54 2 6" xfId="15316" xr:uid="{00000000-0005-0000-0000-0000E5210000}"/>
    <cellStyle name="20% - Accent6 54 3" xfId="11007" xr:uid="{00000000-0005-0000-0000-0000E6210000}"/>
    <cellStyle name="20% - Accent6 54 3 2" xfId="22295" xr:uid="{00000000-0005-0000-0000-0000E7210000}"/>
    <cellStyle name="20% - Accent6 54 4" xfId="9013" xr:uid="{00000000-0005-0000-0000-0000E8210000}"/>
    <cellStyle name="20% - Accent6 54 4 2" xfId="20301" xr:uid="{00000000-0005-0000-0000-0000E9210000}"/>
    <cellStyle name="20% - Accent6 54 5" xfId="7019" xr:uid="{00000000-0005-0000-0000-0000EA210000}"/>
    <cellStyle name="20% - Accent6 54 5 2" xfId="18307" xr:uid="{00000000-0005-0000-0000-0000EB210000}"/>
    <cellStyle name="20% - Accent6 54 6" xfId="5025" xr:uid="{00000000-0005-0000-0000-0000EC210000}"/>
    <cellStyle name="20% - Accent6 54 6 2" xfId="16313" xr:uid="{00000000-0005-0000-0000-0000ED210000}"/>
    <cellStyle name="20% - Accent6 54 7" xfId="14319" xr:uid="{00000000-0005-0000-0000-0000EE210000}"/>
    <cellStyle name="20% - Accent6 54 8" xfId="13005" xr:uid="{00000000-0005-0000-0000-0000EF210000}"/>
    <cellStyle name="20% - Accent6 55" xfId="1070" xr:uid="{00000000-0005-0000-0000-0000F0210000}"/>
    <cellStyle name="20% - Accent6 55 2" xfId="4026" xr:uid="{00000000-0005-0000-0000-0000F1210000}"/>
    <cellStyle name="20% - Accent6 55 2 2" xfId="12005" xr:uid="{00000000-0005-0000-0000-0000F2210000}"/>
    <cellStyle name="20% - Accent6 55 2 2 2" xfId="23293" xr:uid="{00000000-0005-0000-0000-0000F3210000}"/>
    <cellStyle name="20% - Accent6 55 2 3" xfId="10011" xr:uid="{00000000-0005-0000-0000-0000F4210000}"/>
    <cellStyle name="20% - Accent6 55 2 3 2" xfId="21299" xr:uid="{00000000-0005-0000-0000-0000F5210000}"/>
    <cellStyle name="20% - Accent6 55 2 4" xfId="8017" xr:uid="{00000000-0005-0000-0000-0000F6210000}"/>
    <cellStyle name="20% - Accent6 55 2 4 2" xfId="19305" xr:uid="{00000000-0005-0000-0000-0000F7210000}"/>
    <cellStyle name="20% - Accent6 55 2 5" xfId="6023" xr:uid="{00000000-0005-0000-0000-0000F8210000}"/>
    <cellStyle name="20% - Accent6 55 2 5 2" xfId="17311" xr:uid="{00000000-0005-0000-0000-0000F9210000}"/>
    <cellStyle name="20% - Accent6 55 2 6" xfId="15317" xr:uid="{00000000-0005-0000-0000-0000FA210000}"/>
    <cellStyle name="20% - Accent6 55 3" xfId="11008" xr:uid="{00000000-0005-0000-0000-0000FB210000}"/>
    <cellStyle name="20% - Accent6 55 3 2" xfId="22296" xr:uid="{00000000-0005-0000-0000-0000FC210000}"/>
    <cellStyle name="20% - Accent6 55 4" xfId="9014" xr:uid="{00000000-0005-0000-0000-0000FD210000}"/>
    <cellStyle name="20% - Accent6 55 4 2" xfId="20302" xr:uid="{00000000-0005-0000-0000-0000FE210000}"/>
    <cellStyle name="20% - Accent6 55 5" xfId="7020" xr:uid="{00000000-0005-0000-0000-0000FF210000}"/>
    <cellStyle name="20% - Accent6 55 5 2" xfId="18308" xr:uid="{00000000-0005-0000-0000-000000220000}"/>
    <cellStyle name="20% - Accent6 55 6" xfId="5026" xr:uid="{00000000-0005-0000-0000-000001220000}"/>
    <cellStyle name="20% - Accent6 55 6 2" xfId="16314" xr:uid="{00000000-0005-0000-0000-000002220000}"/>
    <cellStyle name="20% - Accent6 55 7" xfId="14320" xr:uid="{00000000-0005-0000-0000-000003220000}"/>
    <cellStyle name="20% - Accent6 55 8" xfId="13006" xr:uid="{00000000-0005-0000-0000-000004220000}"/>
    <cellStyle name="20% - Accent6 56" xfId="1071" xr:uid="{00000000-0005-0000-0000-000005220000}"/>
    <cellStyle name="20% - Accent6 56 2" xfId="4027" xr:uid="{00000000-0005-0000-0000-000006220000}"/>
    <cellStyle name="20% - Accent6 56 2 2" xfId="12006" xr:uid="{00000000-0005-0000-0000-000007220000}"/>
    <cellStyle name="20% - Accent6 56 2 2 2" xfId="23294" xr:uid="{00000000-0005-0000-0000-000008220000}"/>
    <cellStyle name="20% - Accent6 56 2 3" xfId="10012" xr:uid="{00000000-0005-0000-0000-000009220000}"/>
    <cellStyle name="20% - Accent6 56 2 3 2" xfId="21300" xr:uid="{00000000-0005-0000-0000-00000A220000}"/>
    <cellStyle name="20% - Accent6 56 2 4" xfId="8018" xr:uid="{00000000-0005-0000-0000-00000B220000}"/>
    <cellStyle name="20% - Accent6 56 2 4 2" xfId="19306" xr:uid="{00000000-0005-0000-0000-00000C220000}"/>
    <cellStyle name="20% - Accent6 56 2 5" xfId="6024" xr:uid="{00000000-0005-0000-0000-00000D220000}"/>
    <cellStyle name="20% - Accent6 56 2 5 2" xfId="17312" xr:uid="{00000000-0005-0000-0000-00000E220000}"/>
    <cellStyle name="20% - Accent6 56 2 6" xfId="15318" xr:uid="{00000000-0005-0000-0000-00000F220000}"/>
    <cellStyle name="20% - Accent6 56 3" xfId="11009" xr:uid="{00000000-0005-0000-0000-000010220000}"/>
    <cellStyle name="20% - Accent6 56 3 2" xfId="22297" xr:uid="{00000000-0005-0000-0000-000011220000}"/>
    <cellStyle name="20% - Accent6 56 4" xfId="9015" xr:uid="{00000000-0005-0000-0000-000012220000}"/>
    <cellStyle name="20% - Accent6 56 4 2" xfId="20303" xr:uid="{00000000-0005-0000-0000-000013220000}"/>
    <cellStyle name="20% - Accent6 56 5" xfId="7021" xr:uid="{00000000-0005-0000-0000-000014220000}"/>
    <cellStyle name="20% - Accent6 56 5 2" xfId="18309" xr:uid="{00000000-0005-0000-0000-000015220000}"/>
    <cellStyle name="20% - Accent6 56 6" xfId="5027" xr:uid="{00000000-0005-0000-0000-000016220000}"/>
    <cellStyle name="20% - Accent6 56 6 2" xfId="16315" xr:uid="{00000000-0005-0000-0000-000017220000}"/>
    <cellStyle name="20% - Accent6 56 7" xfId="14321" xr:uid="{00000000-0005-0000-0000-000018220000}"/>
    <cellStyle name="20% - Accent6 56 8" xfId="13007" xr:uid="{00000000-0005-0000-0000-000019220000}"/>
    <cellStyle name="20% - Accent6 57" xfId="1072" xr:uid="{00000000-0005-0000-0000-00001A220000}"/>
    <cellStyle name="20% - Accent6 57 2" xfId="4028" xr:uid="{00000000-0005-0000-0000-00001B220000}"/>
    <cellStyle name="20% - Accent6 57 2 2" xfId="12007" xr:uid="{00000000-0005-0000-0000-00001C220000}"/>
    <cellStyle name="20% - Accent6 57 2 2 2" xfId="23295" xr:uid="{00000000-0005-0000-0000-00001D220000}"/>
    <cellStyle name="20% - Accent6 57 2 3" xfId="10013" xr:uid="{00000000-0005-0000-0000-00001E220000}"/>
    <cellStyle name="20% - Accent6 57 2 3 2" xfId="21301" xr:uid="{00000000-0005-0000-0000-00001F220000}"/>
    <cellStyle name="20% - Accent6 57 2 4" xfId="8019" xr:uid="{00000000-0005-0000-0000-000020220000}"/>
    <cellStyle name="20% - Accent6 57 2 4 2" xfId="19307" xr:uid="{00000000-0005-0000-0000-000021220000}"/>
    <cellStyle name="20% - Accent6 57 2 5" xfId="6025" xr:uid="{00000000-0005-0000-0000-000022220000}"/>
    <cellStyle name="20% - Accent6 57 2 5 2" xfId="17313" xr:uid="{00000000-0005-0000-0000-000023220000}"/>
    <cellStyle name="20% - Accent6 57 2 6" xfId="15319" xr:uid="{00000000-0005-0000-0000-000024220000}"/>
    <cellStyle name="20% - Accent6 57 3" xfId="11010" xr:uid="{00000000-0005-0000-0000-000025220000}"/>
    <cellStyle name="20% - Accent6 57 3 2" xfId="22298" xr:uid="{00000000-0005-0000-0000-000026220000}"/>
    <cellStyle name="20% - Accent6 57 4" xfId="9016" xr:uid="{00000000-0005-0000-0000-000027220000}"/>
    <cellStyle name="20% - Accent6 57 4 2" xfId="20304" xr:uid="{00000000-0005-0000-0000-000028220000}"/>
    <cellStyle name="20% - Accent6 57 5" xfId="7022" xr:uid="{00000000-0005-0000-0000-000029220000}"/>
    <cellStyle name="20% - Accent6 57 5 2" xfId="18310" xr:uid="{00000000-0005-0000-0000-00002A220000}"/>
    <cellStyle name="20% - Accent6 57 6" xfId="5028" xr:uid="{00000000-0005-0000-0000-00002B220000}"/>
    <cellStyle name="20% - Accent6 57 6 2" xfId="16316" xr:uid="{00000000-0005-0000-0000-00002C220000}"/>
    <cellStyle name="20% - Accent6 57 7" xfId="14322" xr:uid="{00000000-0005-0000-0000-00002D220000}"/>
    <cellStyle name="20% - Accent6 57 8" xfId="13008" xr:uid="{00000000-0005-0000-0000-00002E220000}"/>
    <cellStyle name="20% - Accent6 58" xfId="1073" xr:uid="{00000000-0005-0000-0000-00002F220000}"/>
    <cellStyle name="20% - Accent6 58 2" xfId="4029" xr:uid="{00000000-0005-0000-0000-000030220000}"/>
    <cellStyle name="20% - Accent6 58 2 2" xfId="12008" xr:uid="{00000000-0005-0000-0000-000031220000}"/>
    <cellStyle name="20% - Accent6 58 2 2 2" xfId="23296" xr:uid="{00000000-0005-0000-0000-000032220000}"/>
    <cellStyle name="20% - Accent6 58 2 3" xfId="10014" xr:uid="{00000000-0005-0000-0000-000033220000}"/>
    <cellStyle name="20% - Accent6 58 2 3 2" xfId="21302" xr:uid="{00000000-0005-0000-0000-000034220000}"/>
    <cellStyle name="20% - Accent6 58 2 4" xfId="8020" xr:uid="{00000000-0005-0000-0000-000035220000}"/>
    <cellStyle name="20% - Accent6 58 2 4 2" xfId="19308" xr:uid="{00000000-0005-0000-0000-000036220000}"/>
    <cellStyle name="20% - Accent6 58 2 5" xfId="6026" xr:uid="{00000000-0005-0000-0000-000037220000}"/>
    <cellStyle name="20% - Accent6 58 2 5 2" xfId="17314" xr:uid="{00000000-0005-0000-0000-000038220000}"/>
    <cellStyle name="20% - Accent6 58 2 6" xfId="15320" xr:uid="{00000000-0005-0000-0000-000039220000}"/>
    <cellStyle name="20% - Accent6 58 3" xfId="11011" xr:uid="{00000000-0005-0000-0000-00003A220000}"/>
    <cellStyle name="20% - Accent6 58 3 2" xfId="22299" xr:uid="{00000000-0005-0000-0000-00003B220000}"/>
    <cellStyle name="20% - Accent6 58 4" xfId="9017" xr:uid="{00000000-0005-0000-0000-00003C220000}"/>
    <cellStyle name="20% - Accent6 58 4 2" xfId="20305" xr:uid="{00000000-0005-0000-0000-00003D220000}"/>
    <cellStyle name="20% - Accent6 58 5" xfId="7023" xr:uid="{00000000-0005-0000-0000-00003E220000}"/>
    <cellStyle name="20% - Accent6 58 5 2" xfId="18311" xr:uid="{00000000-0005-0000-0000-00003F220000}"/>
    <cellStyle name="20% - Accent6 58 6" xfId="5029" xr:uid="{00000000-0005-0000-0000-000040220000}"/>
    <cellStyle name="20% - Accent6 58 6 2" xfId="16317" xr:uid="{00000000-0005-0000-0000-000041220000}"/>
    <cellStyle name="20% - Accent6 58 7" xfId="14323" xr:uid="{00000000-0005-0000-0000-000042220000}"/>
    <cellStyle name="20% - Accent6 58 8" xfId="13009" xr:uid="{00000000-0005-0000-0000-000043220000}"/>
    <cellStyle name="20% - Accent6 59" xfId="1074" xr:uid="{00000000-0005-0000-0000-000044220000}"/>
    <cellStyle name="20% - Accent6 59 2" xfId="4030" xr:uid="{00000000-0005-0000-0000-000045220000}"/>
    <cellStyle name="20% - Accent6 59 2 2" xfId="12009" xr:uid="{00000000-0005-0000-0000-000046220000}"/>
    <cellStyle name="20% - Accent6 59 2 2 2" xfId="23297" xr:uid="{00000000-0005-0000-0000-000047220000}"/>
    <cellStyle name="20% - Accent6 59 2 3" xfId="10015" xr:uid="{00000000-0005-0000-0000-000048220000}"/>
    <cellStyle name="20% - Accent6 59 2 3 2" xfId="21303" xr:uid="{00000000-0005-0000-0000-000049220000}"/>
    <cellStyle name="20% - Accent6 59 2 4" xfId="8021" xr:uid="{00000000-0005-0000-0000-00004A220000}"/>
    <cellStyle name="20% - Accent6 59 2 4 2" xfId="19309" xr:uid="{00000000-0005-0000-0000-00004B220000}"/>
    <cellStyle name="20% - Accent6 59 2 5" xfId="6027" xr:uid="{00000000-0005-0000-0000-00004C220000}"/>
    <cellStyle name="20% - Accent6 59 2 5 2" xfId="17315" xr:uid="{00000000-0005-0000-0000-00004D220000}"/>
    <cellStyle name="20% - Accent6 59 2 6" xfId="15321" xr:uid="{00000000-0005-0000-0000-00004E220000}"/>
    <cellStyle name="20% - Accent6 59 3" xfId="11012" xr:uid="{00000000-0005-0000-0000-00004F220000}"/>
    <cellStyle name="20% - Accent6 59 3 2" xfId="22300" xr:uid="{00000000-0005-0000-0000-000050220000}"/>
    <cellStyle name="20% - Accent6 59 4" xfId="9018" xr:uid="{00000000-0005-0000-0000-000051220000}"/>
    <cellStyle name="20% - Accent6 59 4 2" xfId="20306" xr:uid="{00000000-0005-0000-0000-000052220000}"/>
    <cellStyle name="20% - Accent6 59 5" xfId="7024" xr:uid="{00000000-0005-0000-0000-000053220000}"/>
    <cellStyle name="20% - Accent6 59 5 2" xfId="18312" xr:uid="{00000000-0005-0000-0000-000054220000}"/>
    <cellStyle name="20% - Accent6 59 6" xfId="5030" xr:uid="{00000000-0005-0000-0000-000055220000}"/>
    <cellStyle name="20% - Accent6 59 6 2" xfId="16318" xr:uid="{00000000-0005-0000-0000-000056220000}"/>
    <cellStyle name="20% - Accent6 59 7" xfId="14324" xr:uid="{00000000-0005-0000-0000-000057220000}"/>
    <cellStyle name="20% - Accent6 59 8" xfId="13010" xr:uid="{00000000-0005-0000-0000-000058220000}"/>
    <cellStyle name="20% - Accent6 6" xfId="1075" xr:uid="{00000000-0005-0000-0000-000059220000}"/>
    <cellStyle name="20% - Accent6 6 10" xfId="24593" xr:uid="{00000000-0005-0000-0000-00005A220000}"/>
    <cellStyle name="20% - Accent6 6 11" xfId="24983" xr:uid="{00000000-0005-0000-0000-00005B220000}"/>
    <cellStyle name="20% - Accent6 6 2" xfId="4031" xr:uid="{00000000-0005-0000-0000-00005C220000}"/>
    <cellStyle name="20% - Accent6 6 2 2" xfId="12010" xr:uid="{00000000-0005-0000-0000-00005D220000}"/>
    <cellStyle name="20% - Accent6 6 2 2 2" xfId="23298" xr:uid="{00000000-0005-0000-0000-00005E220000}"/>
    <cellStyle name="20% - Accent6 6 2 3" xfId="10016" xr:uid="{00000000-0005-0000-0000-00005F220000}"/>
    <cellStyle name="20% - Accent6 6 2 3 2" xfId="21304" xr:uid="{00000000-0005-0000-0000-000060220000}"/>
    <cellStyle name="20% - Accent6 6 2 4" xfId="8022" xr:uid="{00000000-0005-0000-0000-000061220000}"/>
    <cellStyle name="20% - Accent6 6 2 4 2" xfId="19310" xr:uid="{00000000-0005-0000-0000-000062220000}"/>
    <cellStyle name="20% - Accent6 6 2 5" xfId="6028" xr:uid="{00000000-0005-0000-0000-000063220000}"/>
    <cellStyle name="20% - Accent6 6 2 5 2" xfId="17316" xr:uid="{00000000-0005-0000-0000-000064220000}"/>
    <cellStyle name="20% - Accent6 6 2 6" xfId="15322" xr:uid="{00000000-0005-0000-0000-000065220000}"/>
    <cellStyle name="20% - Accent6 6 2 7" xfId="24354" xr:uid="{00000000-0005-0000-0000-000066220000}"/>
    <cellStyle name="20% - Accent6 6 2 8" xfId="24818" xr:uid="{00000000-0005-0000-0000-000067220000}"/>
    <cellStyle name="20% - Accent6 6 2 9" xfId="25185" xr:uid="{00000000-0005-0000-0000-000068220000}"/>
    <cellStyle name="20% - Accent6 6 3" xfId="11013" xr:uid="{00000000-0005-0000-0000-000069220000}"/>
    <cellStyle name="20% - Accent6 6 3 2" xfId="22301" xr:uid="{00000000-0005-0000-0000-00006A220000}"/>
    <cellStyle name="20% - Accent6 6 4" xfId="9019" xr:uid="{00000000-0005-0000-0000-00006B220000}"/>
    <cellStyle name="20% - Accent6 6 4 2" xfId="20307" xr:uid="{00000000-0005-0000-0000-00006C220000}"/>
    <cellStyle name="20% - Accent6 6 5" xfId="7025" xr:uid="{00000000-0005-0000-0000-00006D220000}"/>
    <cellStyle name="20% - Accent6 6 5 2" xfId="18313" xr:uid="{00000000-0005-0000-0000-00006E220000}"/>
    <cellStyle name="20% - Accent6 6 6" xfId="5031" xr:uid="{00000000-0005-0000-0000-00006F220000}"/>
    <cellStyle name="20% - Accent6 6 6 2" xfId="16319" xr:uid="{00000000-0005-0000-0000-000070220000}"/>
    <cellStyle name="20% - Accent6 6 7" xfId="14325" xr:uid="{00000000-0005-0000-0000-000071220000}"/>
    <cellStyle name="20% - Accent6 6 8" xfId="13011" xr:uid="{00000000-0005-0000-0000-000072220000}"/>
    <cellStyle name="20% - Accent6 6 9" xfId="23966" xr:uid="{00000000-0005-0000-0000-000073220000}"/>
    <cellStyle name="20% - Accent6 60" xfId="1076" xr:uid="{00000000-0005-0000-0000-000074220000}"/>
    <cellStyle name="20% - Accent6 60 2" xfId="4032" xr:uid="{00000000-0005-0000-0000-000075220000}"/>
    <cellStyle name="20% - Accent6 60 2 2" xfId="12011" xr:uid="{00000000-0005-0000-0000-000076220000}"/>
    <cellStyle name="20% - Accent6 60 2 2 2" xfId="23299" xr:uid="{00000000-0005-0000-0000-000077220000}"/>
    <cellStyle name="20% - Accent6 60 2 3" xfId="10017" xr:uid="{00000000-0005-0000-0000-000078220000}"/>
    <cellStyle name="20% - Accent6 60 2 3 2" xfId="21305" xr:uid="{00000000-0005-0000-0000-000079220000}"/>
    <cellStyle name="20% - Accent6 60 2 4" xfId="8023" xr:uid="{00000000-0005-0000-0000-00007A220000}"/>
    <cellStyle name="20% - Accent6 60 2 4 2" xfId="19311" xr:uid="{00000000-0005-0000-0000-00007B220000}"/>
    <cellStyle name="20% - Accent6 60 2 5" xfId="6029" xr:uid="{00000000-0005-0000-0000-00007C220000}"/>
    <cellStyle name="20% - Accent6 60 2 5 2" xfId="17317" xr:uid="{00000000-0005-0000-0000-00007D220000}"/>
    <cellStyle name="20% - Accent6 60 2 6" xfId="15323" xr:uid="{00000000-0005-0000-0000-00007E220000}"/>
    <cellStyle name="20% - Accent6 60 3" xfId="11014" xr:uid="{00000000-0005-0000-0000-00007F220000}"/>
    <cellStyle name="20% - Accent6 60 3 2" xfId="22302" xr:uid="{00000000-0005-0000-0000-000080220000}"/>
    <cellStyle name="20% - Accent6 60 4" xfId="9020" xr:uid="{00000000-0005-0000-0000-000081220000}"/>
    <cellStyle name="20% - Accent6 60 4 2" xfId="20308" xr:uid="{00000000-0005-0000-0000-000082220000}"/>
    <cellStyle name="20% - Accent6 60 5" xfId="7026" xr:uid="{00000000-0005-0000-0000-000083220000}"/>
    <cellStyle name="20% - Accent6 60 5 2" xfId="18314" xr:uid="{00000000-0005-0000-0000-000084220000}"/>
    <cellStyle name="20% - Accent6 60 6" xfId="5032" xr:uid="{00000000-0005-0000-0000-000085220000}"/>
    <cellStyle name="20% - Accent6 60 6 2" xfId="16320" xr:uid="{00000000-0005-0000-0000-000086220000}"/>
    <cellStyle name="20% - Accent6 60 7" xfId="14326" xr:uid="{00000000-0005-0000-0000-000087220000}"/>
    <cellStyle name="20% - Accent6 60 8" xfId="13012" xr:uid="{00000000-0005-0000-0000-000088220000}"/>
    <cellStyle name="20% - Accent6 61" xfId="1077" xr:uid="{00000000-0005-0000-0000-000089220000}"/>
    <cellStyle name="20% - Accent6 61 2" xfId="4033" xr:uid="{00000000-0005-0000-0000-00008A220000}"/>
    <cellStyle name="20% - Accent6 61 2 2" xfId="12012" xr:uid="{00000000-0005-0000-0000-00008B220000}"/>
    <cellStyle name="20% - Accent6 61 2 2 2" xfId="23300" xr:uid="{00000000-0005-0000-0000-00008C220000}"/>
    <cellStyle name="20% - Accent6 61 2 3" xfId="10018" xr:uid="{00000000-0005-0000-0000-00008D220000}"/>
    <cellStyle name="20% - Accent6 61 2 3 2" xfId="21306" xr:uid="{00000000-0005-0000-0000-00008E220000}"/>
    <cellStyle name="20% - Accent6 61 2 4" xfId="8024" xr:uid="{00000000-0005-0000-0000-00008F220000}"/>
    <cellStyle name="20% - Accent6 61 2 4 2" xfId="19312" xr:uid="{00000000-0005-0000-0000-000090220000}"/>
    <cellStyle name="20% - Accent6 61 2 5" xfId="6030" xr:uid="{00000000-0005-0000-0000-000091220000}"/>
    <cellStyle name="20% - Accent6 61 2 5 2" xfId="17318" xr:uid="{00000000-0005-0000-0000-000092220000}"/>
    <cellStyle name="20% - Accent6 61 2 6" xfId="15324" xr:uid="{00000000-0005-0000-0000-000093220000}"/>
    <cellStyle name="20% - Accent6 61 3" xfId="11015" xr:uid="{00000000-0005-0000-0000-000094220000}"/>
    <cellStyle name="20% - Accent6 61 3 2" xfId="22303" xr:uid="{00000000-0005-0000-0000-000095220000}"/>
    <cellStyle name="20% - Accent6 61 4" xfId="9021" xr:uid="{00000000-0005-0000-0000-000096220000}"/>
    <cellStyle name="20% - Accent6 61 4 2" xfId="20309" xr:uid="{00000000-0005-0000-0000-000097220000}"/>
    <cellStyle name="20% - Accent6 61 5" xfId="7027" xr:uid="{00000000-0005-0000-0000-000098220000}"/>
    <cellStyle name="20% - Accent6 61 5 2" xfId="18315" xr:uid="{00000000-0005-0000-0000-000099220000}"/>
    <cellStyle name="20% - Accent6 61 6" xfId="5033" xr:uid="{00000000-0005-0000-0000-00009A220000}"/>
    <cellStyle name="20% - Accent6 61 6 2" xfId="16321" xr:uid="{00000000-0005-0000-0000-00009B220000}"/>
    <cellStyle name="20% - Accent6 61 7" xfId="14327" xr:uid="{00000000-0005-0000-0000-00009C220000}"/>
    <cellStyle name="20% - Accent6 61 8" xfId="13013" xr:uid="{00000000-0005-0000-0000-00009D220000}"/>
    <cellStyle name="20% - Accent6 62" xfId="1078" xr:uid="{00000000-0005-0000-0000-00009E220000}"/>
    <cellStyle name="20% - Accent6 62 2" xfId="4034" xr:uid="{00000000-0005-0000-0000-00009F220000}"/>
    <cellStyle name="20% - Accent6 62 2 2" xfId="12013" xr:uid="{00000000-0005-0000-0000-0000A0220000}"/>
    <cellStyle name="20% - Accent6 62 2 2 2" xfId="23301" xr:uid="{00000000-0005-0000-0000-0000A1220000}"/>
    <cellStyle name="20% - Accent6 62 2 3" xfId="10019" xr:uid="{00000000-0005-0000-0000-0000A2220000}"/>
    <cellStyle name="20% - Accent6 62 2 3 2" xfId="21307" xr:uid="{00000000-0005-0000-0000-0000A3220000}"/>
    <cellStyle name="20% - Accent6 62 2 4" xfId="8025" xr:uid="{00000000-0005-0000-0000-0000A4220000}"/>
    <cellStyle name="20% - Accent6 62 2 4 2" xfId="19313" xr:uid="{00000000-0005-0000-0000-0000A5220000}"/>
    <cellStyle name="20% - Accent6 62 2 5" xfId="6031" xr:uid="{00000000-0005-0000-0000-0000A6220000}"/>
    <cellStyle name="20% - Accent6 62 2 5 2" xfId="17319" xr:uid="{00000000-0005-0000-0000-0000A7220000}"/>
    <cellStyle name="20% - Accent6 62 2 6" xfId="15325" xr:uid="{00000000-0005-0000-0000-0000A8220000}"/>
    <cellStyle name="20% - Accent6 62 3" xfId="11016" xr:uid="{00000000-0005-0000-0000-0000A9220000}"/>
    <cellStyle name="20% - Accent6 62 3 2" xfId="22304" xr:uid="{00000000-0005-0000-0000-0000AA220000}"/>
    <cellStyle name="20% - Accent6 62 4" xfId="9022" xr:uid="{00000000-0005-0000-0000-0000AB220000}"/>
    <cellStyle name="20% - Accent6 62 4 2" xfId="20310" xr:uid="{00000000-0005-0000-0000-0000AC220000}"/>
    <cellStyle name="20% - Accent6 62 5" xfId="7028" xr:uid="{00000000-0005-0000-0000-0000AD220000}"/>
    <cellStyle name="20% - Accent6 62 5 2" xfId="18316" xr:uid="{00000000-0005-0000-0000-0000AE220000}"/>
    <cellStyle name="20% - Accent6 62 6" xfId="5034" xr:uid="{00000000-0005-0000-0000-0000AF220000}"/>
    <cellStyle name="20% - Accent6 62 6 2" xfId="16322" xr:uid="{00000000-0005-0000-0000-0000B0220000}"/>
    <cellStyle name="20% - Accent6 62 7" xfId="14328" xr:uid="{00000000-0005-0000-0000-0000B1220000}"/>
    <cellStyle name="20% - Accent6 62 8" xfId="13014" xr:uid="{00000000-0005-0000-0000-0000B2220000}"/>
    <cellStyle name="20% - Accent6 63" xfId="1079" xr:uid="{00000000-0005-0000-0000-0000B3220000}"/>
    <cellStyle name="20% - Accent6 63 2" xfId="4035" xr:uid="{00000000-0005-0000-0000-0000B4220000}"/>
    <cellStyle name="20% - Accent6 63 2 2" xfId="12014" xr:uid="{00000000-0005-0000-0000-0000B5220000}"/>
    <cellStyle name="20% - Accent6 63 2 2 2" xfId="23302" xr:uid="{00000000-0005-0000-0000-0000B6220000}"/>
    <cellStyle name="20% - Accent6 63 2 3" xfId="10020" xr:uid="{00000000-0005-0000-0000-0000B7220000}"/>
    <cellStyle name="20% - Accent6 63 2 3 2" xfId="21308" xr:uid="{00000000-0005-0000-0000-0000B8220000}"/>
    <cellStyle name="20% - Accent6 63 2 4" xfId="8026" xr:uid="{00000000-0005-0000-0000-0000B9220000}"/>
    <cellStyle name="20% - Accent6 63 2 4 2" xfId="19314" xr:uid="{00000000-0005-0000-0000-0000BA220000}"/>
    <cellStyle name="20% - Accent6 63 2 5" xfId="6032" xr:uid="{00000000-0005-0000-0000-0000BB220000}"/>
    <cellStyle name="20% - Accent6 63 2 5 2" xfId="17320" xr:uid="{00000000-0005-0000-0000-0000BC220000}"/>
    <cellStyle name="20% - Accent6 63 2 6" xfId="15326" xr:uid="{00000000-0005-0000-0000-0000BD220000}"/>
    <cellStyle name="20% - Accent6 63 3" xfId="11017" xr:uid="{00000000-0005-0000-0000-0000BE220000}"/>
    <cellStyle name="20% - Accent6 63 3 2" xfId="22305" xr:uid="{00000000-0005-0000-0000-0000BF220000}"/>
    <cellStyle name="20% - Accent6 63 4" xfId="9023" xr:uid="{00000000-0005-0000-0000-0000C0220000}"/>
    <cellStyle name="20% - Accent6 63 4 2" xfId="20311" xr:uid="{00000000-0005-0000-0000-0000C1220000}"/>
    <cellStyle name="20% - Accent6 63 5" xfId="7029" xr:uid="{00000000-0005-0000-0000-0000C2220000}"/>
    <cellStyle name="20% - Accent6 63 5 2" xfId="18317" xr:uid="{00000000-0005-0000-0000-0000C3220000}"/>
    <cellStyle name="20% - Accent6 63 6" xfId="5035" xr:uid="{00000000-0005-0000-0000-0000C4220000}"/>
    <cellStyle name="20% - Accent6 63 6 2" xfId="16323" xr:uid="{00000000-0005-0000-0000-0000C5220000}"/>
    <cellStyle name="20% - Accent6 63 7" xfId="14329" xr:uid="{00000000-0005-0000-0000-0000C6220000}"/>
    <cellStyle name="20% - Accent6 63 8" xfId="13015" xr:uid="{00000000-0005-0000-0000-0000C7220000}"/>
    <cellStyle name="20% - Accent6 64" xfId="1080" xr:uid="{00000000-0005-0000-0000-0000C8220000}"/>
    <cellStyle name="20% - Accent6 64 2" xfId="4036" xr:uid="{00000000-0005-0000-0000-0000C9220000}"/>
    <cellStyle name="20% - Accent6 64 2 2" xfId="12015" xr:uid="{00000000-0005-0000-0000-0000CA220000}"/>
    <cellStyle name="20% - Accent6 64 2 2 2" xfId="23303" xr:uid="{00000000-0005-0000-0000-0000CB220000}"/>
    <cellStyle name="20% - Accent6 64 2 3" xfId="10021" xr:uid="{00000000-0005-0000-0000-0000CC220000}"/>
    <cellStyle name="20% - Accent6 64 2 3 2" xfId="21309" xr:uid="{00000000-0005-0000-0000-0000CD220000}"/>
    <cellStyle name="20% - Accent6 64 2 4" xfId="8027" xr:uid="{00000000-0005-0000-0000-0000CE220000}"/>
    <cellStyle name="20% - Accent6 64 2 4 2" xfId="19315" xr:uid="{00000000-0005-0000-0000-0000CF220000}"/>
    <cellStyle name="20% - Accent6 64 2 5" xfId="6033" xr:uid="{00000000-0005-0000-0000-0000D0220000}"/>
    <cellStyle name="20% - Accent6 64 2 5 2" xfId="17321" xr:uid="{00000000-0005-0000-0000-0000D1220000}"/>
    <cellStyle name="20% - Accent6 64 2 6" xfId="15327" xr:uid="{00000000-0005-0000-0000-0000D2220000}"/>
    <cellStyle name="20% - Accent6 64 3" xfId="11018" xr:uid="{00000000-0005-0000-0000-0000D3220000}"/>
    <cellStyle name="20% - Accent6 64 3 2" xfId="22306" xr:uid="{00000000-0005-0000-0000-0000D4220000}"/>
    <cellStyle name="20% - Accent6 64 4" xfId="9024" xr:uid="{00000000-0005-0000-0000-0000D5220000}"/>
    <cellStyle name="20% - Accent6 64 4 2" xfId="20312" xr:uid="{00000000-0005-0000-0000-0000D6220000}"/>
    <cellStyle name="20% - Accent6 64 5" xfId="7030" xr:uid="{00000000-0005-0000-0000-0000D7220000}"/>
    <cellStyle name="20% - Accent6 64 5 2" xfId="18318" xr:uid="{00000000-0005-0000-0000-0000D8220000}"/>
    <cellStyle name="20% - Accent6 64 6" xfId="5036" xr:uid="{00000000-0005-0000-0000-0000D9220000}"/>
    <cellStyle name="20% - Accent6 64 6 2" xfId="16324" xr:uid="{00000000-0005-0000-0000-0000DA220000}"/>
    <cellStyle name="20% - Accent6 64 7" xfId="14330" xr:uid="{00000000-0005-0000-0000-0000DB220000}"/>
    <cellStyle name="20% - Accent6 64 8" xfId="13016" xr:uid="{00000000-0005-0000-0000-0000DC220000}"/>
    <cellStyle name="20% - Accent6 65" xfId="1081" xr:uid="{00000000-0005-0000-0000-0000DD220000}"/>
    <cellStyle name="20% - Accent6 65 2" xfId="4037" xr:uid="{00000000-0005-0000-0000-0000DE220000}"/>
    <cellStyle name="20% - Accent6 65 2 2" xfId="12016" xr:uid="{00000000-0005-0000-0000-0000DF220000}"/>
    <cellStyle name="20% - Accent6 65 2 2 2" xfId="23304" xr:uid="{00000000-0005-0000-0000-0000E0220000}"/>
    <cellStyle name="20% - Accent6 65 2 3" xfId="10022" xr:uid="{00000000-0005-0000-0000-0000E1220000}"/>
    <cellStyle name="20% - Accent6 65 2 3 2" xfId="21310" xr:uid="{00000000-0005-0000-0000-0000E2220000}"/>
    <cellStyle name="20% - Accent6 65 2 4" xfId="8028" xr:uid="{00000000-0005-0000-0000-0000E3220000}"/>
    <cellStyle name="20% - Accent6 65 2 4 2" xfId="19316" xr:uid="{00000000-0005-0000-0000-0000E4220000}"/>
    <cellStyle name="20% - Accent6 65 2 5" xfId="6034" xr:uid="{00000000-0005-0000-0000-0000E5220000}"/>
    <cellStyle name="20% - Accent6 65 2 5 2" xfId="17322" xr:uid="{00000000-0005-0000-0000-0000E6220000}"/>
    <cellStyle name="20% - Accent6 65 2 6" xfId="15328" xr:uid="{00000000-0005-0000-0000-0000E7220000}"/>
    <cellStyle name="20% - Accent6 65 3" xfId="11019" xr:uid="{00000000-0005-0000-0000-0000E8220000}"/>
    <cellStyle name="20% - Accent6 65 3 2" xfId="22307" xr:uid="{00000000-0005-0000-0000-0000E9220000}"/>
    <cellStyle name="20% - Accent6 65 4" xfId="9025" xr:uid="{00000000-0005-0000-0000-0000EA220000}"/>
    <cellStyle name="20% - Accent6 65 4 2" xfId="20313" xr:uid="{00000000-0005-0000-0000-0000EB220000}"/>
    <cellStyle name="20% - Accent6 65 5" xfId="7031" xr:uid="{00000000-0005-0000-0000-0000EC220000}"/>
    <cellStyle name="20% - Accent6 65 5 2" xfId="18319" xr:uid="{00000000-0005-0000-0000-0000ED220000}"/>
    <cellStyle name="20% - Accent6 65 6" xfId="5037" xr:uid="{00000000-0005-0000-0000-0000EE220000}"/>
    <cellStyle name="20% - Accent6 65 6 2" xfId="16325" xr:uid="{00000000-0005-0000-0000-0000EF220000}"/>
    <cellStyle name="20% - Accent6 65 7" xfId="14331" xr:uid="{00000000-0005-0000-0000-0000F0220000}"/>
    <cellStyle name="20% - Accent6 65 8" xfId="13017" xr:uid="{00000000-0005-0000-0000-0000F1220000}"/>
    <cellStyle name="20% - Accent6 66" xfId="1082" xr:uid="{00000000-0005-0000-0000-0000F2220000}"/>
    <cellStyle name="20% - Accent6 66 2" xfId="4038" xr:uid="{00000000-0005-0000-0000-0000F3220000}"/>
    <cellStyle name="20% - Accent6 66 2 2" xfId="12017" xr:uid="{00000000-0005-0000-0000-0000F4220000}"/>
    <cellStyle name="20% - Accent6 66 2 2 2" xfId="23305" xr:uid="{00000000-0005-0000-0000-0000F5220000}"/>
    <cellStyle name="20% - Accent6 66 2 3" xfId="10023" xr:uid="{00000000-0005-0000-0000-0000F6220000}"/>
    <cellStyle name="20% - Accent6 66 2 3 2" xfId="21311" xr:uid="{00000000-0005-0000-0000-0000F7220000}"/>
    <cellStyle name="20% - Accent6 66 2 4" xfId="8029" xr:uid="{00000000-0005-0000-0000-0000F8220000}"/>
    <cellStyle name="20% - Accent6 66 2 4 2" xfId="19317" xr:uid="{00000000-0005-0000-0000-0000F9220000}"/>
    <cellStyle name="20% - Accent6 66 2 5" xfId="6035" xr:uid="{00000000-0005-0000-0000-0000FA220000}"/>
    <cellStyle name="20% - Accent6 66 2 5 2" xfId="17323" xr:uid="{00000000-0005-0000-0000-0000FB220000}"/>
    <cellStyle name="20% - Accent6 66 2 6" xfId="15329" xr:uid="{00000000-0005-0000-0000-0000FC220000}"/>
    <cellStyle name="20% - Accent6 66 3" xfId="11020" xr:uid="{00000000-0005-0000-0000-0000FD220000}"/>
    <cellStyle name="20% - Accent6 66 3 2" xfId="22308" xr:uid="{00000000-0005-0000-0000-0000FE220000}"/>
    <cellStyle name="20% - Accent6 66 4" xfId="9026" xr:uid="{00000000-0005-0000-0000-0000FF220000}"/>
    <cellStyle name="20% - Accent6 66 4 2" xfId="20314" xr:uid="{00000000-0005-0000-0000-000000230000}"/>
    <cellStyle name="20% - Accent6 66 5" xfId="7032" xr:uid="{00000000-0005-0000-0000-000001230000}"/>
    <cellStyle name="20% - Accent6 66 5 2" xfId="18320" xr:uid="{00000000-0005-0000-0000-000002230000}"/>
    <cellStyle name="20% - Accent6 66 6" xfId="5038" xr:uid="{00000000-0005-0000-0000-000003230000}"/>
    <cellStyle name="20% - Accent6 66 6 2" xfId="16326" xr:uid="{00000000-0005-0000-0000-000004230000}"/>
    <cellStyle name="20% - Accent6 66 7" xfId="14332" xr:uid="{00000000-0005-0000-0000-000005230000}"/>
    <cellStyle name="20% - Accent6 66 8" xfId="13018" xr:uid="{00000000-0005-0000-0000-000006230000}"/>
    <cellStyle name="20% - Accent6 67" xfId="1083" xr:uid="{00000000-0005-0000-0000-000007230000}"/>
    <cellStyle name="20% - Accent6 67 2" xfId="4039" xr:uid="{00000000-0005-0000-0000-000008230000}"/>
    <cellStyle name="20% - Accent6 67 2 2" xfId="12018" xr:uid="{00000000-0005-0000-0000-000009230000}"/>
    <cellStyle name="20% - Accent6 67 2 2 2" xfId="23306" xr:uid="{00000000-0005-0000-0000-00000A230000}"/>
    <cellStyle name="20% - Accent6 67 2 3" xfId="10024" xr:uid="{00000000-0005-0000-0000-00000B230000}"/>
    <cellStyle name="20% - Accent6 67 2 3 2" xfId="21312" xr:uid="{00000000-0005-0000-0000-00000C230000}"/>
    <cellStyle name="20% - Accent6 67 2 4" xfId="8030" xr:uid="{00000000-0005-0000-0000-00000D230000}"/>
    <cellStyle name="20% - Accent6 67 2 4 2" xfId="19318" xr:uid="{00000000-0005-0000-0000-00000E230000}"/>
    <cellStyle name="20% - Accent6 67 2 5" xfId="6036" xr:uid="{00000000-0005-0000-0000-00000F230000}"/>
    <cellStyle name="20% - Accent6 67 2 5 2" xfId="17324" xr:uid="{00000000-0005-0000-0000-000010230000}"/>
    <cellStyle name="20% - Accent6 67 2 6" xfId="15330" xr:uid="{00000000-0005-0000-0000-000011230000}"/>
    <cellStyle name="20% - Accent6 67 3" xfId="11021" xr:uid="{00000000-0005-0000-0000-000012230000}"/>
    <cellStyle name="20% - Accent6 67 3 2" xfId="22309" xr:uid="{00000000-0005-0000-0000-000013230000}"/>
    <cellStyle name="20% - Accent6 67 4" xfId="9027" xr:uid="{00000000-0005-0000-0000-000014230000}"/>
    <cellStyle name="20% - Accent6 67 4 2" xfId="20315" xr:uid="{00000000-0005-0000-0000-000015230000}"/>
    <cellStyle name="20% - Accent6 67 5" xfId="7033" xr:uid="{00000000-0005-0000-0000-000016230000}"/>
    <cellStyle name="20% - Accent6 67 5 2" xfId="18321" xr:uid="{00000000-0005-0000-0000-000017230000}"/>
    <cellStyle name="20% - Accent6 67 6" xfId="5039" xr:uid="{00000000-0005-0000-0000-000018230000}"/>
    <cellStyle name="20% - Accent6 67 6 2" xfId="16327" xr:uid="{00000000-0005-0000-0000-000019230000}"/>
    <cellStyle name="20% - Accent6 67 7" xfId="14333" xr:uid="{00000000-0005-0000-0000-00001A230000}"/>
    <cellStyle name="20% - Accent6 67 8" xfId="13019" xr:uid="{00000000-0005-0000-0000-00001B230000}"/>
    <cellStyle name="20% - Accent6 68" xfId="1084" xr:uid="{00000000-0005-0000-0000-00001C230000}"/>
    <cellStyle name="20% - Accent6 68 2" xfId="4040" xr:uid="{00000000-0005-0000-0000-00001D230000}"/>
    <cellStyle name="20% - Accent6 68 2 2" xfId="12019" xr:uid="{00000000-0005-0000-0000-00001E230000}"/>
    <cellStyle name="20% - Accent6 68 2 2 2" xfId="23307" xr:uid="{00000000-0005-0000-0000-00001F230000}"/>
    <cellStyle name="20% - Accent6 68 2 3" xfId="10025" xr:uid="{00000000-0005-0000-0000-000020230000}"/>
    <cellStyle name="20% - Accent6 68 2 3 2" xfId="21313" xr:uid="{00000000-0005-0000-0000-000021230000}"/>
    <cellStyle name="20% - Accent6 68 2 4" xfId="8031" xr:uid="{00000000-0005-0000-0000-000022230000}"/>
    <cellStyle name="20% - Accent6 68 2 4 2" xfId="19319" xr:uid="{00000000-0005-0000-0000-000023230000}"/>
    <cellStyle name="20% - Accent6 68 2 5" xfId="6037" xr:uid="{00000000-0005-0000-0000-000024230000}"/>
    <cellStyle name="20% - Accent6 68 2 5 2" xfId="17325" xr:uid="{00000000-0005-0000-0000-000025230000}"/>
    <cellStyle name="20% - Accent6 68 2 6" xfId="15331" xr:uid="{00000000-0005-0000-0000-000026230000}"/>
    <cellStyle name="20% - Accent6 68 3" xfId="11022" xr:uid="{00000000-0005-0000-0000-000027230000}"/>
    <cellStyle name="20% - Accent6 68 3 2" xfId="22310" xr:uid="{00000000-0005-0000-0000-000028230000}"/>
    <cellStyle name="20% - Accent6 68 4" xfId="9028" xr:uid="{00000000-0005-0000-0000-000029230000}"/>
    <cellStyle name="20% - Accent6 68 4 2" xfId="20316" xr:uid="{00000000-0005-0000-0000-00002A230000}"/>
    <cellStyle name="20% - Accent6 68 5" xfId="7034" xr:uid="{00000000-0005-0000-0000-00002B230000}"/>
    <cellStyle name="20% - Accent6 68 5 2" xfId="18322" xr:uid="{00000000-0005-0000-0000-00002C230000}"/>
    <cellStyle name="20% - Accent6 68 6" xfId="5040" xr:uid="{00000000-0005-0000-0000-00002D230000}"/>
    <cellStyle name="20% - Accent6 68 6 2" xfId="16328" xr:uid="{00000000-0005-0000-0000-00002E230000}"/>
    <cellStyle name="20% - Accent6 68 7" xfId="14334" xr:uid="{00000000-0005-0000-0000-00002F230000}"/>
    <cellStyle name="20% - Accent6 68 8" xfId="13020" xr:uid="{00000000-0005-0000-0000-000030230000}"/>
    <cellStyle name="20% - Accent6 69" xfId="1085" xr:uid="{00000000-0005-0000-0000-000031230000}"/>
    <cellStyle name="20% - Accent6 69 2" xfId="4041" xr:uid="{00000000-0005-0000-0000-000032230000}"/>
    <cellStyle name="20% - Accent6 69 2 2" xfId="12020" xr:uid="{00000000-0005-0000-0000-000033230000}"/>
    <cellStyle name="20% - Accent6 69 2 2 2" xfId="23308" xr:uid="{00000000-0005-0000-0000-000034230000}"/>
    <cellStyle name="20% - Accent6 69 2 3" xfId="10026" xr:uid="{00000000-0005-0000-0000-000035230000}"/>
    <cellStyle name="20% - Accent6 69 2 3 2" xfId="21314" xr:uid="{00000000-0005-0000-0000-000036230000}"/>
    <cellStyle name="20% - Accent6 69 2 4" xfId="8032" xr:uid="{00000000-0005-0000-0000-000037230000}"/>
    <cellStyle name="20% - Accent6 69 2 4 2" xfId="19320" xr:uid="{00000000-0005-0000-0000-000038230000}"/>
    <cellStyle name="20% - Accent6 69 2 5" xfId="6038" xr:uid="{00000000-0005-0000-0000-000039230000}"/>
    <cellStyle name="20% - Accent6 69 2 5 2" xfId="17326" xr:uid="{00000000-0005-0000-0000-00003A230000}"/>
    <cellStyle name="20% - Accent6 69 2 6" xfId="15332" xr:uid="{00000000-0005-0000-0000-00003B230000}"/>
    <cellStyle name="20% - Accent6 69 3" xfId="11023" xr:uid="{00000000-0005-0000-0000-00003C230000}"/>
    <cellStyle name="20% - Accent6 69 3 2" xfId="22311" xr:uid="{00000000-0005-0000-0000-00003D230000}"/>
    <cellStyle name="20% - Accent6 69 4" xfId="9029" xr:uid="{00000000-0005-0000-0000-00003E230000}"/>
    <cellStyle name="20% - Accent6 69 4 2" xfId="20317" xr:uid="{00000000-0005-0000-0000-00003F230000}"/>
    <cellStyle name="20% - Accent6 69 5" xfId="7035" xr:uid="{00000000-0005-0000-0000-000040230000}"/>
    <cellStyle name="20% - Accent6 69 5 2" xfId="18323" xr:uid="{00000000-0005-0000-0000-000041230000}"/>
    <cellStyle name="20% - Accent6 69 6" xfId="5041" xr:uid="{00000000-0005-0000-0000-000042230000}"/>
    <cellStyle name="20% - Accent6 69 6 2" xfId="16329" xr:uid="{00000000-0005-0000-0000-000043230000}"/>
    <cellStyle name="20% - Accent6 69 7" xfId="14335" xr:uid="{00000000-0005-0000-0000-000044230000}"/>
    <cellStyle name="20% - Accent6 69 8" xfId="13021" xr:uid="{00000000-0005-0000-0000-000045230000}"/>
    <cellStyle name="20% - Accent6 7" xfId="1086" xr:uid="{00000000-0005-0000-0000-000046230000}"/>
    <cellStyle name="20% - Accent6 7 10" xfId="24594" xr:uid="{00000000-0005-0000-0000-000047230000}"/>
    <cellStyle name="20% - Accent6 7 11" xfId="24984" xr:uid="{00000000-0005-0000-0000-000048230000}"/>
    <cellStyle name="20% - Accent6 7 2" xfId="4042" xr:uid="{00000000-0005-0000-0000-000049230000}"/>
    <cellStyle name="20% - Accent6 7 2 2" xfId="12021" xr:uid="{00000000-0005-0000-0000-00004A230000}"/>
    <cellStyle name="20% - Accent6 7 2 2 2" xfId="23309" xr:uid="{00000000-0005-0000-0000-00004B230000}"/>
    <cellStyle name="20% - Accent6 7 2 3" xfId="10027" xr:uid="{00000000-0005-0000-0000-00004C230000}"/>
    <cellStyle name="20% - Accent6 7 2 3 2" xfId="21315" xr:uid="{00000000-0005-0000-0000-00004D230000}"/>
    <cellStyle name="20% - Accent6 7 2 4" xfId="8033" xr:uid="{00000000-0005-0000-0000-00004E230000}"/>
    <cellStyle name="20% - Accent6 7 2 4 2" xfId="19321" xr:uid="{00000000-0005-0000-0000-00004F230000}"/>
    <cellStyle name="20% - Accent6 7 2 5" xfId="6039" xr:uid="{00000000-0005-0000-0000-000050230000}"/>
    <cellStyle name="20% - Accent6 7 2 5 2" xfId="17327" xr:uid="{00000000-0005-0000-0000-000051230000}"/>
    <cellStyle name="20% - Accent6 7 2 6" xfId="15333" xr:uid="{00000000-0005-0000-0000-000052230000}"/>
    <cellStyle name="20% - Accent6 7 2 7" xfId="24355" xr:uid="{00000000-0005-0000-0000-000053230000}"/>
    <cellStyle name="20% - Accent6 7 2 8" xfId="24819" xr:uid="{00000000-0005-0000-0000-000054230000}"/>
    <cellStyle name="20% - Accent6 7 2 9" xfId="25186" xr:uid="{00000000-0005-0000-0000-000055230000}"/>
    <cellStyle name="20% - Accent6 7 3" xfId="11024" xr:uid="{00000000-0005-0000-0000-000056230000}"/>
    <cellStyle name="20% - Accent6 7 3 2" xfId="22312" xr:uid="{00000000-0005-0000-0000-000057230000}"/>
    <cellStyle name="20% - Accent6 7 4" xfId="9030" xr:uid="{00000000-0005-0000-0000-000058230000}"/>
    <cellStyle name="20% - Accent6 7 4 2" xfId="20318" xr:uid="{00000000-0005-0000-0000-000059230000}"/>
    <cellStyle name="20% - Accent6 7 5" xfId="7036" xr:uid="{00000000-0005-0000-0000-00005A230000}"/>
    <cellStyle name="20% - Accent6 7 5 2" xfId="18324" xr:uid="{00000000-0005-0000-0000-00005B230000}"/>
    <cellStyle name="20% - Accent6 7 6" xfId="5042" xr:uid="{00000000-0005-0000-0000-00005C230000}"/>
    <cellStyle name="20% - Accent6 7 6 2" xfId="16330" xr:uid="{00000000-0005-0000-0000-00005D230000}"/>
    <cellStyle name="20% - Accent6 7 7" xfId="14336" xr:uid="{00000000-0005-0000-0000-00005E230000}"/>
    <cellStyle name="20% - Accent6 7 8" xfId="13022" xr:uid="{00000000-0005-0000-0000-00005F230000}"/>
    <cellStyle name="20% - Accent6 7 9" xfId="23967" xr:uid="{00000000-0005-0000-0000-000060230000}"/>
    <cellStyle name="20% - Accent6 70" xfId="1087" xr:uid="{00000000-0005-0000-0000-000061230000}"/>
    <cellStyle name="20% - Accent6 70 2" xfId="4043" xr:uid="{00000000-0005-0000-0000-000062230000}"/>
    <cellStyle name="20% - Accent6 70 2 2" xfId="12022" xr:uid="{00000000-0005-0000-0000-000063230000}"/>
    <cellStyle name="20% - Accent6 70 2 2 2" xfId="23310" xr:uid="{00000000-0005-0000-0000-000064230000}"/>
    <cellStyle name="20% - Accent6 70 2 3" xfId="10028" xr:uid="{00000000-0005-0000-0000-000065230000}"/>
    <cellStyle name="20% - Accent6 70 2 3 2" xfId="21316" xr:uid="{00000000-0005-0000-0000-000066230000}"/>
    <cellStyle name="20% - Accent6 70 2 4" xfId="8034" xr:uid="{00000000-0005-0000-0000-000067230000}"/>
    <cellStyle name="20% - Accent6 70 2 4 2" xfId="19322" xr:uid="{00000000-0005-0000-0000-000068230000}"/>
    <cellStyle name="20% - Accent6 70 2 5" xfId="6040" xr:uid="{00000000-0005-0000-0000-000069230000}"/>
    <cellStyle name="20% - Accent6 70 2 5 2" xfId="17328" xr:uid="{00000000-0005-0000-0000-00006A230000}"/>
    <cellStyle name="20% - Accent6 70 2 6" xfId="15334" xr:uid="{00000000-0005-0000-0000-00006B230000}"/>
    <cellStyle name="20% - Accent6 70 3" xfId="11025" xr:uid="{00000000-0005-0000-0000-00006C230000}"/>
    <cellStyle name="20% - Accent6 70 3 2" xfId="22313" xr:uid="{00000000-0005-0000-0000-00006D230000}"/>
    <cellStyle name="20% - Accent6 70 4" xfId="9031" xr:uid="{00000000-0005-0000-0000-00006E230000}"/>
    <cellStyle name="20% - Accent6 70 4 2" xfId="20319" xr:uid="{00000000-0005-0000-0000-00006F230000}"/>
    <cellStyle name="20% - Accent6 70 5" xfId="7037" xr:uid="{00000000-0005-0000-0000-000070230000}"/>
    <cellStyle name="20% - Accent6 70 5 2" xfId="18325" xr:uid="{00000000-0005-0000-0000-000071230000}"/>
    <cellStyle name="20% - Accent6 70 6" xfId="5043" xr:uid="{00000000-0005-0000-0000-000072230000}"/>
    <cellStyle name="20% - Accent6 70 6 2" xfId="16331" xr:uid="{00000000-0005-0000-0000-000073230000}"/>
    <cellStyle name="20% - Accent6 70 7" xfId="14337" xr:uid="{00000000-0005-0000-0000-000074230000}"/>
    <cellStyle name="20% - Accent6 70 8" xfId="13023" xr:uid="{00000000-0005-0000-0000-000075230000}"/>
    <cellStyle name="20% - Accent6 71" xfId="1088" xr:uid="{00000000-0005-0000-0000-000076230000}"/>
    <cellStyle name="20% - Accent6 71 2" xfId="4044" xr:uid="{00000000-0005-0000-0000-000077230000}"/>
    <cellStyle name="20% - Accent6 71 2 2" xfId="12023" xr:uid="{00000000-0005-0000-0000-000078230000}"/>
    <cellStyle name="20% - Accent6 71 2 2 2" xfId="23311" xr:uid="{00000000-0005-0000-0000-000079230000}"/>
    <cellStyle name="20% - Accent6 71 2 3" xfId="10029" xr:uid="{00000000-0005-0000-0000-00007A230000}"/>
    <cellStyle name="20% - Accent6 71 2 3 2" xfId="21317" xr:uid="{00000000-0005-0000-0000-00007B230000}"/>
    <cellStyle name="20% - Accent6 71 2 4" xfId="8035" xr:uid="{00000000-0005-0000-0000-00007C230000}"/>
    <cellStyle name="20% - Accent6 71 2 4 2" xfId="19323" xr:uid="{00000000-0005-0000-0000-00007D230000}"/>
    <cellStyle name="20% - Accent6 71 2 5" xfId="6041" xr:uid="{00000000-0005-0000-0000-00007E230000}"/>
    <cellStyle name="20% - Accent6 71 2 5 2" xfId="17329" xr:uid="{00000000-0005-0000-0000-00007F230000}"/>
    <cellStyle name="20% - Accent6 71 2 6" xfId="15335" xr:uid="{00000000-0005-0000-0000-000080230000}"/>
    <cellStyle name="20% - Accent6 71 3" xfId="11026" xr:uid="{00000000-0005-0000-0000-000081230000}"/>
    <cellStyle name="20% - Accent6 71 3 2" xfId="22314" xr:uid="{00000000-0005-0000-0000-000082230000}"/>
    <cellStyle name="20% - Accent6 71 4" xfId="9032" xr:uid="{00000000-0005-0000-0000-000083230000}"/>
    <cellStyle name="20% - Accent6 71 4 2" xfId="20320" xr:uid="{00000000-0005-0000-0000-000084230000}"/>
    <cellStyle name="20% - Accent6 71 5" xfId="7038" xr:uid="{00000000-0005-0000-0000-000085230000}"/>
    <cellStyle name="20% - Accent6 71 5 2" xfId="18326" xr:uid="{00000000-0005-0000-0000-000086230000}"/>
    <cellStyle name="20% - Accent6 71 6" xfId="5044" xr:uid="{00000000-0005-0000-0000-000087230000}"/>
    <cellStyle name="20% - Accent6 71 6 2" xfId="16332" xr:uid="{00000000-0005-0000-0000-000088230000}"/>
    <cellStyle name="20% - Accent6 71 7" xfId="14338" xr:uid="{00000000-0005-0000-0000-000089230000}"/>
    <cellStyle name="20% - Accent6 71 8" xfId="13024" xr:uid="{00000000-0005-0000-0000-00008A230000}"/>
    <cellStyle name="20% - Accent6 72" xfId="1089" xr:uid="{00000000-0005-0000-0000-00008B230000}"/>
    <cellStyle name="20% - Accent6 72 2" xfId="4045" xr:uid="{00000000-0005-0000-0000-00008C230000}"/>
    <cellStyle name="20% - Accent6 72 2 2" xfId="12024" xr:uid="{00000000-0005-0000-0000-00008D230000}"/>
    <cellStyle name="20% - Accent6 72 2 2 2" xfId="23312" xr:uid="{00000000-0005-0000-0000-00008E230000}"/>
    <cellStyle name="20% - Accent6 72 2 3" xfId="10030" xr:uid="{00000000-0005-0000-0000-00008F230000}"/>
    <cellStyle name="20% - Accent6 72 2 3 2" xfId="21318" xr:uid="{00000000-0005-0000-0000-000090230000}"/>
    <cellStyle name="20% - Accent6 72 2 4" xfId="8036" xr:uid="{00000000-0005-0000-0000-000091230000}"/>
    <cellStyle name="20% - Accent6 72 2 4 2" xfId="19324" xr:uid="{00000000-0005-0000-0000-000092230000}"/>
    <cellStyle name="20% - Accent6 72 2 5" xfId="6042" xr:uid="{00000000-0005-0000-0000-000093230000}"/>
    <cellStyle name="20% - Accent6 72 2 5 2" xfId="17330" xr:uid="{00000000-0005-0000-0000-000094230000}"/>
    <cellStyle name="20% - Accent6 72 2 6" xfId="15336" xr:uid="{00000000-0005-0000-0000-000095230000}"/>
    <cellStyle name="20% - Accent6 72 3" xfId="11027" xr:uid="{00000000-0005-0000-0000-000096230000}"/>
    <cellStyle name="20% - Accent6 72 3 2" xfId="22315" xr:uid="{00000000-0005-0000-0000-000097230000}"/>
    <cellStyle name="20% - Accent6 72 4" xfId="9033" xr:uid="{00000000-0005-0000-0000-000098230000}"/>
    <cellStyle name="20% - Accent6 72 4 2" xfId="20321" xr:uid="{00000000-0005-0000-0000-000099230000}"/>
    <cellStyle name="20% - Accent6 72 5" xfId="7039" xr:uid="{00000000-0005-0000-0000-00009A230000}"/>
    <cellStyle name="20% - Accent6 72 5 2" xfId="18327" xr:uid="{00000000-0005-0000-0000-00009B230000}"/>
    <cellStyle name="20% - Accent6 72 6" xfId="5045" xr:uid="{00000000-0005-0000-0000-00009C230000}"/>
    <cellStyle name="20% - Accent6 72 6 2" xfId="16333" xr:uid="{00000000-0005-0000-0000-00009D230000}"/>
    <cellStyle name="20% - Accent6 72 7" xfId="14339" xr:uid="{00000000-0005-0000-0000-00009E230000}"/>
    <cellStyle name="20% - Accent6 72 8" xfId="13025" xr:uid="{00000000-0005-0000-0000-00009F230000}"/>
    <cellStyle name="20% - Accent6 8" xfId="1090" xr:uid="{00000000-0005-0000-0000-0000A0230000}"/>
    <cellStyle name="20% - Accent6 8 2" xfId="4046" xr:uid="{00000000-0005-0000-0000-0000A1230000}"/>
    <cellStyle name="20% - Accent6 8 2 2" xfId="12025" xr:uid="{00000000-0005-0000-0000-0000A2230000}"/>
    <cellStyle name="20% - Accent6 8 2 2 2" xfId="23313" xr:uid="{00000000-0005-0000-0000-0000A3230000}"/>
    <cellStyle name="20% - Accent6 8 2 3" xfId="10031" xr:uid="{00000000-0005-0000-0000-0000A4230000}"/>
    <cellStyle name="20% - Accent6 8 2 3 2" xfId="21319" xr:uid="{00000000-0005-0000-0000-0000A5230000}"/>
    <cellStyle name="20% - Accent6 8 2 4" xfId="8037" xr:uid="{00000000-0005-0000-0000-0000A6230000}"/>
    <cellStyle name="20% - Accent6 8 2 4 2" xfId="19325" xr:uid="{00000000-0005-0000-0000-0000A7230000}"/>
    <cellStyle name="20% - Accent6 8 2 5" xfId="6043" xr:uid="{00000000-0005-0000-0000-0000A8230000}"/>
    <cellStyle name="20% - Accent6 8 2 5 2" xfId="17331" xr:uid="{00000000-0005-0000-0000-0000A9230000}"/>
    <cellStyle name="20% - Accent6 8 2 6" xfId="15337" xr:uid="{00000000-0005-0000-0000-0000AA230000}"/>
    <cellStyle name="20% - Accent6 8 3" xfId="11028" xr:uid="{00000000-0005-0000-0000-0000AB230000}"/>
    <cellStyle name="20% - Accent6 8 3 2" xfId="22316" xr:uid="{00000000-0005-0000-0000-0000AC230000}"/>
    <cellStyle name="20% - Accent6 8 4" xfId="9034" xr:uid="{00000000-0005-0000-0000-0000AD230000}"/>
    <cellStyle name="20% - Accent6 8 4 2" xfId="20322" xr:uid="{00000000-0005-0000-0000-0000AE230000}"/>
    <cellStyle name="20% - Accent6 8 5" xfId="7040" xr:uid="{00000000-0005-0000-0000-0000AF230000}"/>
    <cellStyle name="20% - Accent6 8 5 2" xfId="18328" xr:uid="{00000000-0005-0000-0000-0000B0230000}"/>
    <cellStyle name="20% - Accent6 8 6" xfId="5046" xr:uid="{00000000-0005-0000-0000-0000B1230000}"/>
    <cellStyle name="20% - Accent6 8 6 2" xfId="16334" xr:uid="{00000000-0005-0000-0000-0000B2230000}"/>
    <cellStyle name="20% - Accent6 8 7" xfId="14340" xr:uid="{00000000-0005-0000-0000-0000B3230000}"/>
    <cellStyle name="20% - Accent6 8 8" xfId="13026" xr:uid="{00000000-0005-0000-0000-0000B4230000}"/>
    <cellStyle name="20% - Accent6 9" xfId="1091" xr:uid="{00000000-0005-0000-0000-0000B5230000}"/>
    <cellStyle name="20% - Accent6 9 2" xfId="4047" xr:uid="{00000000-0005-0000-0000-0000B6230000}"/>
    <cellStyle name="20% - Accent6 9 2 2" xfId="12026" xr:uid="{00000000-0005-0000-0000-0000B7230000}"/>
    <cellStyle name="20% - Accent6 9 2 2 2" xfId="23314" xr:uid="{00000000-0005-0000-0000-0000B8230000}"/>
    <cellStyle name="20% - Accent6 9 2 3" xfId="10032" xr:uid="{00000000-0005-0000-0000-0000B9230000}"/>
    <cellStyle name="20% - Accent6 9 2 3 2" xfId="21320" xr:uid="{00000000-0005-0000-0000-0000BA230000}"/>
    <cellStyle name="20% - Accent6 9 2 4" xfId="8038" xr:uid="{00000000-0005-0000-0000-0000BB230000}"/>
    <cellStyle name="20% - Accent6 9 2 4 2" xfId="19326" xr:uid="{00000000-0005-0000-0000-0000BC230000}"/>
    <cellStyle name="20% - Accent6 9 2 5" xfId="6044" xr:uid="{00000000-0005-0000-0000-0000BD230000}"/>
    <cellStyle name="20% - Accent6 9 2 5 2" xfId="17332" xr:uid="{00000000-0005-0000-0000-0000BE230000}"/>
    <cellStyle name="20% - Accent6 9 2 6" xfId="15338" xr:uid="{00000000-0005-0000-0000-0000BF230000}"/>
    <cellStyle name="20% - Accent6 9 3" xfId="11029" xr:uid="{00000000-0005-0000-0000-0000C0230000}"/>
    <cellStyle name="20% - Accent6 9 3 2" xfId="22317" xr:uid="{00000000-0005-0000-0000-0000C1230000}"/>
    <cellStyle name="20% - Accent6 9 4" xfId="9035" xr:uid="{00000000-0005-0000-0000-0000C2230000}"/>
    <cellStyle name="20% - Accent6 9 4 2" xfId="20323" xr:uid="{00000000-0005-0000-0000-0000C3230000}"/>
    <cellStyle name="20% - Accent6 9 5" xfId="7041" xr:uid="{00000000-0005-0000-0000-0000C4230000}"/>
    <cellStyle name="20% - Accent6 9 5 2" xfId="18329" xr:uid="{00000000-0005-0000-0000-0000C5230000}"/>
    <cellStyle name="20% - Accent6 9 6" xfId="5047" xr:uid="{00000000-0005-0000-0000-0000C6230000}"/>
    <cellStyle name="20% - Accent6 9 6 2" xfId="16335" xr:uid="{00000000-0005-0000-0000-0000C7230000}"/>
    <cellStyle name="20% - Accent6 9 7" xfId="14341" xr:uid="{00000000-0005-0000-0000-0000C8230000}"/>
    <cellStyle name="20% - Accent6 9 8" xfId="13027" xr:uid="{00000000-0005-0000-0000-0000C9230000}"/>
    <cellStyle name="40% - Accent1 10" xfId="1092" xr:uid="{00000000-0005-0000-0000-0000CA230000}"/>
    <cellStyle name="40% - Accent1 10 2" xfId="4048" xr:uid="{00000000-0005-0000-0000-0000CB230000}"/>
    <cellStyle name="40% - Accent1 10 2 2" xfId="12027" xr:uid="{00000000-0005-0000-0000-0000CC230000}"/>
    <cellStyle name="40% - Accent1 10 2 2 2" xfId="23315" xr:uid="{00000000-0005-0000-0000-0000CD230000}"/>
    <cellStyle name="40% - Accent1 10 2 3" xfId="10033" xr:uid="{00000000-0005-0000-0000-0000CE230000}"/>
    <cellStyle name="40% - Accent1 10 2 3 2" xfId="21321" xr:uid="{00000000-0005-0000-0000-0000CF230000}"/>
    <cellStyle name="40% - Accent1 10 2 4" xfId="8039" xr:uid="{00000000-0005-0000-0000-0000D0230000}"/>
    <cellStyle name="40% - Accent1 10 2 4 2" xfId="19327" xr:uid="{00000000-0005-0000-0000-0000D1230000}"/>
    <cellStyle name="40% - Accent1 10 2 5" xfId="6045" xr:uid="{00000000-0005-0000-0000-0000D2230000}"/>
    <cellStyle name="40% - Accent1 10 2 5 2" xfId="17333" xr:uid="{00000000-0005-0000-0000-0000D3230000}"/>
    <cellStyle name="40% - Accent1 10 2 6" xfId="15339" xr:uid="{00000000-0005-0000-0000-0000D4230000}"/>
    <cellStyle name="40% - Accent1 10 3" xfId="11030" xr:uid="{00000000-0005-0000-0000-0000D5230000}"/>
    <cellStyle name="40% - Accent1 10 3 2" xfId="22318" xr:uid="{00000000-0005-0000-0000-0000D6230000}"/>
    <cellStyle name="40% - Accent1 10 4" xfId="9036" xr:uid="{00000000-0005-0000-0000-0000D7230000}"/>
    <cellStyle name="40% - Accent1 10 4 2" xfId="20324" xr:uid="{00000000-0005-0000-0000-0000D8230000}"/>
    <cellStyle name="40% - Accent1 10 5" xfId="7042" xr:uid="{00000000-0005-0000-0000-0000D9230000}"/>
    <cellStyle name="40% - Accent1 10 5 2" xfId="18330" xr:uid="{00000000-0005-0000-0000-0000DA230000}"/>
    <cellStyle name="40% - Accent1 10 6" xfId="5048" xr:uid="{00000000-0005-0000-0000-0000DB230000}"/>
    <cellStyle name="40% - Accent1 10 6 2" xfId="16336" xr:uid="{00000000-0005-0000-0000-0000DC230000}"/>
    <cellStyle name="40% - Accent1 10 7" xfId="14342" xr:uid="{00000000-0005-0000-0000-0000DD230000}"/>
    <cellStyle name="40% - Accent1 10 8" xfId="13028" xr:uid="{00000000-0005-0000-0000-0000DE230000}"/>
    <cellStyle name="40% - Accent1 11" xfId="1093" xr:uid="{00000000-0005-0000-0000-0000DF230000}"/>
    <cellStyle name="40% - Accent1 11 2" xfId="4049" xr:uid="{00000000-0005-0000-0000-0000E0230000}"/>
    <cellStyle name="40% - Accent1 11 2 2" xfId="12028" xr:uid="{00000000-0005-0000-0000-0000E1230000}"/>
    <cellStyle name="40% - Accent1 11 2 2 2" xfId="23316" xr:uid="{00000000-0005-0000-0000-0000E2230000}"/>
    <cellStyle name="40% - Accent1 11 2 3" xfId="10034" xr:uid="{00000000-0005-0000-0000-0000E3230000}"/>
    <cellStyle name="40% - Accent1 11 2 3 2" xfId="21322" xr:uid="{00000000-0005-0000-0000-0000E4230000}"/>
    <cellStyle name="40% - Accent1 11 2 4" xfId="8040" xr:uid="{00000000-0005-0000-0000-0000E5230000}"/>
    <cellStyle name="40% - Accent1 11 2 4 2" xfId="19328" xr:uid="{00000000-0005-0000-0000-0000E6230000}"/>
    <cellStyle name="40% - Accent1 11 2 5" xfId="6046" xr:uid="{00000000-0005-0000-0000-0000E7230000}"/>
    <cellStyle name="40% - Accent1 11 2 5 2" xfId="17334" xr:uid="{00000000-0005-0000-0000-0000E8230000}"/>
    <cellStyle name="40% - Accent1 11 2 6" xfId="15340" xr:uid="{00000000-0005-0000-0000-0000E9230000}"/>
    <cellStyle name="40% - Accent1 11 3" xfId="11031" xr:uid="{00000000-0005-0000-0000-0000EA230000}"/>
    <cellStyle name="40% - Accent1 11 3 2" xfId="22319" xr:uid="{00000000-0005-0000-0000-0000EB230000}"/>
    <cellStyle name="40% - Accent1 11 4" xfId="9037" xr:uid="{00000000-0005-0000-0000-0000EC230000}"/>
    <cellStyle name="40% - Accent1 11 4 2" xfId="20325" xr:uid="{00000000-0005-0000-0000-0000ED230000}"/>
    <cellStyle name="40% - Accent1 11 5" xfId="7043" xr:uid="{00000000-0005-0000-0000-0000EE230000}"/>
    <cellStyle name="40% - Accent1 11 5 2" xfId="18331" xr:uid="{00000000-0005-0000-0000-0000EF230000}"/>
    <cellStyle name="40% - Accent1 11 6" xfId="5049" xr:uid="{00000000-0005-0000-0000-0000F0230000}"/>
    <cellStyle name="40% - Accent1 11 6 2" xfId="16337" xr:uid="{00000000-0005-0000-0000-0000F1230000}"/>
    <cellStyle name="40% - Accent1 11 7" xfId="14343" xr:uid="{00000000-0005-0000-0000-0000F2230000}"/>
    <cellStyle name="40% - Accent1 11 8" xfId="13029" xr:uid="{00000000-0005-0000-0000-0000F3230000}"/>
    <cellStyle name="40% - Accent1 12" xfId="1094" xr:uid="{00000000-0005-0000-0000-0000F4230000}"/>
    <cellStyle name="40% - Accent1 12 2" xfId="4050" xr:uid="{00000000-0005-0000-0000-0000F5230000}"/>
    <cellStyle name="40% - Accent1 12 2 2" xfId="12029" xr:uid="{00000000-0005-0000-0000-0000F6230000}"/>
    <cellStyle name="40% - Accent1 12 2 2 2" xfId="23317" xr:uid="{00000000-0005-0000-0000-0000F7230000}"/>
    <cellStyle name="40% - Accent1 12 2 3" xfId="10035" xr:uid="{00000000-0005-0000-0000-0000F8230000}"/>
    <cellStyle name="40% - Accent1 12 2 3 2" xfId="21323" xr:uid="{00000000-0005-0000-0000-0000F9230000}"/>
    <cellStyle name="40% - Accent1 12 2 4" xfId="8041" xr:uid="{00000000-0005-0000-0000-0000FA230000}"/>
    <cellStyle name="40% - Accent1 12 2 4 2" xfId="19329" xr:uid="{00000000-0005-0000-0000-0000FB230000}"/>
    <cellStyle name="40% - Accent1 12 2 5" xfId="6047" xr:uid="{00000000-0005-0000-0000-0000FC230000}"/>
    <cellStyle name="40% - Accent1 12 2 5 2" xfId="17335" xr:uid="{00000000-0005-0000-0000-0000FD230000}"/>
    <cellStyle name="40% - Accent1 12 2 6" xfId="15341" xr:uid="{00000000-0005-0000-0000-0000FE230000}"/>
    <cellStyle name="40% - Accent1 12 3" xfId="11032" xr:uid="{00000000-0005-0000-0000-0000FF230000}"/>
    <cellStyle name="40% - Accent1 12 3 2" xfId="22320" xr:uid="{00000000-0005-0000-0000-000000240000}"/>
    <cellStyle name="40% - Accent1 12 4" xfId="9038" xr:uid="{00000000-0005-0000-0000-000001240000}"/>
    <cellStyle name="40% - Accent1 12 4 2" xfId="20326" xr:uid="{00000000-0005-0000-0000-000002240000}"/>
    <cellStyle name="40% - Accent1 12 5" xfId="7044" xr:uid="{00000000-0005-0000-0000-000003240000}"/>
    <cellStyle name="40% - Accent1 12 5 2" xfId="18332" xr:uid="{00000000-0005-0000-0000-000004240000}"/>
    <cellStyle name="40% - Accent1 12 6" xfId="5050" xr:uid="{00000000-0005-0000-0000-000005240000}"/>
    <cellStyle name="40% - Accent1 12 6 2" xfId="16338" xr:uid="{00000000-0005-0000-0000-000006240000}"/>
    <cellStyle name="40% - Accent1 12 7" xfId="14344" xr:uid="{00000000-0005-0000-0000-000007240000}"/>
    <cellStyle name="40% - Accent1 12 8" xfId="13030" xr:uid="{00000000-0005-0000-0000-000008240000}"/>
    <cellStyle name="40% - Accent1 13" xfId="1095" xr:uid="{00000000-0005-0000-0000-000009240000}"/>
    <cellStyle name="40% - Accent1 13 2" xfId="4051" xr:uid="{00000000-0005-0000-0000-00000A240000}"/>
    <cellStyle name="40% - Accent1 13 2 2" xfId="12030" xr:uid="{00000000-0005-0000-0000-00000B240000}"/>
    <cellStyle name="40% - Accent1 13 2 2 2" xfId="23318" xr:uid="{00000000-0005-0000-0000-00000C240000}"/>
    <cellStyle name="40% - Accent1 13 2 3" xfId="10036" xr:uid="{00000000-0005-0000-0000-00000D240000}"/>
    <cellStyle name="40% - Accent1 13 2 3 2" xfId="21324" xr:uid="{00000000-0005-0000-0000-00000E240000}"/>
    <cellStyle name="40% - Accent1 13 2 4" xfId="8042" xr:uid="{00000000-0005-0000-0000-00000F240000}"/>
    <cellStyle name="40% - Accent1 13 2 4 2" xfId="19330" xr:uid="{00000000-0005-0000-0000-000010240000}"/>
    <cellStyle name="40% - Accent1 13 2 5" xfId="6048" xr:uid="{00000000-0005-0000-0000-000011240000}"/>
    <cellStyle name="40% - Accent1 13 2 5 2" xfId="17336" xr:uid="{00000000-0005-0000-0000-000012240000}"/>
    <cellStyle name="40% - Accent1 13 2 6" xfId="15342" xr:uid="{00000000-0005-0000-0000-000013240000}"/>
    <cellStyle name="40% - Accent1 13 3" xfId="11033" xr:uid="{00000000-0005-0000-0000-000014240000}"/>
    <cellStyle name="40% - Accent1 13 3 2" xfId="22321" xr:uid="{00000000-0005-0000-0000-000015240000}"/>
    <cellStyle name="40% - Accent1 13 4" xfId="9039" xr:uid="{00000000-0005-0000-0000-000016240000}"/>
    <cellStyle name="40% - Accent1 13 4 2" xfId="20327" xr:uid="{00000000-0005-0000-0000-000017240000}"/>
    <cellStyle name="40% - Accent1 13 5" xfId="7045" xr:uid="{00000000-0005-0000-0000-000018240000}"/>
    <cellStyle name="40% - Accent1 13 5 2" xfId="18333" xr:uid="{00000000-0005-0000-0000-000019240000}"/>
    <cellStyle name="40% - Accent1 13 6" xfId="5051" xr:uid="{00000000-0005-0000-0000-00001A240000}"/>
    <cellStyle name="40% - Accent1 13 6 2" xfId="16339" xr:uid="{00000000-0005-0000-0000-00001B240000}"/>
    <cellStyle name="40% - Accent1 13 7" xfId="14345" xr:uid="{00000000-0005-0000-0000-00001C240000}"/>
    <cellStyle name="40% - Accent1 13 8" xfId="13031" xr:uid="{00000000-0005-0000-0000-00001D240000}"/>
    <cellStyle name="40% - Accent1 14" xfId="1096" xr:uid="{00000000-0005-0000-0000-00001E240000}"/>
    <cellStyle name="40% - Accent1 14 2" xfId="4052" xr:uid="{00000000-0005-0000-0000-00001F240000}"/>
    <cellStyle name="40% - Accent1 14 2 2" xfId="12031" xr:uid="{00000000-0005-0000-0000-000020240000}"/>
    <cellStyle name="40% - Accent1 14 2 2 2" xfId="23319" xr:uid="{00000000-0005-0000-0000-000021240000}"/>
    <cellStyle name="40% - Accent1 14 2 3" xfId="10037" xr:uid="{00000000-0005-0000-0000-000022240000}"/>
    <cellStyle name="40% - Accent1 14 2 3 2" xfId="21325" xr:uid="{00000000-0005-0000-0000-000023240000}"/>
    <cellStyle name="40% - Accent1 14 2 4" xfId="8043" xr:uid="{00000000-0005-0000-0000-000024240000}"/>
    <cellStyle name="40% - Accent1 14 2 4 2" xfId="19331" xr:uid="{00000000-0005-0000-0000-000025240000}"/>
    <cellStyle name="40% - Accent1 14 2 5" xfId="6049" xr:uid="{00000000-0005-0000-0000-000026240000}"/>
    <cellStyle name="40% - Accent1 14 2 5 2" xfId="17337" xr:uid="{00000000-0005-0000-0000-000027240000}"/>
    <cellStyle name="40% - Accent1 14 2 6" xfId="15343" xr:uid="{00000000-0005-0000-0000-000028240000}"/>
    <cellStyle name="40% - Accent1 14 3" xfId="11034" xr:uid="{00000000-0005-0000-0000-000029240000}"/>
    <cellStyle name="40% - Accent1 14 3 2" xfId="22322" xr:uid="{00000000-0005-0000-0000-00002A240000}"/>
    <cellStyle name="40% - Accent1 14 4" xfId="9040" xr:uid="{00000000-0005-0000-0000-00002B240000}"/>
    <cellStyle name="40% - Accent1 14 4 2" xfId="20328" xr:uid="{00000000-0005-0000-0000-00002C240000}"/>
    <cellStyle name="40% - Accent1 14 5" xfId="7046" xr:uid="{00000000-0005-0000-0000-00002D240000}"/>
    <cellStyle name="40% - Accent1 14 5 2" xfId="18334" xr:uid="{00000000-0005-0000-0000-00002E240000}"/>
    <cellStyle name="40% - Accent1 14 6" xfId="5052" xr:uid="{00000000-0005-0000-0000-00002F240000}"/>
    <cellStyle name="40% - Accent1 14 6 2" xfId="16340" xr:uid="{00000000-0005-0000-0000-000030240000}"/>
    <cellStyle name="40% - Accent1 14 7" xfId="14346" xr:uid="{00000000-0005-0000-0000-000031240000}"/>
    <cellStyle name="40% - Accent1 14 8" xfId="13032" xr:uid="{00000000-0005-0000-0000-000032240000}"/>
    <cellStyle name="40% - Accent1 15" xfId="1097" xr:uid="{00000000-0005-0000-0000-000033240000}"/>
    <cellStyle name="40% - Accent1 15 2" xfId="4053" xr:uid="{00000000-0005-0000-0000-000034240000}"/>
    <cellStyle name="40% - Accent1 15 2 2" xfId="12032" xr:uid="{00000000-0005-0000-0000-000035240000}"/>
    <cellStyle name="40% - Accent1 15 2 2 2" xfId="23320" xr:uid="{00000000-0005-0000-0000-000036240000}"/>
    <cellStyle name="40% - Accent1 15 2 3" xfId="10038" xr:uid="{00000000-0005-0000-0000-000037240000}"/>
    <cellStyle name="40% - Accent1 15 2 3 2" xfId="21326" xr:uid="{00000000-0005-0000-0000-000038240000}"/>
    <cellStyle name="40% - Accent1 15 2 4" xfId="8044" xr:uid="{00000000-0005-0000-0000-000039240000}"/>
    <cellStyle name="40% - Accent1 15 2 4 2" xfId="19332" xr:uid="{00000000-0005-0000-0000-00003A240000}"/>
    <cellStyle name="40% - Accent1 15 2 5" xfId="6050" xr:uid="{00000000-0005-0000-0000-00003B240000}"/>
    <cellStyle name="40% - Accent1 15 2 5 2" xfId="17338" xr:uid="{00000000-0005-0000-0000-00003C240000}"/>
    <cellStyle name="40% - Accent1 15 2 6" xfId="15344" xr:uid="{00000000-0005-0000-0000-00003D240000}"/>
    <cellStyle name="40% - Accent1 15 3" xfId="11035" xr:uid="{00000000-0005-0000-0000-00003E240000}"/>
    <cellStyle name="40% - Accent1 15 3 2" xfId="22323" xr:uid="{00000000-0005-0000-0000-00003F240000}"/>
    <cellStyle name="40% - Accent1 15 4" xfId="9041" xr:uid="{00000000-0005-0000-0000-000040240000}"/>
    <cellStyle name="40% - Accent1 15 4 2" xfId="20329" xr:uid="{00000000-0005-0000-0000-000041240000}"/>
    <cellStyle name="40% - Accent1 15 5" xfId="7047" xr:uid="{00000000-0005-0000-0000-000042240000}"/>
    <cellStyle name="40% - Accent1 15 5 2" xfId="18335" xr:uid="{00000000-0005-0000-0000-000043240000}"/>
    <cellStyle name="40% - Accent1 15 6" xfId="5053" xr:uid="{00000000-0005-0000-0000-000044240000}"/>
    <cellStyle name="40% - Accent1 15 6 2" xfId="16341" xr:uid="{00000000-0005-0000-0000-000045240000}"/>
    <cellStyle name="40% - Accent1 15 7" xfId="14347" xr:uid="{00000000-0005-0000-0000-000046240000}"/>
    <cellStyle name="40% - Accent1 15 8" xfId="13033" xr:uid="{00000000-0005-0000-0000-000047240000}"/>
    <cellStyle name="40% - Accent1 16" xfId="1098" xr:uid="{00000000-0005-0000-0000-000048240000}"/>
    <cellStyle name="40% - Accent1 16 2" xfId="4054" xr:uid="{00000000-0005-0000-0000-000049240000}"/>
    <cellStyle name="40% - Accent1 16 2 2" xfId="12033" xr:uid="{00000000-0005-0000-0000-00004A240000}"/>
    <cellStyle name="40% - Accent1 16 2 2 2" xfId="23321" xr:uid="{00000000-0005-0000-0000-00004B240000}"/>
    <cellStyle name="40% - Accent1 16 2 3" xfId="10039" xr:uid="{00000000-0005-0000-0000-00004C240000}"/>
    <cellStyle name="40% - Accent1 16 2 3 2" xfId="21327" xr:uid="{00000000-0005-0000-0000-00004D240000}"/>
    <cellStyle name="40% - Accent1 16 2 4" xfId="8045" xr:uid="{00000000-0005-0000-0000-00004E240000}"/>
    <cellStyle name="40% - Accent1 16 2 4 2" xfId="19333" xr:uid="{00000000-0005-0000-0000-00004F240000}"/>
    <cellStyle name="40% - Accent1 16 2 5" xfId="6051" xr:uid="{00000000-0005-0000-0000-000050240000}"/>
    <cellStyle name="40% - Accent1 16 2 5 2" xfId="17339" xr:uid="{00000000-0005-0000-0000-000051240000}"/>
    <cellStyle name="40% - Accent1 16 2 6" xfId="15345" xr:uid="{00000000-0005-0000-0000-000052240000}"/>
    <cellStyle name="40% - Accent1 16 3" xfId="11036" xr:uid="{00000000-0005-0000-0000-000053240000}"/>
    <cellStyle name="40% - Accent1 16 3 2" xfId="22324" xr:uid="{00000000-0005-0000-0000-000054240000}"/>
    <cellStyle name="40% - Accent1 16 4" xfId="9042" xr:uid="{00000000-0005-0000-0000-000055240000}"/>
    <cellStyle name="40% - Accent1 16 4 2" xfId="20330" xr:uid="{00000000-0005-0000-0000-000056240000}"/>
    <cellStyle name="40% - Accent1 16 5" xfId="7048" xr:uid="{00000000-0005-0000-0000-000057240000}"/>
    <cellStyle name="40% - Accent1 16 5 2" xfId="18336" xr:uid="{00000000-0005-0000-0000-000058240000}"/>
    <cellStyle name="40% - Accent1 16 6" xfId="5054" xr:uid="{00000000-0005-0000-0000-000059240000}"/>
    <cellStyle name="40% - Accent1 16 6 2" xfId="16342" xr:uid="{00000000-0005-0000-0000-00005A240000}"/>
    <cellStyle name="40% - Accent1 16 7" xfId="14348" xr:uid="{00000000-0005-0000-0000-00005B240000}"/>
    <cellStyle name="40% - Accent1 16 8" xfId="13034" xr:uid="{00000000-0005-0000-0000-00005C240000}"/>
    <cellStyle name="40% - Accent1 17" xfId="1099" xr:uid="{00000000-0005-0000-0000-00005D240000}"/>
    <cellStyle name="40% - Accent1 17 2" xfId="4055" xr:uid="{00000000-0005-0000-0000-00005E240000}"/>
    <cellStyle name="40% - Accent1 17 2 2" xfId="12034" xr:uid="{00000000-0005-0000-0000-00005F240000}"/>
    <cellStyle name="40% - Accent1 17 2 2 2" xfId="23322" xr:uid="{00000000-0005-0000-0000-000060240000}"/>
    <cellStyle name="40% - Accent1 17 2 3" xfId="10040" xr:uid="{00000000-0005-0000-0000-000061240000}"/>
    <cellStyle name="40% - Accent1 17 2 3 2" xfId="21328" xr:uid="{00000000-0005-0000-0000-000062240000}"/>
    <cellStyle name="40% - Accent1 17 2 4" xfId="8046" xr:uid="{00000000-0005-0000-0000-000063240000}"/>
    <cellStyle name="40% - Accent1 17 2 4 2" xfId="19334" xr:uid="{00000000-0005-0000-0000-000064240000}"/>
    <cellStyle name="40% - Accent1 17 2 5" xfId="6052" xr:uid="{00000000-0005-0000-0000-000065240000}"/>
    <cellStyle name="40% - Accent1 17 2 5 2" xfId="17340" xr:uid="{00000000-0005-0000-0000-000066240000}"/>
    <cellStyle name="40% - Accent1 17 2 6" xfId="15346" xr:uid="{00000000-0005-0000-0000-000067240000}"/>
    <cellStyle name="40% - Accent1 17 3" xfId="11037" xr:uid="{00000000-0005-0000-0000-000068240000}"/>
    <cellStyle name="40% - Accent1 17 3 2" xfId="22325" xr:uid="{00000000-0005-0000-0000-000069240000}"/>
    <cellStyle name="40% - Accent1 17 4" xfId="9043" xr:uid="{00000000-0005-0000-0000-00006A240000}"/>
    <cellStyle name="40% - Accent1 17 4 2" xfId="20331" xr:uid="{00000000-0005-0000-0000-00006B240000}"/>
    <cellStyle name="40% - Accent1 17 5" xfId="7049" xr:uid="{00000000-0005-0000-0000-00006C240000}"/>
    <cellStyle name="40% - Accent1 17 5 2" xfId="18337" xr:uid="{00000000-0005-0000-0000-00006D240000}"/>
    <cellStyle name="40% - Accent1 17 6" xfId="5055" xr:uid="{00000000-0005-0000-0000-00006E240000}"/>
    <cellStyle name="40% - Accent1 17 6 2" xfId="16343" xr:uid="{00000000-0005-0000-0000-00006F240000}"/>
    <cellStyle name="40% - Accent1 17 7" xfId="14349" xr:uid="{00000000-0005-0000-0000-000070240000}"/>
    <cellStyle name="40% - Accent1 17 8" xfId="13035" xr:uid="{00000000-0005-0000-0000-000071240000}"/>
    <cellStyle name="40% - Accent1 18" xfId="1100" xr:uid="{00000000-0005-0000-0000-000072240000}"/>
    <cellStyle name="40% - Accent1 18 2" xfId="4056" xr:uid="{00000000-0005-0000-0000-000073240000}"/>
    <cellStyle name="40% - Accent1 18 2 2" xfId="12035" xr:uid="{00000000-0005-0000-0000-000074240000}"/>
    <cellStyle name="40% - Accent1 18 2 2 2" xfId="23323" xr:uid="{00000000-0005-0000-0000-000075240000}"/>
    <cellStyle name="40% - Accent1 18 2 3" xfId="10041" xr:uid="{00000000-0005-0000-0000-000076240000}"/>
    <cellStyle name="40% - Accent1 18 2 3 2" xfId="21329" xr:uid="{00000000-0005-0000-0000-000077240000}"/>
    <cellStyle name="40% - Accent1 18 2 4" xfId="8047" xr:uid="{00000000-0005-0000-0000-000078240000}"/>
    <cellStyle name="40% - Accent1 18 2 4 2" xfId="19335" xr:uid="{00000000-0005-0000-0000-000079240000}"/>
    <cellStyle name="40% - Accent1 18 2 5" xfId="6053" xr:uid="{00000000-0005-0000-0000-00007A240000}"/>
    <cellStyle name="40% - Accent1 18 2 5 2" xfId="17341" xr:uid="{00000000-0005-0000-0000-00007B240000}"/>
    <cellStyle name="40% - Accent1 18 2 6" xfId="15347" xr:uid="{00000000-0005-0000-0000-00007C240000}"/>
    <cellStyle name="40% - Accent1 18 3" xfId="11038" xr:uid="{00000000-0005-0000-0000-00007D240000}"/>
    <cellStyle name="40% - Accent1 18 3 2" xfId="22326" xr:uid="{00000000-0005-0000-0000-00007E240000}"/>
    <cellStyle name="40% - Accent1 18 4" xfId="9044" xr:uid="{00000000-0005-0000-0000-00007F240000}"/>
    <cellStyle name="40% - Accent1 18 4 2" xfId="20332" xr:uid="{00000000-0005-0000-0000-000080240000}"/>
    <cellStyle name="40% - Accent1 18 5" xfId="7050" xr:uid="{00000000-0005-0000-0000-000081240000}"/>
    <cellStyle name="40% - Accent1 18 5 2" xfId="18338" xr:uid="{00000000-0005-0000-0000-000082240000}"/>
    <cellStyle name="40% - Accent1 18 6" xfId="5056" xr:uid="{00000000-0005-0000-0000-000083240000}"/>
    <cellStyle name="40% - Accent1 18 6 2" xfId="16344" xr:uid="{00000000-0005-0000-0000-000084240000}"/>
    <cellStyle name="40% - Accent1 18 7" xfId="14350" xr:uid="{00000000-0005-0000-0000-000085240000}"/>
    <cellStyle name="40% - Accent1 18 8" xfId="13036" xr:uid="{00000000-0005-0000-0000-000086240000}"/>
    <cellStyle name="40% - Accent1 19" xfId="1101" xr:uid="{00000000-0005-0000-0000-000087240000}"/>
    <cellStyle name="40% - Accent1 19 2" xfId="4057" xr:uid="{00000000-0005-0000-0000-000088240000}"/>
    <cellStyle name="40% - Accent1 19 2 2" xfId="12036" xr:uid="{00000000-0005-0000-0000-000089240000}"/>
    <cellStyle name="40% - Accent1 19 2 2 2" xfId="23324" xr:uid="{00000000-0005-0000-0000-00008A240000}"/>
    <cellStyle name="40% - Accent1 19 2 3" xfId="10042" xr:uid="{00000000-0005-0000-0000-00008B240000}"/>
    <cellStyle name="40% - Accent1 19 2 3 2" xfId="21330" xr:uid="{00000000-0005-0000-0000-00008C240000}"/>
    <cellStyle name="40% - Accent1 19 2 4" xfId="8048" xr:uid="{00000000-0005-0000-0000-00008D240000}"/>
    <cellStyle name="40% - Accent1 19 2 4 2" xfId="19336" xr:uid="{00000000-0005-0000-0000-00008E240000}"/>
    <cellStyle name="40% - Accent1 19 2 5" xfId="6054" xr:uid="{00000000-0005-0000-0000-00008F240000}"/>
    <cellStyle name="40% - Accent1 19 2 5 2" xfId="17342" xr:uid="{00000000-0005-0000-0000-000090240000}"/>
    <cellStyle name="40% - Accent1 19 2 6" xfId="15348" xr:uid="{00000000-0005-0000-0000-000091240000}"/>
    <cellStyle name="40% - Accent1 19 3" xfId="11039" xr:uid="{00000000-0005-0000-0000-000092240000}"/>
    <cellStyle name="40% - Accent1 19 3 2" xfId="22327" xr:uid="{00000000-0005-0000-0000-000093240000}"/>
    <cellStyle name="40% - Accent1 19 4" xfId="9045" xr:uid="{00000000-0005-0000-0000-000094240000}"/>
    <cellStyle name="40% - Accent1 19 4 2" xfId="20333" xr:uid="{00000000-0005-0000-0000-000095240000}"/>
    <cellStyle name="40% - Accent1 19 5" xfId="7051" xr:uid="{00000000-0005-0000-0000-000096240000}"/>
    <cellStyle name="40% - Accent1 19 5 2" xfId="18339" xr:uid="{00000000-0005-0000-0000-000097240000}"/>
    <cellStyle name="40% - Accent1 19 6" xfId="5057" xr:uid="{00000000-0005-0000-0000-000098240000}"/>
    <cellStyle name="40% - Accent1 19 6 2" xfId="16345" xr:uid="{00000000-0005-0000-0000-000099240000}"/>
    <cellStyle name="40% - Accent1 19 7" xfId="14351" xr:uid="{00000000-0005-0000-0000-00009A240000}"/>
    <cellStyle name="40% - Accent1 19 8" xfId="13037" xr:uid="{00000000-0005-0000-0000-00009B240000}"/>
    <cellStyle name="40% - Accent1 2" xfId="1102" xr:uid="{00000000-0005-0000-0000-00009C240000}"/>
    <cellStyle name="40% - Accent1 2 10" xfId="24595" xr:uid="{00000000-0005-0000-0000-00009D240000}"/>
    <cellStyle name="40% - Accent1 2 11" xfId="24985" xr:uid="{00000000-0005-0000-0000-00009E240000}"/>
    <cellStyle name="40% - Accent1 2 2" xfId="4058" xr:uid="{00000000-0005-0000-0000-00009F240000}"/>
    <cellStyle name="40% - Accent1 2 2 2" xfId="12037" xr:uid="{00000000-0005-0000-0000-0000A0240000}"/>
    <cellStyle name="40% - Accent1 2 2 2 2" xfId="23325" xr:uid="{00000000-0005-0000-0000-0000A1240000}"/>
    <cellStyle name="40% - Accent1 2 2 3" xfId="10043" xr:uid="{00000000-0005-0000-0000-0000A2240000}"/>
    <cellStyle name="40% - Accent1 2 2 3 2" xfId="21331" xr:uid="{00000000-0005-0000-0000-0000A3240000}"/>
    <cellStyle name="40% - Accent1 2 2 4" xfId="8049" xr:uid="{00000000-0005-0000-0000-0000A4240000}"/>
    <cellStyle name="40% - Accent1 2 2 4 2" xfId="19337" xr:uid="{00000000-0005-0000-0000-0000A5240000}"/>
    <cellStyle name="40% - Accent1 2 2 5" xfId="6055" xr:uid="{00000000-0005-0000-0000-0000A6240000}"/>
    <cellStyle name="40% - Accent1 2 2 5 2" xfId="17343" xr:uid="{00000000-0005-0000-0000-0000A7240000}"/>
    <cellStyle name="40% - Accent1 2 2 6" xfId="15349" xr:uid="{00000000-0005-0000-0000-0000A8240000}"/>
    <cellStyle name="40% - Accent1 2 2 7" xfId="24356" xr:uid="{00000000-0005-0000-0000-0000A9240000}"/>
    <cellStyle name="40% - Accent1 2 2 8" xfId="24820" xr:uid="{00000000-0005-0000-0000-0000AA240000}"/>
    <cellStyle name="40% - Accent1 2 2 9" xfId="25187" xr:uid="{00000000-0005-0000-0000-0000AB240000}"/>
    <cellStyle name="40% - Accent1 2 3" xfId="11040" xr:uid="{00000000-0005-0000-0000-0000AC240000}"/>
    <cellStyle name="40% - Accent1 2 3 2" xfId="22328" xr:uid="{00000000-0005-0000-0000-0000AD240000}"/>
    <cellStyle name="40% - Accent1 2 4" xfId="9046" xr:uid="{00000000-0005-0000-0000-0000AE240000}"/>
    <cellStyle name="40% - Accent1 2 4 2" xfId="20334" xr:uid="{00000000-0005-0000-0000-0000AF240000}"/>
    <cellStyle name="40% - Accent1 2 5" xfId="7052" xr:uid="{00000000-0005-0000-0000-0000B0240000}"/>
    <cellStyle name="40% - Accent1 2 5 2" xfId="18340" xr:uid="{00000000-0005-0000-0000-0000B1240000}"/>
    <cellStyle name="40% - Accent1 2 6" xfId="5058" xr:uid="{00000000-0005-0000-0000-0000B2240000}"/>
    <cellStyle name="40% - Accent1 2 6 2" xfId="16346" xr:uid="{00000000-0005-0000-0000-0000B3240000}"/>
    <cellStyle name="40% - Accent1 2 7" xfId="14352" xr:uid="{00000000-0005-0000-0000-0000B4240000}"/>
    <cellStyle name="40% - Accent1 2 8" xfId="13038" xr:uid="{00000000-0005-0000-0000-0000B5240000}"/>
    <cellStyle name="40% - Accent1 2 9" xfId="23968" xr:uid="{00000000-0005-0000-0000-0000B6240000}"/>
    <cellStyle name="40% - Accent1 20" xfId="1103" xr:uid="{00000000-0005-0000-0000-0000B7240000}"/>
    <cellStyle name="40% - Accent1 20 2" xfId="4059" xr:uid="{00000000-0005-0000-0000-0000B8240000}"/>
    <cellStyle name="40% - Accent1 20 2 2" xfId="12038" xr:uid="{00000000-0005-0000-0000-0000B9240000}"/>
    <cellStyle name="40% - Accent1 20 2 2 2" xfId="23326" xr:uid="{00000000-0005-0000-0000-0000BA240000}"/>
    <cellStyle name="40% - Accent1 20 2 3" xfId="10044" xr:uid="{00000000-0005-0000-0000-0000BB240000}"/>
    <cellStyle name="40% - Accent1 20 2 3 2" xfId="21332" xr:uid="{00000000-0005-0000-0000-0000BC240000}"/>
    <cellStyle name="40% - Accent1 20 2 4" xfId="8050" xr:uid="{00000000-0005-0000-0000-0000BD240000}"/>
    <cellStyle name="40% - Accent1 20 2 4 2" xfId="19338" xr:uid="{00000000-0005-0000-0000-0000BE240000}"/>
    <cellStyle name="40% - Accent1 20 2 5" xfId="6056" xr:uid="{00000000-0005-0000-0000-0000BF240000}"/>
    <cellStyle name="40% - Accent1 20 2 5 2" xfId="17344" xr:uid="{00000000-0005-0000-0000-0000C0240000}"/>
    <cellStyle name="40% - Accent1 20 2 6" xfId="15350" xr:uid="{00000000-0005-0000-0000-0000C1240000}"/>
    <cellStyle name="40% - Accent1 20 3" xfId="11041" xr:uid="{00000000-0005-0000-0000-0000C2240000}"/>
    <cellStyle name="40% - Accent1 20 3 2" xfId="22329" xr:uid="{00000000-0005-0000-0000-0000C3240000}"/>
    <cellStyle name="40% - Accent1 20 4" xfId="9047" xr:uid="{00000000-0005-0000-0000-0000C4240000}"/>
    <cellStyle name="40% - Accent1 20 4 2" xfId="20335" xr:uid="{00000000-0005-0000-0000-0000C5240000}"/>
    <cellStyle name="40% - Accent1 20 5" xfId="7053" xr:uid="{00000000-0005-0000-0000-0000C6240000}"/>
    <cellStyle name="40% - Accent1 20 5 2" xfId="18341" xr:uid="{00000000-0005-0000-0000-0000C7240000}"/>
    <cellStyle name="40% - Accent1 20 6" xfId="5059" xr:uid="{00000000-0005-0000-0000-0000C8240000}"/>
    <cellStyle name="40% - Accent1 20 6 2" xfId="16347" xr:uid="{00000000-0005-0000-0000-0000C9240000}"/>
    <cellStyle name="40% - Accent1 20 7" xfId="14353" xr:uid="{00000000-0005-0000-0000-0000CA240000}"/>
    <cellStyle name="40% - Accent1 20 8" xfId="13039" xr:uid="{00000000-0005-0000-0000-0000CB240000}"/>
    <cellStyle name="40% - Accent1 21" xfId="1104" xr:uid="{00000000-0005-0000-0000-0000CC240000}"/>
    <cellStyle name="40% - Accent1 21 2" xfId="4060" xr:uid="{00000000-0005-0000-0000-0000CD240000}"/>
    <cellStyle name="40% - Accent1 21 2 2" xfId="12039" xr:uid="{00000000-0005-0000-0000-0000CE240000}"/>
    <cellStyle name="40% - Accent1 21 2 2 2" xfId="23327" xr:uid="{00000000-0005-0000-0000-0000CF240000}"/>
    <cellStyle name="40% - Accent1 21 2 3" xfId="10045" xr:uid="{00000000-0005-0000-0000-0000D0240000}"/>
    <cellStyle name="40% - Accent1 21 2 3 2" xfId="21333" xr:uid="{00000000-0005-0000-0000-0000D1240000}"/>
    <cellStyle name="40% - Accent1 21 2 4" xfId="8051" xr:uid="{00000000-0005-0000-0000-0000D2240000}"/>
    <cellStyle name="40% - Accent1 21 2 4 2" xfId="19339" xr:uid="{00000000-0005-0000-0000-0000D3240000}"/>
    <cellStyle name="40% - Accent1 21 2 5" xfId="6057" xr:uid="{00000000-0005-0000-0000-0000D4240000}"/>
    <cellStyle name="40% - Accent1 21 2 5 2" xfId="17345" xr:uid="{00000000-0005-0000-0000-0000D5240000}"/>
    <cellStyle name="40% - Accent1 21 2 6" xfId="15351" xr:uid="{00000000-0005-0000-0000-0000D6240000}"/>
    <cellStyle name="40% - Accent1 21 3" xfId="11042" xr:uid="{00000000-0005-0000-0000-0000D7240000}"/>
    <cellStyle name="40% - Accent1 21 3 2" xfId="22330" xr:uid="{00000000-0005-0000-0000-0000D8240000}"/>
    <cellStyle name="40% - Accent1 21 4" xfId="9048" xr:uid="{00000000-0005-0000-0000-0000D9240000}"/>
    <cellStyle name="40% - Accent1 21 4 2" xfId="20336" xr:uid="{00000000-0005-0000-0000-0000DA240000}"/>
    <cellStyle name="40% - Accent1 21 5" xfId="7054" xr:uid="{00000000-0005-0000-0000-0000DB240000}"/>
    <cellStyle name="40% - Accent1 21 5 2" xfId="18342" xr:uid="{00000000-0005-0000-0000-0000DC240000}"/>
    <cellStyle name="40% - Accent1 21 6" xfId="5060" xr:uid="{00000000-0005-0000-0000-0000DD240000}"/>
    <cellStyle name="40% - Accent1 21 6 2" xfId="16348" xr:uid="{00000000-0005-0000-0000-0000DE240000}"/>
    <cellStyle name="40% - Accent1 21 7" xfId="14354" xr:uid="{00000000-0005-0000-0000-0000DF240000}"/>
    <cellStyle name="40% - Accent1 21 8" xfId="13040" xr:uid="{00000000-0005-0000-0000-0000E0240000}"/>
    <cellStyle name="40% - Accent1 22" xfId="1105" xr:uid="{00000000-0005-0000-0000-0000E1240000}"/>
    <cellStyle name="40% - Accent1 22 2" xfId="4061" xr:uid="{00000000-0005-0000-0000-0000E2240000}"/>
    <cellStyle name="40% - Accent1 22 2 2" xfId="12040" xr:uid="{00000000-0005-0000-0000-0000E3240000}"/>
    <cellStyle name="40% - Accent1 22 2 2 2" xfId="23328" xr:uid="{00000000-0005-0000-0000-0000E4240000}"/>
    <cellStyle name="40% - Accent1 22 2 3" xfId="10046" xr:uid="{00000000-0005-0000-0000-0000E5240000}"/>
    <cellStyle name="40% - Accent1 22 2 3 2" xfId="21334" xr:uid="{00000000-0005-0000-0000-0000E6240000}"/>
    <cellStyle name="40% - Accent1 22 2 4" xfId="8052" xr:uid="{00000000-0005-0000-0000-0000E7240000}"/>
    <cellStyle name="40% - Accent1 22 2 4 2" xfId="19340" xr:uid="{00000000-0005-0000-0000-0000E8240000}"/>
    <cellStyle name="40% - Accent1 22 2 5" xfId="6058" xr:uid="{00000000-0005-0000-0000-0000E9240000}"/>
    <cellStyle name="40% - Accent1 22 2 5 2" xfId="17346" xr:uid="{00000000-0005-0000-0000-0000EA240000}"/>
    <cellStyle name="40% - Accent1 22 2 6" xfId="15352" xr:uid="{00000000-0005-0000-0000-0000EB240000}"/>
    <cellStyle name="40% - Accent1 22 3" xfId="11043" xr:uid="{00000000-0005-0000-0000-0000EC240000}"/>
    <cellStyle name="40% - Accent1 22 3 2" xfId="22331" xr:uid="{00000000-0005-0000-0000-0000ED240000}"/>
    <cellStyle name="40% - Accent1 22 4" xfId="9049" xr:uid="{00000000-0005-0000-0000-0000EE240000}"/>
    <cellStyle name="40% - Accent1 22 4 2" xfId="20337" xr:uid="{00000000-0005-0000-0000-0000EF240000}"/>
    <cellStyle name="40% - Accent1 22 5" xfId="7055" xr:uid="{00000000-0005-0000-0000-0000F0240000}"/>
    <cellStyle name="40% - Accent1 22 5 2" xfId="18343" xr:uid="{00000000-0005-0000-0000-0000F1240000}"/>
    <cellStyle name="40% - Accent1 22 6" xfId="5061" xr:uid="{00000000-0005-0000-0000-0000F2240000}"/>
    <cellStyle name="40% - Accent1 22 6 2" xfId="16349" xr:uid="{00000000-0005-0000-0000-0000F3240000}"/>
    <cellStyle name="40% - Accent1 22 7" xfId="14355" xr:uid="{00000000-0005-0000-0000-0000F4240000}"/>
    <cellStyle name="40% - Accent1 22 8" xfId="13041" xr:uid="{00000000-0005-0000-0000-0000F5240000}"/>
    <cellStyle name="40% - Accent1 23" xfId="1106" xr:uid="{00000000-0005-0000-0000-0000F6240000}"/>
    <cellStyle name="40% - Accent1 23 2" xfId="4062" xr:uid="{00000000-0005-0000-0000-0000F7240000}"/>
    <cellStyle name="40% - Accent1 23 2 2" xfId="12041" xr:uid="{00000000-0005-0000-0000-0000F8240000}"/>
    <cellStyle name="40% - Accent1 23 2 2 2" xfId="23329" xr:uid="{00000000-0005-0000-0000-0000F9240000}"/>
    <cellStyle name="40% - Accent1 23 2 3" xfId="10047" xr:uid="{00000000-0005-0000-0000-0000FA240000}"/>
    <cellStyle name="40% - Accent1 23 2 3 2" xfId="21335" xr:uid="{00000000-0005-0000-0000-0000FB240000}"/>
    <cellStyle name="40% - Accent1 23 2 4" xfId="8053" xr:uid="{00000000-0005-0000-0000-0000FC240000}"/>
    <cellStyle name="40% - Accent1 23 2 4 2" xfId="19341" xr:uid="{00000000-0005-0000-0000-0000FD240000}"/>
    <cellStyle name="40% - Accent1 23 2 5" xfId="6059" xr:uid="{00000000-0005-0000-0000-0000FE240000}"/>
    <cellStyle name="40% - Accent1 23 2 5 2" xfId="17347" xr:uid="{00000000-0005-0000-0000-0000FF240000}"/>
    <cellStyle name="40% - Accent1 23 2 6" xfId="15353" xr:uid="{00000000-0005-0000-0000-000000250000}"/>
    <cellStyle name="40% - Accent1 23 3" xfId="11044" xr:uid="{00000000-0005-0000-0000-000001250000}"/>
    <cellStyle name="40% - Accent1 23 3 2" xfId="22332" xr:uid="{00000000-0005-0000-0000-000002250000}"/>
    <cellStyle name="40% - Accent1 23 4" xfId="9050" xr:uid="{00000000-0005-0000-0000-000003250000}"/>
    <cellStyle name="40% - Accent1 23 4 2" xfId="20338" xr:uid="{00000000-0005-0000-0000-000004250000}"/>
    <cellStyle name="40% - Accent1 23 5" xfId="7056" xr:uid="{00000000-0005-0000-0000-000005250000}"/>
    <cellStyle name="40% - Accent1 23 5 2" xfId="18344" xr:uid="{00000000-0005-0000-0000-000006250000}"/>
    <cellStyle name="40% - Accent1 23 6" xfId="5062" xr:uid="{00000000-0005-0000-0000-000007250000}"/>
    <cellStyle name="40% - Accent1 23 6 2" xfId="16350" xr:uid="{00000000-0005-0000-0000-000008250000}"/>
    <cellStyle name="40% - Accent1 23 7" xfId="14356" xr:uid="{00000000-0005-0000-0000-000009250000}"/>
    <cellStyle name="40% - Accent1 23 8" xfId="13042" xr:uid="{00000000-0005-0000-0000-00000A250000}"/>
    <cellStyle name="40% - Accent1 24" xfId="1107" xr:uid="{00000000-0005-0000-0000-00000B250000}"/>
    <cellStyle name="40% - Accent1 24 2" xfId="4063" xr:uid="{00000000-0005-0000-0000-00000C250000}"/>
    <cellStyle name="40% - Accent1 24 2 2" xfId="12042" xr:uid="{00000000-0005-0000-0000-00000D250000}"/>
    <cellStyle name="40% - Accent1 24 2 2 2" xfId="23330" xr:uid="{00000000-0005-0000-0000-00000E250000}"/>
    <cellStyle name="40% - Accent1 24 2 3" xfId="10048" xr:uid="{00000000-0005-0000-0000-00000F250000}"/>
    <cellStyle name="40% - Accent1 24 2 3 2" xfId="21336" xr:uid="{00000000-0005-0000-0000-000010250000}"/>
    <cellStyle name="40% - Accent1 24 2 4" xfId="8054" xr:uid="{00000000-0005-0000-0000-000011250000}"/>
    <cellStyle name="40% - Accent1 24 2 4 2" xfId="19342" xr:uid="{00000000-0005-0000-0000-000012250000}"/>
    <cellStyle name="40% - Accent1 24 2 5" xfId="6060" xr:uid="{00000000-0005-0000-0000-000013250000}"/>
    <cellStyle name="40% - Accent1 24 2 5 2" xfId="17348" xr:uid="{00000000-0005-0000-0000-000014250000}"/>
    <cellStyle name="40% - Accent1 24 2 6" xfId="15354" xr:uid="{00000000-0005-0000-0000-000015250000}"/>
    <cellStyle name="40% - Accent1 24 3" xfId="11045" xr:uid="{00000000-0005-0000-0000-000016250000}"/>
    <cellStyle name="40% - Accent1 24 3 2" xfId="22333" xr:uid="{00000000-0005-0000-0000-000017250000}"/>
    <cellStyle name="40% - Accent1 24 4" xfId="9051" xr:uid="{00000000-0005-0000-0000-000018250000}"/>
    <cellStyle name="40% - Accent1 24 4 2" xfId="20339" xr:uid="{00000000-0005-0000-0000-000019250000}"/>
    <cellStyle name="40% - Accent1 24 5" xfId="7057" xr:uid="{00000000-0005-0000-0000-00001A250000}"/>
    <cellStyle name="40% - Accent1 24 5 2" xfId="18345" xr:uid="{00000000-0005-0000-0000-00001B250000}"/>
    <cellStyle name="40% - Accent1 24 6" xfId="5063" xr:uid="{00000000-0005-0000-0000-00001C250000}"/>
    <cellStyle name="40% - Accent1 24 6 2" xfId="16351" xr:uid="{00000000-0005-0000-0000-00001D250000}"/>
    <cellStyle name="40% - Accent1 24 7" xfId="14357" xr:uid="{00000000-0005-0000-0000-00001E250000}"/>
    <cellStyle name="40% - Accent1 24 8" xfId="13043" xr:uid="{00000000-0005-0000-0000-00001F250000}"/>
    <cellStyle name="40% - Accent1 25" xfId="1108" xr:uid="{00000000-0005-0000-0000-000020250000}"/>
    <cellStyle name="40% - Accent1 25 2" xfId="4064" xr:uid="{00000000-0005-0000-0000-000021250000}"/>
    <cellStyle name="40% - Accent1 25 2 2" xfId="12043" xr:uid="{00000000-0005-0000-0000-000022250000}"/>
    <cellStyle name="40% - Accent1 25 2 2 2" xfId="23331" xr:uid="{00000000-0005-0000-0000-000023250000}"/>
    <cellStyle name="40% - Accent1 25 2 3" xfId="10049" xr:uid="{00000000-0005-0000-0000-000024250000}"/>
    <cellStyle name="40% - Accent1 25 2 3 2" xfId="21337" xr:uid="{00000000-0005-0000-0000-000025250000}"/>
    <cellStyle name="40% - Accent1 25 2 4" xfId="8055" xr:uid="{00000000-0005-0000-0000-000026250000}"/>
    <cellStyle name="40% - Accent1 25 2 4 2" xfId="19343" xr:uid="{00000000-0005-0000-0000-000027250000}"/>
    <cellStyle name="40% - Accent1 25 2 5" xfId="6061" xr:uid="{00000000-0005-0000-0000-000028250000}"/>
    <cellStyle name="40% - Accent1 25 2 5 2" xfId="17349" xr:uid="{00000000-0005-0000-0000-000029250000}"/>
    <cellStyle name="40% - Accent1 25 2 6" xfId="15355" xr:uid="{00000000-0005-0000-0000-00002A250000}"/>
    <cellStyle name="40% - Accent1 25 3" xfId="11046" xr:uid="{00000000-0005-0000-0000-00002B250000}"/>
    <cellStyle name="40% - Accent1 25 3 2" xfId="22334" xr:uid="{00000000-0005-0000-0000-00002C250000}"/>
    <cellStyle name="40% - Accent1 25 4" xfId="9052" xr:uid="{00000000-0005-0000-0000-00002D250000}"/>
    <cellStyle name="40% - Accent1 25 4 2" xfId="20340" xr:uid="{00000000-0005-0000-0000-00002E250000}"/>
    <cellStyle name="40% - Accent1 25 5" xfId="7058" xr:uid="{00000000-0005-0000-0000-00002F250000}"/>
    <cellStyle name="40% - Accent1 25 5 2" xfId="18346" xr:uid="{00000000-0005-0000-0000-000030250000}"/>
    <cellStyle name="40% - Accent1 25 6" xfId="5064" xr:uid="{00000000-0005-0000-0000-000031250000}"/>
    <cellStyle name="40% - Accent1 25 6 2" xfId="16352" xr:uid="{00000000-0005-0000-0000-000032250000}"/>
    <cellStyle name="40% - Accent1 25 7" xfId="14358" xr:uid="{00000000-0005-0000-0000-000033250000}"/>
    <cellStyle name="40% - Accent1 25 8" xfId="13044" xr:uid="{00000000-0005-0000-0000-000034250000}"/>
    <cellStyle name="40% - Accent1 26" xfId="1109" xr:uid="{00000000-0005-0000-0000-000035250000}"/>
    <cellStyle name="40% - Accent1 26 2" xfId="4065" xr:uid="{00000000-0005-0000-0000-000036250000}"/>
    <cellStyle name="40% - Accent1 26 2 2" xfId="12044" xr:uid="{00000000-0005-0000-0000-000037250000}"/>
    <cellStyle name="40% - Accent1 26 2 2 2" xfId="23332" xr:uid="{00000000-0005-0000-0000-000038250000}"/>
    <cellStyle name="40% - Accent1 26 2 3" xfId="10050" xr:uid="{00000000-0005-0000-0000-000039250000}"/>
    <cellStyle name="40% - Accent1 26 2 3 2" xfId="21338" xr:uid="{00000000-0005-0000-0000-00003A250000}"/>
    <cellStyle name="40% - Accent1 26 2 4" xfId="8056" xr:uid="{00000000-0005-0000-0000-00003B250000}"/>
    <cellStyle name="40% - Accent1 26 2 4 2" xfId="19344" xr:uid="{00000000-0005-0000-0000-00003C250000}"/>
    <cellStyle name="40% - Accent1 26 2 5" xfId="6062" xr:uid="{00000000-0005-0000-0000-00003D250000}"/>
    <cellStyle name="40% - Accent1 26 2 5 2" xfId="17350" xr:uid="{00000000-0005-0000-0000-00003E250000}"/>
    <cellStyle name="40% - Accent1 26 2 6" xfId="15356" xr:uid="{00000000-0005-0000-0000-00003F250000}"/>
    <cellStyle name="40% - Accent1 26 3" xfId="11047" xr:uid="{00000000-0005-0000-0000-000040250000}"/>
    <cellStyle name="40% - Accent1 26 3 2" xfId="22335" xr:uid="{00000000-0005-0000-0000-000041250000}"/>
    <cellStyle name="40% - Accent1 26 4" xfId="9053" xr:uid="{00000000-0005-0000-0000-000042250000}"/>
    <cellStyle name="40% - Accent1 26 4 2" xfId="20341" xr:uid="{00000000-0005-0000-0000-000043250000}"/>
    <cellStyle name="40% - Accent1 26 5" xfId="7059" xr:uid="{00000000-0005-0000-0000-000044250000}"/>
    <cellStyle name="40% - Accent1 26 5 2" xfId="18347" xr:uid="{00000000-0005-0000-0000-000045250000}"/>
    <cellStyle name="40% - Accent1 26 6" xfId="5065" xr:uid="{00000000-0005-0000-0000-000046250000}"/>
    <cellStyle name="40% - Accent1 26 6 2" xfId="16353" xr:uid="{00000000-0005-0000-0000-000047250000}"/>
    <cellStyle name="40% - Accent1 26 7" xfId="14359" xr:uid="{00000000-0005-0000-0000-000048250000}"/>
    <cellStyle name="40% - Accent1 26 8" xfId="13045" xr:uid="{00000000-0005-0000-0000-000049250000}"/>
    <cellStyle name="40% - Accent1 27" xfId="1110" xr:uid="{00000000-0005-0000-0000-00004A250000}"/>
    <cellStyle name="40% - Accent1 27 2" xfId="4066" xr:uid="{00000000-0005-0000-0000-00004B250000}"/>
    <cellStyle name="40% - Accent1 27 2 2" xfId="12045" xr:uid="{00000000-0005-0000-0000-00004C250000}"/>
    <cellStyle name="40% - Accent1 27 2 2 2" xfId="23333" xr:uid="{00000000-0005-0000-0000-00004D250000}"/>
    <cellStyle name="40% - Accent1 27 2 3" xfId="10051" xr:uid="{00000000-0005-0000-0000-00004E250000}"/>
    <cellStyle name="40% - Accent1 27 2 3 2" xfId="21339" xr:uid="{00000000-0005-0000-0000-00004F250000}"/>
    <cellStyle name="40% - Accent1 27 2 4" xfId="8057" xr:uid="{00000000-0005-0000-0000-000050250000}"/>
    <cellStyle name="40% - Accent1 27 2 4 2" xfId="19345" xr:uid="{00000000-0005-0000-0000-000051250000}"/>
    <cellStyle name="40% - Accent1 27 2 5" xfId="6063" xr:uid="{00000000-0005-0000-0000-000052250000}"/>
    <cellStyle name="40% - Accent1 27 2 5 2" xfId="17351" xr:uid="{00000000-0005-0000-0000-000053250000}"/>
    <cellStyle name="40% - Accent1 27 2 6" xfId="15357" xr:uid="{00000000-0005-0000-0000-000054250000}"/>
    <cellStyle name="40% - Accent1 27 3" xfId="11048" xr:uid="{00000000-0005-0000-0000-000055250000}"/>
    <cellStyle name="40% - Accent1 27 3 2" xfId="22336" xr:uid="{00000000-0005-0000-0000-000056250000}"/>
    <cellStyle name="40% - Accent1 27 4" xfId="9054" xr:uid="{00000000-0005-0000-0000-000057250000}"/>
    <cellStyle name="40% - Accent1 27 4 2" xfId="20342" xr:uid="{00000000-0005-0000-0000-000058250000}"/>
    <cellStyle name="40% - Accent1 27 5" xfId="7060" xr:uid="{00000000-0005-0000-0000-000059250000}"/>
    <cellStyle name="40% - Accent1 27 5 2" xfId="18348" xr:uid="{00000000-0005-0000-0000-00005A250000}"/>
    <cellStyle name="40% - Accent1 27 6" xfId="5066" xr:uid="{00000000-0005-0000-0000-00005B250000}"/>
    <cellStyle name="40% - Accent1 27 6 2" xfId="16354" xr:uid="{00000000-0005-0000-0000-00005C250000}"/>
    <cellStyle name="40% - Accent1 27 7" xfId="14360" xr:uid="{00000000-0005-0000-0000-00005D250000}"/>
    <cellStyle name="40% - Accent1 27 8" xfId="13046" xr:uid="{00000000-0005-0000-0000-00005E250000}"/>
    <cellStyle name="40% - Accent1 28" xfId="1111" xr:uid="{00000000-0005-0000-0000-00005F250000}"/>
    <cellStyle name="40% - Accent1 28 2" xfId="4067" xr:uid="{00000000-0005-0000-0000-000060250000}"/>
    <cellStyle name="40% - Accent1 28 2 2" xfId="12046" xr:uid="{00000000-0005-0000-0000-000061250000}"/>
    <cellStyle name="40% - Accent1 28 2 2 2" xfId="23334" xr:uid="{00000000-0005-0000-0000-000062250000}"/>
    <cellStyle name="40% - Accent1 28 2 3" xfId="10052" xr:uid="{00000000-0005-0000-0000-000063250000}"/>
    <cellStyle name="40% - Accent1 28 2 3 2" xfId="21340" xr:uid="{00000000-0005-0000-0000-000064250000}"/>
    <cellStyle name="40% - Accent1 28 2 4" xfId="8058" xr:uid="{00000000-0005-0000-0000-000065250000}"/>
    <cellStyle name="40% - Accent1 28 2 4 2" xfId="19346" xr:uid="{00000000-0005-0000-0000-000066250000}"/>
    <cellStyle name="40% - Accent1 28 2 5" xfId="6064" xr:uid="{00000000-0005-0000-0000-000067250000}"/>
    <cellStyle name="40% - Accent1 28 2 5 2" xfId="17352" xr:uid="{00000000-0005-0000-0000-000068250000}"/>
    <cellStyle name="40% - Accent1 28 2 6" xfId="15358" xr:uid="{00000000-0005-0000-0000-000069250000}"/>
    <cellStyle name="40% - Accent1 28 3" xfId="11049" xr:uid="{00000000-0005-0000-0000-00006A250000}"/>
    <cellStyle name="40% - Accent1 28 3 2" xfId="22337" xr:uid="{00000000-0005-0000-0000-00006B250000}"/>
    <cellStyle name="40% - Accent1 28 4" xfId="9055" xr:uid="{00000000-0005-0000-0000-00006C250000}"/>
    <cellStyle name="40% - Accent1 28 4 2" xfId="20343" xr:uid="{00000000-0005-0000-0000-00006D250000}"/>
    <cellStyle name="40% - Accent1 28 5" xfId="7061" xr:uid="{00000000-0005-0000-0000-00006E250000}"/>
    <cellStyle name="40% - Accent1 28 5 2" xfId="18349" xr:uid="{00000000-0005-0000-0000-00006F250000}"/>
    <cellStyle name="40% - Accent1 28 6" xfId="5067" xr:uid="{00000000-0005-0000-0000-000070250000}"/>
    <cellStyle name="40% - Accent1 28 6 2" xfId="16355" xr:uid="{00000000-0005-0000-0000-000071250000}"/>
    <cellStyle name="40% - Accent1 28 7" xfId="14361" xr:uid="{00000000-0005-0000-0000-000072250000}"/>
    <cellStyle name="40% - Accent1 28 8" xfId="13047" xr:uid="{00000000-0005-0000-0000-000073250000}"/>
    <cellStyle name="40% - Accent1 29" xfId="1112" xr:uid="{00000000-0005-0000-0000-000074250000}"/>
    <cellStyle name="40% - Accent1 29 2" xfId="4068" xr:uid="{00000000-0005-0000-0000-000075250000}"/>
    <cellStyle name="40% - Accent1 29 2 2" xfId="12047" xr:uid="{00000000-0005-0000-0000-000076250000}"/>
    <cellStyle name="40% - Accent1 29 2 2 2" xfId="23335" xr:uid="{00000000-0005-0000-0000-000077250000}"/>
    <cellStyle name="40% - Accent1 29 2 3" xfId="10053" xr:uid="{00000000-0005-0000-0000-000078250000}"/>
    <cellStyle name="40% - Accent1 29 2 3 2" xfId="21341" xr:uid="{00000000-0005-0000-0000-000079250000}"/>
    <cellStyle name="40% - Accent1 29 2 4" xfId="8059" xr:uid="{00000000-0005-0000-0000-00007A250000}"/>
    <cellStyle name="40% - Accent1 29 2 4 2" xfId="19347" xr:uid="{00000000-0005-0000-0000-00007B250000}"/>
    <cellStyle name="40% - Accent1 29 2 5" xfId="6065" xr:uid="{00000000-0005-0000-0000-00007C250000}"/>
    <cellStyle name="40% - Accent1 29 2 5 2" xfId="17353" xr:uid="{00000000-0005-0000-0000-00007D250000}"/>
    <cellStyle name="40% - Accent1 29 2 6" xfId="15359" xr:uid="{00000000-0005-0000-0000-00007E250000}"/>
    <cellStyle name="40% - Accent1 29 3" xfId="11050" xr:uid="{00000000-0005-0000-0000-00007F250000}"/>
    <cellStyle name="40% - Accent1 29 3 2" xfId="22338" xr:uid="{00000000-0005-0000-0000-000080250000}"/>
    <cellStyle name="40% - Accent1 29 4" xfId="9056" xr:uid="{00000000-0005-0000-0000-000081250000}"/>
    <cellStyle name="40% - Accent1 29 4 2" xfId="20344" xr:uid="{00000000-0005-0000-0000-000082250000}"/>
    <cellStyle name="40% - Accent1 29 5" xfId="7062" xr:uid="{00000000-0005-0000-0000-000083250000}"/>
    <cellStyle name="40% - Accent1 29 5 2" xfId="18350" xr:uid="{00000000-0005-0000-0000-000084250000}"/>
    <cellStyle name="40% - Accent1 29 6" xfId="5068" xr:uid="{00000000-0005-0000-0000-000085250000}"/>
    <cellStyle name="40% - Accent1 29 6 2" xfId="16356" xr:uid="{00000000-0005-0000-0000-000086250000}"/>
    <cellStyle name="40% - Accent1 29 7" xfId="14362" xr:uid="{00000000-0005-0000-0000-000087250000}"/>
    <cellStyle name="40% - Accent1 29 8" xfId="13048" xr:uid="{00000000-0005-0000-0000-000088250000}"/>
    <cellStyle name="40% - Accent1 3" xfId="1113" xr:uid="{00000000-0005-0000-0000-000089250000}"/>
    <cellStyle name="40% - Accent1 3 10" xfId="24596" xr:uid="{00000000-0005-0000-0000-00008A250000}"/>
    <cellStyle name="40% - Accent1 3 11" xfId="24986" xr:uid="{00000000-0005-0000-0000-00008B250000}"/>
    <cellStyle name="40% - Accent1 3 2" xfId="4069" xr:uid="{00000000-0005-0000-0000-00008C250000}"/>
    <cellStyle name="40% - Accent1 3 2 2" xfId="12048" xr:uid="{00000000-0005-0000-0000-00008D250000}"/>
    <cellStyle name="40% - Accent1 3 2 2 2" xfId="23336" xr:uid="{00000000-0005-0000-0000-00008E250000}"/>
    <cellStyle name="40% - Accent1 3 2 3" xfId="10054" xr:uid="{00000000-0005-0000-0000-00008F250000}"/>
    <cellStyle name="40% - Accent1 3 2 3 2" xfId="21342" xr:uid="{00000000-0005-0000-0000-000090250000}"/>
    <cellStyle name="40% - Accent1 3 2 4" xfId="8060" xr:uid="{00000000-0005-0000-0000-000091250000}"/>
    <cellStyle name="40% - Accent1 3 2 4 2" xfId="19348" xr:uid="{00000000-0005-0000-0000-000092250000}"/>
    <cellStyle name="40% - Accent1 3 2 5" xfId="6066" xr:uid="{00000000-0005-0000-0000-000093250000}"/>
    <cellStyle name="40% - Accent1 3 2 5 2" xfId="17354" xr:uid="{00000000-0005-0000-0000-000094250000}"/>
    <cellStyle name="40% - Accent1 3 2 6" xfId="15360" xr:uid="{00000000-0005-0000-0000-000095250000}"/>
    <cellStyle name="40% - Accent1 3 2 7" xfId="24357" xr:uid="{00000000-0005-0000-0000-000096250000}"/>
    <cellStyle name="40% - Accent1 3 2 8" xfId="24821" xr:uid="{00000000-0005-0000-0000-000097250000}"/>
    <cellStyle name="40% - Accent1 3 2 9" xfId="25188" xr:uid="{00000000-0005-0000-0000-000098250000}"/>
    <cellStyle name="40% - Accent1 3 3" xfId="11051" xr:uid="{00000000-0005-0000-0000-000099250000}"/>
    <cellStyle name="40% - Accent1 3 3 2" xfId="22339" xr:uid="{00000000-0005-0000-0000-00009A250000}"/>
    <cellStyle name="40% - Accent1 3 4" xfId="9057" xr:uid="{00000000-0005-0000-0000-00009B250000}"/>
    <cellStyle name="40% - Accent1 3 4 2" xfId="20345" xr:uid="{00000000-0005-0000-0000-00009C250000}"/>
    <cellStyle name="40% - Accent1 3 5" xfId="7063" xr:uid="{00000000-0005-0000-0000-00009D250000}"/>
    <cellStyle name="40% - Accent1 3 5 2" xfId="18351" xr:uid="{00000000-0005-0000-0000-00009E250000}"/>
    <cellStyle name="40% - Accent1 3 6" xfId="5069" xr:uid="{00000000-0005-0000-0000-00009F250000}"/>
    <cellStyle name="40% - Accent1 3 6 2" xfId="16357" xr:uid="{00000000-0005-0000-0000-0000A0250000}"/>
    <cellStyle name="40% - Accent1 3 7" xfId="14363" xr:uid="{00000000-0005-0000-0000-0000A1250000}"/>
    <cellStyle name="40% - Accent1 3 8" xfId="13049" xr:uid="{00000000-0005-0000-0000-0000A2250000}"/>
    <cellStyle name="40% - Accent1 3 9" xfId="23969" xr:uid="{00000000-0005-0000-0000-0000A3250000}"/>
    <cellStyle name="40% - Accent1 30" xfId="1114" xr:uid="{00000000-0005-0000-0000-0000A4250000}"/>
    <cellStyle name="40% - Accent1 30 2" xfId="4070" xr:uid="{00000000-0005-0000-0000-0000A5250000}"/>
    <cellStyle name="40% - Accent1 30 2 2" xfId="12049" xr:uid="{00000000-0005-0000-0000-0000A6250000}"/>
    <cellStyle name="40% - Accent1 30 2 2 2" xfId="23337" xr:uid="{00000000-0005-0000-0000-0000A7250000}"/>
    <cellStyle name="40% - Accent1 30 2 3" xfId="10055" xr:uid="{00000000-0005-0000-0000-0000A8250000}"/>
    <cellStyle name="40% - Accent1 30 2 3 2" xfId="21343" xr:uid="{00000000-0005-0000-0000-0000A9250000}"/>
    <cellStyle name="40% - Accent1 30 2 4" xfId="8061" xr:uid="{00000000-0005-0000-0000-0000AA250000}"/>
    <cellStyle name="40% - Accent1 30 2 4 2" xfId="19349" xr:uid="{00000000-0005-0000-0000-0000AB250000}"/>
    <cellStyle name="40% - Accent1 30 2 5" xfId="6067" xr:uid="{00000000-0005-0000-0000-0000AC250000}"/>
    <cellStyle name="40% - Accent1 30 2 5 2" xfId="17355" xr:uid="{00000000-0005-0000-0000-0000AD250000}"/>
    <cellStyle name="40% - Accent1 30 2 6" xfId="15361" xr:uid="{00000000-0005-0000-0000-0000AE250000}"/>
    <cellStyle name="40% - Accent1 30 3" xfId="11052" xr:uid="{00000000-0005-0000-0000-0000AF250000}"/>
    <cellStyle name="40% - Accent1 30 3 2" xfId="22340" xr:uid="{00000000-0005-0000-0000-0000B0250000}"/>
    <cellStyle name="40% - Accent1 30 4" xfId="9058" xr:uid="{00000000-0005-0000-0000-0000B1250000}"/>
    <cellStyle name="40% - Accent1 30 4 2" xfId="20346" xr:uid="{00000000-0005-0000-0000-0000B2250000}"/>
    <cellStyle name="40% - Accent1 30 5" xfId="7064" xr:uid="{00000000-0005-0000-0000-0000B3250000}"/>
    <cellStyle name="40% - Accent1 30 5 2" xfId="18352" xr:uid="{00000000-0005-0000-0000-0000B4250000}"/>
    <cellStyle name="40% - Accent1 30 6" xfId="5070" xr:uid="{00000000-0005-0000-0000-0000B5250000}"/>
    <cellStyle name="40% - Accent1 30 6 2" xfId="16358" xr:uid="{00000000-0005-0000-0000-0000B6250000}"/>
    <cellStyle name="40% - Accent1 30 7" xfId="14364" xr:uid="{00000000-0005-0000-0000-0000B7250000}"/>
    <cellStyle name="40% - Accent1 30 8" xfId="13050" xr:uid="{00000000-0005-0000-0000-0000B8250000}"/>
    <cellStyle name="40% - Accent1 31" xfId="1115" xr:uid="{00000000-0005-0000-0000-0000B9250000}"/>
    <cellStyle name="40% - Accent1 31 2" xfId="4071" xr:uid="{00000000-0005-0000-0000-0000BA250000}"/>
    <cellStyle name="40% - Accent1 31 2 2" xfId="12050" xr:uid="{00000000-0005-0000-0000-0000BB250000}"/>
    <cellStyle name="40% - Accent1 31 2 2 2" xfId="23338" xr:uid="{00000000-0005-0000-0000-0000BC250000}"/>
    <cellStyle name="40% - Accent1 31 2 3" xfId="10056" xr:uid="{00000000-0005-0000-0000-0000BD250000}"/>
    <cellStyle name="40% - Accent1 31 2 3 2" xfId="21344" xr:uid="{00000000-0005-0000-0000-0000BE250000}"/>
    <cellStyle name="40% - Accent1 31 2 4" xfId="8062" xr:uid="{00000000-0005-0000-0000-0000BF250000}"/>
    <cellStyle name="40% - Accent1 31 2 4 2" xfId="19350" xr:uid="{00000000-0005-0000-0000-0000C0250000}"/>
    <cellStyle name="40% - Accent1 31 2 5" xfId="6068" xr:uid="{00000000-0005-0000-0000-0000C1250000}"/>
    <cellStyle name="40% - Accent1 31 2 5 2" xfId="17356" xr:uid="{00000000-0005-0000-0000-0000C2250000}"/>
    <cellStyle name="40% - Accent1 31 2 6" xfId="15362" xr:uid="{00000000-0005-0000-0000-0000C3250000}"/>
    <cellStyle name="40% - Accent1 31 3" xfId="11053" xr:uid="{00000000-0005-0000-0000-0000C4250000}"/>
    <cellStyle name="40% - Accent1 31 3 2" xfId="22341" xr:uid="{00000000-0005-0000-0000-0000C5250000}"/>
    <cellStyle name="40% - Accent1 31 4" xfId="9059" xr:uid="{00000000-0005-0000-0000-0000C6250000}"/>
    <cellStyle name="40% - Accent1 31 4 2" xfId="20347" xr:uid="{00000000-0005-0000-0000-0000C7250000}"/>
    <cellStyle name="40% - Accent1 31 5" xfId="7065" xr:uid="{00000000-0005-0000-0000-0000C8250000}"/>
    <cellStyle name="40% - Accent1 31 5 2" xfId="18353" xr:uid="{00000000-0005-0000-0000-0000C9250000}"/>
    <cellStyle name="40% - Accent1 31 6" xfId="5071" xr:uid="{00000000-0005-0000-0000-0000CA250000}"/>
    <cellStyle name="40% - Accent1 31 6 2" xfId="16359" xr:uid="{00000000-0005-0000-0000-0000CB250000}"/>
    <cellStyle name="40% - Accent1 31 7" xfId="14365" xr:uid="{00000000-0005-0000-0000-0000CC250000}"/>
    <cellStyle name="40% - Accent1 31 8" xfId="13051" xr:uid="{00000000-0005-0000-0000-0000CD250000}"/>
    <cellStyle name="40% - Accent1 32" xfId="1116" xr:uid="{00000000-0005-0000-0000-0000CE250000}"/>
    <cellStyle name="40% - Accent1 32 2" xfId="4072" xr:uid="{00000000-0005-0000-0000-0000CF250000}"/>
    <cellStyle name="40% - Accent1 32 2 2" xfId="12051" xr:uid="{00000000-0005-0000-0000-0000D0250000}"/>
    <cellStyle name="40% - Accent1 32 2 2 2" xfId="23339" xr:uid="{00000000-0005-0000-0000-0000D1250000}"/>
    <cellStyle name="40% - Accent1 32 2 3" xfId="10057" xr:uid="{00000000-0005-0000-0000-0000D2250000}"/>
    <cellStyle name="40% - Accent1 32 2 3 2" xfId="21345" xr:uid="{00000000-0005-0000-0000-0000D3250000}"/>
    <cellStyle name="40% - Accent1 32 2 4" xfId="8063" xr:uid="{00000000-0005-0000-0000-0000D4250000}"/>
    <cellStyle name="40% - Accent1 32 2 4 2" xfId="19351" xr:uid="{00000000-0005-0000-0000-0000D5250000}"/>
    <cellStyle name="40% - Accent1 32 2 5" xfId="6069" xr:uid="{00000000-0005-0000-0000-0000D6250000}"/>
    <cellStyle name="40% - Accent1 32 2 5 2" xfId="17357" xr:uid="{00000000-0005-0000-0000-0000D7250000}"/>
    <cellStyle name="40% - Accent1 32 2 6" xfId="15363" xr:uid="{00000000-0005-0000-0000-0000D8250000}"/>
    <cellStyle name="40% - Accent1 32 3" xfId="11054" xr:uid="{00000000-0005-0000-0000-0000D9250000}"/>
    <cellStyle name="40% - Accent1 32 3 2" xfId="22342" xr:uid="{00000000-0005-0000-0000-0000DA250000}"/>
    <cellStyle name="40% - Accent1 32 4" xfId="9060" xr:uid="{00000000-0005-0000-0000-0000DB250000}"/>
    <cellStyle name="40% - Accent1 32 4 2" xfId="20348" xr:uid="{00000000-0005-0000-0000-0000DC250000}"/>
    <cellStyle name="40% - Accent1 32 5" xfId="7066" xr:uid="{00000000-0005-0000-0000-0000DD250000}"/>
    <cellStyle name="40% - Accent1 32 5 2" xfId="18354" xr:uid="{00000000-0005-0000-0000-0000DE250000}"/>
    <cellStyle name="40% - Accent1 32 6" xfId="5072" xr:uid="{00000000-0005-0000-0000-0000DF250000}"/>
    <cellStyle name="40% - Accent1 32 6 2" xfId="16360" xr:uid="{00000000-0005-0000-0000-0000E0250000}"/>
    <cellStyle name="40% - Accent1 32 7" xfId="14366" xr:uid="{00000000-0005-0000-0000-0000E1250000}"/>
    <cellStyle name="40% - Accent1 32 8" xfId="13052" xr:uid="{00000000-0005-0000-0000-0000E2250000}"/>
    <cellStyle name="40% - Accent1 33" xfId="1117" xr:uid="{00000000-0005-0000-0000-0000E3250000}"/>
    <cellStyle name="40% - Accent1 33 2" xfId="4073" xr:uid="{00000000-0005-0000-0000-0000E4250000}"/>
    <cellStyle name="40% - Accent1 33 2 2" xfId="12052" xr:uid="{00000000-0005-0000-0000-0000E5250000}"/>
    <cellStyle name="40% - Accent1 33 2 2 2" xfId="23340" xr:uid="{00000000-0005-0000-0000-0000E6250000}"/>
    <cellStyle name="40% - Accent1 33 2 3" xfId="10058" xr:uid="{00000000-0005-0000-0000-0000E7250000}"/>
    <cellStyle name="40% - Accent1 33 2 3 2" xfId="21346" xr:uid="{00000000-0005-0000-0000-0000E8250000}"/>
    <cellStyle name="40% - Accent1 33 2 4" xfId="8064" xr:uid="{00000000-0005-0000-0000-0000E9250000}"/>
    <cellStyle name="40% - Accent1 33 2 4 2" xfId="19352" xr:uid="{00000000-0005-0000-0000-0000EA250000}"/>
    <cellStyle name="40% - Accent1 33 2 5" xfId="6070" xr:uid="{00000000-0005-0000-0000-0000EB250000}"/>
    <cellStyle name="40% - Accent1 33 2 5 2" xfId="17358" xr:uid="{00000000-0005-0000-0000-0000EC250000}"/>
    <cellStyle name="40% - Accent1 33 2 6" xfId="15364" xr:uid="{00000000-0005-0000-0000-0000ED250000}"/>
    <cellStyle name="40% - Accent1 33 3" xfId="11055" xr:uid="{00000000-0005-0000-0000-0000EE250000}"/>
    <cellStyle name="40% - Accent1 33 3 2" xfId="22343" xr:uid="{00000000-0005-0000-0000-0000EF250000}"/>
    <cellStyle name="40% - Accent1 33 4" xfId="9061" xr:uid="{00000000-0005-0000-0000-0000F0250000}"/>
    <cellStyle name="40% - Accent1 33 4 2" xfId="20349" xr:uid="{00000000-0005-0000-0000-0000F1250000}"/>
    <cellStyle name="40% - Accent1 33 5" xfId="7067" xr:uid="{00000000-0005-0000-0000-0000F2250000}"/>
    <cellStyle name="40% - Accent1 33 5 2" xfId="18355" xr:uid="{00000000-0005-0000-0000-0000F3250000}"/>
    <cellStyle name="40% - Accent1 33 6" xfId="5073" xr:uid="{00000000-0005-0000-0000-0000F4250000}"/>
    <cellStyle name="40% - Accent1 33 6 2" xfId="16361" xr:uid="{00000000-0005-0000-0000-0000F5250000}"/>
    <cellStyle name="40% - Accent1 33 7" xfId="14367" xr:uid="{00000000-0005-0000-0000-0000F6250000}"/>
    <cellStyle name="40% - Accent1 33 8" xfId="13053" xr:uid="{00000000-0005-0000-0000-0000F7250000}"/>
    <cellStyle name="40% - Accent1 34" xfId="1118" xr:uid="{00000000-0005-0000-0000-0000F8250000}"/>
    <cellStyle name="40% - Accent1 34 2" xfId="4074" xr:uid="{00000000-0005-0000-0000-0000F9250000}"/>
    <cellStyle name="40% - Accent1 34 2 2" xfId="12053" xr:uid="{00000000-0005-0000-0000-0000FA250000}"/>
    <cellStyle name="40% - Accent1 34 2 2 2" xfId="23341" xr:uid="{00000000-0005-0000-0000-0000FB250000}"/>
    <cellStyle name="40% - Accent1 34 2 3" xfId="10059" xr:uid="{00000000-0005-0000-0000-0000FC250000}"/>
    <cellStyle name="40% - Accent1 34 2 3 2" xfId="21347" xr:uid="{00000000-0005-0000-0000-0000FD250000}"/>
    <cellStyle name="40% - Accent1 34 2 4" xfId="8065" xr:uid="{00000000-0005-0000-0000-0000FE250000}"/>
    <cellStyle name="40% - Accent1 34 2 4 2" xfId="19353" xr:uid="{00000000-0005-0000-0000-0000FF250000}"/>
    <cellStyle name="40% - Accent1 34 2 5" xfId="6071" xr:uid="{00000000-0005-0000-0000-000000260000}"/>
    <cellStyle name="40% - Accent1 34 2 5 2" xfId="17359" xr:uid="{00000000-0005-0000-0000-000001260000}"/>
    <cellStyle name="40% - Accent1 34 2 6" xfId="15365" xr:uid="{00000000-0005-0000-0000-000002260000}"/>
    <cellStyle name="40% - Accent1 34 3" xfId="11056" xr:uid="{00000000-0005-0000-0000-000003260000}"/>
    <cellStyle name="40% - Accent1 34 3 2" xfId="22344" xr:uid="{00000000-0005-0000-0000-000004260000}"/>
    <cellStyle name="40% - Accent1 34 4" xfId="9062" xr:uid="{00000000-0005-0000-0000-000005260000}"/>
    <cellStyle name="40% - Accent1 34 4 2" xfId="20350" xr:uid="{00000000-0005-0000-0000-000006260000}"/>
    <cellStyle name="40% - Accent1 34 5" xfId="7068" xr:uid="{00000000-0005-0000-0000-000007260000}"/>
    <cellStyle name="40% - Accent1 34 5 2" xfId="18356" xr:uid="{00000000-0005-0000-0000-000008260000}"/>
    <cellStyle name="40% - Accent1 34 6" xfId="5074" xr:uid="{00000000-0005-0000-0000-000009260000}"/>
    <cellStyle name="40% - Accent1 34 6 2" xfId="16362" xr:uid="{00000000-0005-0000-0000-00000A260000}"/>
    <cellStyle name="40% - Accent1 34 7" xfId="14368" xr:uid="{00000000-0005-0000-0000-00000B260000}"/>
    <cellStyle name="40% - Accent1 34 8" xfId="13054" xr:uid="{00000000-0005-0000-0000-00000C260000}"/>
    <cellStyle name="40% - Accent1 35" xfId="1119" xr:uid="{00000000-0005-0000-0000-00000D260000}"/>
    <cellStyle name="40% - Accent1 35 2" xfId="4075" xr:uid="{00000000-0005-0000-0000-00000E260000}"/>
    <cellStyle name="40% - Accent1 35 2 2" xfId="12054" xr:uid="{00000000-0005-0000-0000-00000F260000}"/>
    <cellStyle name="40% - Accent1 35 2 2 2" xfId="23342" xr:uid="{00000000-0005-0000-0000-000010260000}"/>
    <cellStyle name="40% - Accent1 35 2 3" xfId="10060" xr:uid="{00000000-0005-0000-0000-000011260000}"/>
    <cellStyle name="40% - Accent1 35 2 3 2" xfId="21348" xr:uid="{00000000-0005-0000-0000-000012260000}"/>
    <cellStyle name="40% - Accent1 35 2 4" xfId="8066" xr:uid="{00000000-0005-0000-0000-000013260000}"/>
    <cellStyle name="40% - Accent1 35 2 4 2" xfId="19354" xr:uid="{00000000-0005-0000-0000-000014260000}"/>
    <cellStyle name="40% - Accent1 35 2 5" xfId="6072" xr:uid="{00000000-0005-0000-0000-000015260000}"/>
    <cellStyle name="40% - Accent1 35 2 5 2" xfId="17360" xr:uid="{00000000-0005-0000-0000-000016260000}"/>
    <cellStyle name="40% - Accent1 35 2 6" xfId="15366" xr:uid="{00000000-0005-0000-0000-000017260000}"/>
    <cellStyle name="40% - Accent1 35 3" xfId="11057" xr:uid="{00000000-0005-0000-0000-000018260000}"/>
    <cellStyle name="40% - Accent1 35 3 2" xfId="22345" xr:uid="{00000000-0005-0000-0000-000019260000}"/>
    <cellStyle name="40% - Accent1 35 4" xfId="9063" xr:uid="{00000000-0005-0000-0000-00001A260000}"/>
    <cellStyle name="40% - Accent1 35 4 2" xfId="20351" xr:uid="{00000000-0005-0000-0000-00001B260000}"/>
    <cellStyle name="40% - Accent1 35 5" xfId="7069" xr:uid="{00000000-0005-0000-0000-00001C260000}"/>
    <cellStyle name="40% - Accent1 35 5 2" xfId="18357" xr:uid="{00000000-0005-0000-0000-00001D260000}"/>
    <cellStyle name="40% - Accent1 35 6" xfId="5075" xr:uid="{00000000-0005-0000-0000-00001E260000}"/>
    <cellStyle name="40% - Accent1 35 6 2" xfId="16363" xr:uid="{00000000-0005-0000-0000-00001F260000}"/>
    <cellStyle name="40% - Accent1 35 7" xfId="14369" xr:uid="{00000000-0005-0000-0000-000020260000}"/>
    <cellStyle name="40% - Accent1 35 8" xfId="13055" xr:uid="{00000000-0005-0000-0000-000021260000}"/>
    <cellStyle name="40% - Accent1 36" xfId="1120" xr:uid="{00000000-0005-0000-0000-000022260000}"/>
    <cellStyle name="40% - Accent1 36 2" xfId="4076" xr:uid="{00000000-0005-0000-0000-000023260000}"/>
    <cellStyle name="40% - Accent1 36 2 2" xfId="12055" xr:uid="{00000000-0005-0000-0000-000024260000}"/>
    <cellStyle name="40% - Accent1 36 2 2 2" xfId="23343" xr:uid="{00000000-0005-0000-0000-000025260000}"/>
    <cellStyle name="40% - Accent1 36 2 3" xfId="10061" xr:uid="{00000000-0005-0000-0000-000026260000}"/>
    <cellStyle name="40% - Accent1 36 2 3 2" xfId="21349" xr:uid="{00000000-0005-0000-0000-000027260000}"/>
    <cellStyle name="40% - Accent1 36 2 4" xfId="8067" xr:uid="{00000000-0005-0000-0000-000028260000}"/>
    <cellStyle name="40% - Accent1 36 2 4 2" xfId="19355" xr:uid="{00000000-0005-0000-0000-000029260000}"/>
    <cellStyle name="40% - Accent1 36 2 5" xfId="6073" xr:uid="{00000000-0005-0000-0000-00002A260000}"/>
    <cellStyle name="40% - Accent1 36 2 5 2" xfId="17361" xr:uid="{00000000-0005-0000-0000-00002B260000}"/>
    <cellStyle name="40% - Accent1 36 2 6" xfId="15367" xr:uid="{00000000-0005-0000-0000-00002C260000}"/>
    <cellStyle name="40% - Accent1 36 3" xfId="11058" xr:uid="{00000000-0005-0000-0000-00002D260000}"/>
    <cellStyle name="40% - Accent1 36 3 2" xfId="22346" xr:uid="{00000000-0005-0000-0000-00002E260000}"/>
    <cellStyle name="40% - Accent1 36 4" xfId="9064" xr:uid="{00000000-0005-0000-0000-00002F260000}"/>
    <cellStyle name="40% - Accent1 36 4 2" xfId="20352" xr:uid="{00000000-0005-0000-0000-000030260000}"/>
    <cellStyle name="40% - Accent1 36 5" xfId="7070" xr:uid="{00000000-0005-0000-0000-000031260000}"/>
    <cellStyle name="40% - Accent1 36 5 2" xfId="18358" xr:uid="{00000000-0005-0000-0000-000032260000}"/>
    <cellStyle name="40% - Accent1 36 6" xfId="5076" xr:uid="{00000000-0005-0000-0000-000033260000}"/>
    <cellStyle name="40% - Accent1 36 6 2" xfId="16364" xr:uid="{00000000-0005-0000-0000-000034260000}"/>
    <cellStyle name="40% - Accent1 36 7" xfId="14370" xr:uid="{00000000-0005-0000-0000-000035260000}"/>
    <cellStyle name="40% - Accent1 36 8" xfId="13056" xr:uid="{00000000-0005-0000-0000-000036260000}"/>
    <cellStyle name="40% - Accent1 37" xfId="1121" xr:uid="{00000000-0005-0000-0000-000037260000}"/>
    <cellStyle name="40% - Accent1 37 2" xfId="4077" xr:uid="{00000000-0005-0000-0000-000038260000}"/>
    <cellStyle name="40% - Accent1 37 2 2" xfId="12056" xr:uid="{00000000-0005-0000-0000-000039260000}"/>
    <cellStyle name="40% - Accent1 37 2 2 2" xfId="23344" xr:uid="{00000000-0005-0000-0000-00003A260000}"/>
    <cellStyle name="40% - Accent1 37 2 3" xfId="10062" xr:uid="{00000000-0005-0000-0000-00003B260000}"/>
    <cellStyle name="40% - Accent1 37 2 3 2" xfId="21350" xr:uid="{00000000-0005-0000-0000-00003C260000}"/>
    <cellStyle name="40% - Accent1 37 2 4" xfId="8068" xr:uid="{00000000-0005-0000-0000-00003D260000}"/>
    <cellStyle name="40% - Accent1 37 2 4 2" xfId="19356" xr:uid="{00000000-0005-0000-0000-00003E260000}"/>
    <cellStyle name="40% - Accent1 37 2 5" xfId="6074" xr:uid="{00000000-0005-0000-0000-00003F260000}"/>
    <cellStyle name="40% - Accent1 37 2 5 2" xfId="17362" xr:uid="{00000000-0005-0000-0000-000040260000}"/>
    <cellStyle name="40% - Accent1 37 2 6" xfId="15368" xr:uid="{00000000-0005-0000-0000-000041260000}"/>
    <cellStyle name="40% - Accent1 37 3" xfId="11059" xr:uid="{00000000-0005-0000-0000-000042260000}"/>
    <cellStyle name="40% - Accent1 37 3 2" xfId="22347" xr:uid="{00000000-0005-0000-0000-000043260000}"/>
    <cellStyle name="40% - Accent1 37 4" xfId="9065" xr:uid="{00000000-0005-0000-0000-000044260000}"/>
    <cellStyle name="40% - Accent1 37 4 2" xfId="20353" xr:uid="{00000000-0005-0000-0000-000045260000}"/>
    <cellStyle name="40% - Accent1 37 5" xfId="7071" xr:uid="{00000000-0005-0000-0000-000046260000}"/>
    <cellStyle name="40% - Accent1 37 5 2" xfId="18359" xr:uid="{00000000-0005-0000-0000-000047260000}"/>
    <cellStyle name="40% - Accent1 37 6" xfId="5077" xr:uid="{00000000-0005-0000-0000-000048260000}"/>
    <cellStyle name="40% - Accent1 37 6 2" xfId="16365" xr:uid="{00000000-0005-0000-0000-000049260000}"/>
    <cellStyle name="40% - Accent1 37 7" xfId="14371" xr:uid="{00000000-0005-0000-0000-00004A260000}"/>
    <cellStyle name="40% - Accent1 37 8" xfId="13057" xr:uid="{00000000-0005-0000-0000-00004B260000}"/>
    <cellStyle name="40% - Accent1 38" xfId="1122" xr:uid="{00000000-0005-0000-0000-00004C260000}"/>
    <cellStyle name="40% - Accent1 38 2" xfId="4078" xr:uid="{00000000-0005-0000-0000-00004D260000}"/>
    <cellStyle name="40% - Accent1 38 2 2" xfId="12057" xr:uid="{00000000-0005-0000-0000-00004E260000}"/>
    <cellStyle name="40% - Accent1 38 2 2 2" xfId="23345" xr:uid="{00000000-0005-0000-0000-00004F260000}"/>
    <cellStyle name="40% - Accent1 38 2 3" xfId="10063" xr:uid="{00000000-0005-0000-0000-000050260000}"/>
    <cellStyle name="40% - Accent1 38 2 3 2" xfId="21351" xr:uid="{00000000-0005-0000-0000-000051260000}"/>
    <cellStyle name="40% - Accent1 38 2 4" xfId="8069" xr:uid="{00000000-0005-0000-0000-000052260000}"/>
    <cellStyle name="40% - Accent1 38 2 4 2" xfId="19357" xr:uid="{00000000-0005-0000-0000-000053260000}"/>
    <cellStyle name="40% - Accent1 38 2 5" xfId="6075" xr:uid="{00000000-0005-0000-0000-000054260000}"/>
    <cellStyle name="40% - Accent1 38 2 5 2" xfId="17363" xr:uid="{00000000-0005-0000-0000-000055260000}"/>
    <cellStyle name="40% - Accent1 38 2 6" xfId="15369" xr:uid="{00000000-0005-0000-0000-000056260000}"/>
    <cellStyle name="40% - Accent1 38 3" xfId="11060" xr:uid="{00000000-0005-0000-0000-000057260000}"/>
    <cellStyle name="40% - Accent1 38 3 2" xfId="22348" xr:uid="{00000000-0005-0000-0000-000058260000}"/>
    <cellStyle name="40% - Accent1 38 4" xfId="9066" xr:uid="{00000000-0005-0000-0000-000059260000}"/>
    <cellStyle name="40% - Accent1 38 4 2" xfId="20354" xr:uid="{00000000-0005-0000-0000-00005A260000}"/>
    <cellStyle name="40% - Accent1 38 5" xfId="7072" xr:uid="{00000000-0005-0000-0000-00005B260000}"/>
    <cellStyle name="40% - Accent1 38 5 2" xfId="18360" xr:uid="{00000000-0005-0000-0000-00005C260000}"/>
    <cellStyle name="40% - Accent1 38 6" xfId="5078" xr:uid="{00000000-0005-0000-0000-00005D260000}"/>
    <cellStyle name="40% - Accent1 38 6 2" xfId="16366" xr:uid="{00000000-0005-0000-0000-00005E260000}"/>
    <cellStyle name="40% - Accent1 38 7" xfId="14372" xr:uid="{00000000-0005-0000-0000-00005F260000}"/>
    <cellStyle name="40% - Accent1 38 8" xfId="13058" xr:uid="{00000000-0005-0000-0000-000060260000}"/>
    <cellStyle name="40% - Accent1 39" xfId="1123" xr:uid="{00000000-0005-0000-0000-000061260000}"/>
    <cellStyle name="40% - Accent1 39 2" xfId="4079" xr:uid="{00000000-0005-0000-0000-000062260000}"/>
    <cellStyle name="40% - Accent1 39 2 2" xfId="12058" xr:uid="{00000000-0005-0000-0000-000063260000}"/>
    <cellStyle name="40% - Accent1 39 2 2 2" xfId="23346" xr:uid="{00000000-0005-0000-0000-000064260000}"/>
    <cellStyle name="40% - Accent1 39 2 3" xfId="10064" xr:uid="{00000000-0005-0000-0000-000065260000}"/>
    <cellStyle name="40% - Accent1 39 2 3 2" xfId="21352" xr:uid="{00000000-0005-0000-0000-000066260000}"/>
    <cellStyle name="40% - Accent1 39 2 4" xfId="8070" xr:uid="{00000000-0005-0000-0000-000067260000}"/>
    <cellStyle name="40% - Accent1 39 2 4 2" xfId="19358" xr:uid="{00000000-0005-0000-0000-000068260000}"/>
    <cellStyle name="40% - Accent1 39 2 5" xfId="6076" xr:uid="{00000000-0005-0000-0000-000069260000}"/>
    <cellStyle name="40% - Accent1 39 2 5 2" xfId="17364" xr:uid="{00000000-0005-0000-0000-00006A260000}"/>
    <cellStyle name="40% - Accent1 39 2 6" xfId="15370" xr:uid="{00000000-0005-0000-0000-00006B260000}"/>
    <cellStyle name="40% - Accent1 39 3" xfId="11061" xr:uid="{00000000-0005-0000-0000-00006C260000}"/>
    <cellStyle name="40% - Accent1 39 3 2" xfId="22349" xr:uid="{00000000-0005-0000-0000-00006D260000}"/>
    <cellStyle name="40% - Accent1 39 4" xfId="9067" xr:uid="{00000000-0005-0000-0000-00006E260000}"/>
    <cellStyle name="40% - Accent1 39 4 2" xfId="20355" xr:uid="{00000000-0005-0000-0000-00006F260000}"/>
    <cellStyle name="40% - Accent1 39 5" xfId="7073" xr:uid="{00000000-0005-0000-0000-000070260000}"/>
    <cellStyle name="40% - Accent1 39 5 2" xfId="18361" xr:uid="{00000000-0005-0000-0000-000071260000}"/>
    <cellStyle name="40% - Accent1 39 6" xfId="5079" xr:uid="{00000000-0005-0000-0000-000072260000}"/>
    <cellStyle name="40% - Accent1 39 6 2" xfId="16367" xr:uid="{00000000-0005-0000-0000-000073260000}"/>
    <cellStyle name="40% - Accent1 39 7" xfId="14373" xr:uid="{00000000-0005-0000-0000-000074260000}"/>
    <cellStyle name="40% - Accent1 39 8" xfId="13059" xr:uid="{00000000-0005-0000-0000-000075260000}"/>
    <cellStyle name="40% - Accent1 4" xfId="1124" xr:uid="{00000000-0005-0000-0000-000076260000}"/>
    <cellStyle name="40% - Accent1 4 10" xfId="24597" xr:uid="{00000000-0005-0000-0000-000077260000}"/>
    <cellStyle name="40% - Accent1 4 11" xfId="24987" xr:uid="{00000000-0005-0000-0000-000078260000}"/>
    <cellStyle name="40% - Accent1 4 2" xfId="4080" xr:uid="{00000000-0005-0000-0000-000079260000}"/>
    <cellStyle name="40% - Accent1 4 2 2" xfId="12059" xr:uid="{00000000-0005-0000-0000-00007A260000}"/>
    <cellStyle name="40% - Accent1 4 2 2 2" xfId="23347" xr:uid="{00000000-0005-0000-0000-00007B260000}"/>
    <cellStyle name="40% - Accent1 4 2 3" xfId="10065" xr:uid="{00000000-0005-0000-0000-00007C260000}"/>
    <cellStyle name="40% - Accent1 4 2 3 2" xfId="21353" xr:uid="{00000000-0005-0000-0000-00007D260000}"/>
    <cellStyle name="40% - Accent1 4 2 4" xfId="8071" xr:uid="{00000000-0005-0000-0000-00007E260000}"/>
    <cellStyle name="40% - Accent1 4 2 4 2" xfId="19359" xr:uid="{00000000-0005-0000-0000-00007F260000}"/>
    <cellStyle name="40% - Accent1 4 2 5" xfId="6077" xr:uid="{00000000-0005-0000-0000-000080260000}"/>
    <cellStyle name="40% - Accent1 4 2 5 2" xfId="17365" xr:uid="{00000000-0005-0000-0000-000081260000}"/>
    <cellStyle name="40% - Accent1 4 2 6" xfId="15371" xr:uid="{00000000-0005-0000-0000-000082260000}"/>
    <cellStyle name="40% - Accent1 4 2 7" xfId="24358" xr:uid="{00000000-0005-0000-0000-000083260000}"/>
    <cellStyle name="40% - Accent1 4 2 8" xfId="24822" xr:uid="{00000000-0005-0000-0000-000084260000}"/>
    <cellStyle name="40% - Accent1 4 2 9" xfId="25189" xr:uid="{00000000-0005-0000-0000-000085260000}"/>
    <cellStyle name="40% - Accent1 4 3" xfId="11062" xr:uid="{00000000-0005-0000-0000-000086260000}"/>
    <cellStyle name="40% - Accent1 4 3 2" xfId="22350" xr:uid="{00000000-0005-0000-0000-000087260000}"/>
    <cellStyle name="40% - Accent1 4 4" xfId="9068" xr:uid="{00000000-0005-0000-0000-000088260000}"/>
    <cellStyle name="40% - Accent1 4 4 2" xfId="20356" xr:uid="{00000000-0005-0000-0000-000089260000}"/>
    <cellStyle name="40% - Accent1 4 5" xfId="7074" xr:uid="{00000000-0005-0000-0000-00008A260000}"/>
    <cellStyle name="40% - Accent1 4 5 2" xfId="18362" xr:uid="{00000000-0005-0000-0000-00008B260000}"/>
    <cellStyle name="40% - Accent1 4 6" xfId="5080" xr:uid="{00000000-0005-0000-0000-00008C260000}"/>
    <cellStyle name="40% - Accent1 4 6 2" xfId="16368" xr:uid="{00000000-0005-0000-0000-00008D260000}"/>
    <cellStyle name="40% - Accent1 4 7" xfId="14374" xr:uid="{00000000-0005-0000-0000-00008E260000}"/>
    <cellStyle name="40% - Accent1 4 8" xfId="13060" xr:uid="{00000000-0005-0000-0000-00008F260000}"/>
    <cellStyle name="40% - Accent1 4 9" xfId="23970" xr:uid="{00000000-0005-0000-0000-000090260000}"/>
    <cellStyle name="40% - Accent1 40" xfId="1125" xr:uid="{00000000-0005-0000-0000-000091260000}"/>
    <cellStyle name="40% - Accent1 40 2" xfId="4081" xr:uid="{00000000-0005-0000-0000-000092260000}"/>
    <cellStyle name="40% - Accent1 40 2 2" xfId="12060" xr:uid="{00000000-0005-0000-0000-000093260000}"/>
    <cellStyle name="40% - Accent1 40 2 2 2" xfId="23348" xr:uid="{00000000-0005-0000-0000-000094260000}"/>
    <cellStyle name="40% - Accent1 40 2 3" xfId="10066" xr:uid="{00000000-0005-0000-0000-000095260000}"/>
    <cellStyle name="40% - Accent1 40 2 3 2" xfId="21354" xr:uid="{00000000-0005-0000-0000-000096260000}"/>
    <cellStyle name="40% - Accent1 40 2 4" xfId="8072" xr:uid="{00000000-0005-0000-0000-000097260000}"/>
    <cellStyle name="40% - Accent1 40 2 4 2" xfId="19360" xr:uid="{00000000-0005-0000-0000-000098260000}"/>
    <cellStyle name="40% - Accent1 40 2 5" xfId="6078" xr:uid="{00000000-0005-0000-0000-000099260000}"/>
    <cellStyle name="40% - Accent1 40 2 5 2" xfId="17366" xr:uid="{00000000-0005-0000-0000-00009A260000}"/>
    <cellStyle name="40% - Accent1 40 2 6" xfId="15372" xr:uid="{00000000-0005-0000-0000-00009B260000}"/>
    <cellStyle name="40% - Accent1 40 3" xfId="11063" xr:uid="{00000000-0005-0000-0000-00009C260000}"/>
    <cellStyle name="40% - Accent1 40 3 2" xfId="22351" xr:uid="{00000000-0005-0000-0000-00009D260000}"/>
    <cellStyle name="40% - Accent1 40 4" xfId="9069" xr:uid="{00000000-0005-0000-0000-00009E260000}"/>
    <cellStyle name="40% - Accent1 40 4 2" xfId="20357" xr:uid="{00000000-0005-0000-0000-00009F260000}"/>
    <cellStyle name="40% - Accent1 40 5" xfId="7075" xr:uid="{00000000-0005-0000-0000-0000A0260000}"/>
    <cellStyle name="40% - Accent1 40 5 2" xfId="18363" xr:uid="{00000000-0005-0000-0000-0000A1260000}"/>
    <cellStyle name="40% - Accent1 40 6" xfId="5081" xr:uid="{00000000-0005-0000-0000-0000A2260000}"/>
    <cellStyle name="40% - Accent1 40 6 2" xfId="16369" xr:uid="{00000000-0005-0000-0000-0000A3260000}"/>
    <cellStyle name="40% - Accent1 40 7" xfId="14375" xr:uid="{00000000-0005-0000-0000-0000A4260000}"/>
    <cellStyle name="40% - Accent1 40 8" xfId="13061" xr:uid="{00000000-0005-0000-0000-0000A5260000}"/>
    <cellStyle name="40% - Accent1 41" xfId="1126" xr:uid="{00000000-0005-0000-0000-0000A6260000}"/>
    <cellStyle name="40% - Accent1 41 2" xfId="4082" xr:uid="{00000000-0005-0000-0000-0000A7260000}"/>
    <cellStyle name="40% - Accent1 41 2 2" xfId="12061" xr:uid="{00000000-0005-0000-0000-0000A8260000}"/>
    <cellStyle name="40% - Accent1 41 2 2 2" xfId="23349" xr:uid="{00000000-0005-0000-0000-0000A9260000}"/>
    <cellStyle name="40% - Accent1 41 2 3" xfId="10067" xr:uid="{00000000-0005-0000-0000-0000AA260000}"/>
    <cellStyle name="40% - Accent1 41 2 3 2" xfId="21355" xr:uid="{00000000-0005-0000-0000-0000AB260000}"/>
    <cellStyle name="40% - Accent1 41 2 4" xfId="8073" xr:uid="{00000000-0005-0000-0000-0000AC260000}"/>
    <cellStyle name="40% - Accent1 41 2 4 2" xfId="19361" xr:uid="{00000000-0005-0000-0000-0000AD260000}"/>
    <cellStyle name="40% - Accent1 41 2 5" xfId="6079" xr:uid="{00000000-0005-0000-0000-0000AE260000}"/>
    <cellStyle name="40% - Accent1 41 2 5 2" xfId="17367" xr:uid="{00000000-0005-0000-0000-0000AF260000}"/>
    <cellStyle name="40% - Accent1 41 2 6" xfId="15373" xr:uid="{00000000-0005-0000-0000-0000B0260000}"/>
    <cellStyle name="40% - Accent1 41 3" xfId="11064" xr:uid="{00000000-0005-0000-0000-0000B1260000}"/>
    <cellStyle name="40% - Accent1 41 3 2" xfId="22352" xr:uid="{00000000-0005-0000-0000-0000B2260000}"/>
    <cellStyle name="40% - Accent1 41 4" xfId="9070" xr:uid="{00000000-0005-0000-0000-0000B3260000}"/>
    <cellStyle name="40% - Accent1 41 4 2" xfId="20358" xr:uid="{00000000-0005-0000-0000-0000B4260000}"/>
    <cellStyle name="40% - Accent1 41 5" xfId="7076" xr:uid="{00000000-0005-0000-0000-0000B5260000}"/>
    <cellStyle name="40% - Accent1 41 5 2" xfId="18364" xr:uid="{00000000-0005-0000-0000-0000B6260000}"/>
    <cellStyle name="40% - Accent1 41 6" xfId="5082" xr:uid="{00000000-0005-0000-0000-0000B7260000}"/>
    <cellStyle name="40% - Accent1 41 6 2" xfId="16370" xr:uid="{00000000-0005-0000-0000-0000B8260000}"/>
    <cellStyle name="40% - Accent1 41 7" xfId="14376" xr:uid="{00000000-0005-0000-0000-0000B9260000}"/>
    <cellStyle name="40% - Accent1 41 8" xfId="13062" xr:uid="{00000000-0005-0000-0000-0000BA260000}"/>
    <cellStyle name="40% - Accent1 42" xfId="1127" xr:uid="{00000000-0005-0000-0000-0000BB260000}"/>
    <cellStyle name="40% - Accent1 42 2" xfId="4083" xr:uid="{00000000-0005-0000-0000-0000BC260000}"/>
    <cellStyle name="40% - Accent1 42 2 2" xfId="12062" xr:uid="{00000000-0005-0000-0000-0000BD260000}"/>
    <cellStyle name="40% - Accent1 42 2 2 2" xfId="23350" xr:uid="{00000000-0005-0000-0000-0000BE260000}"/>
    <cellStyle name="40% - Accent1 42 2 3" xfId="10068" xr:uid="{00000000-0005-0000-0000-0000BF260000}"/>
    <cellStyle name="40% - Accent1 42 2 3 2" xfId="21356" xr:uid="{00000000-0005-0000-0000-0000C0260000}"/>
    <cellStyle name="40% - Accent1 42 2 4" xfId="8074" xr:uid="{00000000-0005-0000-0000-0000C1260000}"/>
    <cellStyle name="40% - Accent1 42 2 4 2" xfId="19362" xr:uid="{00000000-0005-0000-0000-0000C2260000}"/>
    <cellStyle name="40% - Accent1 42 2 5" xfId="6080" xr:uid="{00000000-0005-0000-0000-0000C3260000}"/>
    <cellStyle name="40% - Accent1 42 2 5 2" xfId="17368" xr:uid="{00000000-0005-0000-0000-0000C4260000}"/>
    <cellStyle name="40% - Accent1 42 2 6" xfId="15374" xr:uid="{00000000-0005-0000-0000-0000C5260000}"/>
    <cellStyle name="40% - Accent1 42 3" xfId="11065" xr:uid="{00000000-0005-0000-0000-0000C6260000}"/>
    <cellStyle name="40% - Accent1 42 3 2" xfId="22353" xr:uid="{00000000-0005-0000-0000-0000C7260000}"/>
    <cellStyle name="40% - Accent1 42 4" xfId="9071" xr:uid="{00000000-0005-0000-0000-0000C8260000}"/>
    <cellStyle name="40% - Accent1 42 4 2" xfId="20359" xr:uid="{00000000-0005-0000-0000-0000C9260000}"/>
    <cellStyle name="40% - Accent1 42 5" xfId="7077" xr:uid="{00000000-0005-0000-0000-0000CA260000}"/>
    <cellStyle name="40% - Accent1 42 5 2" xfId="18365" xr:uid="{00000000-0005-0000-0000-0000CB260000}"/>
    <cellStyle name="40% - Accent1 42 6" xfId="5083" xr:uid="{00000000-0005-0000-0000-0000CC260000}"/>
    <cellStyle name="40% - Accent1 42 6 2" xfId="16371" xr:uid="{00000000-0005-0000-0000-0000CD260000}"/>
    <cellStyle name="40% - Accent1 42 7" xfId="14377" xr:uid="{00000000-0005-0000-0000-0000CE260000}"/>
    <cellStyle name="40% - Accent1 42 8" xfId="13063" xr:uid="{00000000-0005-0000-0000-0000CF260000}"/>
    <cellStyle name="40% - Accent1 43" xfId="1128" xr:uid="{00000000-0005-0000-0000-0000D0260000}"/>
    <cellStyle name="40% - Accent1 43 2" xfId="4084" xr:uid="{00000000-0005-0000-0000-0000D1260000}"/>
    <cellStyle name="40% - Accent1 43 2 2" xfId="12063" xr:uid="{00000000-0005-0000-0000-0000D2260000}"/>
    <cellStyle name="40% - Accent1 43 2 2 2" xfId="23351" xr:uid="{00000000-0005-0000-0000-0000D3260000}"/>
    <cellStyle name="40% - Accent1 43 2 3" xfId="10069" xr:uid="{00000000-0005-0000-0000-0000D4260000}"/>
    <cellStyle name="40% - Accent1 43 2 3 2" xfId="21357" xr:uid="{00000000-0005-0000-0000-0000D5260000}"/>
    <cellStyle name="40% - Accent1 43 2 4" xfId="8075" xr:uid="{00000000-0005-0000-0000-0000D6260000}"/>
    <cellStyle name="40% - Accent1 43 2 4 2" xfId="19363" xr:uid="{00000000-0005-0000-0000-0000D7260000}"/>
    <cellStyle name="40% - Accent1 43 2 5" xfId="6081" xr:uid="{00000000-0005-0000-0000-0000D8260000}"/>
    <cellStyle name="40% - Accent1 43 2 5 2" xfId="17369" xr:uid="{00000000-0005-0000-0000-0000D9260000}"/>
    <cellStyle name="40% - Accent1 43 2 6" xfId="15375" xr:uid="{00000000-0005-0000-0000-0000DA260000}"/>
    <cellStyle name="40% - Accent1 43 3" xfId="11066" xr:uid="{00000000-0005-0000-0000-0000DB260000}"/>
    <cellStyle name="40% - Accent1 43 3 2" xfId="22354" xr:uid="{00000000-0005-0000-0000-0000DC260000}"/>
    <cellStyle name="40% - Accent1 43 4" xfId="9072" xr:uid="{00000000-0005-0000-0000-0000DD260000}"/>
    <cellStyle name="40% - Accent1 43 4 2" xfId="20360" xr:uid="{00000000-0005-0000-0000-0000DE260000}"/>
    <cellStyle name="40% - Accent1 43 5" xfId="7078" xr:uid="{00000000-0005-0000-0000-0000DF260000}"/>
    <cellStyle name="40% - Accent1 43 5 2" xfId="18366" xr:uid="{00000000-0005-0000-0000-0000E0260000}"/>
    <cellStyle name="40% - Accent1 43 6" xfId="5084" xr:uid="{00000000-0005-0000-0000-0000E1260000}"/>
    <cellStyle name="40% - Accent1 43 6 2" xfId="16372" xr:uid="{00000000-0005-0000-0000-0000E2260000}"/>
    <cellStyle name="40% - Accent1 43 7" xfId="14378" xr:uid="{00000000-0005-0000-0000-0000E3260000}"/>
    <cellStyle name="40% - Accent1 43 8" xfId="13064" xr:uid="{00000000-0005-0000-0000-0000E4260000}"/>
    <cellStyle name="40% - Accent1 44" xfId="1129" xr:uid="{00000000-0005-0000-0000-0000E5260000}"/>
    <cellStyle name="40% - Accent1 44 2" xfId="4085" xr:uid="{00000000-0005-0000-0000-0000E6260000}"/>
    <cellStyle name="40% - Accent1 44 2 2" xfId="12064" xr:uid="{00000000-0005-0000-0000-0000E7260000}"/>
    <cellStyle name="40% - Accent1 44 2 2 2" xfId="23352" xr:uid="{00000000-0005-0000-0000-0000E8260000}"/>
    <cellStyle name="40% - Accent1 44 2 3" xfId="10070" xr:uid="{00000000-0005-0000-0000-0000E9260000}"/>
    <cellStyle name="40% - Accent1 44 2 3 2" xfId="21358" xr:uid="{00000000-0005-0000-0000-0000EA260000}"/>
    <cellStyle name="40% - Accent1 44 2 4" xfId="8076" xr:uid="{00000000-0005-0000-0000-0000EB260000}"/>
    <cellStyle name="40% - Accent1 44 2 4 2" xfId="19364" xr:uid="{00000000-0005-0000-0000-0000EC260000}"/>
    <cellStyle name="40% - Accent1 44 2 5" xfId="6082" xr:uid="{00000000-0005-0000-0000-0000ED260000}"/>
    <cellStyle name="40% - Accent1 44 2 5 2" xfId="17370" xr:uid="{00000000-0005-0000-0000-0000EE260000}"/>
    <cellStyle name="40% - Accent1 44 2 6" xfId="15376" xr:uid="{00000000-0005-0000-0000-0000EF260000}"/>
    <cellStyle name="40% - Accent1 44 3" xfId="11067" xr:uid="{00000000-0005-0000-0000-0000F0260000}"/>
    <cellStyle name="40% - Accent1 44 3 2" xfId="22355" xr:uid="{00000000-0005-0000-0000-0000F1260000}"/>
    <cellStyle name="40% - Accent1 44 4" xfId="9073" xr:uid="{00000000-0005-0000-0000-0000F2260000}"/>
    <cellStyle name="40% - Accent1 44 4 2" xfId="20361" xr:uid="{00000000-0005-0000-0000-0000F3260000}"/>
    <cellStyle name="40% - Accent1 44 5" xfId="7079" xr:uid="{00000000-0005-0000-0000-0000F4260000}"/>
    <cellStyle name="40% - Accent1 44 5 2" xfId="18367" xr:uid="{00000000-0005-0000-0000-0000F5260000}"/>
    <cellStyle name="40% - Accent1 44 6" xfId="5085" xr:uid="{00000000-0005-0000-0000-0000F6260000}"/>
    <cellStyle name="40% - Accent1 44 6 2" xfId="16373" xr:uid="{00000000-0005-0000-0000-0000F7260000}"/>
    <cellStyle name="40% - Accent1 44 7" xfId="14379" xr:uid="{00000000-0005-0000-0000-0000F8260000}"/>
    <cellStyle name="40% - Accent1 44 8" xfId="13065" xr:uid="{00000000-0005-0000-0000-0000F9260000}"/>
    <cellStyle name="40% - Accent1 45" xfId="1130" xr:uid="{00000000-0005-0000-0000-0000FA260000}"/>
    <cellStyle name="40% - Accent1 45 2" xfId="4086" xr:uid="{00000000-0005-0000-0000-0000FB260000}"/>
    <cellStyle name="40% - Accent1 45 2 2" xfId="12065" xr:uid="{00000000-0005-0000-0000-0000FC260000}"/>
    <cellStyle name="40% - Accent1 45 2 2 2" xfId="23353" xr:uid="{00000000-0005-0000-0000-0000FD260000}"/>
    <cellStyle name="40% - Accent1 45 2 3" xfId="10071" xr:uid="{00000000-0005-0000-0000-0000FE260000}"/>
    <cellStyle name="40% - Accent1 45 2 3 2" xfId="21359" xr:uid="{00000000-0005-0000-0000-0000FF260000}"/>
    <cellStyle name="40% - Accent1 45 2 4" xfId="8077" xr:uid="{00000000-0005-0000-0000-000000270000}"/>
    <cellStyle name="40% - Accent1 45 2 4 2" xfId="19365" xr:uid="{00000000-0005-0000-0000-000001270000}"/>
    <cellStyle name="40% - Accent1 45 2 5" xfId="6083" xr:uid="{00000000-0005-0000-0000-000002270000}"/>
    <cellStyle name="40% - Accent1 45 2 5 2" xfId="17371" xr:uid="{00000000-0005-0000-0000-000003270000}"/>
    <cellStyle name="40% - Accent1 45 2 6" xfId="15377" xr:uid="{00000000-0005-0000-0000-000004270000}"/>
    <cellStyle name="40% - Accent1 45 3" xfId="11068" xr:uid="{00000000-0005-0000-0000-000005270000}"/>
    <cellStyle name="40% - Accent1 45 3 2" xfId="22356" xr:uid="{00000000-0005-0000-0000-000006270000}"/>
    <cellStyle name="40% - Accent1 45 4" xfId="9074" xr:uid="{00000000-0005-0000-0000-000007270000}"/>
    <cellStyle name="40% - Accent1 45 4 2" xfId="20362" xr:uid="{00000000-0005-0000-0000-000008270000}"/>
    <cellStyle name="40% - Accent1 45 5" xfId="7080" xr:uid="{00000000-0005-0000-0000-000009270000}"/>
    <cellStyle name="40% - Accent1 45 5 2" xfId="18368" xr:uid="{00000000-0005-0000-0000-00000A270000}"/>
    <cellStyle name="40% - Accent1 45 6" xfId="5086" xr:uid="{00000000-0005-0000-0000-00000B270000}"/>
    <cellStyle name="40% - Accent1 45 6 2" xfId="16374" xr:uid="{00000000-0005-0000-0000-00000C270000}"/>
    <cellStyle name="40% - Accent1 45 7" xfId="14380" xr:uid="{00000000-0005-0000-0000-00000D270000}"/>
    <cellStyle name="40% - Accent1 45 8" xfId="13066" xr:uid="{00000000-0005-0000-0000-00000E270000}"/>
    <cellStyle name="40% - Accent1 46" xfId="1131" xr:uid="{00000000-0005-0000-0000-00000F270000}"/>
    <cellStyle name="40% - Accent1 46 2" xfId="4087" xr:uid="{00000000-0005-0000-0000-000010270000}"/>
    <cellStyle name="40% - Accent1 46 2 2" xfId="12066" xr:uid="{00000000-0005-0000-0000-000011270000}"/>
    <cellStyle name="40% - Accent1 46 2 2 2" xfId="23354" xr:uid="{00000000-0005-0000-0000-000012270000}"/>
    <cellStyle name="40% - Accent1 46 2 3" xfId="10072" xr:uid="{00000000-0005-0000-0000-000013270000}"/>
    <cellStyle name="40% - Accent1 46 2 3 2" xfId="21360" xr:uid="{00000000-0005-0000-0000-000014270000}"/>
    <cellStyle name="40% - Accent1 46 2 4" xfId="8078" xr:uid="{00000000-0005-0000-0000-000015270000}"/>
    <cellStyle name="40% - Accent1 46 2 4 2" xfId="19366" xr:uid="{00000000-0005-0000-0000-000016270000}"/>
    <cellStyle name="40% - Accent1 46 2 5" xfId="6084" xr:uid="{00000000-0005-0000-0000-000017270000}"/>
    <cellStyle name="40% - Accent1 46 2 5 2" xfId="17372" xr:uid="{00000000-0005-0000-0000-000018270000}"/>
    <cellStyle name="40% - Accent1 46 2 6" xfId="15378" xr:uid="{00000000-0005-0000-0000-000019270000}"/>
    <cellStyle name="40% - Accent1 46 3" xfId="11069" xr:uid="{00000000-0005-0000-0000-00001A270000}"/>
    <cellStyle name="40% - Accent1 46 3 2" xfId="22357" xr:uid="{00000000-0005-0000-0000-00001B270000}"/>
    <cellStyle name="40% - Accent1 46 4" xfId="9075" xr:uid="{00000000-0005-0000-0000-00001C270000}"/>
    <cellStyle name="40% - Accent1 46 4 2" xfId="20363" xr:uid="{00000000-0005-0000-0000-00001D270000}"/>
    <cellStyle name="40% - Accent1 46 5" xfId="7081" xr:uid="{00000000-0005-0000-0000-00001E270000}"/>
    <cellStyle name="40% - Accent1 46 5 2" xfId="18369" xr:uid="{00000000-0005-0000-0000-00001F270000}"/>
    <cellStyle name="40% - Accent1 46 6" xfId="5087" xr:uid="{00000000-0005-0000-0000-000020270000}"/>
    <cellStyle name="40% - Accent1 46 6 2" xfId="16375" xr:uid="{00000000-0005-0000-0000-000021270000}"/>
    <cellStyle name="40% - Accent1 46 7" xfId="14381" xr:uid="{00000000-0005-0000-0000-000022270000}"/>
    <cellStyle name="40% - Accent1 46 8" xfId="13067" xr:uid="{00000000-0005-0000-0000-000023270000}"/>
    <cellStyle name="40% - Accent1 47" xfId="1132" xr:uid="{00000000-0005-0000-0000-000024270000}"/>
    <cellStyle name="40% - Accent1 47 2" xfId="4088" xr:uid="{00000000-0005-0000-0000-000025270000}"/>
    <cellStyle name="40% - Accent1 47 2 2" xfId="12067" xr:uid="{00000000-0005-0000-0000-000026270000}"/>
    <cellStyle name="40% - Accent1 47 2 2 2" xfId="23355" xr:uid="{00000000-0005-0000-0000-000027270000}"/>
    <cellStyle name="40% - Accent1 47 2 3" xfId="10073" xr:uid="{00000000-0005-0000-0000-000028270000}"/>
    <cellStyle name="40% - Accent1 47 2 3 2" xfId="21361" xr:uid="{00000000-0005-0000-0000-000029270000}"/>
    <cellStyle name="40% - Accent1 47 2 4" xfId="8079" xr:uid="{00000000-0005-0000-0000-00002A270000}"/>
    <cellStyle name="40% - Accent1 47 2 4 2" xfId="19367" xr:uid="{00000000-0005-0000-0000-00002B270000}"/>
    <cellStyle name="40% - Accent1 47 2 5" xfId="6085" xr:uid="{00000000-0005-0000-0000-00002C270000}"/>
    <cellStyle name="40% - Accent1 47 2 5 2" xfId="17373" xr:uid="{00000000-0005-0000-0000-00002D270000}"/>
    <cellStyle name="40% - Accent1 47 2 6" xfId="15379" xr:uid="{00000000-0005-0000-0000-00002E270000}"/>
    <cellStyle name="40% - Accent1 47 3" xfId="11070" xr:uid="{00000000-0005-0000-0000-00002F270000}"/>
    <cellStyle name="40% - Accent1 47 3 2" xfId="22358" xr:uid="{00000000-0005-0000-0000-000030270000}"/>
    <cellStyle name="40% - Accent1 47 4" xfId="9076" xr:uid="{00000000-0005-0000-0000-000031270000}"/>
    <cellStyle name="40% - Accent1 47 4 2" xfId="20364" xr:uid="{00000000-0005-0000-0000-000032270000}"/>
    <cellStyle name="40% - Accent1 47 5" xfId="7082" xr:uid="{00000000-0005-0000-0000-000033270000}"/>
    <cellStyle name="40% - Accent1 47 5 2" xfId="18370" xr:uid="{00000000-0005-0000-0000-000034270000}"/>
    <cellStyle name="40% - Accent1 47 6" xfId="5088" xr:uid="{00000000-0005-0000-0000-000035270000}"/>
    <cellStyle name="40% - Accent1 47 6 2" xfId="16376" xr:uid="{00000000-0005-0000-0000-000036270000}"/>
    <cellStyle name="40% - Accent1 47 7" xfId="14382" xr:uid="{00000000-0005-0000-0000-000037270000}"/>
    <cellStyle name="40% - Accent1 47 8" xfId="13068" xr:uid="{00000000-0005-0000-0000-000038270000}"/>
    <cellStyle name="40% - Accent1 48" xfId="1133" xr:uid="{00000000-0005-0000-0000-000039270000}"/>
    <cellStyle name="40% - Accent1 48 2" xfId="4089" xr:uid="{00000000-0005-0000-0000-00003A270000}"/>
    <cellStyle name="40% - Accent1 48 2 2" xfId="12068" xr:uid="{00000000-0005-0000-0000-00003B270000}"/>
    <cellStyle name="40% - Accent1 48 2 2 2" xfId="23356" xr:uid="{00000000-0005-0000-0000-00003C270000}"/>
    <cellStyle name="40% - Accent1 48 2 3" xfId="10074" xr:uid="{00000000-0005-0000-0000-00003D270000}"/>
    <cellStyle name="40% - Accent1 48 2 3 2" xfId="21362" xr:uid="{00000000-0005-0000-0000-00003E270000}"/>
    <cellStyle name="40% - Accent1 48 2 4" xfId="8080" xr:uid="{00000000-0005-0000-0000-00003F270000}"/>
    <cellStyle name="40% - Accent1 48 2 4 2" xfId="19368" xr:uid="{00000000-0005-0000-0000-000040270000}"/>
    <cellStyle name="40% - Accent1 48 2 5" xfId="6086" xr:uid="{00000000-0005-0000-0000-000041270000}"/>
    <cellStyle name="40% - Accent1 48 2 5 2" xfId="17374" xr:uid="{00000000-0005-0000-0000-000042270000}"/>
    <cellStyle name="40% - Accent1 48 2 6" xfId="15380" xr:uid="{00000000-0005-0000-0000-000043270000}"/>
    <cellStyle name="40% - Accent1 48 3" xfId="11071" xr:uid="{00000000-0005-0000-0000-000044270000}"/>
    <cellStyle name="40% - Accent1 48 3 2" xfId="22359" xr:uid="{00000000-0005-0000-0000-000045270000}"/>
    <cellStyle name="40% - Accent1 48 4" xfId="9077" xr:uid="{00000000-0005-0000-0000-000046270000}"/>
    <cellStyle name="40% - Accent1 48 4 2" xfId="20365" xr:uid="{00000000-0005-0000-0000-000047270000}"/>
    <cellStyle name="40% - Accent1 48 5" xfId="7083" xr:uid="{00000000-0005-0000-0000-000048270000}"/>
    <cellStyle name="40% - Accent1 48 5 2" xfId="18371" xr:uid="{00000000-0005-0000-0000-000049270000}"/>
    <cellStyle name="40% - Accent1 48 6" xfId="5089" xr:uid="{00000000-0005-0000-0000-00004A270000}"/>
    <cellStyle name="40% - Accent1 48 6 2" xfId="16377" xr:uid="{00000000-0005-0000-0000-00004B270000}"/>
    <cellStyle name="40% - Accent1 48 7" xfId="14383" xr:uid="{00000000-0005-0000-0000-00004C270000}"/>
    <cellStyle name="40% - Accent1 48 8" xfId="13069" xr:uid="{00000000-0005-0000-0000-00004D270000}"/>
    <cellStyle name="40% - Accent1 49" xfId="1134" xr:uid="{00000000-0005-0000-0000-00004E270000}"/>
    <cellStyle name="40% - Accent1 49 2" xfId="4090" xr:uid="{00000000-0005-0000-0000-00004F270000}"/>
    <cellStyle name="40% - Accent1 49 2 2" xfId="12069" xr:uid="{00000000-0005-0000-0000-000050270000}"/>
    <cellStyle name="40% - Accent1 49 2 2 2" xfId="23357" xr:uid="{00000000-0005-0000-0000-000051270000}"/>
    <cellStyle name="40% - Accent1 49 2 3" xfId="10075" xr:uid="{00000000-0005-0000-0000-000052270000}"/>
    <cellStyle name="40% - Accent1 49 2 3 2" xfId="21363" xr:uid="{00000000-0005-0000-0000-000053270000}"/>
    <cellStyle name="40% - Accent1 49 2 4" xfId="8081" xr:uid="{00000000-0005-0000-0000-000054270000}"/>
    <cellStyle name="40% - Accent1 49 2 4 2" xfId="19369" xr:uid="{00000000-0005-0000-0000-000055270000}"/>
    <cellStyle name="40% - Accent1 49 2 5" xfId="6087" xr:uid="{00000000-0005-0000-0000-000056270000}"/>
    <cellStyle name="40% - Accent1 49 2 5 2" xfId="17375" xr:uid="{00000000-0005-0000-0000-000057270000}"/>
    <cellStyle name="40% - Accent1 49 2 6" xfId="15381" xr:uid="{00000000-0005-0000-0000-000058270000}"/>
    <cellStyle name="40% - Accent1 49 3" xfId="11072" xr:uid="{00000000-0005-0000-0000-000059270000}"/>
    <cellStyle name="40% - Accent1 49 3 2" xfId="22360" xr:uid="{00000000-0005-0000-0000-00005A270000}"/>
    <cellStyle name="40% - Accent1 49 4" xfId="9078" xr:uid="{00000000-0005-0000-0000-00005B270000}"/>
    <cellStyle name="40% - Accent1 49 4 2" xfId="20366" xr:uid="{00000000-0005-0000-0000-00005C270000}"/>
    <cellStyle name="40% - Accent1 49 5" xfId="7084" xr:uid="{00000000-0005-0000-0000-00005D270000}"/>
    <cellStyle name="40% - Accent1 49 5 2" xfId="18372" xr:uid="{00000000-0005-0000-0000-00005E270000}"/>
    <cellStyle name="40% - Accent1 49 6" xfId="5090" xr:uid="{00000000-0005-0000-0000-00005F270000}"/>
    <cellStyle name="40% - Accent1 49 6 2" xfId="16378" xr:uid="{00000000-0005-0000-0000-000060270000}"/>
    <cellStyle name="40% - Accent1 49 7" xfId="14384" xr:uid="{00000000-0005-0000-0000-000061270000}"/>
    <cellStyle name="40% - Accent1 49 8" xfId="13070" xr:uid="{00000000-0005-0000-0000-000062270000}"/>
    <cellStyle name="40% - Accent1 5" xfId="1135" xr:uid="{00000000-0005-0000-0000-000063270000}"/>
    <cellStyle name="40% - Accent1 5 10" xfId="24598" xr:uid="{00000000-0005-0000-0000-000064270000}"/>
    <cellStyle name="40% - Accent1 5 11" xfId="24988" xr:uid="{00000000-0005-0000-0000-000065270000}"/>
    <cellStyle name="40% - Accent1 5 2" xfId="4091" xr:uid="{00000000-0005-0000-0000-000066270000}"/>
    <cellStyle name="40% - Accent1 5 2 2" xfId="12070" xr:uid="{00000000-0005-0000-0000-000067270000}"/>
    <cellStyle name="40% - Accent1 5 2 2 2" xfId="23358" xr:uid="{00000000-0005-0000-0000-000068270000}"/>
    <cellStyle name="40% - Accent1 5 2 3" xfId="10076" xr:uid="{00000000-0005-0000-0000-000069270000}"/>
    <cellStyle name="40% - Accent1 5 2 3 2" xfId="21364" xr:uid="{00000000-0005-0000-0000-00006A270000}"/>
    <cellStyle name="40% - Accent1 5 2 4" xfId="8082" xr:uid="{00000000-0005-0000-0000-00006B270000}"/>
    <cellStyle name="40% - Accent1 5 2 4 2" xfId="19370" xr:uid="{00000000-0005-0000-0000-00006C270000}"/>
    <cellStyle name="40% - Accent1 5 2 5" xfId="6088" xr:uid="{00000000-0005-0000-0000-00006D270000}"/>
    <cellStyle name="40% - Accent1 5 2 5 2" xfId="17376" xr:uid="{00000000-0005-0000-0000-00006E270000}"/>
    <cellStyle name="40% - Accent1 5 2 6" xfId="15382" xr:uid="{00000000-0005-0000-0000-00006F270000}"/>
    <cellStyle name="40% - Accent1 5 2 7" xfId="24359" xr:uid="{00000000-0005-0000-0000-000070270000}"/>
    <cellStyle name="40% - Accent1 5 2 8" xfId="24823" xr:uid="{00000000-0005-0000-0000-000071270000}"/>
    <cellStyle name="40% - Accent1 5 2 9" xfId="25190" xr:uid="{00000000-0005-0000-0000-000072270000}"/>
    <cellStyle name="40% - Accent1 5 3" xfId="11073" xr:uid="{00000000-0005-0000-0000-000073270000}"/>
    <cellStyle name="40% - Accent1 5 3 2" xfId="22361" xr:uid="{00000000-0005-0000-0000-000074270000}"/>
    <cellStyle name="40% - Accent1 5 4" xfId="9079" xr:uid="{00000000-0005-0000-0000-000075270000}"/>
    <cellStyle name="40% - Accent1 5 4 2" xfId="20367" xr:uid="{00000000-0005-0000-0000-000076270000}"/>
    <cellStyle name="40% - Accent1 5 5" xfId="7085" xr:uid="{00000000-0005-0000-0000-000077270000}"/>
    <cellStyle name="40% - Accent1 5 5 2" xfId="18373" xr:uid="{00000000-0005-0000-0000-000078270000}"/>
    <cellStyle name="40% - Accent1 5 6" xfId="5091" xr:uid="{00000000-0005-0000-0000-000079270000}"/>
    <cellStyle name="40% - Accent1 5 6 2" xfId="16379" xr:uid="{00000000-0005-0000-0000-00007A270000}"/>
    <cellStyle name="40% - Accent1 5 7" xfId="14385" xr:uid="{00000000-0005-0000-0000-00007B270000}"/>
    <cellStyle name="40% - Accent1 5 8" xfId="13071" xr:uid="{00000000-0005-0000-0000-00007C270000}"/>
    <cellStyle name="40% - Accent1 5 9" xfId="23971" xr:uid="{00000000-0005-0000-0000-00007D270000}"/>
    <cellStyle name="40% - Accent1 50" xfId="1136" xr:uid="{00000000-0005-0000-0000-00007E270000}"/>
    <cellStyle name="40% - Accent1 50 2" xfId="4092" xr:uid="{00000000-0005-0000-0000-00007F270000}"/>
    <cellStyle name="40% - Accent1 50 2 2" xfId="12071" xr:uid="{00000000-0005-0000-0000-000080270000}"/>
    <cellStyle name="40% - Accent1 50 2 2 2" xfId="23359" xr:uid="{00000000-0005-0000-0000-000081270000}"/>
    <cellStyle name="40% - Accent1 50 2 3" xfId="10077" xr:uid="{00000000-0005-0000-0000-000082270000}"/>
    <cellStyle name="40% - Accent1 50 2 3 2" xfId="21365" xr:uid="{00000000-0005-0000-0000-000083270000}"/>
    <cellStyle name="40% - Accent1 50 2 4" xfId="8083" xr:uid="{00000000-0005-0000-0000-000084270000}"/>
    <cellStyle name="40% - Accent1 50 2 4 2" xfId="19371" xr:uid="{00000000-0005-0000-0000-000085270000}"/>
    <cellStyle name="40% - Accent1 50 2 5" xfId="6089" xr:uid="{00000000-0005-0000-0000-000086270000}"/>
    <cellStyle name="40% - Accent1 50 2 5 2" xfId="17377" xr:uid="{00000000-0005-0000-0000-000087270000}"/>
    <cellStyle name="40% - Accent1 50 2 6" xfId="15383" xr:uid="{00000000-0005-0000-0000-000088270000}"/>
    <cellStyle name="40% - Accent1 50 3" xfId="11074" xr:uid="{00000000-0005-0000-0000-000089270000}"/>
    <cellStyle name="40% - Accent1 50 3 2" xfId="22362" xr:uid="{00000000-0005-0000-0000-00008A270000}"/>
    <cellStyle name="40% - Accent1 50 4" xfId="9080" xr:uid="{00000000-0005-0000-0000-00008B270000}"/>
    <cellStyle name="40% - Accent1 50 4 2" xfId="20368" xr:uid="{00000000-0005-0000-0000-00008C270000}"/>
    <cellStyle name="40% - Accent1 50 5" xfId="7086" xr:uid="{00000000-0005-0000-0000-00008D270000}"/>
    <cellStyle name="40% - Accent1 50 5 2" xfId="18374" xr:uid="{00000000-0005-0000-0000-00008E270000}"/>
    <cellStyle name="40% - Accent1 50 6" xfId="5092" xr:uid="{00000000-0005-0000-0000-00008F270000}"/>
    <cellStyle name="40% - Accent1 50 6 2" xfId="16380" xr:uid="{00000000-0005-0000-0000-000090270000}"/>
    <cellStyle name="40% - Accent1 50 7" xfId="14386" xr:uid="{00000000-0005-0000-0000-000091270000}"/>
    <cellStyle name="40% - Accent1 50 8" xfId="13072" xr:uid="{00000000-0005-0000-0000-000092270000}"/>
    <cellStyle name="40% - Accent1 51" xfId="1137" xr:uid="{00000000-0005-0000-0000-000093270000}"/>
    <cellStyle name="40% - Accent1 51 2" xfId="4093" xr:uid="{00000000-0005-0000-0000-000094270000}"/>
    <cellStyle name="40% - Accent1 51 2 2" xfId="12072" xr:uid="{00000000-0005-0000-0000-000095270000}"/>
    <cellStyle name="40% - Accent1 51 2 2 2" xfId="23360" xr:uid="{00000000-0005-0000-0000-000096270000}"/>
    <cellStyle name="40% - Accent1 51 2 3" xfId="10078" xr:uid="{00000000-0005-0000-0000-000097270000}"/>
    <cellStyle name="40% - Accent1 51 2 3 2" xfId="21366" xr:uid="{00000000-0005-0000-0000-000098270000}"/>
    <cellStyle name="40% - Accent1 51 2 4" xfId="8084" xr:uid="{00000000-0005-0000-0000-000099270000}"/>
    <cellStyle name="40% - Accent1 51 2 4 2" xfId="19372" xr:uid="{00000000-0005-0000-0000-00009A270000}"/>
    <cellStyle name="40% - Accent1 51 2 5" xfId="6090" xr:uid="{00000000-0005-0000-0000-00009B270000}"/>
    <cellStyle name="40% - Accent1 51 2 5 2" xfId="17378" xr:uid="{00000000-0005-0000-0000-00009C270000}"/>
    <cellStyle name="40% - Accent1 51 2 6" xfId="15384" xr:uid="{00000000-0005-0000-0000-00009D270000}"/>
    <cellStyle name="40% - Accent1 51 3" xfId="11075" xr:uid="{00000000-0005-0000-0000-00009E270000}"/>
    <cellStyle name="40% - Accent1 51 3 2" xfId="22363" xr:uid="{00000000-0005-0000-0000-00009F270000}"/>
    <cellStyle name="40% - Accent1 51 4" xfId="9081" xr:uid="{00000000-0005-0000-0000-0000A0270000}"/>
    <cellStyle name="40% - Accent1 51 4 2" xfId="20369" xr:uid="{00000000-0005-0000-0000-0000A1270000}"/>
    <cellStyle name="40% - Accent1 51 5" xfId="7087" xr:uid="{00000000-0005-0000-0000-0000A2270000}"/>
    <cellStyle name="40% - Accent1 51 5 2" xfId="18375" xr:uid="{00000000-0005-0000-0000-0000A3270000}"/>
    <cellStyle name="40% - Accent1 51 6" xfId="5093" xr:uid="{00000000-0005-0000-0000-0000A4270000}"/>
    <cellStyle name="40% - Accent1 51 6 2" xfId="16381" xr:uid="{00000000-0005-0000-0000-0000A5270000}"/>
    <cellStyle name="40% - Accent1 51 7" xfId="14387" xr:uid="{00000000-0005-0000-0000-0000A6270000}"/>
    <cellStyle name="40% - Accent1 51 8" xfId="13073" xr:uid="{00000000-0005-0000-0000-0000A7270000}"/>
    <cellStyle name="40% - Accent1 52" xfId="1138" xr:uid="{00000000-0005-0000-0000-0000A8270000}"/>
    <cellStyle name="40% - Accent1 52 2" xfId="4094" xr:uid="{00000000-0005-0000-0000-0000A9270000}"/>
    <cellStyle name="40% - Accent1 52 2 2" xfId="12073" xr:uid="{00000000-0005-0000-0000-0000AA270000}"/>
    <cellStyle name="40% - Accent1 52 2 2 2" xfId="23361" xr:uid="{00000000-0005-0000-0000-0000AB270000}"/>
    <cellStyle name="40% - Accent1 52 2 3" xfId="10079" xr:uid="{00000000-0005-0000-0000-0000AC270000}"/>
    <cellStyle name="40% - Accent1 52 2 3 2" xfId="21367" xr:uid="{00000000-0005-0000-0000-0000AD270000}"/>
    <cellStyle name="40% - Accent1 52 2 4" xfId="8085" xr:uid="{00000000-0005-0000-0000-0000AE270000}"/>
    <cellStyle name="40% - Accent1 52 2 4 2" xfId="19373" xr:uid="{00000000-0005-0000-0000-0000AF270000}"/>
    <cellStyle name="40% - Accent1 52 2 5" xfId="6091" xr:uid="{00000000-0005-0000-0000-0000B0270000}"/>
    <cellStyle name="40% - Accent1 52 2 5 2" xfId="17379" xr:uid="{00000000-0005-0000-0000-0000B1270000}"/>
    <cellStyle name="40% - Accent1 52 2 6" xfId="15385" xr:uid="{00000000-0005-0000-0000-0000B2270000}"/>
    <cellStyle name="40% - Accent1 52 3" xfId="11076" xr:uid="{00000000-0005-0000-0000-0000B3270000}"/>
    <cellStyle name="40% - Accent1 52 3 2" xfId="22364" xr:uid="{00000000-0005-0000-0000-0000B4270000}"/>
    <cellStyle name="40% - Accent1 52 4" xfId="9082" xr:uid="{00000000-0005-0000-0000-0000B5270000}"/>
    <cellStyle name="40% - Accent1 52 4 2" xfId="20370" xr:uid="{00000000-0005-0000-0000-0000B6270000}"/>
    <cellStyle name="40% - Accent1 52 5" xfId="7088" xr:uid="{00000000-0005-0000-0000-0000B7270000}"/>
    <cellStyle name="40% - Accent1 52 5 2" xfId="18376" xr:uid="{00000000-0005-0000-0000-0000B8270000}"/>
    <cellStyle name="40% - Accent1 52 6" xfId="5094" xr:uid="{00000000-0005-0000-0000-0000B9270000}"/>
    <cellStyle name="40% - Accent1 52 6 2" xfId="16382" xr:uid="{00000000-0005-0000-0000-0000BA270000}"/>
    <cellStyle name="40% - Accent1 52 7" xfId="14388" xr:uid="{00000000-0005-0000-0000-0000BB270000}"/>
    <cellStyle name="40% - Accent1 52 8" xfId="13074" xr:uid="{00000000-0005-0000-0000-0000BC270000}"/>
    <cellStyle name="40% - Accent1 53" xfId="1139" xr:uid="{00000000-0005-0000-0000-0000BD270000}"/>
    <cellStyle name="40% - Accent1 53 2" xfId="4095" xr:uid="{00000000-0005-0000-0000-0000BE270000}"/>
    <cellStyle name="40% - Accent1 53 2 2" xfId="12074" xr:uid="{00000000-0005-0000-0000-0000BF270000}"/>
    <cellStyle name="40% - Accent1 53 2 2 2" xfId="23362" xr:uid="{00000000-0005-0000-0000-0000C0270000}"/>
    <cellStyle name="40% - Accent1 53 2 3" xfId="10080" xr:uid="{00000000-0005-0000-0000-0000C1270000}"/>
    <cellStyle name="40% - Accent1 53 2 3 2" xfId="21368" xr:uid="{00000000-0005-0000-0000-0000C2270000}"/>
    <cellStyle name="40% - Accent1 53 2 4" xfId="8086" xr:uid="{00000000-0005-0000-0000-0000C3270000}"/>
    <cellStyle name="40% - Accent1 53 2 4 2" xfId="19374" xr:uid="{00000000-0005-0000-0000-0000C4270000}"/>
    <cellStyle name="40% - Accent1 53 2 5" xfId="6092" xr:uid="{00000000-0005-0000-0000-0000C5270000}"/>
    <cellStyle name="40% - Accent1 53 2 5 2" xfId="17380" xr:uid="{00000000-0005-0000-0000-0000C6270000}"/>
    <cellStyle name="40% - Accent1 53 2 6" xfId="15386" xr:uid="{00000000-0005-0000-0000-0000C7270000}"/>
    <cellStyle name="40% - Accent1 53 3" xfId="11077" xr:uid="{00000000-0005-0000-0000-0000C8270000}"/>
    <cellStyle name="40% - Accent1 53 3 2" xfId="22365" xr:uid="{00000000-0005-0000-0000-0000C9270000}"/>
    <cellStyle name="40% - Accent1 53 4" xfId="9083" xr:uid="{00000000-0005-0000-0000-0000CA270000}"/>
    <cellStyle name="40% - Accent1 53 4 2" xfId="20371" xr:uid="{00000000-0005-0000-0000-0000CB270000}"/>
    <cellStyle name="40% - Accent1 53 5" xfId="7089" xr:uid="{00000000-0005-0000-0000-0000CC270000}"/>
    <cellStyle name="40% - Accent1 53 5 2" xfId="18377" xr:uid="{00000000-0005-0000-0000-0000CD270000}"/>
    <cellStyle name="40% - Accent1 53 6" xfId="5095" xr:uid="{00000000-0005-0000-0000-0000CE270000}"/>
    <cellStyle name="40% - Accent1 53 6 2" xfId="16383" xr:uid="{00000000-0005-0000-0000-0000CF270000}"/>
    <cellStyle name="40% - Accent1 53 7" xfId="14389" xr:uid="{00000000-0005-0000-0000-0000D0270000}"/>
    <cellStyle name="40% - Accent1 53 8" xfId="13075" xr:uid="{00000000-0005-0000-0000-0000D1270000}"/>
    <cellStyle name="40% - Accent1 54" xfId="1140" xr:uid="{00000000-0005-0000-0000-0000D2270000}"/>
    <cellStyle name="40% - Accent1 54 2" xfId="4096" xr:uid="{00000000-0005-0000-0000-0000D3270000}"/>
    <cellStyle name="40% - Accent1 54 2 2" xfId="12075" xr:uid="{00000000-0005-0000-0000-0000D4270000}"/>
    <cellStyle name="40% - Accent1 54 2 2 2" xfId="23363" xr:uid="{00000000-0005-0000-0000-0000D5270000}"/>
    <cellStyle name="40% - Accent1 54 2 3" xfId="10081" xr:uid="{00000000-0005-0000-0000-0000D6270000}"/>
    <cellStyle name="40% - Accent1 54 2 3 2" xfId="21369" xr:uid="{00000000-0005-0000-0000-0000D7270000}"/>
    <cellStyle name="40% - Accent1 54 2 4" xfId="8087" xr:uid="{00000000-0005-0000-0000-0000D8270000}"/>
    <cellStyle name="40% - Accent1 54 2 4 2" xfId="19375" xr:uid="{00000000-0005-0000-0000-0000D9270000}"/>
    <cellStyle name="40% - Accent1 54 2 5" xfId="6093" xr:uid="{00000000-0005-0000-0000-0000DA270000}"/>
    <cellStyle name="40% - Accent1 54 2 5 2" xfId="17381" xr:uid="{00000000-0005-0000-0000-0000DB270000}"/>
    <cellStyle name="40% - Accent1 54 2 6" xfId="15387" xr:uid="{00000000-0005-0000-0000-0000DC270000}"/>
    <cellStyle name="40% - Accent1 54 3" xfId="11078" xr:uid="{00000000-0005-0000-0000-0000DD270000}"/>
    <cellStyle name="40% - Accent1 54 3 2" xfId="22366" xr:uid="{00000000-0005-0000-0000-0000DE270000}"/>
    <cellStyle name="40% - Accent1 54 4" xfId="9084" xr:uid="{00000000-0005-0000-0000-0000DF270000}"/>
    <cellStyle name="40% - Accent1 54 4 2" xfId="20372" xr:uid="{00000000-0005-0000-0000-0000E0270000}"/>
    <cellStyle name="40% - Accent1 54 5" xfId="7090" xr:uid="{00000000-0005-0000-0000-0000E1270000}"/>
    <cellStyle name="40% - Accent1 54 5 2" xfId="18378" xr:uid="{00000000-0005-0000-0000-0000E2270000}"/>
    <cellStyle name="40% - Accent1 54 6" xfId="5096" xr:uid="{00000000-0005-0000-0000-0000E3270000}"/>
    <cellStyle name="40% - Accent1 54 6 2" xfId="16384" xr:uid="{00000000-0005-0000-0000-0000E4270000}"/>
    <cellStyle name="40% - Accent1 54 7" xfId="14390" xr:uid="{00000000-0005-0000-0000-0000E5270000}"/>
    <cellStyle name="40% - Accent1 54 8" xfId="13076" xr:uid="{00000000-0005-0000-0000-0000E6270000}"/>
    <cellStyle name="40% - Accent1 55" xfId="1141" xr:uid="{00000000-0005-0000-0000-0000E7270000}"/>
    <cellStyle name="40% - Accent1 55 2" xfId="4097" xr:uid="{00000000-0005-0000-0000-0000E8270000}"/>
    <cellStyle name="40% - Accent1 55 2 2" xfId="12076" xr:uid="{00000000-0005-0000-0000-0000E9270000}"/>
    <cellStyle name="40% - Accent1 55 2 2 2" xfId="23364" xr:uid="{00000000-0005-0000-0000-0000EA270000}"/>
    <cellStyle name="40% - Accent1 55 2 3" xfId="10082" xr:uid="{00000000-0005-0000-0000-0000EB270000}"/>
    <cellStyle name="40% - Accent1 55 2 3 2" xfId="21370" xr:uid="{00000000-0005-0000-0000-0000EC270000}"/>
    <cellStyle name="40% - Accent1 55 2 4" xfId="8088" xr:uid="{00000000-0005-0000-0000-0000ED270000}"/>
    <cellStyle name="40% - Accent1 55 2 4 2" xfId="19376" xr:uid="{00000000-0005-0000-0000-0000EE270000}"/>
    <cellStyle name="40% - Accent1 55 2 5" xfId="6094" xr:uid="{00000000-0005-0000-0000-0000EF270000}"/>
    <cellStyle name="40% - Accent1 55 2 5 2" xfId="17382" xr:uid="{00000000-0005-0000-0000-0000F0270000}"/>
    <cellStyle name="40% - Accent1 55 2 6" xfId="15388" xr:uid="{00000000-0005-0000-0000-0000F1270000}"/>
    <cellStyle name="40% - Accent1 55 3" xfId="11079" xr:uid="{00000000-0005-0000-0000-0000F2270000}"/>
    <cellStyle name="40% - Accent1 55 3 2" xfId="22367" xr:uid="{00000000-0005-0000-0000-0000F3270000}"/>
    <cellStyle name="40% - Accent1 55 4" xfId="9085" xr:uid="{00000000-0005-0000-0000-0000F4270000}"/>
    <cellStyle name="40% - Accent1 55 4 2" xfId="20373" xr:uid="{00000000-0005-0000-0000-0000F5270000}"/>
    <cellStyle name="40% - Accent1 55 5" xfId="7091" xr:uid="{00000000-0005-0000-0000-0000F6270000}"/>
    <cellStyle name="40% - Accent1 55 5 2" xfId="18379" xr:uid="{00000000-0005-0000-0000-0000F7270000}"/>
    <cellStyle name="40% - Accent1 55 6" xfId="5097" xr:uid="{00000000-0005-0000-0000-0000F8270000}"/>
    <cellStyle name="40% - Accent1 55 6 2" xfId="16385" xr:uid="{00000000-0005-0000-0000-0000F9270000}"/>
    <cellStyle name="40% - Accent1 55 7" xfId="14391" xr:uid="{00000000-0005-0000-0000-0000FA270000}"/>
    <cellStyle name="40% - Accent1 55 8" xfId="13077" xr:uid="{00000000-0005-0000-0000-0000FB270000}"/>
    <cellStyle name="40% - Accent1 56" xfId="1142" xr:uid="{00000000-0005-0000-0000-0000FC270000}"/>
    <cellStyle name="40% - Accent1 56 2" xfId="4098" xr:uid="{00000000-0005-0000-0000-0000FD270000}"/>
    <cellStyle name="40% - Accent1 56 2 2" xfId="12077" xr:uid="{00000000-0005-0000-0000-0000FE270000}"/>
    <cellStyle name="40% - Accent1 56 2 2 2" xfId="23365" xr:uid="{00000000-0005-0000-0000-0000FF270000}"/>
    <cellStyle name="40% - Accent1 56 2 3" xfId="10083" xr:uid="{00000000-0005-0000-0000-000000280000}"/>
    <cellStyle name="40% - Accent1 56 2 3 2" xfId="21371" xr:uid="{00000000-0005-0000-0000-000001280000}"/>
    <cellStyle name="40% - Accent1 56 2 4" xfId="8089" xr:uid="{00000000-0005-0000-0000-000002280000}"/>
    <cellStyle name="40% - Accent1 56 2 4 2" xfId="19377" xr:uid="{00000000-0005-0000-0000-000003280000}"/>
    <cellStyle name="40% - Accent1 56 2 5" xfId="6095" xr:uid="{00000000-0005-0000-0000-000004280000}"/>
    <cellStyle name="40% - Accent1 56 2 5 2" xfId="17383" xr:uid="{00000000-0005-0000-0000-000005280000}"/>
    <cellStyle name="40% - Accent1 56 2 6" xfId="15389" xr:uid="{00000000-0005-0000-0000-000006280000}"/>
    <cellStyle name="40% - Accent1 56 3" xfId="11080" xr:uid="{00000000-0005-0000-0000-000007280000}"/>
    <cellStyle name="40% - Accent1 56 3 2" xfId="22368" xr:uid="{00000000-0005-0000-0000-000008280000}"/>
    <cellStyle name="40% - Accent1 56 4" xfId="9086" xr:uid="{00000000-0005-0000-0000-000009280000}"/>
    <cellStyle name="40% - Accent1 56 4 2" xfId="20374" xr:uid="{00000000-0005-0000-0000-00000A280000}"/>
    <cellStyle name="40% - Accent1 56 5" xfId="7092" xr:uid="{00000000-0005-0000-0000-00000B280000}"/>
    <cellStyle name="40% - Accent1 56 5 2" xfId="18380" xr:uid="{00000000-0005-0000-0000-00000C280000}"/>
    <cellStyle name="40% - Accent1 56 6" xfId="5098" xr:uid="{00000000-0005-0000-0000-00000D280000}"/>
    <cellStyle name="40% - Accent1 56 6 2" xfId="16386" xr:uid="{00000000-0005-0000-0000-00000E280000}"/>
    <cellStyle name="40% - Accent1 56 7" xfId="14392" xr:uid="{00000000-0005-0000-0000-00000F280000}"/>
    <cellStyle name="40% - Accent1 56 8" xfId="13078" xr:uid="{00000000-0005-0000-0000-000010280000}"/>
    <cellStyle name="40% - Accent1 57" xfId="1143" xr:uid="{00000000-0005-0000-0000-000011280000}"/>
    <cellStyle name="40% - Accent1 57 2" xfId="4099" xr:uid="{00000000-0005-0000-0000-000012280000}"/>
    <cellStyle name="40% - Accent1 57 2 2" xfId="12078" xr:uid="{00000000-0005-0000-0000-000013280000}"/>
    <cellStyle name="40% - Accent1 57 2 2 2" xfId="23366" xr:uid="{00000000-0005-0000-0000-000014280000}"/>
    <cellStyle name="40% - Accent1 57 2 3" xfId="10084" xr:uid="{00000000-0005-0000-0000-000015280000}"/>
    <cellStyle name="40% - Accent1 57 2 3 2" xfId="21372" xr:uid="{00000000-0005-0000-0000-000016280000}"/>
    <cellStyle name="40% - Accent1 57 2 4" xfId="8090" xr:uid="{00000000-0005-0000-0000-000017280000}"/>
    <cellStyle name="40% - Accent1 57 2 4 2" xfId="19378" xr:uid="{00000000-0005-0000-0000-000018280000}"/>
    <cellStyle name="40% - Accent1 57 2 5" xfId="6096" xr:uid="{00000000-0005-0000-0000-000019280000}"/>
    <cellStyle name="40% - Accent1 57 2 5 2" xfId="17384" xr:uid="{00000000-0005-0000-0000-00001A280000}"/>
    <cellStyle name="40% - Accent1 57 2 6" xfId="15390" xr:uid="{00000000-0005-0000-0000-00001B280000}"/>
    <cellStyle name="40% - Accent1 57 3" xfId="11081" xr:uid="{00000000-0005-0000-0000-00001C280000}"/>
    <cellStyle name="40% - Accent1 57 3 2" xfId="22369" xr:uid="{00000000-0005-0000-0000-00001D280000}"/>
    <cellStyle name="40% - Accent1 57 4" xfId="9087" xr:uid="{00000000-0005-0000-0000-00001E280000}"/>
    <cellStyle name="40% - Accent1 57 4 2" xfId="20375" xr:uid="{00000000-0005-0000-0000-00001F280000}"/>
    <cellStyle name="40% - Accent1 57 5" xfId="7093" xr:uid="{00000000-0005-0000-0000-000020280000}"/>
    <cellStyle name="40% - Accent1 57 5 2" xfId="18381" xr:uid="{00000000-0005-0000-0000-000021280000}"/>
    <cellStyle name="40% - Accent1 57 6" xfId="5099" xr:uid="{00000000-0005-0000-0000-000022280000}"/>
    <cellStyle name="40% - Accent1 57 6 2" xfId="16387" xr:uid="{00000000-0005-0000-0000-000023280000}"/>
    <cellStyle name="40% - Accent1 57 7" xfId="14393" xr:uid="{00000000-0005-0000-0000-000024280000}"/>
    <cellStyle name="40% - Accent1 57 8" xfId="13079" xr:uid="{00000000-0005-0000-0000-000025280000}"/>
    <cellStyle name="40% - Accent1 58" xfId="1144" xr:uid="{00000000-0005-0000-0000-000026280000}"/>
    <cellStyle name="40% - Accent1 58 2" xfId="4100" xr:uid="{00000000-0005-0000-0000-000027280000}"/>
    <cellStyle name="40% - Accent1 58 2 2" xfId="12079" xr:uid="{00000000-0005-0000-0000-000028280000}"/>
    <cellStyle name="40% - Accent1 58 2 2 2" xfId="23367" xr:uid="{00000000-0005-0000-0000-000029280000}"/>
    <cellStyle name="40% - Accent1 58 2 3" xfId="10085" xr:uid="{00000000-0005-0000-0000-00002A280000}"/>
    <cellStyle name="40% - Accent1 58 2 3 2" xfId="21373" xr:uid="{00000000-0005-0000-0000-00002B280000}"/>
    <cellStyle name="40% - Accent1 58 2 4" xfId="8091" xr:uid="{00000000-0005-0000-0000-00002C280000}"/>
    <cellStyle name="40% - Accent1 58 2 4 2" xfId="19379" xr:uid="{00000000-0005-0000-0000-00002D280000}"/>
    <cellStyle name="40% - Accent1 58 2 5" xfId="6097" xr:uid="{00000000-0005-0000-0000-00002E280000}"/>
    <cellStyle name="40% - Accent1 58 2 5 2" xfId="17385" xr:uid="{00000000-0005-0000-0000-00002F280000}"/>
    <cellStyle name="40% - Accent1 58 2 6" xfId="15391" xr:uid="{00000000-0005-0000-0000-000030280000}"/>
    <cellStyle name="40% - Accent1 58 3" xfId="11082" xr:uid="{00000000-0005-0000-0000-000031280000}"/>
    <cellStyle name="40% - Accent1 58 3 2" xfId="22370" xr:uid="{00000000-0005-0000-0000-000032280000}"/>
    <cellStyle name="40% - Accent1 58 4" xfId="9088" xr:uid="{00000000-0005-0000-0000-000033280000}"/>
    <cellStyle name="40% - Accent1 58 4 2" xfId="20376" xr:uid="{00000000-0005-0000-0000-000034280000}"/>
    <cellStyle name="40% - Accent1 58 5" xfId="7094" xr:uid="{00000000-0005-0000-0000-000035280000}"/>
    <cellStyle name="40% - Accent1 58 5 2" xfId="18382" xr:uid="{00000000-0005-0000-0000-000036280000}"/>
    <cellStyle name="40% - Accent1 58 6" xfId="5100" xr:uid="{00000000-0005-0000-0000-000037280000}"/>
    <cellStyle name="40% - Accent1 58 6 2" xfId="16388" xr:uid="{00000000-0005-0000-0000-000038280000}"/>
    <cellStyle name="40% - Accent1 58 7" xfId="14394" xr:uid="{00000000-0005-0000-0000-000039280000}"/>
    <cellStyle name="40% - Accent1 58 8" xfId="13080" xr:uid="{00000000-0005-0000-0000-00003A280000}"/>
    <cellStyle name="40% - Accent1 59" xfId="1145" xr:uid="{00000000-0005-0000-0000-00003B280000}"/>
    <cellStyle name="40% - Accent1 59 2" xfId="4101" xr:uid="{00000000-0005-0000-0000-00003C280000}"/>
    <cellStyle name="40% - Accent1 59 2 2" xfId="12080" xr:uid="{00000000-0005-0000-0000-00003D280000}"/>
    <cellStyle name="40% - Accent1 59 2 2 2" xfId="23368" xr:uid="{00000000-0005-0000-0000-00003E280000}"/>
    <cellStyle name="40% - Accent1 59 2 3" xfId="10086" xr:uid="{00000000-0005-0000-0000-00003F280000}"/>
    <cellStyle name="40% - Accent1 59 2 3 2" xfId="21374" xr:uid="{00000000-0005-0000-0000-000040280000}"/>
    <cellStyle name="40% - Accent1 59 2 4" xfId="8092" xr:uid="{00000000-0005-0000-0000-000041280000}"/>
    <cellStyle name="40% - Accent1 59 2 4 2" xfId="19380" xr:uid="{00000000-0005-0000-0000-000042280000}"/>
    <cellStyle name="40% - Accent1 59 2 5" xfId="6098" xr:uid="{00000000-0005-0000-0000-000043280000}"/>
    <cellStyle name="40% - Accent1 59 2 5 2" xfId="17386" xr:uid="{00000000-0005-0000-0000-000044280000}"/>
    <cellStyle name="40% - Accent1 59 2 6" xfId="15392" xr:uid="{00000000-0005-0000-0000-000045280000}"/>
    <cellStyle name="40% - Accent1 59 3" xfId="11083" xr:uid="{00000000-0005-0000-0000-000046280000}"/>
    <cellStyle name="40% - Accent1 59 3 2" xfId="22371" xr:uid="{00000000-0005-0000-0000-000047280000}"/>
    <cellStyle name="40% - Accent1 59 4" xfId="9089" xr:uid="{00000000-0005-0000-0000-000048280000}"/>
    <cellStyle name="40% - Accent1 59 4 2" xfId="20377" xr:uid="{00000000-0005-0000-0000-000049280000}"/>
    <cellStyle name="40% - Accent1 59 5" xfId="7095" xr:uid="{00000000-0005-0000-0000-00004A280000}"/>
    <cellStyle name="40% - Accent1 59 5 2" xfId="18383" xr:uid="{00000000-0005-0000-0000-00004B280000}"/>
    <cellStyle name="40% - Accent1 59 6" xfId="5101" xr:uid="{00000000-0005-0000-0000-00004C280000}"/>
    <cellStyle name="40% - Accent1 59 6 2" xfId="16389" xr:uid="{00000000-0005-0000-0000-00004D280000}"/>
    <cellStyle name="40% - Accent1 59 7" xfId="14395" xr:uid="{00000000-0005-0000-0000-00004E280000}"/>
    <cellStyle name="40% - Accent1 59 8" xfId="13081" xr:uid="{00000000-0005-0000-0000-00004F280000}"/>
    <cellStyle name="40% - Accent1 6" xfId="1146" xr:uid="{00000000-0005-0000-0000-000050280000}"/>
    <cellStyle name="40% - Accent1 6 10" xfId="24599" xr:uid="{00000000-0005-0000-0000-000051280000}"/>
    <cellStyle name="40% - Accent1 6 11" xfId="24989" xr:uid="{00000000-0005-0000-0000-000052280000}"/>
    <cellStyle name="40% - Accent1 6 2" xfId="4102" xr:uid="{00000000-0005-0000-0000-000053280000}"/>
    <cellStyle name="40% - Accent1 6 2 2" xfId="12081" xr:uid="{00000000-0005-0000-0000-000054280000}"/>
    <cellStyle name="40% - Accent1 6 2 2 2" xfId="23369" xr:uid="{00000000-0005-0000-0000-000055280000}"/>
    <cellStyle name="40% - Accent1 6 2 3" xfId="10087" xr:uid="{00000000-0005-0000-0000-000056280000}"/>
    <cellStyle name="40% - Accent1 6 2 3 2" xfId="21375" xr:uid="{00000000-0005-0000-0000-000057280000}"/>
    <cellStyle name="40% - Accent1 6 2 4" xfId="8093" xr:uid="{00000000-0005-0000-0000-000058280000}"/>
    <cellStyle name="40% - Accent1 6 2 4 2" xfId="19381" xr:uid="{00000000-0005-0000-0000-000059280000}"/>
    <cellStyle name="40% - Accent1 6 2 5" xfId="6099" xr:uid="{00000000-0005-0000-0000-00005A280000}"/>
    <cellStyle name="40% - Accent1 6 2 5 2" xfId="17387" xr:uid="{00000000-0005-0000-0000-00005B280000}"/>
    <cellStyle name="40% - Accent1 6 2 6" xfId="15393" xr:uid="{00000000-0005-0000-0000-00005C280000}"/>
    <cellStyle name="40% - Accent1 6 2 7" xfId="24360" xr:uid="{00000000-0005-0000-0000-00005D280000}"/>
    <cellStyle name="40% - Accent1 6 2 8" xfId="24824" xr:uid="{00000000-0005-0000-0000-00005E280000}"/>
    <cellStyle name="40% - Accent1 6 2 9" xfId="25191" xr:uid="{00000000-0005-0000-0000-00005F280000}"/>
    <cellStyle name="40% - Accent1 6 3" xfId="11084" xr:uid="{00000000-0005-0000-0000-000060280000}"/>
    <cellStyle name="40% - Accent1 6 3 2" xfId="22372" xr:uid="{00000000-0005-0000-0000-000061280000}"/>
    <cellStyle name="40% - Accent1 6 4" xfId="9090" xr:uid="{00000000-0005-0000-0000-000062280000}"/>
    <cellStyle name="40% - Accent1 6 4 2" xfId="20378" xr:uid="{00000000-0005-0000-0000-000063280000}"/>
    <cellStyle name="40% - Accent1 6 5" xfId="7096" xr:uid="{00000000-0005-0000-0000-000064280000}"/>
    <cellStyle name="40% - Accent1 6 5 2" xfId="18384" xr:uid="{00000000-0005-0000-0000-000065280000}"/>
    <cellStyle name="40% - Accent1 6 6" xfId="5102" xr:uid="{00000000-0005-0000-0000-000066280000}"/>
    <cellStyle name="40% - Accent1 6 6 2" xfId="16390" xr:uid="{00000000-0005-0000-0000-000067280000}"/>
    <cellStyle name="40% - Accent1 6 7" xfId="14396" xr:uid="{00000000-0005-0000-0000-000068280000}"/>
    <cellStyle name="40% - Accent1 6 8" xfId="13082" xr:uid="{00000000-0005-0000-0000-000069280000}"/>
    <cellStyle name="40% - Accent1 6 9" xfId="23972" xr:uid="{00000000-0005-0000-0000-00006A280000}"/>
    <cellStyle name="40% - Accent1 60" xfId="1147" xr:uid="{00000000-0005-0000-0000-00006B280000}"/>
    <cellStyle name="40% - Accent1 60 2" xfId="4103" xr:uid="{00000000-0005-0000-0000-00006C280000}"/>
    <cellStyle name="40% - Accent1 60 2 2" xfId="12082" xr:uid="{00000000-0005-0000-0000-00006D280000}"/>
    <cellStyle name="40% - Accent1 60 2 2 2" xfId="23370" xr:uid="{00000000-0005-0000-0000-00006E280000}"/>
    <cellStyle name="40% - Accent1 60 2 3" xfId="10088" xr:uid="{00000000-0005-0000-0000-00006F280000}"/>
    <cellStyle name="40% - Accent1 60 2 3 2" xfId="21376" xr:uid="{00000000-0005-0000-0000-000070280000}"/>
    <cellStyle name="40% - Accent1 60 2 4" xfId="8094" xr:uid="{00000000-0005-0000-0000-000071280000}"/>
    <cellStyle name="40% - Accent1 60 2 4 2" xfId="19382" xr:uid="{00000000-0005-0000-0000-000072280000}"/>
    <cellStyle name="40% - Accent1 60 2 5" xfId="6100" xr:uid="{00000000-0005-0000-0000-000073280000}"/>
    <cellStyle name="40% - Accent1 60 2 5 2" xfId="17388" xr:uid="{00000000-0005-0000-0000-000074280000}"/>
    <cellStyle name="40% - Accent1 60 2 6" xfId="15394" xr:uid="{00000000-0005-0000-0000-000075280000}"/>
    <cellStyle name="40% - Accent1 60 3" xfId="11085" xr:uid="{00000000-0005-0000-0000-000076280000}"/>
    <cellStyle name="40% - Accent1 60 3 2" xfId="22373" xr:uid="{00000000-0005-0000-0000-000077280000}"/>
    <cellStyle name="40% - Accent1 60 4" xfId="9091" xr:uid="{00000000-0005-0000-0000-000078280000}"/>
    <cellStyle name="40% - Accent1 60 4 2" xfId="20379" xr:uid="{00000000-0005-0000-0000-000079280000}"/>
    <cellStyle name="40% - Accent1 60 5" xfId="7097" xr:uid="{00000000-0005-0000-0000-00007A280000}"/>
    <cellStyle name="40% - Accent1 60 5 2" xfId="18385" xr:uid="{00000000-0005-0000-0000-00007B280000}"/>
    <cellStyle name="40% - Accent1 60 6" xfId="5103" xr:uid="{00000000-0005-0000-0000-00007C280000}"/>
    <cellStyle name="40% - Accent1 60 6 2" xfId="16391" xr:uid="{00000000-0005-0000-0000-00007D280000}"/>
    <cellStyle name="40% - Accent1 60 7" xfId="14397" xr:uid="{00000000-0005-0000-0000-00007E280000}"/>
    <cellStyle name="40% - Accent1 60 8" xfId="13083" xr:uid="{00000000-0005-0000-0000-00007F280000}"/>
    <cellStyle name="40% - Accent1 61" xfId="1148" xr:uid="{00000000-0005-0000-0000-000080280000}"/>
    <cellStyle name="40% - Accent1 61 2" xfId="4104" xr:uid="{00000000-0005-0000-0000-000081280000}"/>
    <cellStyle name="40% - Accent1 61 2 2" xfId="12083" xr:uid="{00000000-0005-0000-0000-000082280000}"/>
    <cellStyle name="40% - Accent1 61 2 2 2" xfId="23371" xr:uid="{00000000-0005-0000-0000-000083280000}"/>
    <cellStyle name="40% - Accent1 61 2 3" xfId="10089" xr:uid="{00000000-0005-0000-0000-000084280000}"/>
    <cellStyle name="40% - Accent1 61 2 3 2" xfId="21377" xr:uid="{00000000-0005-0000-0000-000085280000}"/>
    <cellStyle name="40% - Accent1 61 2 4" xfId="8095" xr:uid="{00000000-0005-0000-0000-000086280000}"/>
    <cellStyle name="40% - Accent1 61 2 4 2" xfId="19383" xr:uid="{00000000-0005-0000-0000-000087280000}"/>
    <cellStyle name="40% - Accent1 61 2 5" xfId="6101" xr:uid="{00000000-0005-0000-0000-000088280000}"/>
    <cellStyle name="40% - Accent1 61 2 5 2" xfId="17389" xr:uid="{00000000-0005-0000-0000-000089280000}"/>
    <cellStyle name="40% - Accent1 61 2 6" xfId="15395" xr:uid="{00000000-0005-0000-0000-00008A280000}"/>
    <cellStyle name="40% - Accent1 61 3" xfId="11086" xr:uid="{00000000-0005-0000-0000-00008B280000}"/>
    <cellStyle name="40% - Accent1 61 3 2" xfId="22374" xr:uid="{00000000-0005-0000-0000-00008C280000}"/>
    <cellStyle name="40% - Accent1 61 4" xfId="9092" xr:uid="{00000000-0005-0000-0000-00008D280000}"/>
    <cellStyle name="40% - Accent1 61 4 2" xfId="20380" xr:uid="{00000000-0005-0000-0000-00008E280000}"/>
    <cellStyle name="40% - Accent1 61 5" xfId="7098" xr:uid="{00000000-0005-0000-0000-00008F280000}"/>
    <cellStyle name="40% - Accent1 61 5 2" xfId="18386" xr:uid="{00000000-0005-0000-0000-000090280000}"/>
    <cellStyle name="40% - Accent1 61 6" xfId="5104" xr:uid="{00000000-0005-0000-0000-000091280000}"/>
    <cellStyle name="40% - Accent1 61 6 2" xfId="16392" xr:uid="{00000000-0005-0000-0000-000092280000}"/>
    <cellStyle name="40% - Accent1 61 7" xfId="14398" xr:uid="{00000000-0005-0000-0000-000093280000}"/>
    <cellStyle name="40% - Accent1 61 8" xfId="13084" xr:uid="{00000000-0005-0000-0000-000094280000}"/>
    <cellStyle name="40% - Accent1 62" xfId="1149" xr:uid="{00000000-0005-0000-0000-000095280000}"/>
    <cellStyle name="40% - Accent1 62 2" xfId="4105" xr:uid="{00000000-0005-0000-0000-000096280000}"/>
    <cellStyle name="40% - Accent1 62 2 2" xfId="12084" xr:uid="{00000000-0005-0000-0000-000097280000}"/>
    <cellStyle name="40% - Accent1 62 2 2 2" xfId="23372" xr:uid="{00000000-0005-0000-0000-000098280000}"/>
    <cellStyle name="40% - Accent1 62 2 3" xfId="10090" xr:uid="{00000000-0005-0000-0000-000099280000}"/>
    <cellStyle name="40% - Accent1 62 2 3 2" xfId="21378" xr:uid="{00000000-0005-0000-0000-00009A280000}"/>
    <cellStyle name="40% - Accent1 62 2 4" xfId="8096" xr:uid="{00000000-0005-0000-0000-00009B280000}"/>
    <cellStyle name="40% - Accent1 62 2 4 2" xfId="19384" xr:uid="{00000000-0005-0000-0000-00009C280000}"/>
    <cellStyle name="40% - Accent1 62 2 5" xfId="6102" xr:uid="{00000000-0005-0000-0000-00009D280000}"/>
    <cellStyle name="40% - Accent1 62 2 5 2" xfId="17390" xr:uid="{00000000-0005-0000-0000-00009E280000}"/>
    <cellStyle name="40% - Accent1 62 2 6" xfId="15396" xr:uid="{00000000-0005-0000-0000-00009F280000}"/>
    <cellStyle name="40% - Accent1 62 3" xfId="11087" xr:uid="{00000000-0005-0000-0000-0000A0280000}"/>
    <cellStyle name="40% - Accent1 62 3 2" xfId="22375" xr:uid="{00000000-0005-0000-0000-0000A1280000}"/>
    <cellStyle name="40% - Accent1 62 4" xfId="9093" xr:uid="{00000000-0005-0000-0000-0000A2280000}"/>
    <cellStyle name="40% - Accent1 62 4 2" xfId="20381" xr:uid="{00000000-0005-0000-0000-0000A3280000}"/>
    <cellStyle name="40% - Accent1 62 5" xfId="7099" xr:uid="{00000000-0005-0000-0000-0000A4280000}"/>
    <cellStyle name="40% - Accent1 62 5 2" xfId="18387" xr:uid="{00000000-0005-0000-0000-0000A5280000}"/>
    <cellStyle name="40% - Accent1 62 6" xfId="5105" xr:uid="{00000000-0005-0000-0000-0000A6280000}"/>
    <cellStyle name="40% - Accent1 62 6 2" xfId="16393" xr:uid="{00000000-0005-0000-0000-0000A7280000}"/>
    <cellStyle name="40% - Accent1 62 7" xfId="14399" xr:uid="{00000000-0005-0000-0000-0000A8280000}"/>
    <cellStyle name="40% - Accent1 62 8" xfId="13085" xr:uid="{00000000-0005-0000-0000-0000A9280000}"/>
    <cellStyle name="40% - Accent1 63" xfId="1150" xr:uid="{00000000-0005-0000-0000-0000AA280000}"/>
    <cellStyle name="40% - Accent1 63 2" xfId="4106" xr:uid="{00000000-0005-0000-0000-0000AB280000}"/>
    <cellStyle name="40% - Accent1 63 2 2" xfId="12085" xr:uid="{00000000-0005-0000-0000-0000AC280000}"/>
    <cellStyle name="40% - Accent1 63 2 2 2" xfId="23373" xr:uid="{00000000-0005-0000-0000-0000AD280000}"/>
    <cellStyle name="40% - Accent1 63 2 3" xfId="10091" xr:uid="{00000000-0005-0000-0000-0000AE280000}"/>
    <cellStyle name="40% - Accent1 63 2 3 2" xfId="21379" xr:uid="{00000000-0005-0000-0000-0000AF280000}"/>
    <cellStyle name="40% - Accent1 63 2 4" xfId="8097" xr:uid="{00000000-0005-0000-0000-0000B0280000}"/>
    <cellStyle name="40% - Accent1 63 2 4 2" xfId="19385" xr:uid="{00000000-0005-0000-0000-0000B1280000}"/>
    <cellStyle name="40% - Accent1 63 2 5" xfId="6103" xr:uid="{00000000-0005-0000-0000-0000B2280000}"/>
    <cellStyle name="40% - Accent1 63 2 5 2" xfId="17391" xr:uid="{00000000-0005-0000-0000-0000B3280000}"/>
    <cellStyle name="40% - Accent1 63 2 6" xfId="15397" xr:uid="{00000000-0005-0000-0000-0000B4280000}"/>
    <cellStyle name="40% - Accent1 63 3" xfId="11088" xr:uid="{00000000-0005-0000-0000-0000B5280000}"/>
    <cellStyle name="40% - Accent1 63 3 2" xfId="22376" xr:uid="{00000000-0005-0000-0000-0000B6280000}"/>
    <cellStyle name="40% - Accent1 63 4" xfId="9094" xr:uid="{00000000-0005-0000-0000-0000B7280000}"/>
    <cellStyle name="40% - Accent1 63 4 2" xfId="20382" xr:uid="{00000000-0005-0000-0000-0000B8280000}"/>
    <cellStyle name="40% - Accent1 63 5" xfId="7100" xr:uid="{00000000-0005-0000-0000-0000B9280000}"/>
    <cellStyle name="40% - Accent1 63 5 2" xfId="18388" xr:uid="{00000000-0005-0000-0000-0000BA280000}"/>
    <cellStyle name="40% - Accent1 63 6" xfId="5106" xr:uid="{00000000-0005-0000-0000-0000BB280000}"/>
    <cellStyle name="40% - Accent1 63 6 2" xfId="16394" xr:uid="{00000000-0005-0000-0000-0000BC280000}"/>
    <cellStyle name="40% - Accent1 63 7" xfId="14400" xr:uid="{00000000-0005-0000-0000-0000BD280000}"/>
    <cellStyle name="40% - Accent1 63 8" xfId="13086" xr:uid="{00000000-0005-0000-0000-0000BE280000}"/>
    <cellStyle name="40% - Accent1 64" xfId="1151" xr:uid="{00000000-0005-0000-0000-0000BF280000}"/>
    <cellStyle name="40% - Accent1 64 2" xfId="4107" xr:uid="{00000000-0005-0000-0000-0000C0280000}"/>
    <cellStyle name="40% - Accent1 64 2 2" xfId="12086" xr:uid="{00000000-0005-0000-0000-0000C1280000}"/>
    <cellStyle name="40% - Accent1 64 2 2 2" xfId="23374" xr:uid="{00000000-0005-0000-0000-0000C2280000}"/>
    <cellStyle name="40% - Accent1 64 2 3" xfId="10092" xr:uid="{00000000-0005-0000-0000-0000C3280000}"/>
    <cellStyle name="40% - Accent1 64 2 3 2" xfId="21380" xr:uid="{00000000-0005-0000-0000-0000C4280000}"/>
    <cellStyle name="40% - Accent1 64 2 4" xfId="8098" xr:uid="{00000000-0005-0000-0000-0000C5280000}"/>
    <cellStyle name="40% - Accent1 64 2 4 2" xfId="19386" xr:uid="{00000000-0005-0000-0000-0000C6280000}"/>
    <cellStyle name="40% - Accent1 64 2 5" xfId="6104" xr:uid="{00000000-0005-0000-0000-0000C7280000}"/>
    <cellStyle name="40% - Accent1 64 2 5 2" xfId="17392" xr:uid="{00000000-0005-0000-0000-0000C8280000}"/>
    <cellStyle name="40% - Accent1 64 2 6" xfId="15398" xr:uid="{00000000-0005-0000-0000-0000C9280000}"/>
    <cellStyle name="40% - Accent1 64 3" xfId="11089" xr:uid="{00000000-0005-0000-0000-0000CA280000}"/>
    <cellStyle name="40% - Accent1 64 3 2" xfId="22377" xr:uid="{00000000-0005-0000-0000-0000CB280000}"/>
    <cellStyle name="40% - Accent1 64 4" xfId="9095" xr:uid="{00000000-0005-0000-0000-0000CC280000}"/>
    <cellStyle name="40% - Accent1 64 4 2" xfId="20383" xr:uid="{00000000-0005-0000-0000-0000CD280000}"/>
    <cellStyle name="40% - Accent1 64 5" xfId="7101" xr:uid="{00000000-0005-0000-0000-0000CE280000}"/>
    <cellStyle name="40% - Accent1 64 5 2" xfId="18389" xr:uid="{00000000-0005-0000-0000-0000CF280000}"/>
    <cellStyle name="40% - Accent1 64 6" xfId="5107" xr:uid="{00000000-0005-0000-0000-0000D0280000}"/>
    <cellStyle name="40% - Accent1 64 6 2" xfId="16395" xr:uid="{00000000-0005-0000-0000-0000D1280000}"/>
    <cellStyle name="40% - Accent1 64 7" xfId="14401" xr:uid="{00000000-0005-0000-0000-0000D2280000}"/>
    <cellStyle name="40% - Accent1 64 8" xfId="13087" xr:uid="{00000000-0005-0000-0000-0000D3280000}"/>
    <cellStyle name="40% - Accent1 65" xfId="1152" xr:uid="{00000000-0005-0000-0000-0000D4280000}"/>
    <cellStyle name="40% - Accent1 65 2" xfId="4108" xr:uid="{00000000-0005-0000-0000-0000D5280000}"/>
    <cellStyle name="40% - Accent1 65 2 2" xfId="12087" xr:uid="{00000000-0005-0000-0000-0000D6280000}"/>
    <cellStyle name="40% - Accent1 65 2 2 2" xfId="23375" xr:uid="{00000000-0005-0000-0000-0000D7280000}"/>
    <cellStyle name="40% - Accent1 65 2 3" xfId="10093" xr:uid="{00000000-0005-0000-0000-0000D8280000}"/>
    <cellStyle name="40% - Accent1 65 2 3 2" xfId="21381" xr:uid="{00000000-0005-0000-0000-0000D9280000}"/>
    <cellStyle name="40% - Accent1 65 2 4" xfId="8099" xr:uid="{00000000-0005-0000-0000-0000DA280000}"/>
    <cellStyle name="40% - Accent1 65 2 4 2" xfId="19387" xr:uid="{00000000-0005-0000-0000-0000DB280000}"/>
    <cellStyle name="40% - Accent1 65 2 5" xfId="6105" xr:uid="{00000000-0005-0000-0000-0000DC280000}"/>
    <cellStyle name="40% - Accent1 65 2 5 2" xfId="17393" xr:uid="{00000000-0005-0000-0000-0000DD280000}"/>
    <cellStyle name="40% - Accent1 65 2 6" xfId="15399" xr:uid="{00000000-0005-0000-0000-0000DE280000}"/>
    <cellStyle name="40% - Accent1 65 3" xfId="11090" xr:uid="{00000000-0005-0000-0000-0000DF280000}"/>
    <cellStyle name="40% - Accent1 65 3 2" xfId="22378" xr:uid="{00000000-0005-0000-0000-0000E0280000}"/>
    <cellStyle name="40% - Accent1 65 4" xfId="9096" xr:uid="{00000000-0005-0000-0000-0000E1280000}"/>
    <cellStyle name="40% - Accent1 65 4 2" xfId="20384" xr:uid="{00000000-0005-0000-0000-0000E2280000}"/>
    <cellStyle name="40% - Accent1 65 5" xfId="7102" xr:uid="{00000000-0005-0000-0000-0000E3280000}"/>
    <cellStyle name="40% - Accent1 65 5 2" xfId="18390" xr:uid="{00000000-0005-0000-0000-0000E4280000}"/>
    <cellStyle name="40% - Accent1 65 6" xfId="5108" xr:uid="{00000000-0005-0000-0000-0000E5280000}"/>
    <cellStyle name="40% - Accent1 65 6 2" xfId="16396" xr:uid="{00000000-0005-0000-0000-0000E6280000}"/>
    <cellStyle name="40% - Accent1 65 7" xfId="14402" xr:uid="{00000000-0005-0000-0000-0000E7280000}"/>
    <cellStyle name="40% - Accent1 65 8" xfId="13088" xr:uid="{00000000-0005-0000-0000-0000E8280000}"/>
    <cellStyle name="40% - Accent1 66" xfId="1153" xr:uid="{00000000-0005-0000-0000-0000E9280000}"/>
    <cellStyle name="40% - Accent1 66 2" xfId="4109" xr:uid="{00000000-0005-0000-0000-0000EA280000}"/>
    <cellStyle name="40% - Accent1 66 2 2" xfId="12088" xr:uid="{00000000-0005-0000-0000-0000EB280000}"/>
    <cellStyle name="40% - Accent1 66 2 2 2" xfId="23376" xr:uid="{00000000-0005-0000-0000-0000EC280000}"/>
    <cellStyle name="40% - Accent1 66 2 3" xfId="10094" xr:uid="{00000000-0005-0000-0000-0000ED280000}"/>
    <cellStyle name="40% - Accent1 66 2 3 2" xfId="21382" xr:uid="{00000000-0005-0000-0000-0000EE280000}"/>
    <cellStyle name="40% - Accent1 66 2 4" xfId="8100" xr:uid="{00000000-0005-0000-0000-0000EF280000}"/>
    <cellStyle name="40% - Accent1 66 2 4 2" xfId="19388" xr:uid="{00000000-0005-0000-0000-0000F0280000}"/>
    <cellStyle name="40% - Accent1 66 2 5" xfId="6106" xr:uid="{00000000-0005-0000-0000-0000F1280000}"/>
    <cellStyle name="40% - Accent1 66 2 5 2" xfId="17394" xr:uid="{00000000-0005-0000-0000-0000F2280000}"/>
    <cellStyle name="40% - Accent1 66 2 6" xfId="15400" xr:uid="{00000000-0005-0000-0000-0000F3280000}"/>
    <cellStyle name="40% - Accent1 66 3" xfId="11091" xr:uid="{00000000-0005-0000-0000-0000F4280000}"/>
    <cellStyle name="40% - Accent1 66 3 2" xfId="22379" xr:uid="{00000000-0005-0000-0000-0000F5280000}"/>
    <cellStyle name="40% - Accent1 66 4" xfId="9097" xr:uid="{00000000-0005-0000-0000-0000F6280000}"/>
    <cellStyle name="40% - Accent1 66 4 2" xfId="20385" xr:uid="{00000000-0005-0000-0000-0000F7280000}"/>
    <cellStyle name="40% - Accent1 66 5" xfId="7103" xr:uid="{00000000-0005-0000-0000-0000F8280000}"/>
    <cellStyle name="40% - Accent1 66 5 2" xfId="18391" xr:uid="{00000000-0005-0000-0000-0000F9280000}"/>
    <cellStyle name="40% - Accent1 66 6" xfId="5109" xr:uid="{00000000-0005-0000-0000-0000FA280000}"/>
    <cellStyle name="40% - Accent1 66 6 2" xfId="16397" xr:uid="{00000000-0005-0000-0000-0000FB280000}"/>
    <cellStyle name="40% - Accent1 66 7" xfId="14403" xr:uid="{00000000-0005-0000-0000-0000FC280000}"/>
    <cellStyle name="40% - Accent1 66 8" xfId="13089" xr:uid="{00000000-0005-0000-0000-0000FD280000}"/>
    <cellStyle name="40% - Accent1 67" xfId="1154" xr:uid="{00000000-0005-0000-0000-0000FE280000}"/>
    <cellStyle name="40% - Accent1 67 2" xfId="4110" xr:uid="{00000000-0005-0000-0000-0000FF280000}"/>
    <cellStyle name="40% - Accent1 67 2 2" xfId="12089" xr:uid="{00000000-0005-0000-0000-000000290000}"/>
    <cellStyle name="40% - Accent1 67 2 2 2" xfId="23377" xr:uid="{00000000-0005-0000-0000-000001290000}"/>
    <cellStyle name="40% - Accent1 67 2 3" xfId="10095" xr:uid="{00000000-0005-0000-0000-000002290000}"/>
    <cellStyle name="40% - Accent1 67 2 3 2" xfId="21383" xr:uid="{00000000-0005-0000-0000-000003290000}"/>
    <cellStyle name="40% - Accent1 67 2 4" xfId="8101" xr:uid="{00000000-0005-0000-0000-000004290000}"/>
    <cellStyle name="40% - Accent1 67 2 4 2" xfId="19389" xr:uid="{00000000-0005-0000-0000-000005290000}"/>
    <cellStyle name="40% - Accent1 67 2 5" xfId="6107" xr:uid="{00000000-0005-0000-0000-000006290000}"/>
    <cellStyle name="40% - Accent1 67 2 5 2" xfId="17395" xr:uid="{00000000-0005-0000-0000-000007290000}"/>
    <cellStyle name="40% - Accent1 67 2 6" xfId="15401" xr:uid="{00000000-0005-0000-0000-000008290000}"/>
    <cellStyle name="40% - Accent1 67 3" xfId="11092" xr:uid="{00000000-0005-0000-0000-000009290000}"/>
    <cellStyle name="40% - Accent1 67 3 2" xfId="22380" xr:uid="{00000000-0005-0000-0000-00000A290000}"/>
    <cellStyle name="40% - Accent1 67 4" xfId="9098" xr:uid="{00000000-0005-0000-0000-00000B290000}"/>
    <cellStyle name="40% - Accent1 67 4 2" xfId="20386" xr:uid="{00000000-0005-0000-0000-00000C290000}"/>
    <cellStyle name="40% - Accent1 67 5" xfId="7104" xr:uid="{00000000-0005-0000-0000-00000D290000}"/>
    <cellStyle name="40% - Accent1 67 5 2" xfId="18392" xr:uid="{00000000-0005-0000-0000-00000E290000}"/>
    <cellStyle name="40% - Accent1 67 6" xfId="5110" xr:uid="{00000000-0005-0000-0000-00000F290000}"/>
    <cellStyle name="40% - Accent1 67 6 2" xfId="16398" xr:uid="{00000000-0005-0000-0000-000010290000}"/>
    <cellStyle name="40% - Accent1 67 7" xfId="14404" xr:uid="{00000000-0005-0000-0000-000011290000}"/>
    <cellStyle name="40% - Accent1 67 8" xfId="13090" xr:uid="{00000000-0005-0000-0000-000012290000}"/>
    <cellStyle name="40% - Accent1 68" xfId="1155" xr:uid="{00000000-0005-0000-0000-000013290000}"/>
    <cellStyle name="40% - Accent1 68 2" xfId="4111" xr:uid="{00000000-0005-0000-0000-000014290000}"/>
    <cellStyle name="40% - Accent1 68 2 2" xfId="12090" xr:uid="{00000000-0005-0000-0000-000015290000}"/>
    <cellStyle name="40% - Accent1 68 2 2 2" xfId="23378" xr:uid="{00000000-0005-0000-0000-000016290000}"/>
    <cellStyle name="40% - Accent1 68 2 3" xfId="10096" xr:uid="{00000000-0005-0000-0000-000017290000}"/>
    <cellStyle name="40% - Accent1 68 2 3 2" xfId="21384" xr:uid="{00000000-0005-0000-0000-000018290000}"/>
    <cellStyle name="40% - Accent1 68 2 4" xfId="8102" xr:uid="{00000000-0005-0000-0000-000019290000}"/>
    <cellStyle name="40% - Accent1 68 2 4 2" xfId="19390" xr:uid="{00000000-0005-0000-0000-00001A290000}"/>
    <cellStyle name="40% - Accent1 68 2 5" xfId="6108" xr:uid="{00000000-0005-0000-0000-00001B290000}"/>
    <cellStyle name="40% - Accent1 68 2 5 2" xfId="17396" xr:uid="{00000000-0005-0000-0000-00001C290000}"/>
    <cellStyle name="40% - Accent1 68 2 6" xfId="15402" xr:uid="{00000000-0005-0000-0000-00001D290000}"/>
    <cellStyle name="40% - Accent1 68 3" xfId="11093" xr:uid="{00000000-0005-0000-0000-00001E290000}"/>
    <cellStyle name="40% - Accent1 68 3 2" xfId="22381" xr:uid="{00000000-0005-0000-0000-00001F290000}"/>
    <cellStyle name="40% - Accent1 68 4" xfId="9099" xr:uid="{00000000-0005-0000-0000-000020290000}"/>
    <cellStyle name="40% - Accent1 68 4 2" xfId="20387" xr:uid="{00000000-0005-0000-0000-000021290000}"/>
    <cellStyle name="40% - Accent1 68 5" xfId="7105" xr:uid="{00000000-0005-0000-0000-000022290000}"/>
    <cellStyle name="40% - Accent1 68 5 2" xfId="18393" xr:uid="{00000000-0005-0000-0000-000023290000}"/>
    <cellStyle name="40% - Accent1 68 6" xfId="5111" xr:uid="{00000000-0005-0000-0000-000024290000}"/>
    <cellStyle name="40% - Accent1 68 6 2" xfId="16399" xr:uid="{00000000-0005-0000-0000-000025290000}"/>
    <cellStyle name="40% - Accent1 68 7" xfId="14405" xr:uid="{00000000-0005-0000-0000-000026290000}"/>
    <cellStyle name="40% - Accent1 68 8" xfId="13091" xr:uid="{00000000-0005-0000-0000-000027290000}"/>
    <cellStyle name="40% - Accent1 69" xfId="1156" xr:uid="{00000000-0005-0000-0000-000028290000}"/>
    <cellStyle name="40% - Accent1 69 2" xfId="4112" xr:uid="{00000000-0005-0000-0000-000029290000}"/>
    <cellStyle name="40% - Accent1 69 2 2" xfId="12091" xr:uid="{00000000-0005-0000-0000-00002A290000}"/>
    <cellStyle name="40% - Accent1 69 2 2 2" xfId="23379" xr:uid="{00000000-0005-0000-0000-00002B290000}"/>
    <cellStyle name="40% - Accent1 69 2 3" xfId="10097" xr:uid="{00000000-0005-0000-0000-00002C290000}"/>
    <cellStyle name="40% - Accent1 69 2 3 2" xfId="21385" xr:uid="{00000000-0005-0000-0000-00002D290000}"/>
    <cellStyle name="40% - Accent1 69 2 4" xfId="8103" xr:uid="{00000000-0005-0000-0000-00002E290000}"/>
    <cellStyle name="40% - Accent1 69 2 4 2" xfId="19391" xr:uid="{00000000-0005-0000-0000-00002F290000}"/>
    <cellStyle name="40% - Accent1 69 2 5" xfId="6109" xr:uid="{00000000-0005-0000-0000-000030290000}"/>
    <cellStyle name="40% - Accent1 69 2 5 2" xfId="17397" xr:uid="{00000000-0005-0000-0000-000031290000}"/>
    <cellStyle name="40% - Accent1 69 2 6" xfId="15403" xr:uid="{00000000-0005-0000-0000-000032290000}"/>
    <cellStyle name="40% - Accent1 69 3" xfId="11094" xr:uid="{00000000-0005-0000-0000-000033290000}"/>
    <cellStyle name="40% - Accent1 69 3 2" xfId="22382" xr:uid="{00000000-0005-0000-0000-000034290000}"/>
    <cellStyle name="40% - Accent1 69 4" xfId="9100" xr:uid="{00000000-0005-0000-0000-000035290000}"/>
    <cellStyle name="40% - Accent1 69 4 2" xfId="20388" xr:uid="{00000000-0005-0000-0000-000036290000}"/>
    <cellStyle name="40% - Accent1 69 5" xfId="7106" xr:uid="{00000000-0005-0000-0000-000037290000}"/>
    <cellStyle name="40% - Accent1 69 5 2" xfId="18394" xr:uid="{00000000-0005-0000-0000-000038290000}"/>
    <cellStyle name="40% - Accent1 69 6" xfId="5112" xr:uid="{00000000-0005-0000-0000-000039290000}"/>
    <cellStyle name="40% - Accent1 69 6 2" xfId="16400" xr:uid="{00000000-0005-0000-0000-00003A290000}"/>
    <cellStyle name="40% - Accent1 69 7" xfId="14406" xr:uid="{00000000-0005-0000-0000-00003B290000}"/>
    <cellStyle name="40% - Accent1 69 8" xfId="13092" xr:uid="{00000000-0005-0000-0000-00003C290000}"/>
    <cellStyle name="40% - Accent1 7" xfId="1157" xr:uid="{00000000-0005-0000-0000-00003D290000}"/>
    <cellStyle name="40% - Accent1 7 10" xfId="24600" xr:uid="{00000000-0005-0000-0000-00003E290000}"/>
    <cellStyle name="40% - Accent1 7 11" xfId="24990" xr:uid="{00000000-0005-0000-0000-00003F290000}"/>
    <cellStyle name="40% - Accent1 7 2" xfId="4113" xr:uid="{00000000-0005-0000-0000-000040290000}"/>
    <cellStyle name="40% - Accent1 7 2 2" xfId="12092" xr:uid="{00000000-0005-0000-0000-000041290000}"/>
    <cellStyle name="40% - Accent1 7 2 2 2" xfId="23380" xr:uid="{00000000-0005-0000-0000-000042290000}"/>
    <cellStyle name="40% - Accent1 7 2 3" xfId="10098" xr:uid="{00000000-0005-0000-0000-000043290000}"/>
    <cellStyle name="40% - Accent1 7 2 3 2" xfId="21386" xr:uid="{00000000-0005-0000-0000-000044290000}"/>
    <cellStyle name="40% - Accent1 7 2 4" xfId="8104" xr:uid="{00000000-0005-0000-0000-000045290000}"/>
    <cellStyle name="40% - Accent1 7 2 4 2" xfId="19392" xr:uid="{00000000-0005-0000-0000-000046290000}"/>
    <cellStyle name="40% - Accent1 7 2 5" xfId="6110" xr:uid="{00000000-0005-0000-0000-000047290000}"/>
    <cellStyle name="40% - Accent1 7 2 5 2" xfId="17398" xr:uid="{00000000-0005-0000-0000-000048290000}"/>
    <cellStyle name="40% - Accent1 7 2 6" xfId="15404" xr:uid="{00000000-0005-0000-0000-000049290000}"/>
    <cellStyle name="40% - Accent1 7 2 7" xfId="24361" xr:uid="{00000000-0005-0000-0000-00004A290000}"/>
    <cellStyle name="40% - Accent1 7 2 8" xfId="24825" xr:uid="{00000000-0005-0000-0000-00004B290000}"/>
    <cellStyle name="40% - Accent1 7 2 9" xfId="25192" xr:uid="{00000000-0005-0000-0000-00004C290000}"/>
    <cellStyle name="40% - Accent1 7 3" xfId="11095" xr:uid="{00000000-0005-0000-0000-00004D290000}"/>
    <cellStyle name="40% - Accent1 7 3 2" xfId="22383" xr:uid="{00000000-0005-0000-0000-00004E290000}"/>
    <cellStyle name="40% - Accent1 7 4" xfId="9101" xr:uid="{00000000-0005-0000-0000-00004F290000}"/>
    <cellStyle name="40% - Accent1 7 4 2" xfId="20389" xr:uid="{00000000-0005-0000-0000-000050290000}"/>
    <cellStyle name="40% - Accent1 7 5" xfId="7107" xr:uid="{00000000-0005-0000-0000-000051290000}"/>
    <cellStyle name="40% - Accent1 7 5 2" xfId="18395" xr:uid="{00000000-0005-0000-0000-000052290000}"/>
    <cellStyle name="40% - Accent1 7 6" xfId="5113" xr:uid="{00000000-0005-0000-0000-000053290000}"/>
    <cellStyle name="40% - Accent1 7 6 2" xfId="16401" xr:uid="{00000000-0005-0000-0000-000054290000}"/>
    <cellStyle name="40% - Accent1 7 7" xfId="14407" xr:uid="{00000000-0005-0000-0000-000055290000}"/>
    <cellStyle name="40% - Accent1 7 8" xfId="13093" xr:uid="{00000000-0005-0000-0000-000056290000}"/>
    <cellStyle name="40% - Accent1 7 9" xfId="23973" xr:uid="{00000000-0005-0000-0000-000057290000}"/>
    <cellStyle name="40% - Accent1 70" xfId="1158" xr:uid="{00000000-0005-0000-0000-000058290000}"/>
    <cellStyle name="40% - Accent1 70 2" xfId="4114" xr:uid="{00000000-0005-0000-0000-000059290000}"/>
    <cellStyle name="40% - Accent1 70 2 2" xfId="12093" xr:uid="{00000000-0005-0000-0000-00005A290000}"/>
    <cellStyle name="40% - Accent1 70 2 2 2" xfId="23381" xr:uid="{00000000-0005-0000-0000-00005B290000}"/>
    <cellStyle name="40% - Accent1 70 2 3" xfId="10099" xr:uid="{00000000-0005-0000-0000-00005C290000}"/>
    <cellStyle name="40% - Accent1 70 2 3 2" xfId="21387" xr:uid="{00000000-0005-0000-0000-00005D290000}"/>
    <cellStyle name="40% - Accent1 70 2 4" xfId="8105" xr:uid="{00000000-0005-0000-0000-00005E290000}"/>
    <cellStyle name="40% - Accent1 70 2 4 2" xfId="19393" xr:uid="{00000000-0005-0000-0000-00005F290000}"/>
    <cellStyle name="40% - Accent1 70 2 5" xfId="6111" xr:uid="{00000000-0005-0000-0000-000060290000}"/>
    <cellStyle name="40% - Accent1 70 2 5 2" xfId="17399" xr:uid="{00000000-0005-0000-0000-000061290000}"/>
    <cellStyle name="40% - Accent1 70 2 6" xfId="15405" xr:uid="{00000000-0005-0000-0000-000062290000}"/>
    <cellStyle name="40% - Accent1 70 3" xfId="11096" xr:uid="{00000000-0005-0000-0000-000063290000}"/>
    <cellStyle name="40% - Accent1 70 3 2" xfId="22384" xr:uid="{00000000-0005-0000-0000-000064290000}"/>
    <cellStyle name="40% - Accent1 70 4" xfId="9102" xr:uid="{00000000-0005-0000-0000-000065290000}"/>
    <cellStyle name="40% - Accent1 70 4 2" xfId="20390" xr:uid="{00000000-0005-0000-0000-000066290000}"/>
    <cellStyle name="40% - Accent1 70 5" xfId="7108" xr:uid="{00000000-0005-0000-0000-000067290000}"/>
    <cellStyle name="40% - Accent1 70 5 2" xfId="18396" xr:uid="{00000000-0005-0000-0000-000068290000}"/>
    <cellStyle name="40% - Accent1 70 6" xfId="5114" xr:uid="{00000000-0005-0000-0000-000069290000}"/>
    <cellStyle name="40% - Accent1 70 6 2" xfId="16402" xr:uid="{00000000-0005-0000-0000-00006A290000}"/>
    <cellStyle name="40% - Accent1 70 7" xfId="14408" xr:uid="{00000000-0005-0000-0000-00006B290000}"/>
    <cellStyle name="40% - Accent1 70 8" xfId="13094" xr:uid="{00000000-0005-0000-0000-00006C290000}"/>
    <cellStyle name="40% - Accent1 71" xfId="1159" xr:uid="{00000000-0005-0000-0000-00006D290000}"/>
    <cellStyle name="40% - Accent1 71 2" xfId="4115" xr:uid="{00000000-0005-0000-0000-00006E290000}"/>
    <cellStyle name="40% - Accent1 71 2 2" xfId="12094" xr:uid="{00000000-0005-0000-0000-00006F290000}"/>
    <cellStyle name="40% - Accent1 71 2 2 2" xfId="23382" xr:uid="{00000000-0005-0000-0000-000070290000}"/>
    <cellStyle name="40% - Accent1 71 2 3" xfId="10100" xr:uid="{00000000-0005-0000-0000-000071290000}"/>
    <cellStyle name="40% - Accent1 71 2 3 2" xfId="21388" xr:uid="{00000000-0005-0000-0000-000072290000}"/>
    <cellStyle name="40% - Accent1 71 2 4" xfId="8106" xr:uid="{00000000-0005-0000-0000-000073290000}"/>
    <cellStyle name="40% - Accent1 71 2 4 2" xfId="19394" xr:uid="{00000000-0005-0000-0000-000074290000}"/>
    <cellStyle name="40% - Accent1 71 2 5" xfId="6112" xr:uid="{00000000-0005-0000-0000-000075290000}"/>
    <cellStyle name="40% - Accent1 71 2 5 2" xfId="17400" xr:uid="{00000000-0005-0000-0000-000076290000}"/>
    <cellStyle name="40% - Accent1 71 2 6" xfId="15406" xr:uid="{00000000-0005-0000-0000-000077290000}"/>
    <cellStyle name="40% - Accent1 71 3" xfId="11097" xr:uid="{00000000-0005-0000-0000-000078290000}"/>
    <cellStyle name="40% - Accent1 71 3 2" xfId="22385" xr:uid="{00000000-0005-0000-0000-000079290000}"/>
    <cellStyle name="40% - Accent1 71 4" xfId="9103" xr:uid="{00000000-0005-0000-0000-00007A290000}"/>
    <cellStyle name="40% - Accent1 71 4 2" xfId="20391" xr:uid="{00000000-0005-0000-0000-00007B290000}"/>
    <cellStyle name="40% - Accent1 71 5" xfId="7109" xr:uid="{00000000-0005-0000-0000-00007C290000}"/>
    <cellStyle name="40% - Accent1 71 5 2" xfId="18397" xr:uid="{00000000-0005-0000-0000-00007D290000}"/>
    <cellStyle name="40% - Accent1 71 6" xfId="5115" xr:uid="{00000000-0005-0000-0000-00007E290000}"/>
    <cellStyle name="40% - Accent1 71 6 2" xfId="16403" xr:uid="{00000000-0005-0000-0000-00007F290000}"/>
    <cellStyle name="40% - Accent1 71 7" xfId="14409" xr:uid="{00000000-0005-0000-0000-000080290000}"/>
    <cellStyle name="40% - Accent1 71 8" xfId="13095" xr:uid="{00000000-0005-0000-0000-000081290000}"/>
    <cellStyle name="40% - Accent1 72" xfId="1160" xr:uid="{00000000-0005-0000-0000-000082290000}"/>
    <cellStyle name="40% - Accent1 72 2" xfId="4116" xr:uid="{00000000-0005-0000-0000-000083290000}"/>
    <cellStyle name="40% - Accent1 72 2 2" xfId="12095" xr:uid="{00000000-0005-0000-0000-000084290000}"/>
    <cellStyle name="40% - Accent1 72 2 2 2" xfId="23383" xr:uid="{00000000-0005-0000-0000-000085290000}"/>
    <cellStyle name="40% - Accent1 72 2 3" xfId="10101" xr:uid="{00000000-0005-0000-0000-000086290000}"/>
    <cellStyle name="40% - Accent1 72 2 3 2" xfId="21389" xr:uid="{00000000-0005-0000-0000-000087290000}"/>
    <cellStyle name="40% - Accent1 72 2 4" xfId="8107" xr:uid="{00000000-0005-0000-0000-000088290000}"/>
    <cellStyle name="40% - Accent1 72 2 4 2" xfId="19395" xr:uid="{00000000-0005-0000-0000-000089290000}"/>
    <cellStyle name="40% - Accent1 72 2 5" xfId="6113" xr:uid="{00000000-0005-0000-0000-00008A290000}"/>
    <cellStyle name="40% - Accent1 72 2 5 2" xfId="17401" xr:uid="{00000000-0005-0000-0000-00008B290000}"/>
    <cellStyle name="40% - Accent1 72 2 6" xfId="15407" xr:uid="{00000000-0005-0000-0000-00008C290000}"/>
    <cellStyle name="40% - Accent1 72 3" xfId="11098" xr:uid="{00000000-0005-0000-0000-00008D290000}"/>
    <cellStyle name="40% - Accent1 72 3 2" xfId="22386" xr:uid="{00000000-0005-0000-0000-00008E290000}"/>
    <cellStyle name="40% - Accent1 72 4" xfId="9104" xr:uid="{00000000-0005-0000-0000-00008F290000}"/>
    <cellStyle name="40% - Accent1 72 4 2" xfId="20392" xr:uid="{00000000-0005-0000-0000-000090290000}"/>
    <cellStyle name="40% - Accent1 72 5" xfId="7110" xr:uid="{00000000-0005-0000-0000-000091290000}"/>
    <cellStyle name="40% - Accent1 72 5 2" xfId="18398" xr:uid="{00000000-0005-0000-0000-000092290000}"/>
    <cellStyle name="40% - Accent1 72 6" xfId="5116" xr:uid="{00000000-0005-0000-0000-000093290000}"/>
    <cellStyle name="40% - Accent1 72 6 2" xfId="16404" xr:uid="{00000000-0005-0000-0000-000094290000}"/>
    <cellStyle name="40% - Accent1 72 7" xfId="14410" xr:uid="{00000000-0005-0000-0000-000095290000}"/>
    <cellStyle name="40% - Accent1 72 8" xfId="13096" xr:uid="{00000000-0005-0000-0000-000096290000}"/>
    <cellStyle name="40% - Accent1 8" xfId="1161" xr:uid="{00000000-0005-0000-0000-000097290000}"/>
    <cellStyle name="40% - Accent1 8 2" xfId="4117" xr:uid="{00000000-0005-0000-0000-000098290000}"/>
    <cellStyle name="40% - Accent1 8 2 2" xfId="12096" xr:uid="{00000000-0005-0000-0000-000099290000}"/>
    <cellStyle name="40% - Accent1 8 2 2 2" xfId="23384" xr:uid="{00000000-0005-0000-0000-00009A290000}"/>
    <cellStyle name="40% - Accent1 8 2 3" xfId="10102" xr:uid="{00000000-0005-0000-0000-00009B290000}"/>
    <cellStyle name="40% - Accent1 8 2 3 2" xfId="21390" xr:uid="{00000000-0005-0000-0000-00009C290000}"/>
    <cellStyle name="40% - Accent1 8 2 4" xfId="8108" xr:uid="{00000000-0005-0000-0000-00009D290000}"/>
    <cellStyle name="40% - Accent1 8 2 4 2" xfId="19396" xr:uid="{00000000-0005-0000-0000-00009E290000}"/>
    <cellStyle name="40% - Accent1 8 2 5" xfId="6114" xr:uid="{00000000-0005-0000-0000-00009F290000}"/>
    <cellStyle name="40% - Accent1 8 2 5 2" xfId="17402" xr:uid="{00000000-0005-0000-0000-0000A0290000}"/>
    <cellStyle name="40% - Accent1 8 2 6" xfId="15408" xr:uid="{00000000-0005-0000-0000-0000A1290000}"/>
    <cellStyle name="40% - Accent1 8 3" xfId="11099" xr:uid="{00000000-0005-0000-0000-0000A2290000}"/>
    <cellStyle name="40% - Accent1 8 3 2" xfId="22387" xr:uid="{00000000-0005-0000-0000-0000A3290000}"/>
    <cellStyle name="40% - Accent1 8 4" xfId="9105" xr:uid="{00000000-0005-0000-0000-0000A4290000}"/>
    <cellStyle name="40% - Accent1 8 4 2" xfId="20393" xr:uid="{00000000-0005-0000-0000-0000A5290000}"/>
    <cellStyle name="40% - Accent1 8 5" xfId="7111" xr:uid="{00000000-0005-0000-0000-0000A6290000}"/>
    <cellStyle name="40% - Accent1 8 5 2" xfId="18399" xr:uid="{00000000-0005-0000-0000-0000A7290000}"/>
    <cellStyle name="40% - Accent1 8 6" xfId="5117" xr:uid="{00000000-0005-0000-0000-0000A8290000}"/>
    <cellStyle name="40% - Accent1 8 6 2" xfId="16405" xr:uid="{00000000-0005-0000-0000-0000A9290000}"/>
    <cellStyle name="40% - Accent1 8 7" xfId="14411" xr:uid="{00000000-0005-0000-0000-0000AA290000}"/>
    <cellStyle name="40% - Accent1 8 8" xfId="13097" xr:uid="{00000000-0005-0000-0000-0000AB290000}"/>
    <cellStyle name="40% - Accent1 9" xfId="1162" xr:uid="{00000000-0005-0000-0000-0000AC290000}"/>
    <cellStyle name="40% - Accent1 9 2" xfId="4118" xr:uid="{00000000-0005-0000-0000-0000AD290000}"/>
    <cellStyle name="40% - Accent1 9 2 2" xfId="12097" xr:uid="{00000000-0005-0000-0000-0000AE290000}"/>
    <cellStyle name="40% - Accent1 9 2 2 2" xfId="23385" xr:uid="{00000000-0005-0000-0000-0000AF290000}"/>
    <cellStyle name="40% - Accent1 9 2 3" xfId="10103" xr:uid="{00000000-0005-0000-0000-0000B0290000}"/>
    <cellStyle name="40% - Accent1 9 2 3 2" xfId="21391" xr:uid="{00000000-0005-0000-0000-0000B1290000}"/>
    <cellStyle name="40% - Accent1 9 2 4" xfId="8109" xr:uid="{00000000-0005-0000-0000-0000B2290000}"/>
    <cellStyle name="40% - Accent1 9 2 4 2" xfId="19397" xr:uid="{00000000-0005-0000-0000-0000B3290000}"/>
    <cellStyle name="40% - Accent1 9 2 5" xfId="6115" xr:uid="{00000000-0005-0000-0000-0000B4290000}"/>
    <cellStyle name="40% - Accent1 9 2 5 2" xfId="17403" xr:uid="{00000000-0005-0000-0000-0000B5290000}"/>
    <cellStyle name="40% - Accent1 9 2 6" xfId="15409" xr:uid="{00000000-0005-0000-0000-0000B6290000}"/>
    <cellStyle name="40% - Accent1 9 3" xfId="11100" xr:uid="{00000000-0005-0000-0000-0000B7290000}"/>
    <cellStyle name="40% - Accent1 9 3 2" xfId="22388" xr:uid="{00000000-0005-0000-0000-0000B8290000}"/>
    <cellStyle name="40% - Accent1 9 4" xfId="9106" xr:uid="{00000000-0005-0000-0000-0000B9290000}"/>
    <cellStyle name="40% - Accent1 9 4 2" xfId="20394" xr:uid="{00000000-0005-0000-0000-0000BA290000}"/>
    <cellStyle name="40% - Accent1 9 5" xfId="7112" xr:uid="{00000000-0005-0000-0000-0000BB290000}"/>
    <cellStyle name="40% - Accent1 9 5 2" xfId="18400" xr:uid="{00000000-0005-0000-0000-0000BC290000}"/>
    <cellStyle name="40% - Accent1 9 6" xfId="5118" xr:uid="{00000000-0005-0000-0000-0000BD290000}"/>
    <cellStyle name="40% - Accent1 9 6 2" xfId="16406" xr:uid="{00000000-0005-0000-0000-0000BE290000}"/>
    <cellStyle name="40% - Accent1 9 7" xfId="14412" xr:uid="{00000000-0005-0000-0000-0000BF290000}"/>
    <cellStyle name="40% - Accent1 9 8" xfId="13098" xr:uid="{00000000-0005-0000-0000-0000C0290000}"/>
    <cellStyle name="40% - Accent2 10" xfId="1163" xr:uid="{00000000-0005-0000-0000-0000C1290000}"/>
    <cellStyle name="40% - Accent2 10 2" xfId="4119" xr:uid="{00000000-0005-0000-0000-0000C2290000}"/>
    <cellStyle name="40% - Accent2 10 2 2" xfId="12098" xr:uid="{00000000-0005-0000-0000-0000C3290000}"/>
    <cellStyle name="40% - Accent2 10 2 2 2" xfId="23386" xr:uid="{00000000-0005-0000-0000-0000C4290000}"/>
    <cellStyle name="40% - Accent2 10 2 3" xfId="10104" xr:uid="{00000000-0005-0000-0000-0000C5290000}"/>
    <cellStyle name="40% - Accent2 10 2 3 2" xfId="21392" xr:uid="{00000000-0005-0000-0000-0000C6290000}"/>
    <cellStyle name="40% - Accent2 10 2 4" xfId="8110" xr:uid="{00000000-0005-0000-0000-0000C7290000}"/>
    <cellStyle name="40% - Accent2 10 2 4 2" xfId="19398" xr:uid="{00000000-0005-0000-0000-0000C8290000}"/>
    <cellStyle name="40% - Accent2 10 2 5" xfId="6116" xr:uid="{00000000-0005-0000-0000-0000C9290000}"/>
    <cellStyle name="40% - Accent2 10 2 5 2" xfId="17404" xr:uid="{00000000-0005-0000-0000-0000CA290000}"/>
    <cellStyle name="40% - Accent2 10 2 6" xfId="15410" xr:uid="{00000000-0005-0000-0000-0000CB290000}"/>
    <cellStyle name="40% - Accent2 10 3" xfId="11101" xr:uid="{00000000-0005-0000-0000-0000CC290000}"/>
    <cellStyle name="40% - Accent2 10 3 2" xfId="22389" xr:uid="{00000000-0005-0000-0000-0000CD290000}"/>
    <cellStyle name="40% - Accent2 10 4" xfId="9107" xr:uid="{00000000-0005-0000-0000-0000CE290000}"/>
    <cellStyle name="40% - Accent2 10 4 2" xfId="20395" xr:uid="{00000000-0005-0000-0000-0000CF290000}"/>
    <cellStyle name="40% - Accent2 10 5" xfId="7113" xr:uid="{00000000-0005-0000-0000-0000D0290000}"/>
    <cellStyle name="40% - Accent2 10 5 2" xfId="18401" xr:uid="{00000000-0005-0000-0000-0000D1290000}"/>
    <cellStyle name="40% - Accent2 10 6" xfId="5119" xr:uid="{00000000-0005-0000-0000-0000D2290000}"/>
    <cellStyle name="40% - Accent2 10 6 2" xfId="16407" xr:uid="{00000000-0005-0000-0000-0000D3290000}"/>
    <cellStyle name="40% - Accent2 10 7" xfId="14413" xr:uid="{00000000-0005-0000-0000-0000D4290000}"/>
    <cellStyle name="40% - Accent2 10 8" xfId="13099" xr:uid="{00000000-0005-0000-0000-0000D5290000}"/>
    <cellStyle name="40% - Accent2 11" xfId="1164" xr:uid="{00000000-0005-0000-0000-0000D6290000}"/>
    <cellStyle name="40% - Accent2 11 2" xfId="4120" xr:uid="{00000000-0005-0000-0000-0000D7290000}"/>
    <cellStyle name="40% - Accent2 11 2 2" xfId="12099" xr:uid="{00000000-0005-0000-0000-0000D8290000}"/>
    <cellStyle name="40% - Accent2 11 2 2 2" xfId="23387" xr:uid="{00000000-0005-0000-0000-0000D9290000}"/>
    <cellStyle name="40% - Accent2 11 2 3" xfId="10105" xr:uid="{00000000-0005-0000-0000-0000DA290000}"/>
    <cellStyle name="40% - Accent2 11 2 3 2" xfId="21393" xr:uid="{00000000-0005-0000-0000-0000DB290000}"/>
    <cellStyle name="40% - Accent2 11 2 4" xfId="8111" xr:uid="{00000000-0005-0000-0000-0000DC290000}"/>
    <cellStyle name="40% - Accent2 11 2 4 2" xfId="19399" xr:uid="{00000000-0005-0000-0000-0000DD290000}"/>
    <cellStyle name="40% - Accent2 11 2 5" xfId="6117" xr:uid="{00000000-0005-0000-0000-0000DE290000}"/>
    <cellStyle name="40% - Accent2 11 2 5 2" xfId="17405" xr:uid="{00000000-0005-0000-0000-0000DF290000}"/>
    <cellStyle name="40% - Accent2 11 2 6" xfId="15411" xr:uid="{00000000-0005-0000-0000-0000E0290000}"/>
    <cellStyle name="40% - Accent2 11 3" xfId="11102" xr:uid="{00000000-0005-0000-0000-0000E1290000}"/>
    <cellStyle name="40% - Accent2 11 3 2" xfId="22390" xr:uid="{00000000-0005-0000-0000-0000E2290000}"/>
    <cellStyle name="40% - Accent2 11 4" xfId="9108" xr:uid="{00000000-0005-0000-0000-0000E3290000}"/>
    <cellStyle name="40% - Accent2 11 4 2" xfId="20396" xr:uid="{00000000-0005-0000-0000-0000E4290000}"/>
    <cellStyle name="40% - Accent2 11 5" xfId="7114" xr:uid="{00000000-0005-0000-0000-0000E5290000}"/>
    <cellStyle name="40% - Accent2 11 5 2" xfId="18402" xr:uid="{00000000-0005-0000-0000-0000E6290000}"/>
    <cellStyle name="40% - Accent2 11 6" xfId="5120" xr:uid="{00000000-0005-0000-0000-0000E7290000}"/>
    <cellStyle name="40% - Accent2 11 6 2" xfId="16408" xr:uid="{00000000-0005-0000-0000-0000E8290000}"/>
    <cellStyle name="40% - Accent2 11 7" xfId="14414" xr:uid="{00000000-0005-0000-0000-0000E9290000}"/>
    <cellStyle name="40% - Accent2 11 8" xfId="13100" xr:uid="{00000000-0005-0000-0000-0000EA290000}"/>
    <cellStyle name="40% - Accent2 12" xfId="1165" xr:uid="{00000000-0005-0000-0000-0000EB290000}"/>
    <cellStyle name="40% - Accent2 12 2" xfId="4121" xr:uid="{00000000-0005-0000-0000-0000EC290000}"/>
    <cellStyle name="40% - Accent2 12 2 2" xfId="12100" xr:uid="{00000000-0005-0000-0000-0000ED290000}"/>
    <cellStyle name="40% - Accent2 12 2 2 2" xfId="23388" xr:uid="{00000000-0005-0000-0000-0000EE290000}"/>
    <cellStyle name="40% - Accent2 12 2 3" xfId="10106" xr:uid="{00000000-0005-0000-0000-0000EF290000}"/>
    <cellStyle name="40% - Accent2 12 2 3 2" xfId="21394" xr:uid="{00000000-0005-0000-0000-0000F0290000}"/>
    <cellStyle name="40% - Accent2 12 2 4" xfId="8112" xr:uid="{00000000-0005-0000-0000-0000F1290000}"/>
    <cellStyle name="40% - Accent2 12 2 4 2" xfId="19400" xr:uid="{00000000-0005-0000-0000-0000F2290000}"/>
    <cellStyle name="40% - Accent2 12 2 5" xfId="6118" xr:uid="{00000000-0005-0000-0000-0000F3290000}"/>
    <cellStyle name="40% - Accent2 12 2 5 2" xfId="17406" xr:uid="{00000000-0005-0000-0000-0000F4290000}"/>
    <cellStyle name="40% - Accent2 12 2 6" xfId="15412" xr:uid="{00000000-0005-0000-0000-0000F5290000}"/>
    <cellStyle name="40% - Accent2 12 3" xfId="11103" xr:uid="{00000000-0005-0000-0000-0000F6290000}"/>
    <cellStyle name="40% - Accent2 12 3 2" xfId="22391" xr:uid="{00000000-0005-0000-0000-0000F7290000}"/>
    <cellStyle name="40% - Accent2 12 4" xfId="9109" xr:uid="{00000000-0005-0000-0000-0000F8290000}"/>
    <cellStyle name="40% - Accent2 12 4 2" xfId="20397" xr:uid="{00000000-0005-0000-0000-0000F9290000}"/>
    <cellStyle name="40% - Accent2 12 5" xfId="7115" xr:uid="{00000000-0005-0000-0000-0000FA290000}"/>
    <cellStyle name="40% - Accent2 12 5 2" xfId="18403" xr:uid="{00000000-0005-0000-0000-0000FB290000}"/>
    <cellStyle name="40% - Accent2 12 6" xfId="5121" xr:uid="{00000000-0005-0000-0000-0000FC290000}"/>
    <cellStyle name="40% - Accent2 12 6 2" xfId="16409" xr:uid="{00000000-0005-0000-0000-0000FD290000}"/>
    <cellStyle name="40% - Accent2 12 7" xfId="14415" xr:uid="{00000000-0005-0000-0000-0000FE290000}"/>
    <cellStyle name="40% - Accent2 12 8" xfId="13101" xr:uid="{00000000-0005-0000-0000-0000FF290000}"/>
    <cellStyle name="40% - Accent2 13" xfId="1166" xr:uid="{00000000-0005-0000-0000-0000002A0000}"/>
    <cellStyle name="40% - Accent2 13 2" xfId="4122" xr:uid="{00000000-0005-0000-0000-0000012A0000}"/>
    <cellStyle name="40% - Accent2 13 2 2" xfId="12101" xr:uid="{00000000-0005-0000-0000-0000022A0000}"/>
    <cellStyle name="40% - Accent2 13 2 2 2" xfId="23389" xr:uid="{00000000-0005-0000-0000-0000032A0000}"/>
    <cellStyle name="40% - Accent2 13 2 3" xfId="10107" xr:uid="{00000000-0005-0000-0000-0000042A0000}"/>
    <cellStyle name="40% - Accent2 13 2 3 2" xfId="21395" xr:uid="{00000000-0005-0000-0000-0000052A0000}"/>
    <cellStyle name="40% - Accent2 13 2 4" xfId="8113" xr:uid="{00000000-0005-0000-0000-0000062A0000}"/>
    <cellStyle name="40% - Accent2 13 2 4 2" xfId="19401" xr:uid="{00000000-0005-0000-0000-0000072A0000}"/>
    <cellStyle name="40% - Accent2 13 2 5" xfId="6119" xr:uid="{00000000-0005-0000-0000-0000082A0000}"/>
    <cellStyle name="40% - Accent2 13 2 5 2" xfId="17407" xr:uid="{00000000-0005-0000-0000-0000092A0000}"/>
    <cellStyle name="40% - Accent2 13 2 6" xfId="15413" xr:uid="{00000000-0005-0000-0000-00000A2A0000}"/>
    <cellStyle name="40% - Accent2 13 3" xfId="11104" xr:uid="{00000000-0005-0000-0000-00000B2A0000}"/>
    <cellStyle name="40% - Accent2 13 3 2" xfId="22392" xr:uid="{00000000-0005-0000-0000-00000C2A0000}"/>
    <cellStyle name="40% - Accent2 13 4" xfId="9110" xr:uid="{00000000-0005-0000-0000-00000D2A0000}"/>
    <cellStyle name="40% - Accent2 13 4 2" xfId="20398" xr:uid="{00000000-0005-0000-0000-00000E2A0000}"/>
    <cellStyle name="40% - Accent2 13 5" xfId="7116" xr:uid="{00000000-0005-0000-0000-00000F2A0000}"/>
    <cellStyle name="40% - Accent2 13 5 2" xfId="18404" xr:uid="{00000000-0005-0000-0000-0000102A0000}"/>
    <cellStyle name="40% - Accent2 13 6" xfId="5122" xr:uid="{00000000-0005-0000-0000-0000112A0000}"/>
    <cellStyle name="40% - Accent2 13 6 2" xfId="16410" xr:uid="{00000000-0005-0000-0000-0000122A0000}"/>
    <cellStyle name="40% - Accent2 13 7" xfId="14416" xr:uid="{00000000-0005-0000-0000-0000132A0000}"/>
    <cellStyle name="40% - Accent2 13 8" xfId="13102" xr:uid="{00000000-0005-0000-0000-0000142A0000}"/>
    <cellStyle name="40% - Accent2 14" xfId="1167" xr:uid="{00000000-0005-0000-0000-0000152A0000}"/>
    <cellStyle name="40% - Accent2 14 2" xfId="4123" xr:uid="{00000000-0005-0000-0000-0000162A0000}"/>
    <cellStyle name="40% - Accent2 14 2 2" xfId="12102" xr:uid="{00000000-0005-0000-0000-0000172A0000}"/>
    <cellStyle name="40% - Accent2 14 2 2 2" xfId="23390" xr:uid="{00000000-0005-0000-0000-0000182A0000}"/>
    <cellStyle name="40% - Accent2 14 2 3" xfId="10108" xr:uid="{00000000-0005-0000-0000-0000192A0000}"/>
    <cellStyle name="40% - Accent2 14 2 3 2" xfId="21396" xr:uid="{00000000-0005-0000-0000-00001A2A0000}"/>
    <cellStyle name="40% - Accent2 14 2 4" xfId="8114" xr:uid="{00000000-0005-0000-0000-00001B2A0000}"/>
    <cellStyle name="40% - Accent2 14 2 4 2" xfId="19402" xr:uid="{00000000-0005-0000-0000-00001C2A0000}"/>
    <cellStyle name="40% - Accent2 14 2 5" xfId="6120" xr:uid="{00000000-0005-0000-0000-00001D2A0000}"/>
    <cellStyle name="40% - Accent2 14 2 5 2" xfId="17408" xr:uid="{00000000-0005-0000-0000-00001E2A0000}"/>
    <cellStyle name="40% - Accent2 14 2 6" xfId="15414" xr:uid="{00000000-0005-0000-0000-00001F2A0000}"/>
    <cellStyle name="40% - Accent2 14 3" xfId="11105" xr:uid="{00000000-0005-0000-0000-0000202A0000}"/>
    <cellStyle name="40% - Accent2 14 3 2" xfId="22393" xr:uid="{00000000-0005-0000-0000-0000212A0000}"/>
    <cellStyle name="40% - Accent2 14 4" xfId="9111" xr:uid="{00000000-0005-0000-0000-0000222A0000}"/>
    <cellStyle name="40% - Accent2 14 4 2" xfId="20399" xr:uid="{00000000-0005-0000-0000-0000232A0000}"/>
    <cellStyle name="40% - Accent2 14 5" xfId="7117" xr:uid="{00000000-0005-0000-0000-0000242A0000}"/>
    <cellStyle name="40% - Accent2 14 5 2" xfId="18405" xr:uid="{00000000-0005-0000-0000-0000252A0000}"/>
    <cellStyle name="40% - Accent2 14 6" xfId="5123" xr:uid="{00000000-0005-0000-0000-0000262A0000}"/>
    <cellStyle name="40% - Accent2 14 6 2" xfId="16411" xr:uid="{00000000-0005-0000-0000-0000272A0000}"/>
    <cellStyle name="40% - Accent2 14 7" xfId="14417" xr:uid="{00000000-0005-0000-0000-0000282A0000}"/>
    <cellStyle name="40% - Accent2 14 8" xfId="13103" xr:uid="{00000000-0005-0000-0000-0000292A0000}"/>
    <cellStyle name="40% - Accent2 15" xfId="1168" xr:uid="{00000000-0005-0000-0000-00002A2A0000}"/>
    <cellStyle name="40% - Accent2 15 2" xfId="4124" xr:uid="{00000000-0005-0000-0000-00002B2A0000}"/>
    <cellStyle name="40% - Accent2 15 2 2" xfId="12103" xr:uid="{00000000-0005-0000-0000-00002C2A0000}"/>
    <cellStyle name="40% - Accent2 15 2 2 2" xfId="23391" xr:uid="{00000000-0005-0000-0000-00002D2A0000}"/>
    <cellStyle name="40% - Accent2 15 2 3" xfId="10109" xr:uid="{00000000-0005-0000-0000-00002E2A0000}"/>
    <cellStyle name="40% - Accent2 15 2 3 2" xfId="21397" xr:uid="{00000000-0005-0000-0000-00002F2A0000}"/>
    <cellStyle name="40% - Accent2 15 2 4" xfId="8115" xr:uid="{00000000-0005-0000-0000-0000302A0000}"/>
    <cellStyle name="40% - Accent2 15 2 4 2" xfId="19403" xr:uid="{00000000-0005-0000-0000-0000312A0000}"/>
    <cellStyle name="40% - Accent2 15 2 5" xfId="6121" xr:uid="{00000000-0005-0000-0000-0000322A0000}"/>
    <cellStyle name="40% - Accent2 15 2 5 2" xfId="17409" xr:uid="{00000000-0005-0000-0000-0000332A0000}"/>
    <cellStyle name="40% - Accent2 15 2 6" xfId="15415" xr:uid="{00000000-0005-0000-0000-0000342A0000}"/>
    <cellStyle name="40% - Accent2 15 3" xfId="11106" xr:uid="{00000000-0005-0000-0000-0000352A0000}"/>
    <cellStyle name="40% - Accent2 15 3 2" xfId="22394" xr:uid="{00000000-0005-0000-0000-0000362A0000}"/>
    <cellStyle name="40% - Accent2 15 4" xfId="9112" xr:uid="{00000000-0005-0000-0000-0000372A0000}"/>
    <cellStyle name="40% - Accent2 15 4 2" xfId="20400" xr:uid="{00000000-0005-0000-0000-0000382A0000}"/>
    <cellStyle name="40% - Accent2 15 5" xfId="7118" xr:uid="{00000000-0005-0000-0000-0000392A0000}"/>
    <cellStyle name="40% - Accent2 15 5 2" xfId="18406" xr:uid="{00000000-0005-0000-0000-00003A2A0000}"/>
    <cellStyle name="40% - Accent2 15 6" xfId="5124" xr:uid="{00000000-0005-0000-0000-00003B2A0000}"/>
    <cellStyle name="40% - Accent2 15 6 2" xfId="16412" xr:uid="{00000000-0005-0000-0000-00003C2A0000}"/>
    <cellStyle name="40% - Accent2 15 7" xfId="14418" xr:uid="{00000000-0005-0000-0000-00003D2A0000}"/>
    <cellStyle name="40% - Accent2 15 8" xfId="13104" xr:uid="{00000000-0005-0000-0000-00003E2A0000}"/>
    <cellStyle name="40% - Accent2 16" xfId="1169" xr:uid="{00000000-0005-0000-0000-00003F2A0000}"/>
    <cellStyle name="40% - Accent2 16 2" xfId="4125" xr:uid="{00000000-0005-0000-0000-0000402A0000}"/>
    <cellStyle name="40% - Accent2 16 2 2" xfId="12104" xr:uid="{00000000-0005-0000-0000-0000412A0000}"/>
    <cellStyle name="40% - Accent2 16 2 2 2" xfId="23392" xr:uid="{00000000-0005-0000-0000-0000422A0000}"/>
    <cellStyle name="40% - Accent2 16 2 3" xfId="10110" xr:uid="{00000000-0005-0000-0000-0000432A0000}"/>
    <cellStyle name="40% - Accent2 16 2 3 2" xfId="21398" xr:uid="{00000000-0005-0000-0000-0000442A0000}"/>
    <cellStyle name="40% - Accent2 16 2 4" xfId="8116" xr:uid="{00000000-0005-0000-0000-0000452A0000}"/>
    <cellStyle name="40% - Accent2 16 2 4 2" xfId="19404" xr:uid="{00000000-0005-0000-0000-0000462A0000}"/>
    <cellStyle name="40% - Accent2 16 2 5" xfId="6122" xr:uid="{00000000-0005-0000-0000-0000472A0000}"/>
    <cellStyle name="40% - Accent2 16 2 5 2" xfId="17410" xr:uid="{00000000-0005-0000-0000-0000482A0000}"/>
    <cellStyle name="40% - Accent2 16 2 6" xfId="15416" xr:uid="{00000000-0005-0000-0000-0000492A0000}"/>
    <cellStyle name="40% - Accent2 16 3" xfId="11107" xr:uid="{00000000-0005-0000-0000-00004A2A0000}"/>
    <cellStyle name="40% - Accent2 16 3 2" xfId="22395" xr:uid="{00000000-0005-0000-0000-00004B2A0000}"/>
    <cellStyle name="40% - Accent2 16 4" xfId="9113" xr:uid="{00000000-0005-0000-0000-00004C2A0000}"/>
    <cellStyle name="40% - Accent2 16 4 2" xfId="20401" xr:uid="{00000000-0005-0000-0000-00004D2A0000}"/>
    <cellStyle name="40% - Accent2 16 5" xfId="7119" xr:uid="{00000000-0005-0000-0000-00004E2A0000}"/>
    <cellStyle name="40% - Accent2 16 5 2" xfId="18407" xr:uid="{00000000-0005-0000-0000-00004F2A0000}"/>
    <cellStyle name="40% - Accent2 16 6" xfId="5125" xr:uid="{00000000-0005-0000-0000-0000502A0000}"/>
    <cellStyle name="40% - Accent2 16 6 2" xfId="16413" xr:uid="{00000000-0005-0000-0000-0000512A0000}"/>
    <cellStyle name="40% - Accent2 16 7" xfId="14419" xr:uid="{00000000-0005-0000-0000-0000522A0000}"/>
    <cellStyle name="40% - Accent2 16 8" xfId="13105" xr:uid="{00000000-0005-0000-0000-0000532A0000}"/>
    <cellStyle name="40% - Accent2 17" xfId="1170" xr:uid="{00000000-0005-0000-0000-0000542A0000}"/>
    <cellStyle name="40% - Accent2 17 2" xfId="4126" xr:uid="{00000000-0005-0000-0000-0000552A0000}"/>
    <cellStyle name="40% - Accent2 17 2 2" xfId="12105" xr:uid="{00000000-0005-0000-0000-0000562A0000}"/>
    <cellStyle name="40% - Accent2 17 2 2 2" xfId="23393" xr:uid="{00000000-0005-0000-0000-0000572A0000}"/>
    <cellStyle name="40% - Accent2 17 2 3" xfId="10111" xr:uid="{00000000-0005-0000-0000-0000582A0000}"/>
    <cellStyle name="40% - Accent2 17 2 3 2" xfId="21399" xr:uid="{00000000-0005-0000-0000-0000592A0000}"/>
    <cellStyle name="40% - Accent2 17 2 4" xfId="8117" xr:uid="{00000000-0005-0000-0000-00005A2A0000}"/>
    <cellStyle name="40% - Accent2 17 2 4 2" xfId="19405" xr:uid="{00000000-0005-0000-0000-00005B2A0000}"/>
    <cellStyle name="40% - Accent2 17 2 5" xfId="6123" xr:uid="{00000000-0005-0000-0000-00005C2A0000}"/>
    <cellStyle name="40% - Accent2 17 2 5 2" xfId="17411" xr:uid="{00000000-0005-0000-0000-00005D2A0000}"/>
    <cellStyle name="40% - Accent2 17 2 6" xfId="15417" xr:uid="{00000000-0005-0000-0000-00005E2A0000}"/>
    <cellStyle name="40% - Accent2 17 3" xfId="11108" xr:uid="{00000000-0005-0000-0000-00005F2A0000}"/>
    <cellStyle name="40% - Accent2 17 3 2" xfId="22396" xr:uid="{00000000-0005-0000-0000-0000602A0000}"/>
    <cellStyle name="40% - Accent2 17 4" xfId="9114" xr:uid="{00000000-0005-0000-0000-0000612A0000}"/>
    <cellStyle name="40% - Accent2 17 4 2" xfId="20402" xr:uid="{00000000-0005-0000-0000-0000622A0000}"/>
    <cellStyle name="40% - Accent2 17 5" xfId="7120" xr:uid="{00000000-0005-0000-0000-0000632A0000}"/>
    <cellStyle name="40% - Accent2 17 5 2" xfId="18408" xr:uid="{00000000-0005-0000-0000-0000642A0000}"/>
    <cellStyle name="40% - Accent2 17 6" xfId="5126" xr:uid="{00000000-0005-0000-0000-0000652A0000}"/>
    <cellStyle name="40% - Accent2 17 6 2" xfId="16414" xr:uid="{00000000-0005-0000-0000-0000662A0000}"/>
    <cellStyle name="40% - Accent2 17 7" xfId="14420" xr:uid="{00000000-0005-0000-0000-0000672A0000}"/>
    <cellStyle name="40% - Accent2 17 8" xfId="13106" xr:uid="{00000000-0005-0000-0000-0000682A0000}"/>
    <cellStyle name="40% - Accent2 18" xfId="1171" xr:uid="{00000000-0005-0000-0000-0000692A0000}"/>
    <cellStyle name="40% - Accent2 18 2" xfId="4127" xr:uid="{00000000-0005-0000-0000-00006A2A0000}"/>
    <cellStyle name="40% - Accent2 18 2 2" xfId="12106" xr:uid="{00000000-0005-0000-0000-00006B2A0000}"/>
    <cellStyle name="40% - Accent2 18 2 2 2" xfId="23394" xr:uid="{00000000-0005-0000-0000-00006C2A0000}"/>
    <cellStyle name="40% - Accent2 18 2 3" xfId="10112" xr:uid="{00000000-0005-0000-0000-00006D2A0000}"/>
    <cellStyle name="40% - Accent2 18 2 3 2" xfId="21400" xr:uid="{00000000-0005-0000-0000-00006E2A0000}"/>
    <cellStyle name="40% - Accent2 18 2 4" xfId="8118" xr:uid="{00000000-0005-0000-0000-00006F2A0000}"/>
    <cellStyle name="40% - Accent2 18 2 4 2" xfId="19406" xr:uid="{00000000-0005-0000-0000-0000702A0000}"/>
    <cellStyle name="40% - Accent2 18 2 5" xfId="6124" xr:uid="{00000000-0005-0000-0000-0000712A0000}"/>
    <cellStyle name="40% - Accent2 18 2 5 2" xfId="17412" xr:uid="{00000000-0005-0000-0000-0000722A0000}"/>
    <cellStyle name="40% - Accent2 18 2 6" xfId="15418" xr:uid="{00000000-0005-0000-0000-0000732A0000}"/>
    <cellStyle name="40% - Accent2 18 3" xfId="11109" xr:uid="{00000000-0005-0000-0000-0000742A0000}"/>
    <cellStyle name="40% - Accent2 18 3 2" xfId="22397" xr:uid="{00000000-0005-0000-0000-0000752A0000}"/>
    <cellStyle name="40% - Accent2 18 4" xfId="9115" xr:uid="{00000000-0005-0000-0000-0000762A0000}"/>
    <cellStyle name="40% - Accent2 18 4 2" xfId="20403" xr:uid="{00000000-0005-0000-0000-0000772A0000}"/>
    <cellStyle name="40% - Accent2 18 5" xfId="7121" xr:uid="{00000000-0005-0000-0000-0000782A0000}"/>
    <cellStyle name="40% - Accent2 18 5 2" xfId="18409" xr:uid="{00000000-0005-0000-0000-0000792A0000}"/>
    <cellStyle name="40% - Accent2 18 6" xfId="5127" xr:uid="{00000000-0005-0000-0000-00007A2A0000}"/>
    <cellStyle name="40% - Accent2 18 6 2" xfId="16415" xr:uid="{00000000-0005-0000-0000-00007B2A0000}"/>
    <cellStyle name="40% - Accent2 18 7" xfId="14421" xr:uid="{00000000-0005-0000-0000-00007C2A0000}"/>
    <cellStyle name="40% - Accent2 18 8" xfId="13107" xr:uid="{00000000-0005-0000-0000-00007D2A0000}"/>
    <cellStyle name="40% - Accent2 19" xfId="1172" xr:uid="{00000000-0005-0000-0000-00007E2A0000}"/>
    <cellStyle name="40% - Accent2 19 2" xfId="4128" xr:uid="{00000000-0005-0000-0000-00007F2A0000}"/>
    <cellStyle name="40% - Accent2 19 2 2" xfId="12107" xr:uid="{00000000-0005-0000-0000-0000802A0000}"/>
    <cellStyle name="40% - Accent2 19 2 2 2" xfId="23395" xr:uid="{00000000-0005-0000-0000-0000812A0000}"/>
    <cellStyle name="40% - Accent2 19 2 3" xfId="10113" xr:uid="{00000000-0005-0000-0000-0000822A0000}"/>
    <cellStyle name="40% - Accent2 19 2 3 2" xfId="21401" xr:uid="{00000000-0005-0000-0000-0000832A0000}"/>
    <cellStyle name="40% - Accent2 19 2 4" xfId="8119" xr:uid="{00000000-0005-0000-0000-0000842A0000}"/>
    <cellStyle name="40% - Accent2 19 2 4 2" xfId="19407" xr:uid="{00000000-0005-0000-0000-0000852A0000}"/>
    <cellStyle name="40% - Accent2 19 2 5" xfId="6125" xr:uid="{00000000-0005-0000-0000-0000862A0000}"/>
    <cellStyle name="40% - Accent2 19 2 5 2" xfId="17413" xr:uid="{00000000-0005-0000-0000-0000872A0000}"/>
    <cellStyle name="40% - Accent2 19 2 6" xfId="15419" xr:uid="{00000000-0005-0000-0000-0000882A0000}"/>
    <cellStyle name="40% - Accent2 19 3" xfId="11110" xr:uid="{00000000-0005-0000-0000-0000892A0000}"/>
    <cellStyle name="40% - Accent2 19 3 2" xfId="22398" xr:uid="{00000000-0005-0000-0000-00008A2A0000}"/>
    <cellStyle name="40% - Accent2 19 4" xfId="9116" xr:uid="{00000000-0005-0000-0000-00008B2A0000}"/>
    <cellStyle name="40% - Accent2 19 4 2" xfId="20404" xr:uid="{00000000-0005-0000-0000-00008C2A0000}"/>
    <cellStyle name="40% - Accent2 19 5" xfId="7122" xr:uid="{00000000-0005-0000-0000-00008D2A0000}"/>
    <cellStyle name="40% - Accent2 19 5 2" xfId="18410" xr:uid="{00000000-0005-0000-0000-00008E2A0000}"/>
    <cellStyle name="40% - Accent2 19 6" xfId="5128" xr:uid="{00000000-0005-0000-0000-00008F2A0000}"/>
    <cellStyle name="40% - Accent2 19 6 2" xfId="16416" xr:uid="{00000000-0005-0000-0000-0000902A0000}"/>
    <cellStyle name="40% - Accent2 19 7" xfId="14422" xr:uid="{00000000-0005-0000-0000-0000912A0000}"/>
    <cellStyle name="40% - Accent2 19 8" xfId="13108" xr:uid="{00000000-0005-0000-0000-0000922A0000}"/>
    <cellStyle name="40% - Accent2 2" xfId="1173" xr:uid="{00000000-0005-0000-0000-0000932A0000}"/>
    <cellStyle name="40% - Accent2 2 10" xfId="24601" xr:uid="{00000000-0005-0000-0000-0000942A0000}"/>
    <cellStyle name="40% - Accent2 2 11" xfId="24991" xr:uid="{00000000-0005-0000-0000-0000952A0000}"/>
    <cellStyle name="40% - Accent2 2 2" xfId="4129" xr:uid="{00000000-0005-0000-0000-0000962A0000}"/>
    <cellStyle name="40% - Accent2 2 2 2" xfId="12108" xr:uid="{00000000-0005-0000-0000-0000972A0000}"/>
    <cellStyle name="40% - Accent2 2 2 2 2" xfId="23396" xr:uid="{00000000-0005-0000-0000-0000982A0000}"/>
    <cellStyle name="40% - Accent2 2 2 3" xfId="10114" xr:uid="{00000000-0005-0000-0000-0000992A0000}"/>
    <cellStyle name="40% - Accent2 2 2 3 2" xfId="21402" xr:uid="{00000000-0005-0000-0000-00009A2A0000}"/>
    <cellStyle name="40% - Accent2 2 2 4" xfId="8120" xr:uid="{00000000-0005-0000-0000-00009B2A0000}"/>
    <cellStyle name="40% - Accent2 2 2 4 2" xfId="19408" xr:uid="{00000000-0005-0000-0000-00009C2A0000}"/>
    <cellStyle name="40% - Accent2 2 2 5" xfId="6126" xr:uid="{00000000-0005-0000-0000-00009D2A0000}"/>
    <cellStyle name="40% - Accent2 2 2 5 2" xfId="17414" xr:uid="{00000000-0005-0000-0000-00009E2A0000}"/>
    <cellStyle name="40% - Accent2 2 2 6" xfId="15420" xr:uid="{00000000-0005-0000-0000-00009F2A0000}"/>
    <cellStyle name="40% - Accent2 2 2 7" xfId="24362" xr:uid="{00000000-0005-0000-0000-0000A02A0000}"/>
    <cellStyle name="40% - Accent2 2 2 8" xfId="24826" xr:uid="{00000000-0005-0000-0000-0000A12A0000}"/>
    <cellStyle name="40% - Accent2 2 2 9" xfId="25193" xr:uid="{00000000-0005-0000-0000-0000A22A0000}"/>
    <cellStyle name="40% - Accent2 2 3" xfId="11111" xr:uid="{00000000-0005-0000-0000-0000A32A0000}"/>
    <cellStyle name="40% - Accent2 2 3 2" xfId="22399" xr:uid="{00000000-0005-0000-0000-0000A42A0000}"/>
    <cellStyle name="40% - Accent2 2 4" xfId="9117" xr:uid="{00000000-0005-0000-0000-0000A52A0000}"/>
    <cellStyle name="40% - Accent2 2 4 2" xfId="20405" xr:uid="{00000000-0005-0000-0000-0000A62A0000}"/>
    <cellStyle name="40% - Accent2 2 5" xfId="7123" xr:uid="{00000000-0005-0000-0000-0000A72A0000}"/>
    <cellStyle name="40% - Accent2 2 5 2" xfId="18411" xr:uid="{00000000-0005-0000-0000-0000A82A0000}"/>
    <cellStyle name="40% - Accent2 2 6" xfId="5129" xr:uid="{00000000-0005-0000-0000-0000A92A0000}"/>
    <cellStyle name="40% - Accent2 2 6 2" xfId="16417" xr:uid="{00000000-0005-0000-0000-0000AA2A0000}"/>
    <cellStyle name="40% - Accent2 2 7" xfId="14423" xr:uid="{00000000-0005-0000-0000-0000AB2A0000}"/>
    <cellStyle name="40% - Accent2 2 8" xfId="13109" xr:uid="{00000000-0005-0000-0000-0000AC2A0000}"/>
    <cellStyle name="40% - Accent2 2 9" xfId="23974" xr:uid="{00000000-0005-0000-0000-0000AD2A0000}"/>
    <cellStyle name="40% - Accent2 20" xfId="1174" xr:uid="{00000000-0005-0000-0000-0000AE2A0000}"/>
    <cellStyle name="40% - Accent2 20 2" xfId="4130" xr:uid="{00000000-0005-0000-0000-0000AF2A0000}"/>
    <cellStyle name="40% - Accent2 20 2 2" xfId="12109" xr:uid="{00000000-0005-0000-0000-0000B02A0000}"/>
    <cellStyle name="40% - Accent2 20 2 2 2" xfId="23397" xr:uid="{00000000-0005-0000-0000-0000B12A0000}"/>
    <cellStyle name="40% - Accent2 20 2 3" xfId="10115" xr:uid="{00000000-0005-0000-0000-0000B22A0000}"/>
    <cellStyle name="40% - Accent2 20 2 3 2" xfId="21403" xr:uid="{00000000-0005-0000-0000-0000B32A0000}"/>
    <cellStyle name="40% - Accent2 20 2 4" xfId="8121" xr:uid="{00000000-0005-0000-0000-0000B42A0000}"/>
    <cellStyle name="40% - Accent2 20 2 4 2" xfId="19409" xr:uid="{00000000-0005-0000-0000-0000B52A0000}"/>
    <cellStyle name="40% - Accent2 20 2 5" xfId="6127" xr:uid="{00000000-0005-0000-0000-0000B62A0000}"/>
    <cellStyle name="40% - Accent2 20 2 5 2" xfId="17415" xr:uid="{00000000-0005-0000-0000-0000B72A0000}"/>
    <cellStyle name="40% - Accent2 20 2 6" xfId="15421" xr:uid="{00000000-0005-0000-0000-0000B82A0000}"/>
    <cellStyle name="40% - Accent2 20 3" xfId="11112" xr:uid="{00000000-0005-0000-0000-0000B92A0000}"/>
    <cellStyle name="40% - Accent2 20 3 2" xfId="22400" xr:uid="{00000000-0005-0000-0000-0000BA2A0000}"/>
    <cellStyle name="40% - Accent2 20 4" xfId="9118" xr:uid="{00000000-0005-0000-0000-0000BB2A0000}"/>
    <cellStyle name="40% - Accent2 20 4 2" xfId="20406" xr:uid="{00000000-0005-0000-0000-0000BC2A0000}"/>
    <cellStyle name="40% - Accent2 20 5" xfId="7124" xr:uid="{00000000-0005-0000-0000-0000BD2A0000}"/>
    <cellStyle name="40% - Accent2 20 5 2" xfId="18412" xr:uid="{00000000-0005-0000-0000-0000BE2A0000}"/>
    <cellStyle name="40% - Accent2 20 6" xfId="5130" xr:uid="{00000000-0005-0000-0000-0000BF2A0000}"/>
    <cellStyle name="40% - Accent2 20 6 2" xfId="16418" xr:uid="{00000000-0005-0000-0000-0000C02A0000}"/>
    <cellStyle name="40% - Accent2 20 7" xfId="14424" xr:uid="{00000000-0005-0000-0000-0000C12A0000}"/>
    <cellStyle name="40% - Accent2 20 8" xfId="13110" xr:uid="{00000000-0005-0000-0000-0000C22A0000}"/>
    <cellStyle name="40% - Accent2 21" xfId="1175" xr:uid="{00000000-0005-0000-0000-0000C32A0000}"/>
    <cellStyle name="40% - Accent2 21 2" xfId="4131" xr:uid="{00000000-0005-0000-0000-0000C42A0000}"/>
    <cellStyle name="40% - Accent2 21 2 2" xfId="12110" xr:uid="{00000000-0005-0000-0000-0000C52A0000}"/>
    <cellStyle name="40% - Accent2 21 2 2 2" xfId="23398" xr:uid="{00000000-0005-0000-0000-0000C62A0000}"/>
    <cellStyle name="40% - Accent2 21 2 3" xfId="10116" xr:uid="{00000000-0005-0000-0000-0000C72A0000}"/>
    <cellStyle name="40% - Accent2 21 2 3 2" xfId="21404" xr:uid="{00000000-0005-0000-0000-0000C82A0000}"/>
    <cellStyle name="40% - Accent2 21 2 4" xfId="8122" xr:uid="{00000000-0005-0000-0000-0000C92A0000}"/>
    <cellStyle name="40% - Accent2 21 2 4 2" xfId="19410" xr:uid="{00000000-0005-0000-0000-0000CA2A0000}"/>
    <cellStyle name="40% - Accent2 21 2 5" xfId="6128" xr:uid="{00000000-0005-0000-0000-0000CB2A0000}"/>
    <cellStyle name="40% - Accent2 21 2 5 2" xfId="17416" xr:uid="{00000000-0005-0000-0000-0000CC2A0000}"/>
    <cellStyle name="40% - Accent2 21 2 6" xfId="15422" xr:uid="{00000000-0005-0000-0000-0000CD2A0000}"/>
    <cellStyle name="40% - Accent2 21 3" xfId="11113" xr:uid="{00000000-0005-0000-0000-0000CE2A0000}"/>
    <cellStyle name="40% - Accent2 21 3 2" xfId="22401" xr:uid="{00000000-0005-0000-0000-0000CF2A0000}"/>
    <cellStyle name="40% - Accent2 21 4" xfId="9119" xr:uid="{00000000-0005-0000-0000-0000D02A0000}"/>
    <cellStyle name="40% - Accent2 21 4 2" xfId="20407" xr:uid="{00000000-0005-0000-0000-0000D12A0000}"/>
    <cellStyle name="40% - Accent2 21 5" xfId="7125" xr:uid="{00000000-0005-0000-0000-0000D22A0000}"/>
    <cellStyle name="40% - Accent2 21 5 2" xfId="18413" xr:uid="{00000000-0005-0000-0000-0000D32A0000}"/>
    <cellStyle name="40% - Accent2 21 6" xfId="5131" xr:uid="{00000000-0005-0000-0000-0000D42A0000}"/>
    <cellStyle name="40% - Accent2 21 6 2" xfId="16419" xr:uid="{00000000-0005-0000-0000-0000D52A0000}"/>
    <cellStyle name="40% - Accent2 21 7" xfId="14425" xr:uid="{00000000-0005-0000-0000-0000D62A0000}"/>
    <cellStyle name="40% - Accent2 21 8" xfId="13111" xr:uid="{00000000-0005-0000-0000-0000D72A0000}"/>
    <cellStyle name="40% - Accent2 22" xfId="1176" xr:uid="{00000000-0005-0000-0000-0000D82A0000}"/>
    <cellStyle name="40% - Accent2 22 2" xfId="4132" xr:uid="{00000000-0005-0000-0000-0000D92A0000}"/>
    <cellStyle name="40% - Accent2 22 2 2" xfId="12111" xr:uid="{00000000-0005-0000-0000-0000DA2A0000}"/>
    <cellStyle name="40% - Accent2 22 2 2 2" xfId="23399" xr:uid="{00000000-0005-0000-0000-0000DB2A0000}"/>
    <cellStyle name="40% - Accent2 22 2 3" xfId="10117" xr:uid="{00000000-0005-0000-0000-0000DC2A0000}"/>
    <cellStyle name="40% - Accent2 22 2 3 2" xfId="21405" xr:uid="{00000000-0005-0000-0000-0000DD2A0000}"/>
    <cellStyle name="40% - Accent2 22 2 4" xfId="8123" xr:uid="{00000000-0005-0000-0000-0000DE2A0000}"/>
    <cellStyle name="40% - Accent2 22 2 4 2" xfId="19411" xr:uid="{00000000-0005-0000-0000-0000DF2A0000}"/>
    <cellStyle name="40% - Accent2 22 2 5" xfId="6129" xr:uid="{00000000-0005-0000-0000-0000E02A0000}"/>
    <cellStyle name="40% - Accent2 22 2 5 2" xfId="17417" xr:uid="{00000000-0005-0000-0000-0000E12A0000}"/>
    <cellStyle name="40% - Accent2 22 2 6" xfId="15423" xr:uid="{00000000-0005-0000-0000-0000E22A0000}"/>
    <cellStyle name="40% - Accent2 22 3" xfId="11114" xr:uid="{00000000-0005-0000-0000-0000E32A0000}"/>
    <cellStyle name="40% - Accent2 22 3 2" xfId="22402" xr:uid="{00000000-0005-0000-0000-0000E42A0000}"/>
    <cellStyle name="40% - Accent2 22 4" xfId="9120" xr:uid="{00000000-0005-0000-0000-0000E52A0000}"/>
    <cellStyle name="40% - Accent2 22 4 2" xfId="20408" xr:uid="{00000000-0005-0000-0000-0000E62A0000}"/>
    <cellStyle name="40% - Accent2 22 5" xfId="7126" xr:uid="{00000000-0005-0000-0000-0000E72A0000}"/>
    <cellStyle name="40% - Accent2 22 5 2" xfId="18414" xr:uid="{00000000-0005-0000-0000-0000E82A0000}"/>
    <cellStyle name="40% - Accent2 22 6" xfId="5132" xr:uid="{00000000-0005-0000-0000-0000E92A0000}"/>
    <cellStyle name="40% - Accent2 22 6 2" xfId="16420" xr:uid="{00000000-0005-0000-0000-0000EA2A0000}"/>
    <cellStyle name="40% - Accent2 22 7" xfId="14426" xr:uid="{00000000-0005-0000-0000-0000EB2A0000}"/>
    <cellStyle name="40% - Accent2 22 8" xfId="13112" xr:uid="{00000000-0005-0000-0000-0000EC2A0000}"/>
    <cellStyle name="40% - Accent2 23" xfId="1177" xr:uid="{00000000-0005-0000-0000-0000ED2A0000}"/>
    <cellStyle name="40% - Accent2 23 2" xfId="4133" xr:uid="{00000000-0005-0000-0000-0000EE2A0000}"/>
    <cellStyle name="40% - Accent2 23 2 2" xfId="12112" xr:uid="{00000000-0005-0000-0000-0000EF2A0000}"/>
    <cellStyle name="40% - Accent2 23 2 2 2" xfId="23400" xr:uid="{00000000-0005-0000-0000-0000F02A0000}"/>
    <cellStyle name="40% - Accent2 23 2 3" xfId="10118" xr:uid="{00000000-0005-0000-0000-0000F12A0000}"/>
    <cellStyle name="40% - Accent2 23 2 3 2" xfId="21406" xr:uid="{00000000-0005-0000-0000-0000F22A0000}"/>
    <cellStyle name="40% - Accent2 23 2 4" xfId="8124" xr:uid="{00000000-0005-0000-0000-0000F32A0000}"/>
    <cellStyle name="40% - Accent2 23 2 4 2" xfId="19412" xr:uid="{00000000-0005-0000-0000-0000F42A0000}"/>
    <cellStyle name="40% - Accent2 23 2 5" xfId="6130" xr:uid="{00000000-0005-0000-0000-0000F52A0000}"/>
    <cellStyle name="40% - Accent2 23 2 5 2" xfId="17418" xr:uid="{00000000-0005-0000-0000-0000F62A0000}"/>
    <cellStyle name="40% - Accent2 23 2 6" xfId="15424" xr:uid="{00000000-0005-0000-0000-0000F72A0000}"/>
    <cellStyle name="40% - Accent2 23 3" xfId="11115" xr:uid="{00000000-0005-0000-0000-0000F82A0000}"/>
    <cellStyle name="40% - Accent2 23 3 2" xfId="22403" xr:uid="{00000000-0005-0000-0000-0000F92A0000}"/>
    <cellStyle name="40% - Accent2 23 4" xfId="9121" xr:uid="{00000000-0005-0000-0000-0000FA2A0000}"/>
    <cellStyle name="40% - Accent2 23 4 2" xfId="20409" xr:uid="{00000000-0005-0000-0000-0000FB2A0000}"/>
    <cellStyle name="40% - Accent2 23 5" xfId="7127" xr:uid="{00000000-0005-0000-0000-0000FC2A0000}"/>
    <cellStyle name="40% - Accent2 23 5 2" xfId="18415" xr:uid="{00000000-0005-0000-0000-0000FD2A0000}"/>
    <cellStyle name="40% - Accent2 23 6" xfId="5133" xr:uid="{00000000-0005-0000-0000-0000FE2A0000}"/>
    <cellStyle name="40% - Accent2 23 6 2" xfId="16421" xr:uid="{00000000-0005-0000-0000-0000FF2A0000}"/>
    <cellStyle name="40% - Accent2 23 7" xfId="14427" xr:uid="{00000000-0005-0000-0000-0000002B0000}"/>
    <cellStyle name="40% - Accent2 23 8" xfId="13113" xr:uid="{00000000-0005-0000-0000-0000012B0000}"/>
    <cellStyle name="40% - Accent2 24" xfId="1178" xr:uid="{00000000-0005-0000-0000-0000022B0000}"/>
    <cellStyle name="40% - Accent2 24 2" xfId="4134" xr:uid="{00000000-0005-0000-0000-0000032B0000}"/>
    <cellStyle name="40% - Accent2 24 2 2" xfId="12113" xr:uid="{00000000-0005-0000-0000-0000042B0000}"/>
    <cellStyle name="40% - Accent2 24 2 2 2" xfId="23401" xr:uid="{00000000-0005-0000-0000-0000052B0000}"/>
    <cellStyle name="40% - Accent2 24 2 3" xfId="10119" xr:uid="{00000000-0005-0000-0000-0000062B0000}"/>
    <cellStyle name="40% - Accent2 24 2 3 2" xfId="21407" xr:uid="{00000000-0005-0000-0000-0000072B0000}"/>
    <cellStyle name="40% - Accent2 24 2 4" xfId="8125" xr:uid="{00000000-0005-0000-0000-0000082B0000}"/>
    <cellStyle name="40% - Accent2 24 2 4 2" xfId="19413" xr:uid="{00000000-0005-0000-0000-0000092B0000}"/>
    <cellStyle name="40% - Accent2 24 2 5" xfId="6131" xr:uid="{00000000-0005-0000-0000-00000A2B0000}"/>
    <cellStyle name="40% - Accent2 24 2 5 2" xfId="17419" xr:uid="{00000000-0005-0000-0000-00000B2B0000}"/>
    <cellStyle name="40% - Accent2 24 2 6" xfId="15425" xr:uid="{00000000-0005-0000-0000-00000C2B0000}"/>
    <cellStyle name="40% - Accent2 24 3" xfId="11116" xr:uid="{00000000-0005-0000-0000-00000D2B0000}"/>
    <cellStyle name="40% - Accent2 24 3 2" xfId="22404" xr:uid="{00000000-0005-0000-0000-00000E2B0000}"/>
    <cellStyle name="40% - Accent2 24 4" xfId="9122" xr:uid="{00000000-0005-0000-0000-00000F2B0000}"/>
    <cellStyle name="40% - Accent2 24 4 2" xfId="20410" xr:uid="{00000000-0005-0000-0000-0000102B0000}"/>
    <cellStyle name="40% - Accent2 24 5" xfId="7128" xr:uid="{00000000-0005-0000-0000-0000112B0000}"/>
    <cellStyle name="40% - Accent2 24 5 2" xfId="18416" xr:uid="{00000000-0005-0000-0000-0000122B0000}"/>
    <cellStyle name="40% - Accent2 24 6" xfId="5134" xr:uid="{00000000-0005-0000-0000-0000132B0000}"/>
    <cellStyle name="40% - Accent2 24 6 2" xfId="16422" xr:uid="{00000000-0005-0000-0000-0000142B0000}"/>
    <cellStyle name="40% - Accent2 24 7" xfId="14428" xr:uid="{00000000-0005-0000-0000-0000152B0000}"/>
    <cellStyle name="40% - Accent2 24 8" xfId="13114" xr:uid="{00000000-0005-0000-0000-0000162B0000}"/>
    <cellStyle name="40% - Accent2 25" xfId="1179" xr:uid="{00000000-0005-0000-0000-0000172B0000}"/>
    <cellStyle name="40% - Accent2 25 2" xfId="4135" xr:uid="{00000000-0005-0000-0000-0000182B0000}"/>
    <cellStyle name="40% - Accent2 25 2 2" xfId="12114" xr:uid="{00000000-0005-0000-0000-0000192B0000}"/>
    <cellStyle name="40% - Accent2 25 2 2 2" xfId="23402" xr:uid="{00000000-0005-0000-0000-00001A2B0000}"/>
    <cellStyle name="40% - Accent2 25 2 3" xfId="10120" xr:uid="{00000000-0005-0000-0000-00001B2B0000}"/>
    <cellStyle name="40% - Accent2 25 2 3 2" xfId="21408" xr:uid="{00000000-0005-0000-0000-00001C2B0000}"/>
    <cellStyle name="40% - Accent2 25 2 4" xfId="8126" xr:uid="{00000000-0005-0000-0000-00001D2B0000}"/>
    <cellStyle name="40% - Accent2 25 2 4 2" xfId="19414" xr:uid="{00000000-0005-0000-0000-00001E2B0000}"/>
    <cellStyle name="40% - Accent2 25 2 5" xfId="6132" xr:uid="{00000000-0005-0000-0000-00001F2B0000}"/>
    <cellStyle name="40% - Accent2 25 2 5 2" xfId="17420" xr:uid="{00000000-0005-0000-0000-0000202B0000}"/>
    <cellStyle name="40% - Accent2 25 2 6" xfId="15426" xr:uid="{00000000-0005-0000-0000-0000212B0000}"/>
    <cellStyle name="40% - Accent2 25 3" xfId="11117" xr:uid="{00000000-0005-0000-0000-0000222B0000}"/>
    <cellStyle name="40% - Accent2 25 3 2" xfId="22405" xr:uid="{00000000-0005-0000-0000-0000232B0000}"/>
    <cellStyle name="40% - Accent2 25 4" xfId="9123" xr:uid="{00000000-0005-0000-0000-0000242B0000}"/>
    <cellStyle name="40% - Accent2 25 4 2" xfId="20411" xr:uid="{00000000-0005-0000-0000-0000252B0000}"/>
    <cellStyle name="40% - Accent2 25 5" xfId="7129" xr:uid="{00000000-0005-0000-0000-0000262B0000}"/>
    <cellStyle name="40% - Accent2 25 5 2" xfId="18417" xr:uid="{00000000-0005-0000-0000-0000272B0000}"/>
    <cellStyle name="40% - Accent2 25 6" xfId="5135" xr:uid="{00000000-0005-0000-0000-0000282B0000}"/>
    <cellStyle name="40% - Accent2 25 6 2" xfId="16423" xr:uid="{00000000-0005-0000-0000-0000292B0000}"/>
    <cellStyle name="40% - Accent2 25 7" xfId="14429" xr:uid="{00000000-0005-0000-0000-00002A2B0000}"/>
    <cellStyle name="40% - Accent2 25 8" xfId="13115" xr:uid="{00000000-0005-0000-0000-00002B2B0000}"/>
    <cellStyle name="40% - Accent2 26" xfId="1180" xr:uid="{00000000-0005-0000-0000-00002C2B0000}"/>
    <cellStyle name="40% - Accent2 26 2" xfId="4136" xr:uid="{00000000-0005-0000-0000-00002D2B0000}"/>
    <cellStyle name="40% - Accent2 26 2 2" xfId="12115" xr:uid="{00000000-0005-0000-0000-00002E2B0000}"/>
    <cellStyle name="40% - Accent2 26 2 2 2" xfId="23403" xr:uid="{00000000-0005-0000-0000-00002F2B0000}"/>
    <cellStyle name="40% - Accent2 26 2 3" xfId="10121" xr:uid="{00000000-0005-0000-0000-0000302B0000}"/>
    <cellStyle name="40% - Accent2 26 2 3 2" xfId="21409" xr:uid="{00000000-0005-0000-0000-0000312B0000}"/>
    <cellStyle name="40% - Accent2 26 2 4" xfId="8127" xr:uid="{00000000-0005-0000-0000-0000322B0000}"/>
    <cellStyle name="40% - Accent2 26 2 4 2" xfId="19415" xr:uid="{00000000-0005-0000-0000-0000332B0000}"/>
    <cellStyle name="40% - Accent2 26 2 5" xfId="6133" xr:uid="{00000000-0005-0000-0000-0000342B0000}"/>
    <cellStyle name="40% - Accent2 26 2 5 2" xfId="17421" xr:uid="{00000000-0005-0000-0000-0000352B0000}"/>
    <cellStyle name="40% - Accent2 26 2 6" xfId="15427" xr:uid="{00000000-0005-0000-0000-0000362B0000}"/>
    <cellStyle name="40% - Accent2 26 3" xfId="11118" xr:uid="{00000000-0005-0000-0000-0000372B0000}"/>
    <cellStyle name="40% - Accent2 26 3 2" xfId="22406" xr:uid="{00000000-0005-0000-0000-0000382B0000}"/>
    <cellStyle name="40% - Accent2 26 4" xfId="9124" xr:uid="{00000000-0005-0000-0000-0000392B0000}"/>
    <cellStyle name="40% - Accent2 26 4 2" xfId="20412" xr:uid="{00000000-0005-0000-0000-00003A2B0000}"/>
    <cellStyle name="40% - Accent2 26 5" xfId="7130" xr:uid="{00000000-0005-0000-0000-00003B2B0000}"/>
    <cellStyle name="40% - Accent2 26 5 2" xfId="18418" xr:uid="{00000000-0005-0000-0000-00003C2B0000}"/>
    <cellStyle name="40% - Accent2 26 6" xfId="5136" xr:uid="{00000000-0005-0000-0000-00003D2B0000}"/>
    <cellStyle name="40% - Accent2 26 6 2" xfId="16424" xr:uid="{00000000-0005-0000-0000-00003E2B0000}"/>
    <cellStyle name="40% - Accent2 26 7" xfId="14430" xr:uid="{00000000-0005-0000-0000-00003F2B0000}"/>
    <cellStyle name="40% - Accent2 26 8" xfId="13116" xr:uid="{00000000-0005-0000-0000-0000402B0000}"/>
    <cellStyle name="40% - Accent2 27" xfId="1181" xr:uid="{00000000-0005-0000-0000-0000412B0000}"/>
    <cellStyle name="40% - Accent2 27 2" xfId="4137" xr:uid="{00000000-0005-0000-0000-0000422B0000}"/>
    <cellStyle name="40% - Accent2 27 2 2" xfId="12116" xr:uid="{00000000-0005-0000-0000-0000432B0000}"/>
    <cellStyle name="40% - Accent2 27 2 2 2" xfId="23404" xr:uid="{00000000-0005-0000-0000-0000442B0000}"/>
    <cellStyle name="40% - Accent2 27 2 3" xfId="10122" xr:uid="{00000000-0005-0000-0000-0000452B0000}"/>
    <cellStyle name="40% - Accent2 27 2 3 2" xfId="21410" xr:uid="{00000000-0005-0000-0000-0000462B0000}"/>
    <cellStyle name="40% - Accent2 27 2 4" xfId="8128" xr:uid="{00000000-0005-0000-0000-0000472B0000}"/>
    <cellStyle name="40% - Accent2 27 2 4 2" xfId="19416" xr:uid="{00000000-0005-0000-0000-0000482B0000}"/>
    <cellStyle name="40% - Accent2 27 2 5" xfId="6134" xr:uid="{00000000-0005-0000-0000-0000492B0000}"/>
    <cellStyle name="40% - Accent2 27 2 5 2" xfId="17422" xr:uid="{00000000-0005-0000-0000-00004A2B0000}"/>
    <cellStyle name="40% - Accent2 27 2 6" xfId="15428" xr:uid="{00000000-0005-0000-0000-00004B2B0000}"/>
    <cellStyle name="40% - Accent2 27 3" xfId="11119" xr:uid="{00000000-0005-0000-0000-00004C2B0000}"/>
    <cellStyle name="40% - Accent2 27 3 2" xfId="22407" xr:uid="{00000000-0005-0000-0000-00004D2B0000}"/>
    <cellStyle name="40% - Accent2 27 4" xfId="9125" xr:uid="{00000000-0005-0000-0000-00004E2B0000}"/>
    <cellStyle name="40% - Accent2 27 4 2" xfId="20413" xr:uid="{00000000-0005-0000-0000-00004F2B0000}"/>
    <cellStyle name="40% - Accent2 27 5" xfId="7131" xr:uid="{00000000-0005-0000-0000-0000502B0000}"/>
    <cellStyle name="40% - Accent2 27 5 2" xfId="18419" xr:uid="{00000000-0005-0000-0000-0000512B0000}"/>
    <cellStyle name="40% - Accent2 27 6" xfId="5137" xr:uid="{00000000-0005-0000-0000-0000522B0000}"/>
    <cellStyle name="40% - Accent2 27 6 2" xfId="16425" xr:uid="{00000000-0005-0000-0000-0000532B0000}"/>
    <cellStyle name="40% - Accent2 27 7" xfId="14431" xr:uid="{00000000-0005-0000-0000-0000542B0000}"/>
    <cellStyle name="40% - Accent2 27 8" xfId="13117" xr:uid="{00000000-0005-0000-0000-0000552B0000}"/>
    <cellStyle name="40% - Accent2 28" xfId="1182" xr:uid="{00000000-0005-0000-0000-0000562B0000}"/>
    <cellStyle name="40% - Accent2 28 2" xfId="4138" xr:uid="{00000000-0005-0000-0000-0000572B0000}"/>
    <cellStyle name="40% - Accent2 28 2 2" xfId="12117" xr:uid="{00000000-0005-0000-0000-0000582B0000}"/>
    <cellStyle name="40% - Accent2 28 2 2 2" xfId="23405" xr:uid="{00000000-0005-0000-0000-0000592B0000}"/>
    <cellStyle name="40% - Accent2 28 2 3" xfId="10123" xr:uid="{00000000-0005-0000-0000-00005A2B0000}"/>
    <cellStyle name="40% - Accent2 28 2 3 2" xfId="21411" xr:uid="{00000000-0005-0000-0000-00005B2B0000}"/>
    <cellStyle name="40% - Accent2 28 2 4" xfId="8129" xr:uid="{00000000-0005-0000-0000-00005C2B0000}"/>
    <cellStyle name="40% - Accent2 28 2 4 2" xfId="19417" xr:uid="{00000000-0005-0000-0000-00005D2B0000}"/>
    <cellStyle name="40% - Accent2 28 2 5" xfId="6135" xr:uid="{00000000-0005-0000-0000-00005E2B0000}"/>
    <cellStyle name="40% - Accent2 28 2 5 2" xfId="17423" xr:uid="{00000000-0005-0000-0000-00005F2B0000}"/>
    <cellStyle name="40% - Accent2 28 2 6" xfId="15429" xr:uid="{00000000-0005-0000-0000-0000602B0000}"/>
    <cellStyle name="40% - Accent2 28 3" xfId="11120" xr:uid="{00000000-0005-0000-0000-0000612B0000}"/>
    <cellStyle name="40% - Accent2 28 3 2" xfId="22408" xr:uid="{00000000-0005-0000-0000-0000622B0000}"/>
    <cellStyle name="40% - Accent2 28 4" xfId="9126" xr:uid="{00000000-0005-0000-0000-0000632B0000}"/>
    <cellStyle name="40% - Accent2 28 4 2" xfId="20414" xr:uid="{00000000-0005-0000-0000-0000642B0000}"/>
    <cellStyle name="40% - Accent2 28 5" xfId="7132" xr:uid="{00000000-0005-0000-0000-0000652B0000}"/>
    <cellStyle name="40% - Accent2 28 5 2" xfId="18420" xr:uid="{00000000-0005-0000-0000-0000662B0000}"/>
    <cellStyle name="40% - Accent2 28 6" xfId="5138" xr:uid="{00000000-0005-0000-0000-0000672B0000}"/>
    <cellStyle name="40% - Accent2 28 6 2" xfId="16426" xr:uid="{00000000-0005-0000-0000-0000682B0000}"/>
    <cellStyle name="40% - Accent2 28 7" xfId="14432" xr:uid="{00000000-0005-0000-0000-0000692B0000}"/>
    <cellStyle name="40% - Accent2 28 8" xfId="13118" xr:uid="{00000000-0005-0000-0000-00006A2B0000}"/>
    <cellStyle name="40% - Accent2 29" xfId="1183" xr:uid="{00000000-0005-0000-0000-00006B2B0000}"/>
    <cellStyle name="40% - Accent2 29 2" xfId="4139" xr:uid="{00000000-0005-0000-0000-00006C2B0000}"/>
    <cellStyle name="40% - Accent2 29 2 2" xfId="12118" xr:uid="{00000000-0005-0000-0000-00006D2B0000}"/>
    <cellStyle name="40% - Accent2 29 2 2 2" xfId="23406" xr:uid="{00000000-0005-0000-0000-00006E2B0000}"/>
    <cellStyle name="40% - Accent2 29 2 3" xfId="10124" xr:uid="{00000000-0005-0000-0000-00006F2B0000}"/>
    <cellStyle name="40% - Accent2 29 2 3 2" xfId="21412" xr:uid="{00000000-0005-0000-0000-0000702B0000}"/>
    <cellStyle name="40% - Accent2 29 2 4" xfId="8130" xr:uid="{00000000-0005-0000-0000-0000712B0000}"/>
    <cellStyle name="40% - Accent2 29 2 4 2" xfId="19418" xr:uid="{00000000-0005-0000-0000-0000722B0000}"/>
    <cellStyle name="40% - Accent2 29 2 5" xfId="6136" xr:uid="{00000000-0005-0000-0000-0000732B0000}"/>
    <cellStyle name="40% - Accent2 29 2 5 2" xfId="17424" xr:uid="{00000000-0005-0000-0000-0000742B0000}"/>
    <cellStyle name="40% - Accent2 29 2 6" xfId="15430" xr:uid="{00000000-0005-0000-0000-0000752B0000}"/>
    <cellStyle name="40% - Accent2 29 3" xfId="11121" xr:uid="{00000000-0005-0000-0000-0000762B0000}"/>
    <cellStyle name="40% - Accent2 29 3 2" xfId="22409" xr:uid="{00000000-0005-0000-0000-0000772B0000}"/>
    <cellStyle name="40% - Accent2 29 4" xfId="9127" xr:uid="{00000000-0005-0000-0000-0000782B0000}"/>
    <cellStyle name="40% - Accent2 29 4 2" xfId="20415" xr:uid="{00000000-0005-0000-0000-0000792B0000}"/>
    <cellStyle name="40% - Accent2 29 5" xfId="7133" xr:uid="{00000000-0005-0000-0000-00007A2B0000}"/>
    <cellStyle name="40% - Accent2 29 5 2" xfId="18421" xr:uid="{00000000-0005-0000-0000-00007B2B0000}"/>
    <cellStyle name="40% - Accent2 29 6" xfId="5139" xr:uid="{00000000-0005-0000-0000-00007C2B0000}"/>
    <cellStyle name="40% - Accent2 29 6 2" xfId="16427" xr:uid="{00000000-0005-0000-0000-00007D2B0000}"/>
    <cellStyle name="40% - Accent2 29 7" xfId="14433" xr:uid="{00000000-0005-0000-0000-00007E2B0000}"/>
    <cellStyle name="40% - Accent2 29 8" xfId="13119" xr:uid="{00000000-0005-0000-0000-00007F2B0000}"/>
    <cellStyle name="40% - Accent2 3" xfId="1184" xr:uid="{00000000-0005-0000-0000-0000802B0000}"/>
    <cellStyle name="40% - Accent2 3 10" xfId="24602" xr:uid="{00000000-0005-0000-0000-0000812B0000}"/>
    <cellStyle name="40% - Accent2 3 11" xfId="24992" xr:uid="{00000000-0005-0000-0000-0000822B0000}"/>
    <cellStyle name="40% - Accent2 3 2" xfId="4140" xr:uid="{00000000-0005-0000-0000-0000832B0000}"/>
    <cellStyle name="40% - Accent2 3 2 2" xfId="12119" xr:uid="{00000000-0005-0000-0000-0000842B0000}"/>
    <cellStyle name="40% - Accent2 3 2 2 2" xfId="23407" xr:uid="{00000000-0005-0000-0000-0000852B0000}"/>
    <cellStyle name="40% - Accent2 3 2 3" xfId="10125" xr:uid="{00000000-0005-0000-0000-0000862B0000}"/>
    <cellStyle name="40% - Accent2 3 2 3 2" xfId="21413" xr:uid="{00000000-0005-0000-0000-0000872B0000}"/>
    <cellStyle name="40% - Accent2 3 2 4" xfId="8131" xr:uid="{00000000-0005-0000-0000-0000882B0000}"/>
    <cellStyle name="40% - Accent2 3 2 4 2" xfId="19419" xr:uid="{00000000-0005-0000-0000-0000892B0000}"/>
    <cellStyle name="40% - Accent2 3 2 5" xfId="6137" xr:uid="{00000000-0005-0000-0000-00008A2B0000}"/>
    <cellStyle name="40% - Accent2 3 2 5 2" xfId="17425" xr:uid="{00000000-0005-0000-0000-00008B2B0000}"/>
    <cellStyle name="40% - Accent2 3 2 6" xfId="15431" xr:uid="{00000000-0005-0000-0000-00008C2B0000}"/>
    <cellStyle name="40% - Accent2 3 2 7" xfId="24363" xr:uid="{00000000-0005-0000-0000-00008D2B0000}"/>
    <cellStyle name="40% - Accent2 3 2 8" xfId="24827" xr:uid="{00000000-0005-0000-0000-00008E2B0000}"/>
    <cellStyle name="40% - Accent2 3 2 9" xfId="25194" xr:uid="{00000000-0005-0000-0000-00008F2B0000}"/>
    <cellStyle name="40% - Accent2 3 3" xfId="11122" xr:uid="{00000000-0005-0000-0000-0000902B0000}"/>
    <cellStyle name="40% - Accent2 3 3 2" xfId="22410" xr:uid="{00000000-0005-0000-0000-0000912B0000}"/>
    <cellStyle name="40% - Accent2 3 4" xfId="9128" xr:uid="{00000000-0005-0000-0000-0000922B0000}"/>
    <cellStyle name="40% - Accent2 3 4 2" xfId="20416" xr:uid="{00000000-0005-0000-0000-0000932B0000}"/>
    <cellStyle name="40% - Accent2 3 5" xfId="7134" xr:uid="{00000000-0005-0000-0000-0000942B0000}"/>
    <cellStyle name="40% - Accent2 3 5 2" xfId="18422" xr:uid="{00000000-0005-0000-0000-0000952B0000}"/>
    <cellStyle name="40% - Accent2 3 6" xfId="5140" xr:uid="{00000000-0005-0000-0000-0000962B0000}"/>
    <cellStyle name="40% - Accent2 3 6 2" xfId="16428" xr:uid="{00000000-0005-0000-0000-0000972B0000}"/>
    <cellStyle name="40% - Accent2 3 7" xfId="14434" xr:uid="{00000000-0005-0000-0000-0000982B0000}"/>
    <cellStyle name="40% - Accent2 3 8" xfId="13120" xr:uid="{00000000-0005-0000-0000-0000992B0000}"/>
    <cellStyle name="40% - Accent2 3 9" xfId="23975" xr:uid="{00000000-0005-0000-0000-00009A2B0000}"/>
    <cellStyle name="40% - Accent2 30" xfId="1185" xr:uid="{00000000-0005-0000-0000-00009B2B0000}"/>
    <cellStyle name="40% - Accent2 30 2" xfId="4141" xr:uid="{00000000-0005-0000-0000-00009C2B0000}"/>
    <cellStyle name="40% - Accent2 30 2 2" xfId="12120" xr:uid="{00000000-0005-0000-0000-00009D2B0000}"/>
    <cellStyle name="40% - Accent2 30 2 2 2" xfId="23408" xr:uid="{00000000-0005-0000-0000-00009E2B0000}"/>
    <cellStyle name="40% - Accent2 30 2 3" xfId="10126" xr:uid="{00000000-0005-0000-0000-00009F2B0000}"/>
    <cellStyle name="40% - Accent2 30 2 3 2" xfId="21414" xr:uid="{00000000-0005-0000-0000-0000A02B0000}"/>
    <cellStyle name="40% - Accent2 30 2 4" xfId="8132" xr:uid="{00000000-0005-0000-0000-0000A12B0000}"/>
    <cellStyle name="40% - Accent2 30 2 4 2" xfId="19420" xr:uid="{00000000-0005-0000-0000-0000A22B0000}"/>
    <cellStyle name="40% - Accent2 30 2 5" xfId="6138" xr:uid="{00000000-0005-0000-0000-0000A32B0000}"/>
    <cellStyle name="40% - Accent2 30 2 5 2" xfId="17426" xr:uid="{00000000-0005-0000-0000-0000A42B0000}"/>
    <cellStyle name="40% - Accent2 30 2 6" xfId="15432" xr:uid="{00000000-0005-0000-0000-0000A52B0000}"/>
    <cellStyle name="40% - Accent2 30 3" xfId="11123" xr:uid="{00000000-0005-0000-0000-0000A62B0000}"/>
    <cellStyle name="40% - Accent2 30 3 2" xfId="22411" xr:uid="{00000000-0005-0000-0000-0000A72B0000}"/>
    <cellStyle name="40% - Accent2 30 4" xfId="9129" xr:uid="{00000000-0005-0000-0000-0000A82B0000}"/>
    <cellStyle name="40% - Accent2 30 4 2" xfId="20417" xr:uid="{00000000-0005-0000-0000-0000A92B0000}"/>
    <cellStyle name="40% - Accent2 30 5" xfId="7135" xr:uid="{00000000-0005-0000-0000-0000AA2B0000}"/>
    <cellStyle name="40% - Accent2 30 5 2" xfId="18423" xr:uid="{00000000-0005-0000-0000-0000AB2B0000}"/>
    <cellStyle name="40% - Accent2 30 6" xfId="5141" xr:uid="{00000000-0005-0000-0000-0000AC2B0000}"/>
    <cellStyle name="40% - Accent2 30 6 2" xfId="16429" xr:uid="{00000000-0005-0000-0000-0000AD2B0000}"/>
    <cellStyle name="40% - Accent2 30 7" xfId="14435" xr:uid="{00000000-0005-0000-0000-0000AE2B0000}"/>
    <cellStyle name="40% - Accent2 30 8" xfId="13121" xr:uid="{00000000-0005-0000-0000-0000AF2B0000}"/>
    <cellStyle name="40% - Accent2 31" xfId="1186" xr:uid="{00000000-0005-0000-0000-0000B02B0000}"/>
    <cellStyle name="40% - Accent2 31 2" xfId="4142" xr:uid="{00000000-0005-0000-0000-0000B12B0000}"/>
    <cellStyle name="40% - Accent2 31 2 2" xfId="12121" xr:uid="{00000000-0005-0000-0000-0000B22B0000}"/>
    <cellStyle name="40% - Accent2 31 2 2 2" xfId="23409" xr:uid="{00000000-0005-0000-0000-0000B32B0000}"/>
    <cellStyle name="40% - Accent2 31 2 3" xfId="10127" xr:uid="{00000000-0005-0000-0000-0000B42B0000}"/>
    <cellStyle name="40% - Accent2 31 2 3 2" xfId="21415" xr:uid="{00000000-0005-0000-0000-0000B52B0000}"/>
    <cellStyle name="40% - Accent2 31 2 4" xfId="8133" xr:uid="{00000000-0005-0000-0000-0000B62B0000}"/>
    <cellStyle name="40% - Accent2 31 2 4 2" xfId="19421" xr:uid="{00000000-0005-0000-0000-0000B72B0000}"/>
    <cellStyle name="40% - Accent2 31 2 5" xfId="6139" xr:uid="{00000000-0005-0000-0000-0000B82B0000}"/>
    <cellStyle name="40% - Accent2 31 2 5 2" xfId="17427" xr:uid="{00000000-0005-0000-0000-0000B92B0000}"/>
    <cellStyle name="40% - Accent2 31 2 6" xfId="15433" xr:uid="{00000000-0005-0000-0000-0000BA2B0000}"/>
    <cellStyle name="40% - Accent2 31 3" xfId="11124" xr:uid="{00000000-0005-0000-0000-0000BB2B0000}"/>
    <cellStyle name="40% - Accent2 31 3 2" xfId="22412" xr:uid="{00000000-0005-0000-0000-0000BC2B0000}"/>
    <cellStyle name="40% - Accent2 31 4" xfId="9130" xr:uid="{00000000-0005-0000-0000-0000BD2B0000}"/>
    <cellStyle name="40% - Accent2 31 4 2" xfId="20418" xr:uid="{00000000-0005-0000-0000-0000BE2B0000}"/>
    <cellStyle name="40% - Accent2 31 5" xfId="7136" xr:uid="{00000000-0005-0000-0000-0000BF2B0000}"/>
    <cellStyle name="40% - Accent2 31 5 2" xfId="18424" xr:uid="{00000000-0005-0000-0000-0000C02B0000}"/>
    <cellStyle name="40% - Accent2 31 6" xfId="5142" xr:uid="{00000000-0005-0000-0000-0000C12B0000}"/>
    <cellStyle name="40% - Accent2 31 6 2" xfId="16430" xr:uid="{00000000-0005-0000-0000-0000C22B0000}"/>
    <cellStyle name="40% - Accent2 31 7" xfId="14436" xr:uid="{00000000-0005-0000-0000-0000C32B0000}"/>
    <cellStyle name="40% - Accent2 31 8" xfId="13122" xr:uid="{00000000-0005-0000-0000-0000C42B0000}"/>
    <cellStyle name="40% - Accent2 32" xfId="1187" xr:uid="{00000000-0005-0000-0000-0000C52B0000}"/>
    <cellStyle name="40% - Accent2 32 2" xfId="4143" xr:uid="{00000000-0005-0000-0000-0000C62B0000}"/>
    <cellStyle name="40% - Accent2 32 2 2" xfId="12122" xr:uid="{00000000-0005-0000-0000-0000C72B0000}"/>
    <cellStyle name="40% - Accent2 32 2 2 2" xfId="23410" xr:uid="{00000000-0005-0000-0000-0000C82B0000}"/>
    <cellStyle name="40% - Accent2 32 2 3" xfId="10128" xr:uid="{00000000-0005-0000-0000-0000C92B0000}"/>
    <cellStyle name="40% - Accent2 32 2 3 2" xfId="21416" xr:uid="{00000000-0005-0000-0000-0000CA2B0000}"/>
    <cellStyle name="40% - Accent2 32 2 4" xfId="8134" xr:uid="{00000000-0005-0000-0000-0000CB2B0000}"/>
    <cellStyle name="40% - Accent2 32 2 4 2" xfId="19422" xr:uid="{00000000-0005-0000-0000-0000CC2B0000}"/>
    <cellStyle name="40% - Accent2 32 2 5" xfId="6140" xr:uid="{00000000-0005-0000-0000-0000CD2B0000}"/>
    <cellStyle name="40% - Accent2 32 2 5 2" xfId="17428" xr:uid="{00000000-0005-0000-0000-0000CE2B0000}"/>
    <cellStyle name="40% - Accent2 32 2 6" xfId="15434" xr:uid="{00000000-0005-0000-0000-0000CF2B0000}"/>
    <cellStyle name="40% - Accent2 32 3" xfId="11125" xr:uid="{00000000-0005-0000-0000-0000D02B0000}"/>
    <cellStyle name="40% - Accent2 32 3 2" xfId="22413" xr:uid="{00000000-0005-0000-0000-0000D12B0000}"/>
    <cellStyle name="40% - Accent2 32 4" xfId="9131" xr:uid="{00000000-0005-0000-0000-0000D22B0000}"/>
    <cellStyle name="40% - Accent2 32 4 2" xfId="20419" xr:uid="{00000000-0005-0000-0000-0000D32B0000}"/>
    <cellStyle name="40% - Accent2 32 5" xfId="7137" xr:uid="{00000000-0005-0000-0000-0000D42B0000}"/>
    <cellStyle name="40% - Accent2 32 5 2" xfId="18425" xr:uid="{00000000-0005-0000-0000-0000D52B0000}"/>
    <cellStyle name="40% - Accent2 32 6" xfId="5143" xr:uid="{00000000-0005-0000-0000-0000D62B0000}"/>
    <cellStyle name="40% - Accent2 32 6 2" xfId="16431" xr:uid="{00000000-0005-0000-0000-0000D72B0000}"/>
    <cellStyle name="40% - Accent2 32 7" xfId="14437" xr:uid="{00000000-0005-0000-0000-0000D82B0000}"/>
    <cellStyle name="40% - Accent2 32 8" xfId="13123" xr:uid="{00000000-0005-0000-0000-0000D92B0000}"/>
    <cellStyle name="40% - Accent2 33" xfId="1188" xr:uid="{00000000-0005-0000-0000-0000DA2B0000}"/>
    <cellStyle name="40% - Accent2 33 2" xfId="4144" xr:uid="{00000000-0005-0000-0000-0000DB2B0000}"/>
    <cellStyle name="40% - Accent2 33 2 2" xfId="12123" xr:uid="{00000000-0005-0000-0000-0000DC2B0000}"/>
    <cellStyle name="40% - Accent2 33 2 2 2" xfId="23411" xr:uid="{00000000-0005-0000-0000-0000DD2B0000}"/>
    <cellStyle name="40% - Accent2 33 2 3" xfId="10129" xr:uid="{00000000-0005-0000-0000-0000DE2B0000}"/>
    <cellStyle name="40% - Accent2 33 2 3 2" xfId="21417" xr:uid="{00000000-0005-0000-0000-0000DF2B0000}"/>
    <cellStyle name="40% - Accent2 33 2 4" xfId="8135" xr:uid="{00000000-0005-0000-0000-0000E02B0000}"/>
    <cellStyle name="40% - Accent2 33 2 4 2" xfId="19423" xr:uid="{00000000-0005-0000-0000-0000E12B0000}"/>
    <cellStyle name="40% - Accent2 33 2 5" xfId="6141" xr:uid="{00000000-0005-0000-0000-0000E22B0000}"/>
    <cellStyle name="40% - Accent2 33 2 5 2" xfId="17429" xr:uid="{00000000-0005-0000-0000-0000E32B0000}"/>
    <cellStyle name="40% - Accent2 33 2 6" xfId="15435" xr:uid="{00000000-0005-0000-0000-0000E42B0000}"/>
    <cellStyle name="40% - Accent2 33 3" xfId="11126" xr:uid="{00000000-0005-0000-0000-0000E52B0000}"/>
    <cellStyle name="40% - Accent2 33 3 2" xfId="22414" xr:uid="{00000000-0005-0000-0000-0000E62B0000}"/>
    <cellStyle name="40% - Accent2 33 4" xfId="9132" xr:uid="{00000000-0005-0000-0000-0000E72B0000}"/>
    <cellStyle name="40% - Accent2 33 4 2" xfId="20420" xr:uid="{00000000-0005-0000-0000-0000E82B0000}"/>
    <cellStyle name="40% - Accent2 33 5" xfId="7138" xr:uid="{00000000-0005-0000-0000-0000E92B0000}"/>
    <cellStyle name="40% - Accent2 33 5 2" xfId="18426" xr:uid="{00000000-0005-0000-0000-0000EA2B0000}"/>
    <cellStyle name="40% - Accent2 33 6" xfId="5144" xr:uid="{00000000-0005-0000-0000-0000EB2B0000}"/>
    <cellStyle name="40% - Accent2 33 6 2" xfId="16432" xr:uid="{00000000-0005-0000-0000-0000EC2B0000}"/>
    <cellStyle name="40% - Accent2 33 7" xfId="14438" xr:uid="{00000000-0005-0000-0000-0000ED2B0000}"/>
    <cellStyle name="40% - Accent2 33 8" xfId="13124" xr:uid="{00000000-0005-0000-0000-0000EE2B0000}"/>
    <cellStyle name="40% - Accent2 34" xfId="1189" xr:uid="{00000000-0005-0000-0000-0000EF2B0000}"/>
    <cellStyle name="40% - Accent2 34 2" xfId="4145" xr:uid="{00000000-0005-0000-0000-0000F02B0000}"/>
    <cellStyle name="40% - Accent2 34 2 2" xfId="12124" xr:uid="{00000000-0005-0000-0000-0000F12B0000}"/>
    <cellStyle name="40% - Accent2 34 2 2 2" xfId="23412" xr:uid="{00000000-0005-0000-0000-0000F22B0000}"/>
    <cellStyle name="40% - Accent2 34 2 3" xfId="10130" xr:uid="{00000000-0005-0000-0000-0000F32B0000}"/>
    <cellStyle name="40% - Accent2 34 2 3 2" xfId="21418" xr:uid="{00000000-0005-0000-0000-0000F42B0000}"/>
    <cellStyle name="40% - Accent2 34 2 4" xfId="8136" xr:uid="{00000000-0005-0000-0000-0000F52B0000}"/>
    <cellStyle name="40% - Accent2 34 2 4 2" xfId="19424" xr:uid="{00000000-0005-0000-0000-0000F62B0000}"/>
    <cellStyle name="40% - Accent2 34 2 5" xfId="6142" xr:uid="{00000000-0005-0000-0000-0000F72B0000}"/>
    <cellStyle name="40% - Accent2 34 2 5 2" xfId="17430" xr:uid="{00000000-0005-0000-0000-0000F82B0000}"/>
    <cellStyle name="40% - Accent2 34 2 6" xfId="15436" xr:uid="{00000000-0005-0000-0000-0000F92B0000}"/>
    <cellStyle name="40% - Accent2 34 3" xfId="11127" xr:uid="{00000000-0005-0000-0000-0000FA2B0000}"/>
    <cellStyle name="40% - Accent2 34 3 2" xfId="22415" xr:uid="{00000000-0005-0000-0000-0000FB2B0000}"/>
    <cellStyle name="40% - Accent2 34 4" xfId="9133" xr:uid="{00000000-0005-0000-0000-0000FC2B0000}"/>
    <cellStyle name="40% - Accent2 34 4 2" xfId="20421" xr:uid="{00000000-0005-0000-0000-0000FD2B0000}"/>
    <cellStyle name="40% - Accent2 34 5" xfId="7139" xr:uid="{00000000-0005-0000-0000-0000FE2B0000}"/>
    <cellStyle name="40% - Accent2 34 5 2" xfId="18427" xr:uid="{00000000-0005-0000-0000-0000FF2B0000}"/>
    <cellStyle name="40% - Accent2 34 6" xfId="5145" xr:uid="{00000000-0005-0000-0000-0000002C0000}"/>
    <cellStyle name="40% - Accent2 34 6 2" xfId="16433" xr:uid="{00000000-0005-0000-0000-0000012C0000}"/>
    <cellStyle name="40% - Accent2 34 7" xfId="14439" xr:uid="{00000000-0005-0000-0000-0000022C0000}"/>
    <cellStyle name="40% - Accent2 34 8" xfId="13125" xr:uid="{00000000-0005-0000-0000-0000032C0000}"/>
    <cellStyle name="40% - Accent2 35" xfId="1190" xr:uid="{00000000-0005-0000-0000-0000042C0000}"/>
    <cellStyle name="40% - Accent2 35 2" xfId="4146" xr:uid="{00000000-0005-0000-0000-0000052C0000}"/>
    <cellStyle name="40% - Accent2 35 2 2" xfId="12125" xr:uid="{00000000-0005-0000-0000-0000062C0000}"/>
    <cellStyle name="40% - Accent2 35 2 2 2" xfId="23413" xr:uid="{00000000-0005-0000-0000-0000072C0000}"/>
    <cellStyle name="40% - Accent2 35 2 3" xfId="10131" xr:uid="{00000000-0005-0000-0000-0000082C0000}"/>
    <cellStyle name="40% - Accent2 35 2 3 2" xfId="21419" xr:uid="{00000000-0005-0000-0000-0000092C0000}"/>
    <cellStyle name="40% - Accent2 35 2 4" xfId="8137" xr:uid="{00000000-0005-0000-0000-00000A2C0000}"/>
    <cellStyle name="40% - Accent2 35 2 4 2" xfId="19425" xr:uid="{00000000-0005-0000-0000-00000B2C0000}"/>
    <cellStyle name="40% - Accent2 35 2 5" xfId="6143" xr:uid="{00000000-0005-0000-0000-00000C2C0000}"/>
    <cellStyle name="40% - Accent2 35 2 5 2" xfId="17431" xr:uid="{00000000-0005-0000-0000-00000D2C0000}"/>
    <cellStyle name="40% - Accent2 35 2 6" xfId="15437" xr:uid="{00000000-0005-0000-0000-00000E2C0000}"/>
    <cellStyle name="40% - Accent2 35 3" xfId="11128" xr:uid="{00000000-0005-0000-0000-00000F2C0000}"/>
    <cellStyle name="40% - Accent2 35 3 2" xfId="22416" xr:uid="{00000000-0005-0000-0000-0000102C0000}"/>
    <cellStyle name="40% - Accent2 35 4" xfId="9134" xr:uid="{00000000-0005-0000-0000-0000112C0000}"/>
    <cellStyle name="40% - Accent2 35 4 2" xfId="20422" xr:uid="{00000000-0005-0000-0000-0000122C0000}"/>
    <cellStyle name="40% - Accent2 35 5" xfId="7140" xr:uid="{00000000-0005-0000-0000-0000132C0000}"/>
    <cellStyle name="40% - Accent2 35 5 2" xfId="18428" xr:uid="{00000000-0005-0000-0000-0000142C0000}"/>
    <cellStyle name="40% - Accent2 35 6" xfId="5146" xr:uid="{00000000-0005-0000-0000-0000152C0000}"/>
    <cellStyle name="40% - Accent2 35 6 2" xfId="16434" xr:uid="{00000000-0005-0000-0000-0000162C0000}"/>
    <cellStyle name="40% - Accent2 35 7" xfId="14440" xr:uid="{00000000-0005-0000-0000-0000172C0000}"/>
    <cellStyle name="40% - Accent2 35 8" xfId="13126" xr:uid="{00000000-0005-0000-0000-0000182C0000}"/>
    <cellStyle name="40% - Accent2 36" xfId="1191" xr:uid="{00000000-0005-0000-0000-0000192C0000}"/>
    <cellStyle name="40% - Accent2 36 2" xfId="4147" xr:uid="{00000000-0005-0000-0000-00001A2C0000}"/>
    <cellStyle name="40% - Accent2 36 2 2" xfId="12126" xr:uid="{00000000-0005-0000-0000-00001B2C0000}"/>
    <cellStyle name="40% - Accent2 36 2 2 2" xfId="23414" xr:uid="{00000000-0005-0000-0000-00001C2C0000}"/>
    <cellStyle name="40% - Accent2 36 2 3" xfId="10132" xr:uid="{00000000-0005-0000-0000-00001D2C0000}"/>
    <cellStyle name="40% - Accent2 36 2 3 2" xfId="21420" xr:uid="{00000000-0005-0000-0000-00001E2C0000}"/>
    <cellStyle name="40% - Accent2 36 2 4" xfId="8138" xr:uid="{00000000-0005-0000-0000-00001F2C0000}"/>
    <cellStyle name="40% - Accent2 36 2 4 2" xfId="19426" xr:uid="{00000000-0005-0000-0000-0000202C0000}"/>
    <cellStyle name="40% - Accent2 36 2 5" xfId="6144" xr:uid="{00000000-0005-0000-0000-0000212C0000}"/>
    <cellStyle name="40% - Accent2 36 2 5 2" xfId="17432" xr:uid="{00000000-0005-0000-0000-0000222C0000}"/>
    <cellStyle name="40% - Accent2 36 2 6" xfId="15438" xr:uid="{00000000-0005-0000-0000-0000232C0000}"/>
    <cellStyle name="40% - Accent2 36 3" xfId="11129" xr:uid="{00000000-0005-0000-0000-0000242C0000}"/>
    <cellStyle name="40% - Accent2 36 3 2" xfId="22417" xr:uid="{00000000-0005-0000-0000-0000252C0000}"/>
    <cellStyle name="40% - Accent2 36 4" xfId="9135" xr:uid="{00000000-0005-0000-0000-0000262C0000}"/>
    <cellStyle name="40% - Accent2 36 4 2" xfId="20423" xr:uid="{00000000-0005-0000-0000-0000272C0000}"/>
    <cellStyle name="40% - Accent2 36 5" xfId="7141" xr:uid="{00000000-0005-0000-0000-0000282C0000}"/>
    <cellStyle name="40% - Accent2 36 5 2" xfId="18429" xr:uid="{00000000-0005-0000-0000-0000292C0000}"/>
    <cellStyle name="40% - Accent2 36 6" xfId="5147" xr:uid="{00000000-0005-0000-0000-00002A2C0000}"/>
    <cellStyle name="40% - Accent2 36 6 2" xfId="16435" xr:uid="{00000000-0005-0000-0000-00002B2C0000}"/>
    <cellStyle name="40% - Accent2 36 7" xfId="14441" xr:uid="{00000000-0005-0000-0000-00002C2C0000}"/>
    <cellStyle name="40% - Accent2 36 8" xfId="13127" xr:uid="{00000000-0005-0000-0000-00002D2C0000}"/>
    <cellStyle name="40% - Accent2 37" xfId="1192" xr:uid="{00000000-0005-0000-0000-00002E2C0000}"/>
    <cellStyle name="40% - Accent2 37 2" xfId="4148" xr:uid="{00000000-0005-0000-0000-00002F2C0000}"/>
    <cellStyle name="40% - Accent2 37 2 2" xfId="12127" xr:uid="{00000000-0005-0000-0000-0000302C0000}"/>
    <cellStyle name="40% - Accent2 37 2 2 2" xfId="23415" xr:uid="{00000000-0005-0000-0000-0000312C0000}"/>
    <cellStyle name="40% - Accent2 37 2 3" xfId="10133" xr:uid="{00000000-0005-0000-0000-0000322C0000}"/>
    <cellStyle name="40% - Accent2 37 2 3 2" xfId="21421" xr:uid="{00000000-0005-0000-0000-0000332C0000}"/>
    <cellStyle name="40% - Accent2 37 2 4" xfId="8139" xr:uid="{00000000-0005-0000-0000-0000342C0000}"/>
    <cellStyle name="40% - Accent2 37 2 4 2" xfId="19427" xr:uid="{00000000-0005-0000-0000-0000352C0000}"/>
    <cellStyle name="40% - Accent2 37 2 5" xfId="6145" xr:uid="{00000000-0005-0000-0000-0000362C0000}"/>
    <cellStyle name="40% - Accent2 37 2 5 2" xfId="17433" xr:uid="{00000000-0005-0000-0000-0000372C0000}"/>
    <cellStyle name="40% - Accent2 37 2 6" xfId="15439" xr:uid="{00000000-0005-0000-0000-0000382C0000}"/>
    <cellStyle name="40% - Accent2 37 3" xfId="11130" xr:uid="{00000000-0005-0000-0000-0000392C0000}"/>
    <cellStyle name="40% - Accent2 37 3 2" xfId="22418" xr:uid="{00000000-0005-0000-0000-00003A2C0000}"/>
    <cellStyle name="40% - Accent2 37 4" xfId="9136" xr:uid="{00000000-0005-0000-0000-00003B2C0000}"/>
    <cellStyle name="40% - Accent2 37 4 2" xfId="20424" xr:uid="{00000000-0005-0000-0000-00003C2C0000}"/>
    <cellStyle name="40% - Accent2 37 5" xfId="7142" xr:uid="{00000000-0005-0000-0000-00003D2C0000}"/>
    <cellStyle name="40% - Accent2 37 5 2" xfId="18430" xr:uid="{00000000-0005-0000-0000-00003E2C0000}"/>
    <cellStyle name="40% - Accent2 37 6" xfId="5148" xr:uid="{00000000-0005-0000-0000-00003F2C0000}"/>
    <cellStyle name="40% - Accent2 37 6 2" xfId="16436" xr:uid="{00000000-0005-0000-0000-0000402C0000}"/>
    <cellStyle name="40% - Accent2 37 7" xfId="14442" xr:uid="{00000000-0005-0000-0000-0000412C0000}"/>
    <cellStyle name="40% - Accent2 37 8" xfId="13128" xr:uid="{00000000-0005-0000-0000-0000422C0000}"/>
    <cellStyle name="40% - Accent2 38" xfId="1193" xr:uid="{00000000-0005-0000-0000-0000432C0000}"/>
    <cellStyle name="40% - Accent2 38 2" xfId="4149" xr:uid="{00000000-0005-0000-0000-0000442C0000}"/>
    <cellStyle name="40% - Accent2 38 2 2" xfId="12128" xr:uid="{00000000-0005-0000-0000-0000452C0000}"/>
    <cellStyle name="40% - Accent2 38 2 2 2" xfId="23416" xr:uid="{00000000-0005-0000-0000-0000462C0000}"/>
    <cellStyle name="40% - Accent2 38 2 3" xfId="10134" xr:uid="{00000000-0005-0000-0000-0000472C0000}"/>
    <cellStyle name="40% - Accent2 38 2 3 2" xfId="21422" xr:uid="{00000000-0005-0000-0000-0000482C0000}"/>
    <cellStyle name="40% - Accent2 38 2 4" xfId="8140" xr:uid="{00000000-0005-0000-0000-0000492C0000}"/>
    <cellStyle name="40% - Accent2 38 2 4 2" xfId="19428" xr:uid="{00000000-0005-0000-0000-00004A2C0000}"/>
    <cellStyle name="40% - Accent2 38 2 5" xfId="6146" xr:uid="{00000000-0005-0000-0000-00004B2C0000}"/>
    <cellStyle name="40% - Accent2 38 2 5 2" xfId="17434" xr:uid="{00000000-0005-0000-0000-00004C2C0000}"/>
    <cellStyle name="40% - Accent2 38 2 6" xfId="15440" xr:uid="{00000000-0005-0000-0000-00004D2C0000}"/>
    <cellStyle name="40% - Accent2 38 3" xfId="11131" xr:uid="{00000000-0005-0000-0000-00004E2C0000}"/>
    <cellStyle name="40% - Accent2 38 3 2" xfId="22419" xr:uid="{00000000-0005-0000-0000-00004F2C0000}"/>
    <cellStyle name="40% - Accent2 38 4" xfId="9137" xr:uid="{00000000-0005-0000-0000-0000502C0000}"/>
    <cellStyle name="40% - Accent2 38 4 2" xfId="20425" xr:uid="{00000000-0005-0000-0000-0000512C0000}"/>
    <cellStyle name="40% - Accent2 38 5" xfId="7143" xr:uid="{00000000-0005-0000-0000-0000522C0000}"/>
    <cellStyle name="40% - Accent2 38 5 2" xfId="18431" xr:uid="{00000000-0005-0000-0000-0000532C0000}"/>
    <cellStyle name="40% - Accent2 38 6" xfId="5149" xr:uid="{00000000-0005-0000-0000-0000542C0000}"/>
    <cellStyle name="40% - Accent2 38 6 2" xfId="16437" xr:uid="{00000000-0005-0000-0000-0000552C0000}"/>
    <cellStyle name="40% - Accent2 38 7" xfId="14443" xr:uid="{00000000-0005-0000-0000-0000562C0000}"/>
    <cellStyle name="40% - Accent2 38 8" xfId="13129" xr:uid="{00000000-0005-0000-0000-0000572C0000}"/>
    <cellStyle name="40% - Accent2 39" xfId="1194" xr:uid="{00000000-0005-0000-0000-0000582C0000}"/>
    <cellStyle name="40% - Accent2 39 2" xfId="4150" xr:uid="{00000000-0005-0000-0000-0000592C0000}"/>
    <cellStyle name="40% - Accent2 39 2 2" xfId="12129" xr:uid="{00000000-0005-0000-0000-00005A2C0000}"/>
    <cellStyle name="40% - Accent2 39 2 2 2" xfId="23417" xr:uid="{00000000-0005-0000-0000-00005B2C0000}"/>
    <cellStyle name="40% - Accent2 39 2 3" xfId="10135" xr:uid="{00000000-0005-0000-0000-00005C2C0000}"/>
    <cellStyle name="40% - Accent2 39 2 3 2" xfId="21423" xr:uid="{00000000-0005-0000-0000-00005D2C0000}"/>
    <cellStyle name="40% - Accent2 39 2 4" xfId="8141" xr:uid="{00000000-0005-0000-0000-00005E2C0000}"/>
    <cellStyle name="40% - Accent2 39 2 4 2" xfId="19429" xr:uid="{00000000-0005-0000-0000-00005F2C0000}"/>
    <cellStyle name="40% - Accent2 39 2 5" xfId="6147" xr:uid="{00000000-0005-0000-0000-0000602C0000}"/>
    <cellStyle name="40% - Accent2 39 2 5 2" xfId="17435" xr:uid="{00000000-0005-0000-0000-0000612C0000}"/>
    <cellStyle name="40% - Accent2 39 2 6" xfId="15441" xr:uid="{00000000-0005-0000-0000-0000622C0000}"/>
    <cellStyle name="40% - Accent2 39 3" xfId="11132" xr:uid="{00000000-0005-0000-0000-0000632C0000}"/>
    <cellStyle name="40% - Accent2 39 3 2" xfId="22420" xr:uid="{00000000-0005-0000-0000-0000642C0000}"/>
    <cellStyle name="40% - Accent2 39 4" xfId="9138" xr:uid="{00000000-0005-0000-0000-0000652C0000}"/>
    <cellStyle name="40% - Accent2 39 4 2" xfId="20426" xr:uid="{00000000-0005-0000-0000-0000662C0000}"/>
    <cellStyle name="40% - Accent2 39 5" xfId="7144" xr:uid="{00000000-0005-0000-0000-0000672C0000}"/>
    <cellStyle name="40% - Accent2 39 5 2" xfId="18432" xr:uid="{00000000-0005-0000-0000-0000682C0000}"/>
    <cellStyle name="40% - Accent2 39 6" xfId="5150" xr:uid="{00000000-0005-0000-0000-0000692C0000}"/>
    <cellStyle name="40% - Accent2 39 6 2" xfId="16438" xr:uid="{00000000-0005-0000-0000-00006A2C0000}"/>
    <cellStyle name="40% - Accent2 39 7" xfId="14444" xr:uid="{00000000-0005-0000-0000-00006B2C0000}"/>
    <cellStyle name="40% - Accent2 39 8" xfId="13130" xr:uid="{00000000-0005-0000-0000-00006C2C0000}"/>
    <cellStyle name="40% - Accent2 4" xfId="1195" xr:uid="{00000000-0005-0000-0000-00006D2C0000}"/>
    <cellStyle name="40% - Accent2 4 10" xfId="24603" xr:uid="{00000000-0005-0000-0000-00006E2C0000}"/>
    <cellStyle name="40% - Accent2 4 11" xfId="24993" xr:uid="{00000000-0005-0000-0000-00006F2C0000}"/>
    <cellStyle name="40% - Accent2 4 2" xfId="4151" xr:uid="{00000000-0005-0000-0000-0000702C0000}"/>
    <cellStyle name="40% - Accent2 4 2 2" xfId="12130" xr:uid="{00000000-0005-0000-0000-0000712C0000}"/>
    <cellStyle name="40% - Accent2 4 2 2 2" xfId="23418" xr:uid="{00000000-0005-0000-0000-0000722C0000}"/>
    <cellStyle name="40% - Accent2 4 2 3" xfId="10136" xr:uid="{00000000-0005-0000-0000-0000732C0000}"/>
    <cellStyle name="40% - Accent2 4 2 3 2" xfId="21424" xr:uid="{00000000-0005-0000-0000-0000742C0000}"/>
    <cellStyle name="40% - Accent2 4 2 4" xfId="8142" xr:uid="{00000000-0005-0000-0000-0000752C0000}"/>
    <cellStyle name="40% - Accent2 4 2 4 2" xfId="19430" xr:uid="{00000000-0005-0000-0000-0000762C0000}"/>
    <cellStyle name="40% - Accent2 4 2 5" xfId="6148" xr:uid="{00000000-0005-0000-0000-0000772C0000}"/>
    <cellStyle name="40% - Accent2 4 2 5 2" xfId="17436" xr:uid="{00000000-0005-0000-0000-0000782C0000}"/>
    <cellStyle name="40% - Accent2 4 2 6" xfId="15442" xr:uid="{00000000-0005-0000-0000-0000792C0000}"/>
    <cellStyle name="40% - Accent2 4 2 7" xfId="24364" xr:uid="{00000000-0005-0000-0000-00007A2C0000}"/>
    <cellStyle name="40% - Accent2 4 2 8" xfId="24828" xr:uid="{00000000-0005-0000-0000-00007B2C0000}"/>
    <cellStyle name="40% - Accent2 4 2 9" xfId="25195" xr:uid="{00000000-0005-0000-0000-00007C2C0000}"/>
    <cellStyle name="40% - Accent2 4 3" xfId="11133" xr:uid="{00000000-0005-0000-0000-00007D2C0000}"/>
    <cellStyle name="40% - Accent2 4 3 2" xfId="22421" xr:uid="{00000000-0005-0000-0000-00007E2C0000}"/>
    <cellStyle name="40% - Accent2 4 4" xfId="9139" xr:uid="{00000000-0005-0000-0000-00007F2C0000}"/>
    <cellStyle name="40% - Accent2 4 4 2" xfId="20427" xr:uid="{00000000-0005-0000-0000-0000802C0000}"/>
    <cellStyle name="40% - Accent2 4 5" xfId="7145" xr:uid="{00000000-0005-0000-0000-0000812C0000}"/>
    <cellStyle name="40% - Accent2 4 5 2" xfId="18433" xr:uid="{00000000-0005-0000-0000-0000822C0000}"/>
    <cellStyle name="40% - Accent2 4 6" xfId="5151" xr:uid="{00000000-0005-0000-0000-0000832C0000}"/>
    <cellStyle name="40% - Accent2 4 6 2" xfId="16439" xr:uid="{00000000-0005-0000-0000-0000842C0000}"/>
    <cellStyle name="40% - Accent2 4 7" xfId="14445" xr:uid="{00000000-0005-0000-0000-0000852C0000}"/>
    <cellStyle name="40% - Accent2 4 8" xfId="13131" xr:uid="{00000000-0005-0000-0000-0000862C0000}"/>
    <cellStyle name="40% - Accent2 4 9" xfId="23976" xr:uid="{00000000-0005-0000-0000-0000872C0000}"/>
    <cellStyle name="40% - Accent2 40" xfId="1196" xr:uid="{00000000-0005-0000-0000-0000882C0000}"/>
    <cellStyle name="40% - Accent2 40 2" xfId="4152" xr:uid="{00000000-0005-0000-0000-0000892C0000}"/>
    <cellStyle name="40% - Accent2 40 2 2" xfId="12131" xr:uid="{00000000-0005-0000-0000-00008A2C0000}"/>
    <cellStyle name="40% - Accent2 40 2 2 2" xfId="23419" xr:uid="{00000000-0005-0000-0000-00008B2C0000}"/>
    <cellStyle name="40% - Accent2 40 2 3" xfId="10137" xr:uid="{00000000-0005-0000-0000-00008C2C0000}"/>
    <cellStyle name="40% - Accent2 40 2 3 2" xfId="21425" xr:uid="{00000000-0005-0000-0000-00008D2C0000}"/>
    <cellStyle name="40% - Accent2 40 2 4" xfId="8143" xr:uid="{00000000-0005-0000-0000-00008E2C0000}"/>
    <cellStyle name="40% - Accent2 40 2 4 2" xfId="19431" xr:uid="{00000000-0005-0000-0000-00008F2C0000}"/>
    <cellStyle name="40% - Accent2 40 2 5" xfId="6149" xr:uid="{00000000-0005-0000-0000-0000902C0000}"/>
    <cellStyle name="40% - Accent2 40 2 5 2" xfId="17437" xr:uid="{00000000-0005-0000-0000-0000912C0000}"/>
    <cellStyle name="40% - Accent2 40 2 6" xfId="15443" xr:uid="{00000000-0005-0000-0000-0000922C0000}"/>
    <cellStyle name="40% - Accent2 40 3" xfId="11134" xr:uid="{00000000-0005-0000-0000-0000932C0000}"/>
    <cellStyle name="40% - Accent2 40 3 2" xfId="22422" xr:uid="{00000000-0005-0000-0000-0000942C0000}"/>
    <cellStyle name="40% - Accent2 40 4" xfId="9140" xr:uid="{00000000-0005-0000-0000-0000952C0000}"/>
    <cellStyle name="40% - Accent2 40 4 2" xfId="20428" xr:uid="{00000000-0005-0000-0000-0000962C0000}"/>
    <cellStyle name="40% - Accent2 40 5" xfId="7146" xr:uid="{00000000-0005-0000-0000-0000972C0000}"/>
    <cellStyle name="40% - Accent2 40 5 2" xfId="18434" xr:uid="{00000000-0005-0000-0000-0000982C0000}"/>
    <cellStyle name="40% - Accent2 40 6" xfId="5152" xr:uid="{00000000-0005-0000-0000-0000992C0000}"/>
    <cellStyle name="40% - Accent2 40 6 2" xfId="16440" xr:uid="{00000000-0005-0000-0000-00009A2C0000}"/>
    <cellStyle name="40% - Accent2 40 7" xfId="14446" xr:uid="{00000000-0005-0000-0000-00009B2C0000}"/>
    <cellStyle name="40% - Accent2 40 8" xfId="13132" xr:uid="{00000000-0005-0000-0000-00009C2C0000}"/>
    <cellStyle name="40% - Accent2 41" xfId="1197" xr:uid="{00000000-0005-0000-0000-00009D2C0000}"/>
    <cellStyle name="40% - Accent2 41 2" xfId="4153" xr:uid="{00000000-0005-0000-0000-00009E2C0000}"/>
    <cellStyle name="40% - Accent2 41 2 2" xfId="12132" xr:uid="{00000000-0005-0000-0000-00009F2C0000}"/>
    <cellStyle name="40% - Accent2 41 2 2 2" xfId="23420" xr:uid="{00000000-0005-0000-0000-0000A02C0000}"/>
    <cellStyle name="40% - Accent2 41 2 3" xfId="10138" xr:uid="{00000000-0005-0000-0000-0000A12C0000}"/>
    <cellStyle name="40% - Accent2 41 2 3 2" xfId="21426" xr:uid="{00000000-0005-0000-0000-0000A22C0000}"/>
    <cellStyle name="40% - Accent2 41 2 4" xfId="8144" xr:uid="{00000000-0005-0000-0000-0000A32C0000}"/>
    <cellStyle name="40% - Accent2 41 2 4 2" xfId="19432" xr:uid="{00000000-0005-0000-0000-0000A42C0000}"/>
    <cellStyle name="40% - Accent2 41 2 5" xfId="6150" xr:uid="{00000000-0005-0000-0000-0000A52C0000}"/>
    <cellStyle name="40% - Accent2 41 2 5 2" xfId="17438" xr:uid="{00000000-0005-0000-0000-0000A62C0000}"/>
    <cellStyle name="40% - Accent2 41 2 6" xfId="15444" xr:uid="{00000000-0005-0000-0000-0000A72C0000}"/>
    <cellStyle name="40% - Accent2 41 3" xfId="11135" xr:uid="{00000000-0005-0000-0000-0000A82C0000}"/>
    <cellStyle name="40% - Accent2 41 3 2" xfId="22423" xr:uid="{00000000-0005-0000-0000-0000A92C0000}"/>
    <cellStyle name="40% - Accent2 41 4" xfId="9141" xr:uid="{00000000-0005-0000-0000-0000AA2C0000}"/>
    <cellStyle name="40% - Accent2 41 4 2" xfId="20429" xr:uid="{00000000-0005-0000-0000-0000AB2C0000}"/>
    <cellStyle name="40% - Accent2 41 5" xfId="7147" xr:uid="{00000000-0005-0000-0000-0000AC2C0000}"/>
    <cellStyle name="40% - Accent2 41 5 2" xfId="18435" xr:uid="{00000000-0005-0000-0000-0000AD2C0000}"/>
    <cellStyle name="40% - Accent2 41 6" xfId="5153" xr:uid="{00000000-0005-0000-0000-0000AE2C0000}"/>
    <cellStyle name="40% - Accent2 41 6 2" xfId="16441" xr:uid="{00000000-0005-0000-0000-0000AF2C0000}"/>
    <cellStyle name="40% - Accent2 41 7" xfId="14447" xr:uid="{00000000-0005-0000-0000-0000B02C0000}"/>
    <cellStyle name="40% - Accent2 41 8" xfId="13133" xr:uid="{00000000-0005-0000-0000-0000B12C0000}"/>
    <cellStyle name="40% - Accent2 42" xfId="1198" xr:uid="{00000000-0005-0000-0000-0000B22C0000}"/>
    <cellStyle name="40% - Accent2 42 2" xfId="4154" xr:uid="{00000000-0005-0000-0000-0000B32C0000}"/>
    <cellStyle name="40% - Accent2 42 2 2" xfId="12133" xr:uid="{00000000-0005-0000-0000-0000B42C0000}"/>
    <cellStyle name="40% - Accent2 42 2 2 2" xfId="23421" xr:uid="{00000000-0005-0000-0000-0000B52C0000}"/>
    <cellStyle name="40% - Accent2 42 2 3" xfId="10139" xr:uid="{00000000-0005-0000-0000-0000B62C0000}"/>
    <cellStyle name="40% - Accent2 42 2 3 2" xfId="21427" xr:uid="{00000000-0005-0000-0000-0000B72C0000}"/>
    <cellStyle name="40% - Accent2 42 2 4" xfId="8145" xr:uid="{00000000-0005-0000-0000-0000B82C0000}"/>
    <cellStyle name="40% - Accent2 42 2 4 2" xfId="19433" xr:uid="{00000000-0005-0000-0000-0000B92C0000}"/>
    <cellStyle name="40% - Accent2 42 2 5" xfId="6151" xr:uid="{00000000-0005-0000-0000-0000BA2C0000}"/>
    <cellStyle name="40% - Accent2 42 2 5 2" xfId="17439" xr:uid="{00000000-0005-0000-0000-0000BB2C0000}"/>
    <cellStyle name="40% - Accent2 42 2 6" xfId="15445" xr:uid="{00000000-0005-0000-0000-0000BC2C0000}"/>
    <cellStyle name="40% - Accent2 42 3" xfId="11136" xr:uid="{00000000-0005-0000-0000-0000BD2C0000}"/>
    <cellStyle name="40% - Accent2 42 3 2" xfId="22424" xr:uid="{00000000-0005-0000-0000-0000BE2C0000}"/>
    <cellStyle name="40% - Accent2 42 4" xfId="9142" xr:uid="{00000000-0005-0000-0000-0000BF2C0000}"/>
    <cellStyle name="40% - Accent2 42 4 2" xfId="20430" xr:uid="{00000000-0005-0000-0000-0000C02C0000}"/>
    <cellStyle name="40% - Accent2 42 5" xfId="7148" xr:uid="{00000000-0005-0000-0000-0000C12C0000}"/>
    <cellStyle name="40% - Accent2 42 5 2" xfId="18436" xr:uid="{00000000-0005-0000-0000-0000C22C0000}"/>
    <cellStyle name="40% - Accent2 42 6" xfId="5154" xr:uid="{00000000-0005-0000-0000-0000C32C0000}"/>
    <cellStyle name="40% - Accent2 42 6 2" xfId="16442" xr:uid="{00000000-0005-0000-0000-0000C42C0000}"/>
    <cellStyle name="40% - Accent2 42 7" xfId="14448" xr:uid="{00000000-0005-0000-0000-0000C52C0000}"/>
    <cellStyle name="40% - Accent2 42 8" xfId="13134" xr:uid="{00000000-0005-0000-0000-0000C62C0000}"/>
    <cellStyle name="40% - Accent2 43" xfId="1199" xr:uid="{00000000-0005-0000-0000-0000C72C0000}"/>
    <cellStyle name="40% - Accent2 43 2" xfId="4155" xr:uid="{00000000-0005-0000-0000-0000C82C0000}"/>
    <cellStyle name="40% - Accent2 43 2 2" xfId="12134" xr:uid="{00000000-0005-0000-0000-0000C92C0000}"/>
    <cellStyle name="40% - Accent2 43 2 2 2" xfId="23422" xr:uid="{00000000-0005-0000-0000-0000CA2C0000}"/>
    <cellStyle name="40% - Accent2 43 2 3" xfId="10140" xr:uid="{00000000-0005-0000-0000-0000CB2C0000}"/>
    <cellStyle name="40% - Accent2 43 2 3 2" xfId="21428" xr:uid="{00000000-0005-0000-0000-0000CC2C0000}"/>
    <cellStyle name="40% - Accent2 43 2 4" xfId="8146" xr:uid="{00000000-0005-0000-0000-0000CD2C0000}"/>
    <cellStyle name="40% - Accent2 43 2 4 2" xfId="19434" xr:uid="{00000000-0005-0000-0000-0000CE2C0000}"/>
    <cellStyle name="40% - Accent2 43 2 5" xfId="6152" xr:uid="{00000000-0005-0000-0000-0000CF2C0000}"/>
    <cellStyle name="40% - Accent2 43 2 5 2" xfId="17440" xr:uid="{00000000-0005-0000-0000-0000D02C0000}"/>
    <cellStyle name="40% - Accent2 43 2 6" xfId="15446" xr:uid="{00000000-0005-0000-0000-0000D12C0000}"/>
    <cellStyle name="40% - Accent2 43 3" xfId="11137" xr:uid="{00000000-0005-0000-0000-0000D22C0000}"/>
    <cellStyle name="40% - Accent2 43 3 2" xfId="22425" xr:uid="{00000000-0005-0000-0000-0000D32C0000}"/>
    <cellStyle name="40% - Accent2 43 4" xfId="9143" xr:uid="{00000000-0005-0000-0000-0000D42C0000}"/>
    <cellStyle name="40% - Accent2 43 4 2" xfId="20431" xr:uid="{00000000-0005-0000-0000-0000D52C0000}"/>
    <cellStyle name="40% - Accent2 43 5" xfId="7149" xr:uid="{00000000-0005-0000-0000-0000D62C0000}"/>
    <cellStyle name="40% - Accent2 43 5 2" xfId="18437" xr:uid="{00000000-0005-0000-0000-0000D72C0000}"/>
    <cellStyle name="40% - Accent2 43 6" xfId="5155" xr:uid="{00000000-0005-0000-0000-0000D82C0000}"/>
    <cellStyle name="40% - Accent2 43 6 2" xfId="16443" xr:uid="{00000000-0005-0000-0000-0000D92C0000}"/>
    <cellStyle name="40% - Accent2 43 7" xfId="14449" xr:uid="{00000000-0005-0000-0000-0000DA2C0000}"/>
    <cellStyle name="40% - Accent2 43 8" xfId="13135" xr:uid="{00000000-0005-0000-0000-0000DB2C0000}"/>
    <cellStyle name="40% - Accent2 44" xfId="1200" xr:uid="{00000000-0005-0000-0000-0000DC2C0000}"/>
    <cellStyle name="40% - Accent2 44 2" xfId="4156" xr:uid="{00000000-0005-0000-0000-0000DD2C0000}"/>
    <cellStyle name="40% - Accent2 44 2 2" xfId="12135" xr:uid="{00000000-0005-0000-0000-0000DE2C0000}"/>
    <cellStyle name="40% - Accent2 44 2 2 2" xfId="23423" xr:uid="{00000000-0005-0000-0000-0000DF2C0000}"/>
    <cellStyle name="40% - Accent2 44 2 3" xfId="10141" xr:uid="{00000000-0005-0000-0000-0000E02C0000}"/>
    <cellStyle name="40% - Accent2 44 2 3 2" xfId="21429" xr:uid="{00000000-0005-0000-0000-0000E12C0000}"/>
    <cellStyle name="40% - Accent2 44 2 4" xfId="8147" xr:uid="{00000000-0005-0000-0000-0000E22C0000}"/>
    <cellStyle name="40% - Accent2 44 2 4 2" xfId="19435" xr:uid="{00000000-0005-0000-0000-0000E32C0000}"/>
    <cellStyle name="40% - Accent2 44 2 5" xfId="6153" xr:uid="{00000000-0005-0000-0000-0000E42C0000}"/>
    <cellStyle name="40% - Accent2 44 2 5 2" xfId="17441" xr:uid="{00000000-0005-0000-0000-0000E52C0000}"/>
    <cellStyle name="40% - Accent2 44 2 6" xfId="15447" xr:uid="{00000000-0005-0000-0000-0000E62C0000}"/>
    <cellStyle name="40% - Accent2 44 3" xfId="11138" xr:uid="{00000000-0005-0000-0000-0000E72C0000}"/>
    <cellStyle name="40% - Accent2 44 3 2" xfId="22426" xr:uid="{00000000-0005-0000-0000-0000E82C0000}"/>
    <cellStyle name="40% - Accent2 44 4" xfId="9144" xr:uid="{00000000-0005-0000-0000-0000E92C0000}"/>
    <cellStyle name="40% - Accent2 44 4 2" xfId="20432" xr:uid="{00000000-0005-0000-0000-0000EA2C0000}"/>
    <cellStyle name="40% - Accent2 44 5" xfId="7150" xr:uid="{00000000-0005-0000-0000-0000EB2C0000}"/>
    <cellStyle name="40% - Accent2 44 5 2" xfId="18438" xr:uid="{00000000-0005-0000-0000-0000EC2C0000}"/>
    <cellStyle name="40% - Accent2 44 6" xfId="5156" xr:uid="{00000000-0005-0000-0000-0000ED2C0000}"/>
    <cellStyle name="40% - Accent2 44 6 2" xfId="16444" xr:uid="{00000000-0005-0000-0000-0000EE2C0000}"/>
    <cellStyle name="40% - Accent2 44 7" xfId="14450" xr:uid="{00000000-0005-0000-0000-0000EF2C0000}"/>
    <cellStyle name="40% - Accent2 44 8" xfId="13136" xr:uid="{00000000-0005-0000-0000-0000F02C0000}"/>
    <cellStyle name="40% - Accent2 45" xfId="1201" xr:uid="{00000000-0005-0000-0000-0000F12C0000}"/>
    <cellStyle name="40% - Accent2 45 2" xfId="4157" xr:uid="{00000000-0005-0000-0000-0000F22C0000}"/>
    <cellStyle name="40% - Accent2 45 2 2" xfId="12136" xr:uid="{00000000-0005-0000-0000-0000F32C0000}"/>
    <cellStyle name="40% - Accent2 45 2 2 2" xfId="23424" xr:uid="{00000000-0005-0000-0000-0000F42C0000}"/>
    <cellStyle name="40% - Accent2 45 2 3" xfId="10142" xr:uid="{00000000-0005-0000-0000-0000F52C0000}"/>
    <cellStyle name="40% - Accent2 45 2 3 2" xfId="21430" xr:uid="{00000000-0005-0000-0000-0000F62C0000}"/>
    <cellStyle name="40% - Accent2 45 2 4" xfId="8148" xr:uid="{00000000-0005-0000-0000-0000F72C0000}"/>
    <cellStyle name="40% - Accent2 45 2 4 2" xfId="19436" xr:uid="{00000000-0005-0000-0000-0000F82C0000}"/>
    <cellStyle name="40% - Accent2 45 2 5" xfId="6154" xr:uid="{00000000-0005-0000-0000-0000F92C0000}"/>
    <cellStyle name="40% - Accent2 45 2 5 2" xfId="17442" xr:uid="{00000000-0005-0000-0000-0000FA2C0000}"/>
    <cellStyle name="40% - Accent2 45 2 6" xfId="15448" xr:uid="{00000000-0005-0000-0000-0000FB2C0000}"/>
    <cellStyle name="40% - Accent2 45 3" xfId="11139" xr:uid="{00000000-0005-0000-0000-0000FC2C0000}"/>
    <cellStyle name="40% - Accent2 45 3 2" xfId="22427" xr:uid="{00000000-0005-0000-0000-0000FD2C0000}"/>
    <cellStyle name="40% - Accent2 45 4" xfId="9145" xr:uid="{00000000-0005-0000-0000-0000FE2C0000}"/>
    <cellStyle name="40% - Accent2 45 4 2" xfId="20433" xr:uid="{00000000-0005-0000-0000-0000FF2C0000}"/>
    <cellStyle name="40% - Accent2 45 5" xfId="7151" xr:uid="{00000000-0005-0000-0000-0000002D0000}"/>
    <cellStyle name="40% - Accent2 45 5 2" xfId="18439" xr:uid="{00000000-0005-0000-0000-0000012D0000}"/>
    <cellStyle name="40% - Accent2 45 6" xfId="5157" xr:uid="{00000000-0005-0000-0000-0000022D0000}"/>
    <cellStyle name="40% - Accent2 45 6 2" xfId="16445" xr:uid="{00000000-0005-0000-0000-0000032D0000}"/>
    <cellStyle name="40% - Accent2 45 7" xfId="14451" xr:uid="{00000000-0005-0000-0000-0000042D0000}"/>
    <cellStyle name="40% - Accent2 45 8" xfId="13137" xr:uid="{00000000-0005-0000-0000-0000052D0000}"/>
    <cellStyle name="40% - Accent2 46" xfId="1202" xr:uid="{00000000-0005-0000-0000-0000062D0000}"/>
    <cellStyle name="40% - Accent2 46 2" xfId="4158" xr:uid="{00000000-0005-0000-0000-0000072D0000}"/>
    <cellStyle name="40% - Accent2 46 2 2" xfId="12137" xr:uid="{00000000-0005-0000-0000-0000082D0000}"/>
    <cellStyle name="40% - Accent2 46 2 2 2" xfId="23425" xr:uid="{00000000-0005-0000-0000-0000092D0000}"/>
    <cellStyle name="40% - Accent2 46 2 3" xfId="10143" xr:uid="{00000000-0005-0000-0000-00000A2D0000}"/>
    <cellStyle name="40% - Accent2 46 2 3 2" xfId="21431" xr:uid="{00000000-0005-0000-0000-00000B2D0000}"/>
    <cellStyle name="40% - Accent2 46 2 4" xfId="8149" xr:uid="{00000000-0005-0000-0000-00000C2D0000}"/>
    <cellStyle name="40% - Accent2 46 2 4 2" xfId="19437" xr:uid="{00000000-0005-0000-0000-00000D2D0000}"/>
    <cellStyle name="40% - Accent2 46 2 5" xfId="6155" xr:uid="{00000000-0005-0000-0000-00000E2D0000}"/>
    <cellStyle name="40% - Accent2 46 2 5 2" xfId="17443" xr:uid="{00000000-0005-0000-0000-00000F2D0000}"/>
    <cellStyle name="40% - Accent2 46 2 6" xfId="15449" xr:uid="{00000000-0005-0000-0000-0000102D0000}"/>
    <cellStyle name="40% - Accent2 46 3" xfId="11140" xr:uid="{00000000-0005-0000-0000-0000112D0000}"/>
    <cellStyle name="40% - Accent2 46 3 2" xfId="22428" xr:uid="{00000000-0005-0000-0000-0000122D0000}"/>
    <cellStyle name="40% - Accent2 46 4" xfId="9146" xr:uid="{00000000-0005-0000-0000-0000132D0000}"/>
    <cellStyle name="40% - Accent2 46 4 2" xfId="20434" xr:uid="{00000000-0005-0000-0000-0000142D0000}"/>
    <cellStyle name="40% - Accent2 46 5" xfId="7152" xr:uid="{00000000-0005-0000-0000-0000152D0000}"/>
    <cellStyle name="40% - Accent2 46 5 2" xfId="18440" xr:uid="{00000000-0005-0000-0000-0000162D0000}"/>
    <cellStyle name="40% - Accent2 46 6" xfId="5158" xr:uid="{00000000-0005-0000-0000-0000172D0000}"/>
    <cellStyle name="40% - Accent2 46 6 2" xfId="16446" xr:uid="{00000000-0005-0000-0000-0000182D0000}"/>
    <cellStyle name="40% - Accent2 46 7" xfId="14452" xr:uid="{00000000-0005-0000-0000-0000192D0000}"/>
    <cellStyle name="40% - Accent2 46 8" xfId="13138" xr:uid="{00000000-0005-0000-0000-00001A2D0000}"/>
    <cellStyle name="40% - Accent2 47" xfId="1203" xr:uid="{00000000-0005-0000-0000-00001B2D0000}"/>
    <cellStyle name="40% - Accent2 47 2" xfId="4159" xr:uid="{00000000-0005-0000-0000-00001C2D0000}"/>
    <cellStyle name="40% - Accent2 47 2 2" xfId="12138" xr:uid="{00000000-0005-0000-0000-00001D2D0000}"/>
    <cellStyle name="40% - Accent2 47 2 2 2" xfId="23426" xr:uid="{00000000-0005-0000-0000-00001E2D0000}"/>
    <cellStyle name="40% - Accent2 47 2 3" xfId="10144" xr:uid="{00000000-0005-0000-0000-00001F2D0000}"/>
    <cellStyle name="40% - Accent2 47 2 3 2" xfId="21432" xr:uid="{00000000-0005-0000-0000-0000202D0000}"/>
    <cellStyle name="40% - Accent2 47 2 4" xfId="8150" xr:uid="{00000000-0005-0000-0000-0000212D0000}"/>
    <cellStyle name="40% - Accent2 47 2 4 2" xfId="19438" xr:uid="{00000000-0005-0000-0000-0000222D0000}"/>
    <cellStyle name="40% - Accent2 47 2 5" xfId="6156" xr:uid="{00000000-0005-0000-0000-0000232D0000}"/>
    <cellStyle name="40% - Accent2 47 2 5 2" xfId="17444" xr:uid="{00000000-0005-0000-0000-0000242D0000}"/>
    <cellStyle name="40% - Accent2 47 2 6" xfId="15450" xr:uid="{00000000-0005-0000-0000-0000252D0000}"/>
    <cellStyle name="40% - Accent2 47 3" xfId="11141" xr:uid="{00000000-0005-0000-0000-0000262D0000}"/>
    <cellStyle name="40% - Accent2 47 3 2" xfId="22429" xr:uid="{00000000-0005-0000-0000-0000272D0000}"/>
    <cellStyle name="40% - Accent2 47 4" xfId="9147" xr:uid="{00000000-0005-0000-0000-0000282D0000}"/>
    <cellStyle name="40% - Accent2 47 4 2" xfId="20435" xr:uid="{00000000-0005-0000-0000-0000292D0000}"/>
    <cellStyle name="40% - Accent2 47 5" xfId="7153" xr:uid="{00000000-0005-0000-0000-00002A2D0000}"/>
    <cellStyle name="40% - Accent2 47 5 2" xfId="18441" xr:uid="{00000000-0005-0000-0000-00002B2D0000}"/>
    <cellStyle name="40% - Accent2 47 6" xfId="5159" xr:uid="{00000000-0005-0000-0000-00002C2D0000}"/>
    <cellStyle name="40% - Accent2 47 6 2" xfId="16447" xr:uid="{00000000-0005-0000-0000-00002D2D0000}"/>
    <cellStyle name="40% - Accent2 47 7" xfId="14453" xr:uid="{00000000-0005-0000-0000-00002E2D0000}"/>
    <cellStyle name="40% - Accent2 47 8" xfId="13139" xr:uid="{00000000-0005-0000-0000-00002F2D0000}"/>
    <cellStyle name="40% - Accent2 48" xfId="1204" xr:uid="{00000000-0005-0000-0000-0000302D0000}"/>
    <cellStyle name="40% - Accent2 48 2" xfId="4160" xr:uid="{00000000-0005-0000-0000-0000312D0000}"/>
    <cellStyle name="40% - Accent2 48 2 2" xfId="12139" xr:uid="{00000000-0005-0000-0000-0000322D0000}"/>
    <cellStyle name="40% - Accent2 48 2 2 2" xfId="23427" xr:uid="{00000000-0005-0000-0000-0000332D0000}"/>
    <cellStyle name="40% - Accent2 48 2 3" xfId="10145" xr:uid="{00000000-0005-0000-0000-0000342D0000}"/>
    <cellStyle name="40% - Accent2 48 2 3 2" xfId="21433" xr:uid="{00000000-0005-0000-0000-0000352D0000}"/>
    <cellStyle name="40% - Accent2 48 2 4" xfId="8151" xr:uid="{00000000-0005-0000-0000-0000362D0000}"/>
    <cellStyle name="40% - Accent2 48 2 4 2" xfId="19439" xr:uid="{00000000-0005-0000-0000-0000372D0000}"/>
    <cellStyle name="40% - Accent2 48 2 5" xfId="6157" xr:uid="{00000000-0005-0000-0000-0000382D0000}"/>
    <cellStyle name="40% - Accent2 48 2 5 2" xfId="17445" xr:uid="{00000000-0005-0000-0000-0000392D0000}"/>
    <cellStyle name="40% - Accent2 48 2 6" xfId="15451" xr:uid="{00000000-0005-0000-0000-00003A2D0000}"/>
    <cellStyle name="40% - Accent2 48 3" xfId="11142" xr:uid="{00000000-0005-0000-0000-00003B2D0000}"/>
    <cellStyle name="40% - Accent2 48 3 2" xfId="22430" xr:uid="{00000000-0005-0000-0000-00003C2D0000}"/>
    <cellStyle name="40% - Accent2 48 4" xfId="9148" xr:uid="{00000000-0005-0000-0000-00003D2D0000}"/>
    <cellStyle name="40% - Accent2 48 4 2" xfId="20436" xr:uid="{00000000-0005-0000-0000-00003E2D0000}"/>
    <cellStyle name="40% - Accent2 48 5" xfId="7154" xr:uid="{00000000-0005-0000-0000-00003F2D0000}"/>
    <cellStyle name="40% - Accent2 48 5 2" xfId="18442" xr:uid="{00000000-0005-0000-0000-0000402D0000}"/>
    <cellStyle name="40% - Accent2 48 6" xfId="5160" xr:uid="{00000000-0005-0000-0000-0000412D0000}"/>
    <cellStyle name="40% - Accent2 48 6 2" xfId="16448" xr:uid="{00000000-0005-0000-0000-0000422D0000}"/>
    <cellStyle name="40% - Accent2 48 7" xfId="14454" xr:uid="{00000000-0005-0000-0000-0000432D0000}"/>
    <cellStyle name="40% - Accent2 48 8" xfId="13140" xr:uid="{00000000-0005-0000-0000-0000442D0000}"/>
    <cellStyle name="40% - Accent2 49" xfId="1205" xr:uid="{00000000-0005-0000-0000-0000452D0000}"/>
    <cellStyle name="40% - Accent2 49 2" xfId="4161" xr:uid="{00000000-0005-0000-0000-0000462D0000}"/>
    <cellStyle name="40% - Accent2 49 2 2" xfId="12140" xr:uid="{00000000-0005-0000-0000-0000472D0000}"/>
    <cellStyle name="40% - Accent2 49 2 2 2" xfId="23428" xr:uid="{00000000-0005-0000-0000-0000482D0000}"/>
    <cellStyle name="40% - Accent2 49 2 3" xfId="10146" xr:uid="{00000000-0005-0000-0000-0000492D0000}"/>
    <cellStyle name="40% - Accent2 49 2 3 2" xfId="21434" xr:uid="{00000000-0005-0000-0000-00004A2D0000}"/>
    <cellStyle name="40% - Accent2 49 2 4" xfId="8152" xr:uid="{00000000-0005-0000-0000-00004B2D0000}"/>
    <cellStyle name="40% - Accent2 49 2 4 2" xfId="19440" xr:uid="{00000000-0005-0000-0000-00004C2D0000}"/>
    <cellStyle name="40% - Accent2 49 2 5" xfId="6158" xr:uid="{00000000-0005-0000-0000-00004D2D0000}"/>
    <cellStyle name="40% - Accent2 49 2 5 2" xfId="17446" xr:uid="{00000000-0005-0000-0000-00004E2D0000}"/>
    <cellStyle name="40% - Accent2 49 2 6" xfId="15452" xr:uid="{00000000-0005-0000-0000-00004F2D0000}"/>
    <cellStyle name="40% - Accent2 49 3" xfId="11143" xr:uid="{00000000-0005-0000-0000-0000502D0000}"/>
    <cellStyle name="40% - Accent2 49 3 2" xfId="22431" xr:uid="{00000000-0005-0000-0000-0000512D0000}"/>
    <cellStyle name="40% - Accent2 49 4" xfId="9149" xr:uid="{00000000-0005-0000-0000-0000522D0000}"/>
    <cellStyle name="40% - Accent2 49 4 2" xfId="20437" xr:uid="{00000000-0005-0000-0000-0000532D0000}"/>
    <cellStyle name="40% - Accent2 49 5" xfId="7155" xr:uid="{00000000-0005-0000-0000-0000542D0000}"/>
    <cellStyle name="40% - Accent2 49 5 2" xfId="18443" xr:uid="{00000000-0005-0000-0000-0000552D0000}"/>
    <cellStyle name="40% - Accent2 49 6" xfId="5161" xr:uid="{00000000-0005-0000-0000-0000562D0000}"/>
    <cellStyle name="40% - Accent2 49 6 2" xfId="16449" xr:uid="{00000000-0005-0000-0000-0000572D0000}"/>
    <cellStyle name="40% - Accent2 49 7" xfId="14455" xr:uid="{00000000-0005-0000-0000-0000582D0000}"/>
    <cellStyle name="40% - Accent2 49 8" xfId="13141" xr:uid="{00000000-0005-0000-0000-0000592D0000}"/>
    <cellStyle name="40% - Accent2 5" xfId="1206" xr:uid="{00000000-0005-0000-0000-00005A2D0000}"/>
    <cellStyle name="40% - Accent2 5 10" xfId="24604" xr:uid="{00000000-0005-0000-0000-00005B2D0000}"/>
    <cellStyle name="40% - Accent2 5 11" xfId="24994" xr:uid="{00000000-0005-0000-0000-00005C2D0000}"/>
    <cellStyle name="40% - Accent2 5 2" xfId="4162" xr:uid="{00000000-0005-0000-0000-00005D2D0000}"/>
    <cellStyle name="40% - Accent2 5 2 2" xfId="12141" xr:uid="{00000000-0005-0000-0000-00005E2D0000}"/>
    <cellStyle name="40% - Accent2 5 2 2 2" xfId="23429" xr:uid="{00000000-0005-0000-0000-00005F2D0000}"/>
    <cellStyle name="40% - Accent2 5 2 3" xfId="10147" xr:uid="{00000000-0005-0000-0000-0000602D0000}"/>
    <cellStyle name="40% - Accent2 5 2 3 2" xfId="21435" xr:uid="{00000000-0005-0000-0000-0000612D0000}"/>
    <cellStyle name="40% - Accent2 5 2 4" xfId="8153" xr:uid="{00000000-0005-0000-0000-0000622D0000}"/>
    <cellStyle name="40% - Accent2 5 2 4 2" xfId="19441" xr:uid="{00000000-0005-0000-0000-0000632D0000}"/>
    <cellStyle name="40% - Accent2 5 2 5" xfId="6159" xr:uid="{00000000-0005-0000-0000-0000642D0000}"/>
    <cellStyle name="40% - Accent2 5 2 5 2" xfId="17447" xr:uid="{00000000-0005-0000-0000-0000652D0000}"/>
    <cellStyle name="40% - Accent2 5 2 6" xfId="15453" xr:uid="{00000000-0005-0000-0000-0000662D0000}"/>
    <cellStyle name="40% - Accent2 5 2 7" xfId="24365" xr:uid="{00000000-0005-0000-0000-0000672D0000}"/>
    <cellStyle name="40% - Accent2 5 2 8" xfId="24829" xr:uid="{00000000-0005-0000-0000-0000682D0000}"/>
    <cellStyle name="40% - Accent2 5 2 9" xfId="25196" xr:uid="{00000000-0005-0000-0000-0000692D0000}"/>
    <cellStyle name="40% - Accent2 5 3" xfId="11144" xr:uid="{00000000-0005-0000-0000-00006A2D0000}"/>
    <cellStyle name="40% - Accent2 5 3 2" xfId="22432" xr:uid="{00000000-0005-0000-0000-00006B2D0000}"/>
    <cellStyle name="40% - Accent2 5 4" xfId="9150" xr:uid="{00000000-0005-0000-0000-00006C2D0000}"/>
    <cellStyle name="40% - Accent2 5 4 2" xfId="20438" xr:uid="{00000000-0005-0000-0000-00006D2D0000}"/>
    <cellStyle name="40% - Accent2 5 5" xfId="7156" xr:uid="{00000000-0005-0000-0000-00006E2D0000}"/>
    <cellStyle name="40% - Accent2 5 5 2" xfId="18444" xr:uid="{00000000-0005-0000-0000-00006F2D0000}"/>
    <cellStyle name="40% - Accent2 5 6" xfId="5162" xr:uid="{00000000-0005-0000-0000-0000702D0000}"/>
    <cellStyle name="40% - Accent2 5 6 2" xfId="16450" xr:uid="{00000000-0005-0000-0000-0000712D0000}"/>
    <cellStyle name="40% - Accent2 5 7" xfId="14456" xr:uid="{00000000-0005-0000-0000-0000722D0000}"/>
    <cellStyle name="40% - Accent2 5 8" xfId="13142" xr:uid="{00000000-0005-0000-0000-0000732D0000}"/>
    <cellStyle name="40% - Accent2 5 9" xfId="23977" xr:uid="{00000000-0005-0000-0000-0000742D0000}"/>
    <cellStyle name="40% - Accent2 50" xfId="1207" xr:uid="{00000000-0005-0000-0000-0000752D0000}"/>
    <cellStyle name="40% - Accent2 50 2" xfId="4163" xr:uid="{00000000-0005-0000-0000-0000762D0000}"/>
    <cellStyle name="40% - Accent2 50 2 2" xfId="12142" xr:uid="{00000000-0005-0000-0000-0000772D0000}"/>
    <cellStyle name="40% - Accent2 50 2 2 2" xfId="23430" xr:uid="{00000000-0005-0000-0000-0000782D0000}"/>
    <cellStyle name="40% - Accent2 50 2 3" xfId="10148" xr:uid="{00000000-0005-0000-0000-0000792D0000}"/>
    <cellStyle name="40% - Accent2 50 2 3 2" xfId="21436" xr:uid="{00000000-0005-0000-0000-00007A2D0000}"/>
    <cellStyle name="40% - Accent2 50 2 4" xfId="8154" xr:uid="{00000000-0005-0000-0000-00007B2D0000}"/>
    <cellStyle name="40% - Accent2 50 2 4 2" xfId="19442" xr:uid="{00000000-0005-0000-0000-00007C2D0000}"/>
    <cellStyle name="40% - Accent2 50 2 5" xfId="6160" xr:uid="{00000000-0005-0000-0000-00007D2D0000}"/>
    <cellStyle name="40% - Accent2 50 2 5 2" xfId="17448" xr:uid="{00000000-0005-0000-0000-00007E2D0000}"/>
    <cellStyle name="40% - Accent2 50 2 6" xfId="15454" xr:uid="{00000000-0005-0000-0000-00007F2D0000}"/>
    <cellStyle name="40% - Accent2 50 3" xfId="11145" xr:uid="{00000000-0005-0000-0000-0000802D0000}"/>
    <cellStyle name="40% - Accent2 50 3 2" xfId="22433" xr:uid="{00000000-0005-0000-0000-0000812D0000}"/>
    <cellStyle name="40% - Accent2 50 4" xfId="9151" xr:uid="{00000000-0005-0000-0000-0000822D0000}"/>
    <cellStyle name="40% - Accent2 50 4 2" xfId="20439" xr:uid="{00000000-0005-0000-0000-0000832D0000}"/>
    <cellStyle name="40% - Accent2 50 5" xfId="7157" xr:uid="{00000000-0005-0000-0000-0000842D0000}"/>
    <cellStyle name="40% - Accent2 50 5 2" xfId="18445" xr:uid="{00000000-0005-0000-0000-0000852D0000}"/>
    <cellStyle name="40% - Accent2 50 6" xfId="5163" xr:uid="{00000000-0005-0000-0000-0000862D0000}"/>
    <cellStyle name="40% - Accent2 50 6 2" xfId="16451" xr:uid="{00000000-0005-0000-0000-0000872D0000}"/>
    <cellStyle name="40% - Accent2 50 7" xfId="14457" xr:uid="{00000000-0005-0000-0000-0000882D0000}"/>
    <cellStyle name="40% - Accent2 50 8" xfId="13143" xr:uid="{00000000-0005-0000-0000-0000892D0000}"/>
    <cellStyle name="40% - Accent2 51" xfId="1208" xr:uid="{00000000-0005-0000-0000-00008A2D0000}"/>
    <cellStyle name="40% - Accent2 51 2" xfId="4164" xr:uid="{00000000-0005-0000-0000-00008B2D0000}"/>
    <cellStyle name="40% - Accent2 51 2 2" xfId="12143" xr:uid="{00000000-0005-0000-0000-00008C2D0000}"/>
    <cellStyle name="40% - Accent2 51 2 2 2" xfId="23431" xr:uid="{00000000-0005-0000-0000-00008D2D0000}"/>
    <cellStyle name="40% - Accent2 51 2 3" xfId="10149" xr:uid="{00000000-0005-0000-0000-00008E2D0000}"/>
    <cellStyle name="40% - Accent2 51 2 3 2" xfId="21437" xr:uid="{00000000-0005-0000-0000-00008F2D0000}"/>
    <cellStyle name="40% - Accent2 51 2 4" xfId="8155" xr:uid="{00000000-0005-0000-0000-0000902D0000}"/>
    <cellStyle name="40% - Accent2 51 2 4 2" xfId="19443" xr:uid="{00000000-0005-0000-0000-0000912D0000}"/>
    <cellStyle name="40% - Accent2 51 2 5" xfId="6161" xr:uid="{00000000-0005-0000-0000-0000922D0000}"/>
    <cellStyle name="40% - Accent2 51 2 5 2" xfId="17449" xr:uid="{00000000-0005-0000-0000-0000932D0000}"/>
    <cellStyle name="40% - Accent2 51 2 6" xfId="15455" xr:uid="{00000000-0005-0000-0000-0000942D0000}"/>
    <cellStyle name="40% - Accent2 51 3" xfId="11146" xr:uid="{00000000-0005-0000-0000-0000952D0000}"/>
    <cellStyle name="40% - Accent2 51 3 2" xfId="22434" xr:uid="{00000000-0005-0000-0000-0000962D0000}"/>
    <cellStyle name="40% - Accent2 51 4" xfId="9152" xr:uid="{00000000-0005-0000-0000-0000972D0000}"/>
    <cellStyle name="40% - Accent2 51 4 2" xfId="20440" xr:uid="{00000000-0005-0000-0000-0000982D0000}"/>
    <cellStyle name="40% - Accent2 51 5" xfId="7158" xr:uid="{00000000-0005-0000-0000-0000992D0000}"/>
    <cellStyle name="40% - Accent2 51 5 2" xfId="18446" xr:uid="{00000000-0005-0000-0000-00009A2D0000}"/>
    <cellStyle name="40% - Accent2 51 6" xfId="5164" xr:uid="{00000000-0005-0000-0000-00009B2D0000}"/>
    <cellStyle name="40% - Accent2 51 6 2" xfId="16452" xr:uid="{00000000-0005-0000-0000-00009C2D0000}"/>
    <cellStyle name="40% - Accent2 51 7" xfId="14458" xr:uid="{00000000-0005-0000-0000-00009D2D0000}"/>
    <cellStyle name="40% - Accent2 51 8" xfId="13144" xr:uid="{00000000-0005-0000-0000-00009E2D0000}"/>
    <cellStyle name="40% - Accent2 52" xfId="1209" xr:uid="{00000000-0005-0000-0000-00009F2D0000}"/>
    <cellStyle name="40% - Accent2 52 2" xfId="4165" xr:uid="{00000000-0005-0000-0000-0000A02D0000}"/>
    <cellStyle name="40% - Accent2 52 2 2" xfId="12144" xr:uid="{00000000-0005-0000-0000-0000A12D0000}"/>
    <cellStyle name="40% - Accent2 52 2 2 2" xfId="23432" xr:uid="{00000000-0005-0000-0000-0000A22D0000}"/>
    <cellStyle name="40% - Accent2 52 2 3" xfId="10150" xr:uid="{00000000-0005-0000-0000-0000A32D0000}"/>
    <cellStyle name="40% - Accent2 52 2 3 2" xfId="21438" xr:uid="{00000000-0005-0000-0000-0000A42D0000}"/>
    <cellStyle name="40% - Accent2 52 2 4" xfId="8156" xr:uid="{00000000-0005-0000-0000-0000A52D0000}"/>
    <cellStyle name="40% - Accent2 52 2 4 2" xfId="19444" xr:uid="{00000000-0005-0000-0000-0000A62D0000}"/>
    <cellStyle name="40% - Accent2 52 2 5" xfId="6162" xr:uid="{00000000-0005-0000-0000-0000A72D0000}"/>
    <cellStyle name="40% - Accent2 52 2 5 2" xfId="17450" xr:uid="{00000000-0005-0000-0000-0000A82D0000}"/>
    <cellStyle name="40% - Accent2 52 2 6" xfId="15456" xr:uid="{00000000-0005-0000-0000-0000A92D0000}"/>
    <cellStyle name="40% - Accent2 52 3" xfId="11147" xr:uid="{00000000-0005-0000-0000-0000AA2D0000}"/>
    <cellStyle name="40% - Accent2 52 3 2" xfId="22435" xr:uid="{00000000-0005-0000-0000-0000AB2D0000}"/>
    <cellStyle name="40% - Accent2 52 4" xfId="9153" xr:uid="{00000000-0005-0000-0000-0000AC2D0000}"/>
    <cellStyle name="40% - Accent2 52 4 2" xfId="20441" xr:uid="{00000000-0005-0000-0000-0000AD2D0000}"/>
    <cellStyle name="40% - Accent2 52 5" xfId="7159" xr:uid="{00000000-0005-0000-0000-0000AE2D0000}"/>
    <cellStyle name="40% - Accent2 52 5 2" xfId="18447" xr:uid="{00000000-0005-0000-0000-0000AF2D0000}"/>
    <cellStyle name="40% - Accent2 52 6" xfId="5165" xr:uid="{00000000-0005-0000-0000-0000B02D0000}"/>
    <cellStyle name="40% - Accent2 52 6 2" xfId="16453" xr:uid="{00000000-0005-0000-0000-0000B12D0000}"/>
    <cellStyle name="40% - Accent2 52 7" xfId="14459" xr:uid="{00000000-0005-0000-0000-0000B22D0000}"/>
    <cellStyle name="40% - Accent2 52 8" xfId="13145" xr:uid="{00000000-0005-0000-0000-0000B32D0000}"/>
    <cellStyle name="40% - Accent2 53" xfId="1210" xr:uid="{00000000-0005-0000-0000-0000B42D0000}"/>
    <cellStyle name="40% - Accent2 53 2" xfId="4166" xr:uid="{00000000-0005-0000-0000-0000B52D0000}"/>
    <cellStyle name="40% - Accent2 53 2 2" xfId="12145" xr:uid="{00000000-0005-0000-0000-0000B62D0000}"/>
    <cellStyle name="40% - Accent2 53 2 2 2" xfId="23433" xr:uid="{00000000-0005-0000-0000-0000B72D0000}"/>
    <cellStyle name="40% - Accent2 53 2 3" xfId="10151" xr:uid="{00000000-0005-0000-0000-0000B82D0000}"/>
    <cellStyle name="40% - Accent2 53 2 3 2" xfId="21439" xr:uid="{00000000-0005-0000-0000-0000B92D0000}"/>
    <cellStyle name="40% - Accent2 53 2 4" xfId="8157" xr:uid="{00000000-0005-0000-0000-0000BA2D0000}"/>
    <cellStyle name="40% - Accent2 53 2 4 2" xfId="19445" xr:uid="{00000000-0005-0000-0000-0000BB2D0000}"/>
    <cellStyle name="40% - Accent2 53 2 5" xfId="6163" xr:uid="{00000000-0005-0000-0000-0000BC2D0000}"/>
    <cellStyle name="40% - Accent2 53 2 5 2" xfId="17451" xr:uid="{00000000-0005-0000-0000-0000BD2D0000}"/>
    <cellStyle name="40% - Accent2 53 2 6" xfId="15457" xr:uid="{00000000-0005-0000-0000-0000BE2D0000}"/>
    <cellStyle name="40% - Accent2 53 3" xfId="11148" xr:uid="{00000000-0005-0000-0000-0000BF2D0000}"/>
    <cellStyle name="40% - Accent2 53 3 2" xfId="22436" xr:uid="{00000000-0005-0000-0000-0000C02D0000}"/>
    <cellStyle name="40% - Accent2 53 4" xfId="9154" xr:uid="{00000000-0005-0000-0000-0000C12D0000}"/>
    <cellStyle name="40% - Accent2 53 4 2" xfId="20442" xr:uid="{00000000-0005-0000-0000-0000C22D0000}"/>
    <cellStyle name="40% - Accent2 53 5" xfId="7160" xr:uid="{00000000-0005-0000-0000-0000C32D0000}"/>
    <cellStyle name="40% - Accent2 53 5 2" xfId="18448" xr:uid="{00000000-0005-0000-0000-0000C42D0000}"/>
    <cellStyle name="40% - Accent2 53 6" xfId="5166" xr:uid="{00000000-0005-0000-0000-0000C52D0000}"/>
    <cellStyle name="40% - Accent2 53 6 2" xfId="16454" xr:uid="{00000000-0005-0000-0000-0000C62D0000}"/>
    <cellStyle name="40% - Accent2 53 7" xfId="14460" xr:uid="{00000000-0005-0000-0000-0000C72D0000}"/>
    <cellStyle name="40% - Accent2 53 8" xfId="13146" xr:uid="{00000000-0005-0000-0000-0000C82D0000}"/>
    <cellStyle name="40% - Accent2 54" xfId="1211" xr:uid="{00000000-0005-0000-0000-0000C92D0000}"/>
    <cellStyle name="40% - Accent2 54 2" xfId="4167" xr:uid="{00000000-0005-0000-0000-0000CA2D0000}"/>
    <cellStyle name="40% - Accent2 54 2 2" xfId="12146" xr:uid="{00000000-0005-0000-0000-0000CB2D0000}"/>
    <cellStyle name="40% - Accent2 54 2 2 2" xfId="23434" xr:uid="{00000000-0005-0000-0000-0000CC2D0000}"/>
    <cellStyle name="40% - Accent2 54 2 3" xfId="10152" xr:uid="{00000000-0005-0000-0000-0000CD2D0000}"/>
    <cellStyle name="40% - Accent2 54 2 3 2" xfId="21440" xr:uid="{00000000-0005-0000-0000-0000CE2D0000}"/>
    <cellStyle name="40% - Accent2 54 2 4" xfId="8158" xr:uid="{00000000-0005-0000-0000-0000CF2D0000}"/>
    <cellStyle name="40% - Accent2 54 2 4 2" xfId="19446" xr:uid="{00000000-0005-0000-0000-0000D02D0000}"/>
    <cellStyle name="40% - Accent2 54 2 5" xfId="6164" xr:uid="{00000000-0005-0000-0000-0000D12D0000}"/>
    <cellStyle name="40% - Accent2 54 2 5 2" xfId="17452" xr:uid="{00000000-0005-0000-0000-0000D22D0000}"/>
    <cellStyle name="40% - Accent2 54 2 6" xfId="15458" xr:uid="{00000000-0005-0000-0000-0000D32D0000}"/>
    <cellStyle name="40% - Accent2 54 3" xfId="11149" xr:uid="{00000000-0005-0000-0000-0000D42D0000}"/>
    <cellStyle name="40% - Accent2 54 3 2" xfId="22437" xr:uid="{00000000-0005-0000-0000-0000D52D0000}"/>
    <cellStyle name="40% - Accent2 54 4" xfId="9155" xr:uid="{00000000-0005-0000-0000-0000D62D0000}"/>
    <cellStyle name="40% - Accent2 54 4 2" xfId="20443" xr:uid="{00000000-0005-0000-0000-0000D72D0000}"/>
    <cellStyle name="40% - Accent2 54 5" xfId="7161" xr:uid="{00000000-0005-0000-0000-0000D82D0000}"/>
    <cellStyle name="40% - Accent2 54 5 2" xfId="18449" xr:uid="{00000000-0005-0000-0000-0000D92D0000}"/>
    <cellStyle name="40% - Accent2 54 6" xfId="5167" xr:uid="{00000000-0005-0000-0000-0000DA2D0000}"/>
    <cellStyle name="40% - Accent2 54 6 2" xfId="16455" xr:uid="{00000000-0005-0000-0000-0000DB2D0000}"/>
    <cellStyle name="40% - Accent2 54 7" xfId="14461" xr:uid="{00000000-0005-0000-0000-0000DC2D0000}"/>
    <cellStyle name="40% - Accent2 54 8" xfId="13147" xr:uid="{00000000-0005-0000-0000-0000DD2D0000}"/>
    <cellStyle name="40% - Accent2 55" xfId="1212" xr:uid="{00000000-0005-0000-0000-0000DE2D0000}"/>
    <cellStyle name="40% - Accent2 55 2" xfId="4168" xr:uid="{00000000-0005-0000-0000-0000DF2D0000}"/>
    <cellStyle name="40% - Accent2 55 2 2" xfId="12147" xr:uid="{00000000-0005-0000-0000-0000E02D0000}"/>
    <cellStyle name="40% - Accent2 55 2 2 2" xfId="23435" xr:uid="{00000000-0005-0000-0000-0000E12D0000}"/>
    <cellStyle name="40% - Accent2 55 2 3" xfId="10153" xr:uid="{00000000-0005-0000-0000-0000E22D0000}"/>
    <cellStyle name="40% - Accent2 55 2 3 2" xfId="21441" xr:uid="{00000000-0005-0000-0000-0000E32D0000}"/>
    <cellStyle name="40% - Accent2 55 2 4" xfId="8159" xr:uid="{00000000-0005-0000-0000-0000E42D0000}"/>
    <cellStyle name="40% - Accent2 55 2 4 2" xfId="19447" xr:uid="{00000000-0005-0000-0000-0000E52D0000}"/>
    <cellStyle name="40% - Accent2 55 2 5" xfId="6165" xr:uid="{00000000-0005-0000-0000-0000E62D0000}"/>
    <cellStyle name="40% - Accent2 55 2 5 2" xfId="17453" xr:uid="{00000000-0005-0000-0000-0000E72D0000}"/>
    <cellStyle name="40% - Accent2 55 2 6" xfId="15459" xr:uid="{00000000-0005-0000-0000-0000E82D0000}"/>
    <cellStyle name="40% - Accent2 55 3" xfId="11150" xr:uid="{00000000-0005-0000-0000-0000E92D0000}"/>
    <cellStyle name="40% - Accent2 55 3 2" xfId="22438" xr:uid="{00000000-0005-0000-0000-0000EA2D0000}"/>
    <cellStyle name="40% - Accent2 55 4" xfId="9156" xr:uid="{00000000-0005-0000-0000-0000EB2D0000}"/>
    <cellStyle name="40% - Accent2 55 4 2" xfId="20444" xr:uid="{00000000-0005-0000-0000-0000EC2D0000}"/>
    <cellStyle name="40% - Accent2 55 5" xfId="7162" xr:uid="{00000000-0005-0000-0000-0000ED2D0000}"/>
    <cellStyle name="40% - Accent2 55 5 2" xfId="18450" xr:uid="{00000000-0005-0000-0000-0000EE2D0000}"/>
    <cellStyle name="40% - Accent2 55 6" xfId="5168" xr:uid="{00000000-0005-0000-0000-0000EF2D0000}"/>
    <cellStyle name="40% - Accent2 55 6 2" xfId="16456" xr:uid="{00000000-0005-0000-0000-0000F02D0000}"/>
    <cellStyle name="40% - Accent2 55 7" xfId="14462" xr:uid="{00000000-0005-0000-0000-0000F12D0000}"/>
    <cellStyle name="40% - Accent2 55 8" xfId="13148" xr:uid="{00000000-0005-0000-0000-0000F22D0000}"/>
    <cellStyle name="40% - Accent2 56" xfId="1213" xr:uid="{00000000-0005-0000-0000-0000F32D0000}"/>
    <cellStyle name="40% - Accent2 56 2" xfId="4169" xr:uid="{00000000-0005-0000-0000-0000F42D0000}"/>
    <cellStyle name="40% - Accent2 56 2 2" xfId="12148" xr:uid="{00000000-0005-0000-0000-0000F52D0000}"/>
    <cellStyle name="40% - Accent2 56 2 2 2" xfId="23436" xr:uid="{00000000-0005-0000-0000-0000F62D0000}"/>
    <cellStyle name="40% - Accent2 56 2 3" xfId="10154" xr:uid="{00000000-0005-0000-0000-0000F72D0000}"/>
    <cellStyle name="40% - Accent2 56 2 3 2" xfId="21442" xr:uid="{00000000-0005-0000-0000-0000F82D0000}"/>
    <cellStyle name="40% - Accent2 56 2 4" xfId="8160" xr:uid="{00000000-0005-0000-0000-0000F92D0000}"/>
    <cellStyle name="40% - Accent2 56 2 4 2" xfId="19448" xr:uid="{00000000-0005-0000-0000-0000FA2D0000}"/>
    <cellStyle name="40% - Accent2 56 2 5" xfId="6166" xr:uid="{00000000-0005-0000-0000-0000FB2D0000}"/>
    <cellStyle name="40% - Accent2 56 2 5 2" xfId="17454" xr:uid="{00000000-0005-0000-0000-0000FC2D0000}"/>
    <cellStyle name="40% - Accent2 56 2 6" xfId="15460" xr:uid="{00000000-0005-0000-0000-0000FD2D0000}"/>
    <cellStyle name="40% - Accent2 56 3" xfId="11151" xr:uid="{00000000-0005-0000-0000-0000FE2D0000}"/>
    <cellStyle name="40% - Accent2 56 3 2" xfId="22439" xr:uid="{00000000-0005-0000-0000-0000FF2D0000}"/>
    <cellStyle name="40% - Accent2 56 4" xfId="9157" xr:uid="{00000000-0005-0000-0000-0000002E0000}"/>
    <cellStyle name="40% - Accent2 56 4 2" xfId="20445" xr:uid="{00000000-0005-0000-0000-0000012E0000}"/>
    <cellStyle name="40% - Accent2 56 5" xfId="7163" xr:uid="{00000000-0005-0000-0000-0000022E0000}"/>
    <cellStyle name="40% - Accent2 56 5 2" xfId="18451" xr:uid="{00000000-0005-0000-0000-0000032E0000}"/>
    <cellStyle name="40% - Accent2 56 6" xfId="5169" xr:uid="{00000000-0005-0000-0000-0000042E0000}"/>
    <cellStyle name="40% - Accent2 56 6 2" xfId="16457" xr:uid="{00000000-0005-0000-0000-0000052E0000}"/>
    <cellStyle name="40% - Accent2 56 7" xfId="14463" xr:uid="{00000000-0005-0000-0000-0000062E0000}"/>
    <cellStyle name="40% - Accent2 56 8" xfId="13149" xr:uid="{00000000-0005-0000-0000-0000072E0000}"/>
    <cellStyle name="40% - Accent2 57" xfId="1214" xr:uid="{00000000-0005-0000-0000-0000082E0000}"/>
    <cellStyle name="40% - Accent2 57 2" xfId="4170" xr:uid="{00000000-0005-0000-0000-0000092E0000}"/>
    <cellStyle name="40% - Accent2 57 2 2" xfId="12149" xr:uid="{00000000-0005-0000-0000-00000A2E0000}"/>
    <cellStyle name="40% - Accent2 57 2 2 2" xfId="23437" xr:uid="{00000000-0005-0000-0000-00000B2E0000}"/>
    <cellStyle name="40% - Accent2 57 2 3" xfId="10155" xr:uid="{00000000-0005-0000-0000-00000C2E0000}"/>
    <cellStyle name="40% - Accent2 57 2 3 2" xfId="21443" xr:uid="{00000000-0005-0000-0000-00000D2E0000}"/>
    <cellStyle name="40% - Accent2 57 2 4" xfId="8161" xr:uid="{00000000-0005-0000-0000-00000E2E0000}"/>
    <cellStyle name="40% - Accent2 57 2 4 2" xfId="19449" xr:uid="{00000000-0005-0000-0000-00000F2E0000}"/>
    <cellStyle name="40% - Accent2 57 2 5" xfId="6167" xr:uid="{00000000-0005-0000-0000-0000102E0000}"/>
    <cellStyle name="40% - Accent2 57 2 5 2" xfId="17455" xr:uid="{00000000-0005-0000-0000-0000112E0000}"/>
    <cellStyle name="40% - Accent2 57 2 6" xfId="15461" xr:uid="{00000000-0005-0000-0000-0000122E0000}"/>
    <cellStyle name="40% - Accent2 57 3" xfId="11152" xr:uid="{00000000-0005-0000-0000-0000132E0000}"/>
    <cellStyle name="40% - Accent2 57 3 2" xfId="22440" xr:uid="{00000000-0005-0000-0000-0000142E0000}"/>
    <cellStyle name="40% - Accent2 57 4" xfId="9158" xr:uid="{00000000-0005-0000-0000-0000152E0000}"/>
    <cellStyle name="40% - Accent2 57 4 2" xfId="20446" xr:uid="{00000000-0005-0000-0000-0000162E0000}"/>
    <cellStyle name="40% - Accent2 57 5" xfId="7164" xr:uid="{00000000-0005-0000-0000-0000172E0000}"/>
    <cellStyle name="40% - Accent2 57 5 2" xfId="18452" xr:uid="{00000000-0005-0000-0000-0000182E0000}"/>
    <cellStyle name="40% - Accent2 57 6" xfId="5170" xr:uid="{00000000-0005-0000-0000-0000192E0000}"/>
    <cellStyle name="40% - Accent2 57 6 2" xfId="16458" xr:uid="{00000000-0005-0000-0000-00001A2E0000}"/>
    <cellStyle name="40% - Accent2 57 7" xfId="14464" xr:uid="{00000000-0005-0000-0000-00001B2E0000}"/>
    <cellStyle name="40% - Accent2 57 8" xfId="13150" xr:uid="{00000000-0005-0000-0000-00001C2E0000}"/>
    <cellStyle name="40% - Accent2 58" xfId="1215" xr:uid="{00000000-0005-0000-0000-00001D2E0000}"/>
    <cellStyle name="40% - Accent2 58 2" xfId="4171" xr:uid="{00000000-0005-0000-0000-00001E2E0000}"/>
    <cellStyle name="40% - Accent2 58 2 2" xfId="12150" xr:uid="{00000000-0005-0000-0000-00001F2E0000}"/>
    <cellStyle name="40% - Accent2 58 2 2 2" xfId="23438" xr:uid="{00000000-0005-0000-0000-0000202E0000}"/>
    <cellStyle name="40% - Accent2 58 2 3" xfId="10156" xr:uid="{00000000-0005-0000-0000-0000212E0000}"/>
    <cellStyle name="40% - Accent2 58 2 3 2" xfId="21444" xr:uid="{00000000-0005-0000-0000-0000222E0000}"/>
    <cellStyle name="40% - Accent2 58 2 4" xfId="8162" xr:uid="{00000000-0005-0000-0000-0000232E0000}"/>
    <cellStyle name="40% - Accent2 58 2 4 2" xfId="19450" xr:uid="{00000000-0005-0000-0000-0000242E0000}"/>
    <cellStyle name="40% - Accent2 58 2 5" xfId="6168" xr:uid="{00000000-0005-0000-0000-0000252E0000}"/>
    <cellStyle name="40% - Accent2 58 2 5 2" xfId="17456" xr:uid="{00000000-0005-0000-0000-0000262E0000}"/>
    <cellStyle name="40% - Accent2 58 2 6" xfId="15462" xr:uid="{00000000-0005-0000-0000-0000272E0000}"/>
    <cellStyle name="40% - Accent2 58 3" xfId="11153" xr:uid="{00000000-0005-0000-0000-0000282E0000}"/>
    <cellStyle name="40% - Accent2 58 3 2" xfId="22441" xr:uid="{00000000-0005-0000-0000-0000292E0000}"/>
    <cellStyle name="40% - Accent2 58 4" xfId="9159" xr:uid="{00000000-0005-0000-0000-00002A2E0000}"/>
    <cellStyle name="40% - Accent2 58 4 2" xfId="20447" xr:uid="{00000000-0005-0000-0000-00002B2E0000}"/>
    <cellStyle name="40% - Accent2 58 5" xfId="7165" xr:uid="{00000000-0005-0000-0000-00002C2E0000}"/>
    <cellStyle name="40% - Accent2 58 5 2" xfId="18453" xr:uid="{00000000-0005-0000-0000-00002D2E0000}"/>
    <cellStyle name="40% - Accent2 58 6" xfId="5171" xr:uid="{00000000-0005-0000-0000-00002E2E0000}"/>
    <cellStyle name="40% - Accent2 58 6 2" xfId="16459" xr:uid="{00000000-0005-0000-0000-00002F2E0000}"/>
    <cellStyle name="40% - Accent2 58 7" xfId="14465" xr:uid="{00000000-0005-0000-0000-0000302E0000}"/>
    <cellStyle name="40% - Accent2 58 8" xfId="13151" xr:uid="{00000000-0005-0000-0000-0000312E0000}"/>
    <cellStyle name="40% - Accent2 59" xfId="1216" xr:uid="{00000000-0005-0000-0000-0000322E0000}"/>
    <cellStyle name="40% - Accent2 59 2" xfId="4172" xr:uid="{00000000-0005-0000-0000-0000332E0000}"/>
    <cellStyle name="40% - Accent2 59 2 2" xfId="12151" xr:uid="{00000000-0005-0000-0000-0000342E0000}"/>
    <cellStyle name="40% - Accent2 59 2 2 2" xfId="23439" xr:uid="{00000000-0005-0000-0000-0000352E0000}"/>
    <cellStyle name="40% - Accent2 59 2 3" xfId="10157" xr:uid="{00000000-0005-0000-0000-0000362E0000}"/>
    <cellStyle name="40% - Accent2 59 2 3 2" xfId="21445" xr:uid="{00000000-0005-0000-0000-0000372E0000}"/>
    <cellStyle name="40% - Accent2 59 2 4" xfId="8163" xr:uid="{00000000-0005-0000-0000-0000382E0000}"/>
    <cellStyle name="40% - Accent2 59 2 4 2" xfId="19451" xr:uid="{00000000-0005-0000-0000-0000392E0000}"/>
    <cellStyle name="40% - Accent2 59 2 5" xfId="6169" xr:uid="{00000000-0005-0000-0000-00003A2E0000}"/>
    <cellStyle name="40% - Accent2 59 2 5 2" xfId="17457" xr:uid="{00000000-0005-0000-0000-00003B2E0000}"/>
    <cellStyle name="40% - Accent2 59 2 6" xfId="15463" xr:uid="{00000000-0005-0000-0000-00003C2E0000}"/>
    <cellStyle name="40% - Accent2 59 3" xfId="11154" xr:uid="{00000000-0005-0000-0000-00003D2E0000}"/>
    <cellStyle name="40% - Accent2 59 3 2" xfId="22442" xr:uid="{00000000-0005-0000-0000-00003E2E0000}"/>
    <cellStyle name="40% - Accent2 59 4" xfId="9160" xr:uid="{00000000-0005-0000-0000-00003F2E0000}"/>
    <cellStyle name="40% - Accent2 59 4 2" xfId="20448" xr:uid="{00000000-0005-0000-0000-0000402E0000}"/>
    <cellStyle name="40% - Accent2 59 5" xfId="7166" xr:uid="{00000000-0005-0000-0000-0000412E0000}"/>
    <cellStyle name="40% - Accent2 59 5 2" xfId="18454" xr:uid="{00000000-0005-0000-0000-0000422E0000}"/>
    <cellStyle name="40% - Accent2 59 6" xfId="5172" xr:uid="{00000000-0005-0000-0000-0000432E0000}"/>
    <cellStyle name="40% - Accent2 59 6 2" xfId="16460" xr:uid="{00000000-0005-0000-0000-0000442E0000}"/>
    <cellStyle name="40% - Accent2 59 7" xfId="14466" xr:uid="{00000000-0005-0000-0000-0000452E0000}"/>
    <cellStyle name="40% - Accent2 59 8" xfId="13152" xr:uid="{00000000-0005-0000-0000-0000462E0000}"/>
    <cellStyle name="40% - Accent2 6" xfId="1217" xr:uid="{00000000-0005-0000-0000-0000472E0000}"/>
    <cellStyle name="40% - Accent2 6 10" xfId="24605" xr:uid="{00000000-0005-0000-0000-0000482E0000}"/>
    <cellStyle name="40% - Accent2 6 11" xfId="24995" xr:uid="{00000000-0005-0000-0000-0000492E0000}"/>
    <cellStyle name="40% - Accent2 6 2" xfId="4173" xr:uid="{00000000-0005-0000-0000-00004A2E0000}"/>
    <cellStyle name="40% - Accent2 6 2 2" xfId="12152" xr:uid="{00000000-0005-0000-0000-00004B2E0000}"/>
    <cellStyle name="40% - Accent2 6 2 2 2" xfId="23440" xr:uid="{00000000-0005-0000-0000-00004C2E0000}"/>
    <cellStyle name="40% - Accent2 6 2 3" xfId="10158" xr:uid="{00000000-0005-0000-0000-00004D2E0000}"/>
    <cellStyle name="40% - Accent2 6 2 3 2" xfId="21446" xr:uid="{00000000-0005-0000-0000-00004E2E0000}"/>
    <cellStyle name="40% - Accent2 6 2 4" xfId="8164" xr:uid="{00000000-0005-0000-0000-00004F2E0000}"/>
    <cellStyle name="40% - Accent2 6 2 4 2" xfId="19452" xr:uid="{00000000-0005-0000-0000-0000502E0000}"/>
    <cellStyle name="40% - Accent2 6 2 5" xfId="6170" xr:uid="{00000000-0005-0000-0000-0000512E0000}"/>
    <cellStyle name="40% - Accent2 6 2 5 2" xfId="17458" xr:uid="{00000000-0005-0000-0000-0000522E0000}"/>
    <cellStyle name="40% - Accent2 6 2 6" xfId="15464" xr:uid="{00000000-0005-0000-0000-0000532E0000}"/>
    <cellStyle name="40% - Accent2 6 2 7" xfId="24366" xr:uid="{00000000-0005-0000-0000-0000542E0000}"/>
    <cellStyle name="40% - Accent2 6 2 8" xfId="24830" xr:uid="{00000000-0005-0000-0000-0000552E0000}"/>
    <cellStyle name="40% - Accent2 6 2 9" xfId="25197" xr:uid="{00000000-0005-0000-0000-0000562E0000}"/>
    <cellStyle name="40% - Accent2 6 3" xfId="11155" xr:uid="{00000000-0005-0000-0000-0000572E0000}"/>
    <cellStyle name="40% - Accent2 6 3 2" xfId="22443" xr:uid="{00000000-0005-0000-0000-0000582E0000}"/>
    <cellStyle name="40% - Accent2 6 4" xfId="9161" xr:uid="{00000000-0005-0000-0000-0000592E0000}"/>
    <cellStyle name="40% - Accent2 6 4 2" xfId="20449" xr:uid="{00000000-0005-0000-0000-00005A2E0000}"/>
    <cellStyle name="40% - Accent2 6 5" xfId="7167" xr:uid="{00000000-0005-0000-0000-00005B2E0000}"/>
    <cellStyle name="40% - Accent2 6 5 2" xfId="18455" xr:uid="{00000000-0005-0000-0000-00005C2E0000}"/>
    <cellStyle name="40% - Accent2 6 6" xfId="5173" xr:uid="{00000000-0005-0000-0000-00005D2E0000}"/>
    <cellStyle name="40% - Accent2 6 6 2" xfId="16461" xr:uid="{00000000-0005-0000-0000-00005E2E0000}"/>
    <cellStyle name="40% - Accent2 6 7" xfId="14467" xr:uid="{00000000-0005-0000-0000-00005F2E0000}"/>
    <cellStyle name="40% - Accent2 6 8" xfId="13153" xr:uid="{00000000-0005-0000-0000-0000602E0000}"/>
    <cellStyle name="40% - Accent2 6 9" xfId="23978" xr:uid="{00000000-0005-0000-0000-0000612E0000}"/>
    <cellStyle name="40% - Accent2 60" xfId="1218" xr:uid="{00000000-0005-0000-0000-0000622E0000}"/>
    <cellStyle name="40% - Accent2 60 2" xfId="4174" xr:uid="{00000000-0005-0000-0000-0000632E0000}"/>
    <cellStyle name="40% - Accent2 60 2 2" xfId="12153" xr:uid="{00000000-0005-0000-0000-0000642E0000}"/>
    <cellStyle name="40% - Accent2 60 2 2 2" xfId="23441" xr:uid="{00000000-0005-0000-0000-0000652E0000}"/>
    <cellStyle name="40% - Accent2 60 2 3" xfId="10159" xr:uid="{00000000-0005-0000-0000-0000662E0000}"/>
    <cellStyle name="40% - Accent2 60 2 3 2" xfId="21447" xr:uid="{00000000-0005-0000-0000-0000672E0000}"/>
    <cellStyle name="40% - Accent2 60 2 4" xfId="8165" xr:uid="{00000000-0005-0000-0000-0000682E0000}"/>
    <cellStyle name="40% - Accent2 60 2 4 2" xfId="19453" xr:uid="{00000000-0005-0000-0000-0000692E0000}"/>
    <cellStyle name="40% - Accent2 60 2 5" xfId="6171" xr:uid="{00000000-0005-0000-0000-00006A2E0000}"/>
    <cellStyle name="40% - Accent2 60 2 5 2" xfId="17459" xr:uid="{00000000-0005-0000-0000-00006B2E0000}"/>
    <cellStyle name="40% - Accent2 60 2 6" xfId="15465" xr:uid="{00000000-0005-0000-0000-00006C2E0000}"/>
    <cellStyle name="40% - Accent2 60 3" xfId="11156" xr:uid="{00000000-0005-0000-0000-00006D2E0000}"/>
    <cellStyle name="40% - Accent2 60 3 2" xfId="22444" xr:uid="{00000000-0005-0000-0000-00006E2E0000}"/>
    <cellStyle name="40% - Accent2 60 4" xfId="9162" xr:uid="{00000000-0005-0000-0000-00006F2E0000}"/>
    <cellStyle name="40% - Accent2 60 4 2" xfId="20450" xr:uid="{00000000-0005-0000-0000-0000702E0000}"/>
    <cellStyle name="40% - Accent2 60 5" xfId="7168" xr:uid="{00000000-0005-0000-0000-0000712E0000}"/>
    <cellStyle name="40% - Accent2 60 5 2" xfId="18456" xr:uid="{00000000-0005-0000-0000-0000722E0000}"/>
    <cellStyle name="40% - Accent2 60 6" xfId="5174" xr:uid="{00000000-0005-0000-0000-0000732E0000}"/>
    <cellStyle name="40% - Accent2 60 6 2" xfId="16462" xr:uid="{00000000-0005-0000-0000-0000742E0000}"/>
    <cellStyle name="40% - Accent2 60 7" xfId="14468" xr:uid="{00000000-0005-0000-0000-0000752E0000}"/>
    <cellStyle name="40% - Accent2 60 8" xfId="13154" xr:uid="{00000000-0005-0000-0000-0000762E0000}"/>
    <cellStyle name="40% - Accent2 61" xfId="1219" xr:uid="{00000000-0005-0000-0000-0000772E0000}"/>
    <cellStyle name="40% - Accent2 61 2" xfId="4175" xr:uid="{00000000-0005-0000-0000-0000782E0000}"/>
    <cellStyle name="40% - Accent2 61 2 2" xfId="12154" xr:uid="{00000000-0005-0000-0000-0000792E0000}"/>
    <cellStyle name="40% - Accent2 61 2 2 2" xfId="23442" xr:uid="{00000000-0005-0000-0000-00007A2E0000}"/>
    <cellStyle name="40% - Accent2 61 2 3" xfId="10160" xr:uid="{00000000-0005-0000-0000-00007B2E0000}"/>
    <cellStyle name="40% - Accent2 61 2 3 2" xfId="21448" xr:uid="{00000000-0005-0000-0000-00007C2E0000}"/>
    <cellStyle name="40% - Accent2 61 2 4" xfId="8166" xr:uid="{00000000-0005-0000-0000-00007D2E0000}"/>
    <cellStyle name="40% - Accent2 61 2 4 2" xfId="19454" xr:uid="{00000000-0005-0000-0000-00007E2E0000}"/>
    <cellStyle name="40% - Accent2 61 2 5" xfId="6172" xr:uid="{00000000-0005-0000-0000-00007F2E0000}"/>
    <cellStyle name="40% - Accent2 61 2 5 2" xfId="17460" xr:uid="{00000000-0005-0000-0000-0000802E0000}"/>
    <cellStyle name="40% - Accent2 61 2 6" xfId="15466" xr:uid="{00000000-0005-0000-0000-0000812E0000}"/>
    <cellStyle name="40% - Accent2 61 3" xfId="11157" xr:uid="{00000000-0005-0000-0000-0000822E0000}"/>
    <cellStyle name="40% - Accent2 61 3 2" xfId="22445" xr:uid="{00000000-0005-0000-0000-0000832E0000}"/>
    <cellStyle name="40% - Accent2 61 4" xfId="9163" xr:uid="{00000000-0005-0000-0000-0000842E0000}"/>
    <cellStyle name="40% - Accent2 61 4 2" xfId="20451" xr:uid="{00000000-0005-0000-0000-0000852E0000}"/>
    <cellStyle name="40% - Accent2 61 5" xfId="7169" xr:uid="{00000000-0005-0000-0000-0000862E0000}"/>
    <cellStyle name="40% - Accent2 61 5 2" xfId="18457" xr:uid="{00000000-0005-0000-0000-0000872E0000}"/>
    <cellStyle name="40% - Accent2 61 6" xfId="5175" xr:uid="{00000000-0005-0000-0000-0000882E0000}"/>
    <cellStyle name="40% - Accent2 61 6 2" xfId="16463" xr:uid="{00000000-0005-0000-0000-0000892E0000}"/>
    <cellStyle name="40% - Accent2 61 7" xfId="14469" xr:uid="{00000000-0005-0000-0000-00008A2E0000}"/>
    <cellStyle name="40% - Accent2 61 8" xfId="13155" xr:uid="{00000000-0005-0000-0000-00008B2E0000}"/>
    <cellStyle name="40% - Accent2 62" xfId="1220" xr:uid="{00000000-0005-0000-0000-00008C2E0000}"/>
    <cellStyle name="40% - Accent2 62 2" xfId="4176" xr:uid="{00000000-0005-0000-0000-00008D2E0000}"/>
    <cellStyle name="40% - Accent2 62 2 2" xfId="12155" xr:uid="{00000000-0005-0000-0000-00008E2E0000}"/>
    <cellStyle name="40% - Accent2 62 2 2 2" xfId="23443" xr:uid="{00000000-0005-0000-0000-00008F2E0000}"/>
    <cellStyle name="40% - Accent2 62 2 3" xfId="10161" xr:uid="{00000000-0005-0000-0000-0000902E0000}"/>
    <cellStyle name="40% - Accent2 62 2 3 2" xfId="21449" xr:uid="{00000000-0005-0000-0000-0000912E0000}"/>
    <cellStyle name="40% - Accent2 62 2 4" xfId="8167" xr:uid="{00000000-0005-0000-0000-0000922E0000}"/>
    <cellStyle name="40% - Accent2 62 2 4 2" xfId="19455" xr:uid="{00000000-0005-0000-0000-0000932E0000}"/>
    <cellStyle name="40% - Accent2 62 2 5" xfId="6173" xr:uid="{00000000-0005-0000-0000-0000942E0000}"/>
    <cellStyle name="40% - Accent2 62 2 5 2" xfId="17461" xr:uid="{00000000-0005-0000-0000-0000952E0000}"/>
    <cellStyle name="40% - Accent2 62 2 6" xfId="15467" xr:uid="{00000000-0005-0000-0000-0000962E0000}"/>
    <cellStyle name="40% - Accent2 62 3" xfId="11158" xr:uid="{00000000-0005-0000-0000-0000972E0000}"/>
    <cellStyle name="40% - Accent2 62 3 2" xfId="22446" xr:uid="{00000000-0005-0000-0000-0000982E0000}"/>
    <cellStyle name="40% - Accent2 62 4" xfId="9164" xr:uid="{00000000-0005-0000-0000-0000992E0000}"/>
    <cellStyle name="40% - Accent2 62 4 2" xfId="20452" xr:uid="{00000000-0005-0000-0000-00009A2E0000}"/>
    <cellStyle name="40% - Accent2 62 5" xfId="7170" xr:uid="{00000000-0005-0000-0000-00009B2E0000}"/>
    <cellStyle name="40% - Accent2 62 5 2" xfId="18458" xr:uid="{00000000-0005-0000-0000-00009C2E0000}"/>
    <cellStyle name="40% - Accent2 62 6" xfId="5176" xr:uid="{00000000-0005-0000-0000-00009D2E0000}"/>
    <cellStyle name="40% - Accent2 62 6 2" xfId="16464" xr:uid="{00000000-0005-0000-0000-00009E2E0000}"/>
    <cellStyle name="40% - Accent2 62 7" xfId="14470" xr:uid="{00000000-0005-0000-0000-00009F2E0000}"/>
    <cellStyle name="40% - Accent2 62 8" xfId="13156" xr:uid="{00000000-0005-0000-0000-0000A02E0000}"/>
    <cellStyle name="40% - Accent2 63" xfId="1221" xr:uid="{00000000-0005-0000-0000-0000A12E0000}"/>
    <cellStyle name="40% - Accent2 63 2" xfId="4177" xr:uid="{00000000-0005-0000-0000-0000A22E0000}"/>
    <cellStyle name="40% - Accent2 63 2 2" xfId="12156" xr:uid="{00000000-0005-0000-0000-0000A32E0000}"/>
    <cellStyle name="40% - Accent2 63 2 2 2" xfId="23444" xr:uid="{00000000-0005-0000-0000-0000A42E0000}"/>
    <cellStyle name="40% - Accent2 63 2 3" xfId="10162" xr:uid="{00000000-0005-0000-0000-0000A52E0000}"/>
    <cellStyle name="40% - Accent2 63 2 3 2" xfId="21450" xr:uid="{00000000-0005-0000-0000-0000A62E0000}"/>
    <cellStyle name="40% - Accent2 63 2 4" xfId="8168" xr:uid="{00000000-0005-0000-0000-0000A72E0000}"/>
    <cellStyle name="40% - Accent2 63 2 4 2" xfId="19456" xr:uid="{00000000-0005-0000-0000-0000A82E0000}"/>
    <cellStyle name="40% - Accent2 63 2 5" xfId="6174" xr:uid="{00000000-0005-0000-0000-0000A92E0000}"/>
    <cellStyle name="40% - Accent2 63 2 5 2" xfId="17462" xr:uid="{00000000-0005-0000-0000-0000AA2E0000}"/>
    <cellStyle name="40% - Accent2 63 2 6" xfId="15468" xr:uid="{00000000-0005-0000-0000-0000AB2E0000}"/>
    <cellStyle name="40% - Accent2 63 3" xfId="11159" xr:uid="{00000000-0005-0000-0000-0000AC2E0000}"/>
    <cellStyle name="40% - Accent2 63 3 2" xfId="22447" xr:uid="{00000000-0005-0000-0000-0000AD2E0000}"/>
    <cellStyle name="40% - Accent2 63 4" xfId="9165" xr:uid="{00000000-0005-0000-0000-0000AE2E0000}"/>
    <cellStyle name="40% - Accent2 63 4 2" xfId="20453" xr:uid="{00000000-0005-0000-0000-0000AF2E0000}"/>
    <cellStyle name="40% - Accent2 63 5" xfId="7171" xr:uid="{00000000-0005-0000-0000-0000B02E0000}"/>
    <cellStyle name="40% - Accent2 63 5 2" xfId="18459" xr:uid="{00000000-0005-0000-0000-0000B12E0000}"/>
    <cellStyle name="40% - Accent2 63 6" xfId="5177" xr:uid="{00000000-0005-0000-0000-0000B22E0000}"/>
    <cellStyle name="40% - Accent2 63 6 2" xfId="16465" xr:uid="{00000000-0005-0000-0000-0000B32E0000}"/>
    <cellStyle name="40% - Accent2 63 7" xfId="14471" xr:uid="{00000000-0005-0000-0000-0000B42E0000}"/>
    <cellStyle name="40% - Accent2 63 8" xfId="13157" xr:uid="{00000000-0005-0000-0000-0000B52E0000}"/>
    <cellStyle name="40% - Accent2 64" xfId="1222" xr:uid="{00000000-0005-0000-0000-0000B62E0000}"/>
    <cellStyle name="40% - Accent2 64 2" xfId="4178" xr:uid="{00000000-0005-0000-0000-0000B72E0000}"/>
    <cellStyle name="40% - Accent2 64 2 2" xfId="12157" xr:uid="{00000000-0005-0000-0000-0000B82E0000}"/>
    <cellStyle name="40% - Accent2 64 2 2 2" xfId="23445" xr:uid="{00000000-0005-0000-0000-0000B92E0000}"/>
    <cellStyle name="40% - Accent2 64 2 3" xfId="10163" xr:uid="{00000000-0005-0000-0000-0000BA2E0000}"/>
    <cellStyle name="40% - Accent2 64 2 3 2" xfId="21451" xr:uid="{00000000-0005-0000-0000-0000BB2E0000}"/>
    <cellStyle name="40% - Accent2 64 2 4" xfId="8169" xr:uid="{00000000-0005-0000-0000-0000BC2E0000}"/>
    <cellStyle name="40% - Accent2 64 2 4 2" xfId="19457" xr:uid="{00000000-0005-0000-0000-0000BD2E0000}"/>
    <cellStyle name="40% - Accent2 64 2 5" xfId="6175" xr:uid="{00000000-0005-0000-0000-0000BE2E0000}"/>
    <cellStyle name="40% - Accent2 64 2 5 2" xfId="17463" xr:uid="{00000000-0005-0000-0000-0000BF2E0000}"/>
    <cellStyle name="40% - Accent2 64 2 6" xfId="15469" xr:uid="{00000000-0005-0000-0000-0000C02E0000}"/>
    <cellStyle name="40% - Accent2 64 3" xfId="11160" xr:uid="{00000000-0005-0000-0000-0000C12E0000}"/>
    <cellStyle name="40% - Accent2 64 3 2" xfId="22448" xr:uid="{00000000-0005-0000-0000-0000C22E0000}"/>
    <cellStyle name="40% - Accent2 64 4" xfId="9166" xr:uid="{00000000-0005-0000-0000-0000C32E0000}"/>
    <cellStyle name="40% - Accent2 64 4 2" xfId="20454" xr:uid="{00000000-0005-0000-0000-0000C42E0000}"/>
    <cellStyle name="40% - Accent2 64 5" xfId="7172" xr:uid="{00000000-0005-0000-0000-0000C52E0000}"/>
    <cellStyle name="40% - Accent2 64 5 2" xfId="18460" xr:uid="{00000000-0005-0000-0000-0000C62E0000}"/>
    <cellStyle name="40% - Accent2 64 6" xfId="5178" xr:uid="{00000000-0005-0000-0000-0000C72E0000}"/>
    <cellStyle name="40% - Accent2 64 6 2" xfId="16466" xr:uid="{00000000-0005-0000-0000-0000C82E0000}"/>
    <cellStyle name="40% - Accent2 64 7" xfId="14472" xr:uid="{00000000-0005-0000-0000-0000C92E0000}"/>
    <cellStyle name="40% - Accent2 64 8" xfId="13158" xr:uid="{00000000-0005-0000-0000-0000CA2E0000}"/>
    <cellStyle name="40% - Accent2 65" xfId="1223" xr:uid="{00000000-0005-0000-0000-0000CB2E0000}"/>
    <cellStyle name="40% - Accent2 65 2" xfId="4179" xr:uid="{00000000-0005-0000-0000-0000CC2E0000}"/>
    <cellStyle name="40% - Accent2 65 2 2" xfId="12158" xr:uid="{00000000-0005-0000-0000-0000CD2E0000}"/>
    <cellStyle name="40% - Accent2 65 2 2 2" xfId="23446" xr:uid="{00000000-0005-0000-0000-0000CE2E0000}"/>
    <cellStyle name="40% - Accent2 65 2 3" xfId="10164" xr:uid="{00000000-0005-0000-0000-0000CF2E0000}"/>
    <cellStyle name="40% - Accent2 65 2 3 2" xfId="21452" xr:uid="{00000000-0005-0000-0000-0000D02E0000}"/>
    <cellStyle name="40% - Accent2 65 2 4" xfId="8170" xr:uid="{00000000-0005-0000-0000-0000D12E0000}"/>
    <cellStyle name="40% - Accent2 65 2 4 2" xfId="19458" xr:uid="{00000000-0005-0000-0000-0000D22E0000}"/>
    <cellStyle name="40% - Accent2 65 2 5" xfId="6176" xr:uid="{00000000-0005-0000-0000-0000D32E0000}"/>
    <cellStyle name="40% - Accent2 65 2 5 2" xfId="17464" xr:uid="{00000000-0005-0000-0000-0000D42E0000}"/>
    <cellStyle name="40% - Accent2 65 2 6" xfId="15470" xr:uid="{00000000-0005-0000-0000-0000D52E0000}"/>
    <cellStyle name="40% - Accent2 65 3" xfId="11161" xr:uid="{00000000-0005-0000-0000-0000D62E0000}"/>
    <cellStyle name="40% - Accent2 65 3 2" xfId="22449" xr:uid="{00000000-0005-0000-0000-0000D72E0000}"/>
    <cellStyle name="40% - Accent2 65 4" xfId="9167" xr:uid="{00000000-0005-0000-0000-0000D82E0000}"/>
    <cellStyle name="40% - Accent2 65 4 2" xfId="20455" xr:uid="{00000000-0005-0000-0000-0000D92E0000}"/>
    <cellStyle name="40% - Accent2 65 5" xfId="7173" xr:uid="{00000000-0005-0000-0000-0000DA2E0000}"/>
    <cellStyle name="40% - Accent2 65 5 2" xfId="18461" xr:uid="{00000000-0005-0000-0000-0000DB2E0000}"/>
    <cellStyle name="40% - Accent2 65 6" xfId="5179" xr:uid="{00000000-0005-0000-0000-0000DC2E0000}"/>
    <cellStyle name="40% - Accent2 65 6 2" xfId="16467" xr:uid="{00000000-0005-0000-0000-0000DD2E0000}"/>
    <cellStyle name="40% - Accent2 65 7" xfId="14473" xr:uid="{00000000-0005-0000-0000-0000DE2E0000}"/>
    <cellStyle name="40% - Accent2 65 8" xfId="13159" xr:uid="{00000000-0005-0000-0000-0000DF2E0000}"/>
    <cellStyle name="40% - Accent2 66" xfId="1224" xr:uid="{00000000-0005-0000-0000-0000E02E0000}"/>
    <cellStyle name="40% - Accent2 66 2" xfId="4180" xr:uid="{00000000-0005-0000-0000-0000E12E0000}"/>
    <cellStyle name="40% - Accent2 66 2 2" xfId="12159" xr:uid="{00000000-0005-0000-0000-0000E22E0000}"/>
    <cellStyle name="40% - Accent2 66 2 2 2" xfId="23447" xr:uid="{00000000-0005-0000-0000-0000E32E0000}"/>
    <cellStyle name="40% - Accent2 66 2 3" xfId="10165" xr:uid="{00000000-0005-0000-0000-0000E42E0000}"/>
    <cellStyle name="40% - Accent2 66 2 3 2" xfId="21453" xr:uid="{00000000-0005-0000-0000-0000E52E0000}"/>
    <cellStyle name="40% - Accent2 66 2 4" xfId="8171" xr:uid="{00000000-0005-0000-0000-0000E62E0000}"/>
    <cellStyle name="40% - Accent2 66 2 4 2" xfId="19459" xr:uid="{00000000-0005-0000-0000-0000E72E0000}"/>
    <cellStyle name="40% - Accent2 66 2 5" xfId="6177" xr:uid="{00000000-0005-0000-0000-0000E82E0000}"/>
    <cellStyle name="40% - Accent2 66 2 5 2" xfId="17465" xr:uid="{00000000-0005-0000-0000-0000E92E0000}"/>
    <cellStyle name="40% - Accent2 66 2 6" xfId="15471" xr:uid="{00000000-0005-0000-0000-0000EA2E0000}"/>
    <cellStyle name="40% - Accent2 66 3" xfId="11162" xr:uid="{00000000-0005-0000-0000-0000EB2E0000}"/>
    <cellStyle name="40% - Accent2 66 3 2" xfId="22450" xr:uid="{00000000-0005-0000-0000-0000EC2E0000}"/>
    <cellStyle name="40% - Accent2 66 4" xfId="9168" xr:uid="{00000000-0005-0000-0000-0000ED2E0000}"/>
    <cellStyle name="40% - Accent2 66 4 2" xfId="20456" xr:uid="{00000000-0005-0000-0000-0000EE2E0000}"/>
    <cellStyle name="40% - Accent2 66 5" xfId="7174" xr:uid="{00000000-0005-0000-0000-0000EF2E0000}"/>
    <cellStyle name="40% - Accent2 66 5 2" xfId="18462" xr:uid="{00000000-0005-0000-0000-0000F02E0000}"/>
    <cellStyle name="40% - Accent2 66 6" xfId="5180" xr:uid="{00000000-0005-0000-0000-0000F12E0000}"/>
    <cellStyle name="40% - Accent2 66 6 2" xfId="16468" xr:uid="{00000000-0005-0000-0000-0000F22E0000}"/>
    <cellStyle name="40% - Accent2 66 7" xfId="14474" xr:uid="{00000000-0005-0000-0000-0000F32E0000}"/>
    <cellStyle name="40% - Accent2 66 8" xfId="13160" xr:uid="{00000000-0005-0000-0000-0000F42E0000}"/>
    <cellStyle name="40% - Accent2 67" xfId="1225" xr:uid="{00000000-0005-0000-0000-0000F52E0000}"/>
    <cellStyle name="40% - Accent2 67 2" xfId="4181" xr:uid="{00000000-0005-0000-0000-0000F62E0000}"/>
    <cellStyle name="40% - Accent2 67 2 2" xfId="12160" xr:uid="{00000000-0005-0000-0000-0000F72E0000}"/>
    <cellStyle name="40% - Accent2 67 2 2 2" xfId="23448" xr:uid="{00000000-0005-0000-0000-0000F82E0000}"/>
    <cellStyle name="40% - Accent2 67 2 3" xfId="10166" xr:uid="{00000000-0005-0000-0000-0000F92E0000}"/>
    <cellStyle name="40% - Accent2 67 2 3 2" xfId="21454" xr:uid="{00000000-0005-0000-0000-0000FA2E0000}"/>
    <cellStyle name="40% - Accent2 67 2 4" xfId="8172" xr:uid="{00000000-0005-0000-0000-0000FB2E0000}"/>
    <cellStyle name="40% - Accent2 67 2 4 2" xfId="19460" xr:uid="{00000000-0005-0000-0000-0000FC2E0000}"/>
    <cellStyle name="40% - Accent2 67 2 5" xfId="6178" xr:uid="{00000000-0005-0000-0000-0000FD2E0000}"/>
    <cellStyle name="40% - Accent2 67 2 5 2" xfId="17466" xr:uid="{00000000-0005-0000-0000-0000FE2E0000}"/>
    <cellStyle name="40% - Accent2 67 2 6" xfId="15472" xr:uid="{00000000-0005-0000-0000-0000FF2E0000}"/>
    <cellStyle name="40% - Accent2 67 3" xfId="11163" xr:uid="{00000000-0005-0000-0000-0000002F0000}"/>
    <cellStyle name="40% - Accent2 67 3 2" xfId="22451" xr:uid="{00000000-0005-0000-0000-0000012F0000}"/>
    <cellStyle name="40% - Accent2 67 4" xfId="9169" xr:uid="{00000000-0005-0000-0000-0000022F0000}"/>
    <cellStyle name="40% - Accent2 67 4 2" xfId="20457" xr:uid="{00000000-0005-0000-0000-0000032F0000}"/>
    <cellStyle name="40% - Accent2 67 5" xfId="7175" xr:uid="{00000000-0005-0000-0000-0000042F0000}"/>
    <cellStyle name="40% - Accent2 67 5 2" xfId="18463" xr:uid="{00000000-0005-0000-0000-0000052F0000}"/>
    <cellStyle name="40% - Accent2 67 6" xfId="5181" xr:uid="{00000000-0005-0000-0000-0000062F0000}"/>
    <cellStyle name="40% - Accent2 67 6 2" xfId="16469" xr:uid="{00000000-0005-0000-0000-0000072F0000}"/>
    <cellStyle name="40% - Accent2 67 7" xfId="14475" xr:uid="{00000000-0005-0000-0000-0000082F0000}"/>
    <cellStyle name="40% - Accent2 67 8" xfId="13161" xr:uid="{00000000-0005-0000-0000-0000092F0000}"/>
    <cellStyle name="40% - Accent2 68" xfId="1226" xr:uid="{00000000-0005-0000-0000-00000A2F0000}"/>
    <cellStyle name="40% - Accent2 68 2" xfId="4182" xr:uid="{00000000-0005-0000-0000-00000B2F0000}"/>
    <cellStyle name="40% - Accent2 68 2 2" xfId="12161" xr:uid="{00000000-0005-0000-0000-00000C2F0000}"/>
    <cellStyle name="40% - Accent2 68 2 2 2" xfId="23449" xr:uid="{00000000-0005-0000-0000-00000D2F0000}"/>
    <cellStyle name="40% - Accent2 68 2 3" xfId="10167" xr:uid="{00000000-0005-0000-0000-00000E2F0000}"/>
    <cellStyle name="40% - Accent2 68 2 3 2" xfId="21455" xr:uid="{00000000-0005-0000-0000-00000F2F0000}"/>
    <cellStyle name="40% - Accent2 68 2 4" xfId="8173" xr:uid="{00000000-0005-0000-0000-0000102F0000}"/>
    <cellStyle name="40% - Accent2 68 2 4 2" xfId="19461" xr:uid="{00000000-0005-0000-0000-0000112F0000}"/>
    <cellStyle name="40% - Accent2 68 2 5" xfId="6179" xr:uid="{00000000-0005-0000-0000-0000122F0000}"/>
    <cellStyle name="40% - Accent2 68 2 5 2" xfId="17467" xr:uid="{00000000-0005-0000-0000-0000132F0000}"/>
    <cellStyle name="40% - Accent2 68 2 6" xfId="15473" xr:uid="{00000000-0005-0000-0000-0000142F0000}"/>
    <cellStyle name="40% - Accent2 68 3" xfId="11164" xr:uid="{00000000-0005-0000-0000-0000152F0000}"/>
    <cellStyle name="40% - Accent2 68 3 2" xfId="22452" xr:uid="{00000000-0005-0000-0000-0000162F0000}"/>
    <cellStyle name="40% - Accent2 68 4" xfId="9170" xr:uid="{00000000-0005-0000-0000-0000172F0000}"/>
    <cellStyle name="40% - Accent2 68 4 2" xfId="20458" xr:uid="{00000000-0005-0000-0000-0000182F0000}"/>
    <cellStyle name="40% - Accent2 68 5" xfId="7176" xr:uid="{00000000-0005-0000-0000-0000192F0000}"/>
    <cellStyle name="40% - Accent2 68 5 2" xfId="18464" xr:uid="{00000000-0005-0000-0000-00001A2F0000}"/>
    <cellStyle name="40% - Accent2 68 6" xfId="5182" xr:uid="{00000000-0005-0000-0000-00001B2F0000}"/>
    <cellStyle name="40% - Accent2 68 6 2" xfId="16470" xr:uid="{00000000-0005-0000-0000-00001C2F0000}"/>
    <cellStyle name="40% - Accent2 68 7" xfId="14476" xr:uid="{00000000-0005-0000-0000-00001D2F0000}"/>
    <cellStyle name="40% - Accent2 68 8" xfId="13162" xr:uid="{00000000-0005-0000-0000-00001E2F0000}"/>
    <cellStyle name="40% - Accent2 69" xfId="1227" xr:uid="{00000000-0005-0000-0000-00001F2F0000}"/>
    <cellStyle name="40% - Accent2 69 2" xfId="4183" xr:uid="{00000000-0005-0000-0000-0000202F0000}"/>
    <cellStyle name="40% - Accent2 69 2 2" xfId="12162" xr:uid="{00000000-0005-0000-0000-0000212F0000}"/>
    <cellStyle name="40% - Accent2 69 2 2 2" xfId="23450" xr:uid="{00000000-0005-0000-0000-0000222F0000}"/>
    <cellStyle name="40% - Accent2 69 2 3" xfId="10168" xr:uid="{00000000-0005-0000-0000-0000232F0000}"/>
    <cellStyle name="40% - Accent2 69 2 3 2" xfId="21456" xr:uid="{00000000-0005-0000-0000-0000242F0000}"/>
    <cellStyle name="40% - Accent2 69 2 4" xfId="8174" xr:uid="{00000000-0005-0000-0000-0000252F0000}"/>
    <cellStyle name="40% - Accent2 69 2 4 2" xfId="19462" xr:uid="{00000000-0005-0000-0000-0000262F0000}"/>
    <cellStyle name="40% - Accent2 69 2 5" xfId="6180" xr:uid="{00000000-0005-0000-0000-0000272F0000}"/>
    <cellStyle name="40% - Accent2 69 2 5 2" xfId="17468" xr:uid="{00000000-0005-0000-0000-0000282F0000}"/>
    <cellStyle name="40% - Accent2 69 2 6" xfId="15474" xr:uid="{00000000-0005-0000-0000-0000292F0000}"/>
    <cellStyle name="40% - Accent2 69 3" xfId="11165" xr:uid="{00000000-0005-0000-0000-00002A2F0000}"/>
    <cellStyle name="40% - Accent2 69 3 2" xfId="22453" xr:uid="{00000000-0005-0000-0000-00002B2F0000}"/>
    <cellStyle name="40% - Accent2 69 4" xfId="9171" xr:uid="{00000000-0005-0000-0000-00002C2F0000}"/>
    <cellStyle name="40% - Accent2 69 4 2" xfId="20459" xr:uid="{00000000-0005-0000-0000-00002D2F0000}"/>
    <cellStyle name="40% - Accent2 69 5" xfId="7177" xr:uid="{00000000-0005-0000-0000-00002E2F0000}"/>
    <cellStyle name="40% - Accent2 69 5 2" xfId="18465" xr:uid="{00000000-0005-0000-0000-00002F2F0000}"/>
    <cellStyle name="40% - Accent2 69 6" xfId="5183" xr:uid="{00000000-0005-0000-0000-0000302F0000}"/>
    <cellStyle name="40% - Accent2 69 6 2" xfId="16471" xr:uid="{00000000-0005-0000-0000-0000312F0000}"/>
    <cellStyle name="40% - Accent2 69 7" xfId="14477" xr:uid="{00000000-0005-0000-0000-0000322F0000}"/>
    <cellStyle name="40% - Accent2 69 8" xfId="13163" xr:uid="{00000000-0005-0000-0000-0000332F0000}"/>
    <cellStyle name="40% - Accent2 7" xfId="1228" xr:uid="{00000000-0005-0000-0000-0000342F0000}"/>
    <cellStyle name="40% - Accent2 7 10" xfId="24606" xr:uid="{00000000-0005-0000-0000-0000352F0000}"/>
    <cellStyle name="40% - Accent2 7 11" xfId="24996" xr:uid="{00000000-0005-0000-0000-0000362F0000}"/>
    <cellStyle name="40% - Accent2 7 2" xfId="4184" xr:uid="{00000000-0005-0000-0000-0000372F0000}"/>
    <cellStyle name="40% - Accent2 7 2 2" xfId="12163" xr:uid="{00000000-0005-0000-0000-0000382F0000}"/>
    <cellStyle name="40% - Accent2 7 2 2 2" xfId="23451" xr:uid="{00000000-0005-0000-0000-0000392F0000}"/>
    <cellStyle name="40% - Accent2 7 2 3" xfId="10169" xr:uid="{00000000-0005-0000-0000-00003A2F0000}"/>
    <cellStyle name="40% - Accent2 7 2 3 2" xfId="21457" xr:uid="{00000000-0005-0000-0000-00003B2F0000}"/>
    <cellStyle name="40% - Accent2 7 2 4" xfId="8175" xr:uid="{00000000-0005-0000-0000-00003C2F0000}"/>
    <cellStyle name="40% - Accent2 7 2 4 2" xfId="19463" xr:uid="{00000000-0005-0000-0000-00003D2F0000}"/>
    <cellStyle name="40% - Accent2 7 2 5" xfId="6181" xr:uid="{00000000-0005-0000-0000-00003E2F0000}"/>
    <cellStyle name="40% - Accent2 7 2 5 2" xfId="17469" xr:uid="{00000000-0005-0000-0000-00003F2F0000}"/>
    <cellStyle name="40% - Accent2 7 2 6" xfId="15475" xr:uid="{00000000-0005-0000-0000-0000402F0000}"/>
    <cellStyle name="40% - Accent2 7 2 7" xfId="24367" xr:uid="{00000000-0005-0000-0000-0000412F0000}"/>
    <cellStyle name="40% - Accent2 7 2 8" xfId="24831" xr:uid="{00000000-0005-0000-0000-0000422F0000}"/>
    <cellStyle name="40% - Accent2 7 2 9" xfId="25198" xr:uid="{00000000-0005-0000-0000-0000432F0000}"/>
    <cellStyle name="40% - Accent2 7 3" xfId="11166" xr:uid="{00000000-0005-0000-0000-0000442F0000}"/>
    <cellStyle name="40% - Accent2 7 3 2" xfId="22454" xr:uid="{00000000-0005-0000-0000-0000452F0000}"/>
    <cellStyle name="40% - Accent2 7 4" xfId="9172" xr:uid="{00000000-0005-0000-0000-0000462F0000}"/>
    <cellStyle name="40% - Accent2 7 4 2" xfId="20460" xr:uid="{00000000-0005-0000-0000-0000472F0000}"/>
    <cellStyle name="40% - Accent2 7 5" xfId="7178" xr:uid="{00000000-0005-0000-0000-0000482F0000}"/>
    <cellStyle name="40% - Accent2 7 5 2" xfId="18466" xr:uid="{00000000-0005-0000-0000-0000492F0000}"/>
    <cellStyle name="40% - Accent2 7 6" xfId="5184" xr:uid="{00000000-0005-0000-0000-00004A2F0000}"/>
    <cellStyle name="40% - Accent2 7 6 2" xfId="16472" xr:uid="{00000000-0005-0000-0000-00004B2F0000}"/>
    <cellStyle name="40% - Accent2 7 7" xfId="14478" xr:uid="{00000000-0005-0000-0000-00004C2F0000}"/>
    <cellStyle name="40% - Accent2 7 8" xfId="13164" xr:uid="{00000000-0005-0000-0000-00004D2F0000}"/>
    <cellStyle name="40% - Accent2 7 9" xfId="23979" xr:uid="{00000000-0005-0000-0000-00004E2F0000}"/>
    <cellStyle name="40% - Accent2 70" xfId="1229" xr:uid="{00000000-0005-0000-0000-00004F2F0000}"/>
    <cellStyle name="40% - Accent2 70 2" xfId="4185" xr:uid="{00000000-0005-0000-0000-0000502F0000}"/>
    <cellStyle name="40% - Accent2 70 2 2" xfId="12164" xr:uid="{00000000-0005-0000-0000-0000512F0000}"/>
    <cellStyle name="40% - Accent2 70 2 2 2" xfId="23452" xr:uid="{00000000-0005-0000-0000-0000522F0000}"/>
    <cellStyle name="40% - Accent2 70 2 3" xfId="10170" xr:uid="{00000000-0005-0000-0000-0000532F0000}"/>
    <cellStyle name="40% - Accent2 70 2 3 2" xfId="21458" xr:uid="{00000000-0005-0000-0000-0000542F0000}"/>
    <cellStyle name="40% - Accent2 70 2 4" xfId="8176" xr:uid="{00000000-0005-0000-0000-0000552F0000}"/>
    <cellStyle name="40% - Accent2 70 2 4 2" xfId="19464" xr:uid="{00000000-0005-0000-0000-0000562F0000}"/>
    <cellStyle name="40% - Accent2 70 2 5" xfId="6182" xr:uid="{00000000-0005-0000-0000-0000572F0000}"/>
    <cellStyle name="40% - Accent2 70 2 5 2" xfId="17470" xr:uid="{00000000-0005-0000-0000-0000582F0000}"/>
    <cellStyle name="40% - Accent2 70 2 6" xfId="15476" xr:uid="{00000000-0005-0000-0000-0000592F0000}"/>
    <cellStyle name="40% - Accent2 70 3" xfId="11167" xr:uid="{00000000-0005-0000-0000-00005A2F0000}"/>
    <cellStyle name="40% - Accent2 70 3 2" xfId="22455" xr:uid="{00000000-0005-0000-0000-00005B2F0000}"/>
    <cellStyle name="40% - Accent2 70 4" xfId="9173" xr:uid="{00000000-0005-0000-0000-00005C2F0000}"/>
    <cellStyle name="40% - Accent2 70 4 2" xfId="20461" xr:uid="{00000000-0005-0000-0000-00005D2F0000}"/>
    <cellStyle name="40% - Accent2 70 5" xfId="7179" xr:uid="{00000000-0005-0000-0000-00005E2F0000}"/>
    <cellStyle name="40% - Accent2 70 5 2" xfId="18467" xr:uid="{00000000-0005-0000-0000-00005F2F0000}"/>
    <cellStyle name="40% - Accent2 70 6" xfId="5185" xr:uid="{00000000-0005-0000-0000-0000602F0000}"/>
    <cellStyle name="40% - Accent2 70 6 2" xfId="16473" xr:uid="{00000000-0005-0000-0000-0000612F0000}"/>
    <cellStyle name="40% - Accent2 70 7" xfId="14479" xr:uid="{00000000-0005-0000-0000-0000622F0000}"/>
    <cellStyle name="40% - Accent2 70 8" xfId="13165" xr:uid="{00000000-0005-0000-0000-0000632F0000}"/>
    <cellStyle name="40% - Accent2 71" xfId="1230" xr:uid="{00000000-0005-0000-0000-0000642F0000}"/>
    <cellStyle name="40% - Accent2 71 2" xfId="4186" xr:uid="{00000000-0005-0000-0000-0000652F0000}"/>
    <cellStyle name="40% - Accent2 71 2 2" xfId="12165" xr:uid="{00000000-0005-0000-0000-0000662F0000}"/>
    <cellStyle name="40% - Accent2 71 2 2 2" xfId="23453" xr:uid="{00000000-0005-0000-0000-0000672F0000}"/>
    <cellStyle name="40% - Accent2 71 2 3" xfId="10171" xr:uid="{00000000-0005-0000-0000-0000682F0000}"/>
    <cellStyle name="40% - Accent2 71 2 3 2" xfId="21459" xr:uid="{00000000-0005-0000-0000-0000692F0000}"/>
    <cellStyle name="40% - Accent2 71 2 4" xfId="8177" xr:uid="{00000000-0005-0000-0000-00006A2F0000}"/>
    <cellStyle name="40% - Accent2 71 2 4 2" xfId="19465" xr:uid="{00000000-0005-0000-0000-00006B2F0000}"/>
    <cellStyle name="40% - Accent2 71 2 5" xfId="6183" xr:uid="{00000000-0005-0000-0000-00006C2F0000}"/>
    <cellStyle name="40% - Accent2 71 2 5 2" xfId="17471" xr:uid="{00000000-0005-0000-0000-00006D2F0000}"/>
    <cellStyle name="40% - Accent2 71 2 6" xfId="15477" xr:uid="{00000000-0005-0000-0000-00006E2F0000}"/>
    <cellStyle name="40% - Accent2 71 3" xfId="11168" xr:uid="{00000000-0005-0000-0000-00006F2F0000}"/>
    <cellStyle name="40% - Accent2 71 3 2" xfId="22456" xr:uid="{00000000-0005-0000-0000-0000702F0000}"/>
    <cellStyle name="40% - Accent2 71 4" xfId="9174" xr:uid="{00000000-0005-0000-0000-0000712F0000}"/>
    <cellStyle name="40% - Accent2 71 4 2" xfId="20462" xr:uid="{00000000-0005-0000-0000-0000722F0000}"/>
    <cellStyle name="40% - Accent2 71 5" xfId="7180" xr:uid="{00000000-0005-0000-0000-0000732F0000}"/>
    <cellStyle name="40% - Accent2 71 5 2" xfId="18468" xr:uid="{00000000-0005-0000-0000-0000742F0000}"/>
    <cellStyle name="40% - Accent2 71 6" xfId="5186" xr:uid="{00000000-0005-0000-0000-0000752F0000}"/>
    <cellStyle name="40% - Accent2 71 6 2" xfId="16474" xr:uid="{00000000-0005-0000-0000-0000762F0000}"/>
    <cellStyle name="40% - Accent2 71 7" xfId="14480" xr:uid="{00000000-0005-0000-0000-0000772F0000}"/>
    <cellStyle name="40% - Accent2 71 8" xfId="13166" xr:uid="{00000000-0005-0000-0000-0000782F0000}"/>
    <cellStyle name="40% - Accent2 72" xfId="1231" xr:uid="{00000000-0005-0000-0000-0000792F0000}"/>
    <cellStyle name="40% - Accent2 72 2" xfId="4187" xr:uid="{00000000-0005-0000-0000-00007A2F0000}"/>
    <cellStyle name="40% - Accent2 72 2 2" xfId="12166" xr:uid="{00000000-0005-0000-0000-00007B2F0000}"/>
    <cellStyle name="40% - Accent2 72 2 2 2" xfId="23454" xr:uid="{00000000-0005-0000-0000-00007C2F0000}"/>
    <cellStyle name="40% - Accent2 72 2 3" xfId="10172" xr:uid="{00000000-0005-0000-0000-00007D2F0000}"/>
    <cellStyle name="40% - Accent2 72 2 3 2" xfId="21460" xr:uid="{00000000-0005-0000-0000-00007E2F0000}"/>
    <cellStyle name="40% - Accent2 72 2 4" xfId="8178" xr:uid="{00000000-0005-0000-0000-00007F2F0000}"/>
    <cellStyle name="40% - Accent2 72 2 4 2" xfId="19466" xr:uid="{00000000-0005-0000-0000-0000802F0000}"/>
    <cellStyle name="40% - Accent2 72 2 5" xfId="6184" xr:uid="{00000000-0005-0000-0000-0000812F0000}"/>
    <cellStyle name="40% - Accent2 72 2 5 2" xfId="17472" xr:uid="{00000000-0005-0000-0000-0000822F0000}"/>
    <cellStyle name="40% - Accent2 72 2 6" xfId="15478" xr:uid="{00000000-0005-0000-0000-0000832F0000}"/>
    <cellStyle name="40% - Accent2 72 3" xfId="11169" xr:uid="{00000000-0005-0000-0000-0000842F0000}"/>
    <cellStyle name="40% - Accent2 72 3 2" xfId="22457" xr:uid="{00000000-0005-0000-0000-0000852F0000}"/>
    <cellStyle name="40% - Accent2 72 4" xfId="9175" xr:uid="{00000000-0005-0000-0000-0000862F0000}"/>
    <cellStyle name="40% - Accent2 72 4 2" xfId="20463" xr:uid="{00000000-0005-0000-0000-0000872F0000}"/>
    <cellStyle name="40% - Accent2 72 5" xfId="7181" xr:uid="{00000000-0005-0000-0000-0000882F0000}"/>
    <cellStyle name="40% - Accent2 72 5 2" xfId="18469" xr:uid="{00000000-0005-0000-0000-0000892F0000}"/>
    <cellStyle name="40% - Accent2 72 6" xfId="5187" xr:uid="{00000000-0005-0000-0000-00008A2F0000}"/>
    <cellStyle name="40% - Accent2 72 6 2" xfId="16475" xr:uid="{00000000-0005-0000-0000-00008B2F0000}"/>
    <cellStyle name="40% - Accent2 72 7" xfId="14481" xr:uid="{00000000-0005-0000-0000-00008C2F0000}"/>
    <cellStyle name="40% - Accent2 72 8" xfId="13167" xr:uid="{00000000-0005-0000-0000-00008D2F0000}"/>
    <cellStyle name="40% - Accent2 8" xfId="1232" xr:uid="{00000000-0005-0000-0000-00008E2F0000}"/>
    <cellStyle name="40% - Accent2 8 2" xfId="4188" xr:uid="{00000000-0005-0000-0000-00008F2F0000}"/>
    <cellStyle name="40% - Accent2 8 2 2" xfId="12167" xr:uid="{00000000-0005-0000-0000-0000902F0000}"/>
    <cellStyle name="40% - Accent2 8 2 2 2" xfId="23455" xr:uid="{00000000-0005-0000-0000-0000912F0000}"/>
    <cellStyle name="40% - Accent2 8 2 3" xfId="10173" xr:uid="{00000000-0005-0000-0000-0000922F0000}"/>
    <cellStyle name="40% - Accent2 8 2 3 2" xfId="21461" xr:uid="{00000000-0005-0000-0000-0000932F0000}"/>
    <cellStyle name="40% - Accent2 8 2 4" xfId="8179" xr:uid="{00000000-0005-0000-0000-0000942F0000}"/>
    <cellStyle name="40% - Accent2 8 2 4 2" xfId="19467" xr:uid="{00000000-0005-0000-0000-0000952F0000}"/>
    <cellStyle name="40% - Accent2 8 2 5" xfId="6185" xr:uid="{00000000-0005-0000-0000-0000962F0000}"/>
    <cellStyle name="40% - Accent2 8 2 5 2" xfId="17473" xr:uid="{00000000-0005-0000-0000-0000972F0000}"/>
    <cellStyle name="40% - Accent2 8 2 6" xfId="15479" xr:uid="{00000000-0005-0000-0000-0000982F0000}"/>
    <cellStyle name="40% - Accent2 8 3" xfId="11170" xr:uid="{00000000-0005-0000-0000-0000992F0000}"/>
    <cellStyle name="40% - Accent2 8 3 2" xfId="22458" xr:uid="{00000000-0005-0000-0000-00009A2F0000}"/>
    <cellStyle name="40% - Accent2 8 4" xfId="9176" xr:uid="{00000000-0005-0000-0000-00009B2F0000}"/>
    <cellStyle name="40% - Accent2 8 4 2" xfId="20464" xr:uid="{00000000-0005-0000-0000-00009C2F0000}"/>
    <cellStyle name="40% - Accent2 8 5" xfId="7182" xr:uid="{00000000-0005-0000-0000-00009D2F0000}"/>
    <cellStyle name="40% - Accent2 8 5 2" xfId="18470" xr:uid="{00000000-0005-0000-0000-00009E2F0000}"/>
    <cellStyle name="40% - Accent2 8 6" xfId="5188" xr:uid="{00000000-0005-0000-0000-00009F2F0000}"/>
    <cellStyle name="40% - Accent2 8 6 2" xfId="16476" xr:uid="{00000000-0005-0000-0000-0000A02F0000}"/>
    <cellStyle name="40% - Accent2 8 7" xfId="14482" xr:uid="{00000000-0005-0000-0000-0000A12F0000}"/>
    <cellStyle name="40% - Accent2 8 8" xfId="13168" xr:uid="{00000000-0005-0000-0000-0000A22F0000}"/>
    <cellStyle name="40% - Accent2 9" xfId="1233" xr:uid="{00000000-0005-0000-0000-0000A32F0000}"/>
    <cellStyle name="40% - Accent2 9 2" xfId="4189" xr:uid="{00000000-0005-0000-0000-0000A42F0000}"/>
    <cellStyle name="40% - Accent2 9 2 2" xfId="12168" xr:uid="{00000000-0005-0000-0000-0000A52F0000}"/>
    <cellStyle name="40% - Accent2 9 2 2 2" xfId="23456" xr:uid="{00000000-0005-0000-0000-0000A62F0000}"/>
    <cellStyle name="40% - Accent2 9 2 3" xfId="10174" xr:uid="{00000000-0005-0000-0000-0000A72F0000}"/>
    <cellStyle name="40% - Accent2 9 2 3 2" xfId="21462" xr:uid="{00000000-0005-0000-0000-0000A82F0000}"/>
    <cellStyle name="40% - Accent2 9 2 4" xfId="8180" xr:uid="{00000000-0005-0000-0000-0000A92F0000}"/>
    <cellStyle name="40% - Accent2 9 2 4 2" xfId="19468" xr:uid="{00000000-0005-0000-0000-0000AA2F0000}"/>
    <cellStyle name="40% - Accent2 9 2 5" xfId="6186" xr:uid="{00000000-0005-0000-0000-0000AB2F0000}"/>
    <cellStyle name="40% - Accent2 9 2 5 2" xfId="17474" xr:uid="{00000000-0005-0000-0000-0000AC2F0000}"/>
    <cellStyle name="40% - Accent2 9 2 6" xfId="15480" xr:uid="{00000000-0005-0000-0000-0000AD2F0000}"/>
    <cellStyle name="40% - Accent2 9 3" xfId="11171" xr:uid="{00000000-0005-0000-0000-0000AE2F0000}"/>
    <cellStyle name="40% - Accent2 9 3 2" xfId="22459" xr:uid="{00000000-0005-0000-0000-0000AF2F0000}"/>
    <cellStyle name="40% - Accent2 9 4" xfId="9177" xr:uid="{00000000-0005-0000-0000-0000B02F0000}"/>
    <cellStyle name="40% - Accent2 9 4 2" xfId="20465" xr:uid="{00000000-0005-0000-0000-0000B12F0000}"/>
    <cellStyle name="40% - Accent2 9 5" xfId="7183" xr:uid="{00000000-0005-0000-0000-0000B22F0000}"/>
    <cellStyle name="40% - Accent2 9 5 2" xfId="18471" xr:uid="{00000000-0005-0000-0000-0000B32F0000}"/>
    <cellStyle name="40% - Accent2 9 6" xfId="5189" xr:uid="{00000000-0005-0000-0000-0000B42F0000}"/>
    <cellStyle name="40% - Accent2 9 6 2" xfId="16477" xr:uid="{00000000-0005-0000-0000-0000B52F0000}"/>
    <cellStyle name="40% - Accent2 9 7" xfId="14483" xr:uid="{00000000-0005-0000-0000-0000B62F0000}"/>
    <cellStyle name="40% - Accent2 9 8" xfId="13169" xr:uid="{00000000-0005-0000-0000-0000B72F0000}"/>
    <cellStyle name="40% - Accent3 10" xfId="1234" xr:uid="{00000000-0005-0000-0000-0000B82F0000}"/>
    <cellStyle name="40% - Accent3 10 2" xfId="4190" xr:uid="{00000000-0005-0000-0000-0000B92F0000}"/>
    <cellStyle name="40% - Accent3 10 2 2" xfId="12169" xr:uid="{00000000-0005-0000-0000-0000BA2F0000}"/>
    <cellStyle name="40% - Accent3 10 2 2 2" xfId="23457" xr:uid="{00000000-0005-0000-0000-0000BB2F0000}"/>
    <cellStyle name="40% - Accent3 10 2 3" xfId="10175" xr:uid="{00000000-0005-0000-0000-0000BC2F0000}"/>
    <cellStyle name="40% - Accent3 10 2 3 2" xfId="21463" xr:uid="{00000000-0005-0000-0000-0000BD2F0000}"/>
    <cellStyle name="40% - Accent3 10 2 4" xfId="8181" xr:uid="{00000000-0005-0000-0000-0000BE2F0000}"/>
    <cellStyle name="40% - Accent3 10 2 4 2" xfId="19469" xr:uid="{00000000-0005-0000-0000-0000BF2F0000}"/>
    <cellStyle name="40% - Accent3 10 2 5" xfId="6187" xr:uid="{00000000-0005-0000-0000-0000C02F0000}"/>
    <cellStyle name="40% - Accent3 10 2 5 2" xfId="17475" xr:uid="{00000000-0005-0000-0000-0000C12F0000}"/>
    <cellStyle name="40% - Accent3 10 2 6" xfId="15481" xr:uid="{00000000-0005-0000-0000-0000C22F0000}"/>
    <cellStyle name="40% - Accent3 10 3" xfId="11172" xr:uid="{00000000-0005-0000-0000-0000C32F0000}"/>
    <cellStyle name="40% - Accent3 10 3 2" xfId="22460" xr:uid="{00000000-0005-0000-0000-0000C42F0000}"/>
    <cellStyle name="40% - Accent3 10 4" xfId="9178" xr:uid="{00000000-0005-0000-0000-0000C52F0000}"/>
    <cellStyle name="40% - Accent3 10 4 2" xfId="20466" xr:uid="{00000000-0005-0000-0000-0000C62F0000}"/>
    <cellStyle name="40% - Accent3 10 5" xfId="7184" xr:uid="{00000000-0005-0000-0000-0000C72F0000}"/>
    <cellStyle name="40% - Accent3 10 5 2" xfId="18472" xr:uid="{00000000-0005-0000-0000-0000C82F0000}"/>
    <cellStyle name="40% - Accent3 10 6" xfId="5190" xr:uid="{00000000-0005-0000-0000-0000C92F0000}"/>
    <cellStyle name="40% - Accent3 10 6 2" xfId="16478" xr:uid="{00000000-0005-0000-0000-0000CA2F0000}"/>
    <cellStyle name="40% - Accent3 10 7" xfId="14484" xr:uid="{00000000-0005-0000-0000-0000CB2F0000}"/>
    <cellStyle name="40% - Accent3 10 8" xfId="13170" xr:uid="{00000000-0005-0000-0000-0000CC2F0000}"/>
    <cellStyle name="40% - Accent3 11" xfId="1235" xr:uid="{00000000-0005-0000-0000-0000CD2F0000}"/>
    <cellStyle name="40% - Accent3 11 2" xfId="4191" xr:uid="{00000000-0005-0000-0000-0000CE2F0000}"/>
    <cellStyle name="40% - Accent3 11 2 2" xfId="12170" xr:uid="{00000000-0005-0000-0000-0000CF2F0000}"/>
    <cellStyle name="40% - Accent3 11 2 2 2" xfId="23458" xr:uid="{00000000-0005-0000-0000-0000D02F0000}"/>
    <cellStyle name="40% - Accent3 11 2 3" xfId="10176" xr:uid="{00000000-0005-0000-0000-0000D12F0000}"/>
    <cellStyle name="40% - Accent3 11 2 3 2" xfId="21464" xr:uid="{00000000-0005-0000-0000-0000D22F0000}"/>
    <cellStyle name="40% - Accent3 11 2 4" xfId="8182" xr:uid="{00000000-0005-0000-0000-0000D32F0000}"/>
    <cellStyle name="40% - Accent3 11 2 4 2" xfId="19470" xr:uid="{00000000-0005-0000-0000-0000D42F0000}"/>
    <cellStyle name="40% - Accent3 11 2 5" xfId="6188" xr:uid="{00000000-0005-0000-0000-0000D52F0000}"/>
    <cellStyle name="40% - Accent3 11 2 5 2" xfId="17476" xr:uid="{00000000-0005-0000-0000-0000D62F0000}"/>
    <cellStyle name="40% - Accent3 11 2 6" xfId="15482" xr:uid="{00000000-0005-0000-0000-0000D72F0000}"/>
    <cellStyle name="40% - Accent3 11 3" xfId="11173" xr:uid="{00000000-0005-0000-0000-0000D82F0000}"/>
    <cellStyle name="40% - Accent3 11 3 2" xfId="22461" xr:uid="{00000000-0005-0000-0000-0000D92F0000}"/>
    <cellStyle name="40% - Accent3 11 4" xfId="9179" xr:uid="{00000000-0005-0000-0000-0000DA2F0000}"/>
    <cellStyle name="40% - Accent3 11 4 2" xfId="20467" xr:uid="{00000000-0005-0000-0000-0000DB2F0000}"/>
    <cellStyle name="40% - Accent3 11 5" xfId="7185" xr:uid="{00000000-0005-0000-0000-0000DC2F0000}"/>
    <cellStyle name="40% - Accent3 11 5 2" xfId="18473" xr:uid="{00000000-0005-0000-0000-0000DD2F0000}"/>
    <cellStyle name="40% - Accent3 11 6" xfId="5191" xr:uid="{00000000-0005-0000-0000-0000DE2F0000}"/>
    <cellStyle name="40% - Accent3 11 6 2" xfId="16479" xr:uid="{00000000-0005-0000-0000-0000DF2F0000}"/>
    <cellStyle name="40% - Accent3 11 7" xfId="14485" xr:uid="{00000000-0005-0000-0000-0000E02F0000}"/>
    <cellStyle name="40% - Accent3 11 8" xfId="13171" xr:uid="{00000000-0005-0000-0000-0000E12F0000}"/>
    <cellStyle name="40% - Accent3 12" xfId="1236" xr:uid="{00000000-0005-0000-0000-0000E22F0000}"/>
    <cellStyle name="40% - Accent3 12 2" xfId="4192" xr:uid="{00000000-0005-0000-0000-0000E32F0000}"/>
    <cellStyle name="40% - Accent3 12 2 2" xfId="12171" xr:uid="{00000000-0005-0000-0000-0000E42F0000}"/>
    <cellStyle name="40% - Accent3 12 2 2 2" xfId="23459" xr:uid="{00000000-0005-0000-0000-0000E52F0000}"/>
    <cellStyle name="40% - Accent3 12 2 3" xfId="10177" xr:uid="{00000000-0005-0000-0000-0000E62F0000}"/>
    <cellStyle name="40% - Accent3 12 2 3 2" xfId="21465" xr:uid="{00000000-0005-0000-0000-0000E72F0000}"/>
    <cellStyle name="40% - Accent3 12 2 4" xfId="8183" xr:uid="{00000000-0005-0000-0000-0000E82F0000}"/>
    <cellStyle name="40% - Accent3 12 2 4 2" xfId="19471" xr:uid="{00000000-0005-0000-0000-0000E92F0000}"/>
    <cellStyle name="40% - Accent3 12 2 5" xfId="6189" xr:uid="{00000000-0005-0000-0000-0000EA2F0000}"/>
    <cellStyle name="40% - Accent3 12 2 5 2" xfId="17477" xr:uid="{00000000-0005-0000-0000-0000EB2F0000}"/>
    <cellStyle name="40% - Accent3 12 2 6" xfId="15483" xr:uid="{00000000-0005-0000-0000-0000EC2F0000}"/>
    <cellStyle name="40% - Accent3 12 3" xfId="11174" xr:uid="{00000000-0005-0000-0000-0000ED2F0000}"/>
    <cellStyle name="40% - Accent3 12 3 2" xfId="22462" xr:uid="{00000000-0005-0000-0000-0000EE2F0000}"/>
    <cellStyle name="40% - Accent3 12 4" xfId="9180" xr:uid="{00000000-0005-0000-0000-0000EF2F0000}"/>
    <cellStyle name="40% - Accent3 12 4 2" xfId="20468" xr:uid="{00000000-0005-0000-0000-0000F02F0000}"/>
    <cellStyle name="40% - Accent3 12 5" xfId="7186" xr:uid="{00000000-0005-0000-0000-0000F12F0000}"/>
    <cellStyle name="40% - Accent3 12 5 2" xfId="18474" xr:uid="{00000000-0005-0000-0000-0000F22F0000}"/>
    <cellStyle name="40% - Accent3 12 6" xfId="5192" xr:uid="{00000000-0005-0000-0000-0000F32F0000}"/>
    <cellStyle name="40% - Accent3 12 6 2" xfId="16480" xr:uid="{00000000-0005-0000-0000-0000F42F0000}"/>
    <cellStyle name="40% - Accent3 12 7" xfId="14486" xr:uid="{00000000-0005-0000-0000-0000F52F0000}"/>
    <cellStyle name="40% - Accent3 12 8" xfId="13172" xr:uid="{00000000-0005-0000-0000-0000F62F0000}"/>
    <cellStyle name="40% - Accent3 13" xfId="1237" xr:uid="{00000000-0005-0000-0000-0000F72F0000}"/>
    <cellStyle name="40% - Accent3 13 2" xfId="4193" xr:uid="{00000000-0005-0000-0000-0000F82F0000}"/>
    <cellStyle name="40% - Accent3 13 2 2" xfId="12172" xr:uid="{00000000-0005-0000-0000-0000F92F0000}"/>
    <cellStyle name="40% - Accent3 13 2 2 2" xfId="23460" xr:uid="{00000000-0005-0000-0000-0000FA2F0000}"/>
    <cellStyle name="40% - Accent3 13 2 3" xfId="10178" xr:uid="{00000000-0005-0000-0000-0000FB2F0000}"/>
    <cellStyle name="40% - Accent3 13 2 3 2" xfId="21466" xr:uid="{00000000-0005-0000-0000-0000FC2F0000}"/>
    <cellStyle name="40% - Accent3 13 2 4" xfId="8184" xr:uid="{00000000-0005-0000-0000-0000FD2F0000}"/>
    <cellStyle name="40% - Accent3 13 2 4 2" xfId="19472" xr:uid="{00000000-0005-0000-0000-0000FE2F0000}"/>
    <cellStyle name="40% - Accent3 13 2 5" xfId="6190" xr:uid="{00000000-0005-0000-0000-0000FF2F0000}"/>
    <cellStyle name="40% - Accent3 13 2 5 2" xfId="17478" xr:uid="{00000000-0005-0000-0000-000000300000}"/>
    <cellStyle name="40% - Accent3 13 2 6" xfId="15484" xr:uid="{00000000-0005-0000-0000-000001300000}"/>
    <cellStyle name="40% - Accent3 13 3" xfId="11175" xr:uid="{00000000-0005-0000-0000-000002300000}"/>
    <cellStyle name="40% - Accent3 13 3 2" xfId="22463" xr:uid="{00000000-0005-0000-0000-000003300000}"/>
    <cellStyle name="40% - Accent3 13 4" xfId="9181" xr:uid="{00000000-0005-0000-0000-000004300000}"/>
    <cellStyle name="40% - Accent3 13 4 2" xfId="20469" xr:uid="{00000000-0005-0000-0000-000005300000}"/>
    <cellStyle name="40% - Accent3 13 5" xfId="7187" xr:uid="{00000000-0005-0000-0000-000006300000}"/>
    <cellStyle name="40% - Accent3 13 5 2" xfId="18475" xr:uid="{00000000-0005-0000-0000-000007300000}"/>
    <cellStyle name="40% - Accent3 13 6" xfId="5193" xr:uid="{00000000-0005-0000-0000-000008300000}"/>
    <cellStyle name="40% - Accent3 13 6 2" xfId="16481" xr:uid="{00000000-0005-0000-0000-000009300000}"/>
    <cellStyle name="40% - Accent3 13 7" xfId="14487" xr:uid="{00000000-0005-0000-0000-00000A300000}"/>
    <cellStyle name="40% - Accent3 13 8" xfId="13173" xr:uid="{00000000-0005-0000-0000-00000B300000}"/>
    <cellStyle name="40% - Accent3 14" xfId="1238" xr:uid="{00000000-0005-0000-0000-00000C300000}"/>
    <cellStyle name="40% - Accent3 14 2" xfId="4194" xr:uid="{00000000-0005-0000-0000-00000D300000}"/>
    <cellStyle name="40% - Accent3 14 2 2" xfId="12173" xr:uid="{00000000-0005-0000-0000-00000E300000}"/>
    <cellStyle name="40% - Accent3 14 2 2 2" xfId="23461" xr:uid="{00000000-0005-0000-0000-00000F300000}"/>
    <cellStyle name="40% - Accent3 14 2 3" xfId="10179" xr:uid="{00000000-0005-0000-0000-000010300000}"/>
    <cellStyle name="40% - Accent3 14 2 3 2" xfId="21467" xr:uid="{00000000-0005-0000-0000-000011300000}"/>
    <cellStyle name="40% - Accent3 14 2 4" xfId="8185" xr:uid="{00000000-0005-0000-0000-000012300000}"/>
    <cellStyle name="40% - Accent3 14 2 4 2" xfId="19473" xr:uid="{00000000-0005-0000-0000-000013300000}"/>
    <cellStyle name="40% - Accent3 14 2 5" xfId="6191" xr:uid="{00000000-0005-0000-0000-000014300000}"/>
    <cellStyle name="40% - Accent3 14 2 5 2" xfId="17479" xr:uid="{00000000-0005-0000-0000-000015300000}"/>
    <cellStyle name="40% - Accent3 14 2 6" xfId="15485" xr:uid="{00000000-0005-0000-0000-000016300000}"/>
    <cellStyle name="40% - Accent3 14 3" xfId="11176" xr:uid="{00000000-0005-0000-0000-000017300000}"/>
    <cellStyle name="40% - Accent3 14 3 2" xfId="22464" xr:uid="{00000000-0005-0000-0000-000018300000}"/>
    <cellStyle name="40% - Accent3 14 4" xfId="9182" xr:uid="{00000000-0005-0000-0000-000019300000}"/>
    <cellStyle name="40% - Accent3 14 4 2" xfId="20470" xr:uid="{00000000-0005-0000-0000-00001A300000}"/>
    <cellStyle name="40% - Accent3 14 5" xfId="7188" xr:uid="{00000000-0005-0000-0000-00001B300000}"/>
    <cellStyle name="40% - Accent3 14 5 2" xfId="18476" xr:uid="{00000000-0005-0000-0000-00001C300000}"/>
    <cellStyle name="40% - Accent3 14 6" xfId="5194" xr:uid="{00000000-0005-0000-0000-00001D300000}"/>
    <cellStyle name="40% - Accent3 14 6 2" xfId="16482" xr:uid="{00000000-0005-0000-0000-00001E300000}"/>
    <cellStyle name="40% - Accent3 14 7" xfId="14488" xr:uid="{00000000-0005-0000-0000-00001F300000}"/>
    <cellStyle name="40% - Accent3 14 8" xfId="13174" xr:uid="{00000000-0005-0000-0000-000020300000}"/>
    <cellStyle name="40% - Accent3 15" xfId="1239" xr:uid="{00000000-0005-0000-0000-000021300000}"/>
    <cellStyle name="40% - Accent3 15 2" xfId="4195" xr:uid="{00000000-0005-0000-0000-000022300000}"/>
    <cellStyle name="40% - Accent3 15 2 2" xfId="12174" xr:uid="{00000000-0005-0000-0000-000023300000}"/>
    <cellStyle name="40% - Accent3 15 2 2 2" xfId="23462" xr:uid="{00000000-0005-0000-0000-000024300000}"/>
    <cellStyle name="40% - Accent3 15 2 3" xfId="10180" xr:uid="{00000000-0005-0000-0000-000025300000}"/>
    <cellStyle name="40% - Accent3 15 2 3 2" xfId="21468" xr:uid="{00000000-0005-0000-0000-000026300000}"/>
    <cellStyle name="40% - Accent3 15 2 4" xfId="8186" xr:uid="{00000000-0005-0000-0000-000027300000}"/>
    <cellStyle name="40% - Accent3 15 2 4 2" xfId="19474" xr:uid="{00000000-0005-0000-0000-000028300000}"/>
    <cellStyle name="40% - Accent3 15 2 5" xfId="6192" xr:uid="{00000000-0005-0000-0000-000029300000}"/>
    <cellStyle name="40% - Accent3 15 2 5 2" xfId="17480" xr:uid="{00000000-0005-0000-0000-00002A300000}"/>
    <cellStyle name="40% - Accent3 15 2 6" xfId="15486" xr:uid="{00000000-0005-0000-0000-00002B300000}"/>
    <cellStyle name="40% - Accent3 15 3" xfId="11177" xr:uid="{00000000-0005-0000-0000-00002C300000}"/>
    <cellStyle name="40% - Accent3 15 3 2" xfId="22465" xr:uid="{00000000-0005-0000-0000-00002D300000}"/>
    <cellStyle name="40% - Accent3 15 4" xfId="9183" xr:uid="{00000000-0005-0000-0000-00002E300000}"/>
    <cellStyle name="40% - Accent3 15 4 2" xfId="20471" xr:uid="{00000000-0005-0000-0000-00002F300000}"/>
    <cellStyle name="40% - Accent3 15 5" xfId="7189" xr:uid="{00000000-0005-0000-0000-000030300000}"/>
    <cellStyle name="40% - Accent3 15 5 2" xfId="18477" xr:uid="{00000000-0005-0000-0000-000031300000}"/>
    <cellStyle name="40% - Accent3 15 6" xfId="5195" xr:uid="{00000000-0005-0000-0000-000032300000}"/>
    <cellStyle name="40% - Accent3 15 6 2" xfId="16483" xr:uid="{00000000-0005-0000-0000-000033300000}"/>
    <cellStyle name="40% - Accent3 15 7" xfId="14489" xr:uid="{00000000-0005-0000-0000-000034300000}"/>
    <cellStyle name="40% - Accent3 15 8" xfId="13175" xr:uid="{00000000-0005-0000-0000-000035300000}"/>
    <cellStyle name="40% - Accent3 16" xfId="1240" xr:uid="{00000000-0005-0000-0000-000036300000}"/>
    <cellStyle name="40% - Accent3 16 2" xfId="4196" xr:uid="{00000000-0005-0000-0000-000037300000}"/>
    <cellStyle name="40% - Accent3 16 2 2" xfId="12175" xr:uid="{00000000-0005-0000-0000-000038300000}"/>
    <cellStyle name="40% - Accent3 16 2 2 2" xfId="23463" xr:uid="{00000000-0005-0000-0000-000039300000}"/>
    <cellStyle name="40% - Accent3 16 2 3" xfId="10181" xr:uid="{00000000-0005-0000-0000-00003A300000}"/>
    <cellStyle name="40% - Accent3 16 2 3 2" xfId="21469" xr:uid="{00000000-0005-0000-0000-00003B300000}"/>
    <cellStyle name="40% - Accent3 16 2 4" xfId="8187" xr:uid="{00000000-0005-0000-0000-00003C300000}"/>
    <cellStyle name="40% - Accent3 16 2 4 2" xfId="19475" xr:uid="{00000000-0005-0000-0000-00003D300000}"/>
    <cellStyle name="40% - Accent3 16 2 5" xfId="6193" xr:uid="{00000000-0005-0000-0000-00003E300000}"/>
    <cellStyle name="40% - Accent3 16 2 5 2" xfId="17481" xr:uid="{00000000-0005-0000-0000-00003F300000}"/>
    <cellStyle name="40% - Accent3 16 2 6" xfId="15487" xr:uid="{00000000-0005-0000-0000-000040300000}"/>
    <cellStyle name="40% - Accent3 16 3" xfId="11178" xr:uid="{00000000-0005-0000-0000-000041300000}"/>
    <cellStyle name="40% - Accent3 16 3 2" xfId="22466" xr:uid="{00000000-0005-0000-0000-000042300000}"/>
    <cellStyle name="40% - Accent3 16 4" xfId="9184" xr:uid="{00000000-0005-0000-0000-000043300000}"/>
    <cellStyle name="40% - Accent3 16 4 2" xfId="20472" xr:uid="{00000000-0005-0000-0000-000044300000}"/>
    <cellStyle name="40% - Accent3 16 5" xfId="7190" xr:uid="{00000000-0005-0000-0000-000045300000}"/>
    <cellStyle name="40% - Accent3 16 5 2" xfId="18478" xr:uid="{00000000-0005-0000-0000-000046300000}"/>
    <cellStyle name="40% - Accent3 16 6" xfId="5196" xr:uid="{00000000-0005-0000-0000-000047300000}"/>
    <cellStyle name="40% - Accent3 16 6 2" xfId="16484" xr:uid="{00000000-0005-0000-0000-000048300000}"/>
    <cellStyle name="40% - Accent3 16 7" xfId="14490" xr:uid="{00000000-0005-0000-0000-000049300000}"/>
    <cellStyle name="40% - Accent3 16 8" xfId="13176" xr:uid="{00000000-0005-0000-0000-00004A300000}"/>
    <cellStyle name="40% - Accent3 17" xfId="1241" xr:uid="{00000000-0005-0000-0000-00004B300000}"/>
    <cellStyle name="40% - Accent3 17 2" xfId="4197" xr:uid="{00000000-0005-0000-0000-00004C300000}"/>
    <cellStyle name="40% - Accent3 17 2 2" xfId="12176" xr:uid="{00000000-0005-0000-0000-00004D300000}"/>
    <cellStyle name="40% - Accent3 17 2 2 2" xfId="23464" xr:uid="{00000000-0005-0000-0000-00004E300000}"/>
    <cellStyle name="40% - Accent3 17 2 3" xfId="10182" xr:uid="{00000000-0005-0000-0000-00004F300000}"/>
    <cellStyle name="40% - Accent3 17 2 3 2" xfId="21470" xr:uid="{00000000-0005-0000-0000-000050300000}"/>
    <cellStyle name="40% - Accent3 17 2 4" xfId="8188" xr:uid="{00000000-0005-0000-0000-000051300000}"/>
    <cellStyle name="40% - Accent3 17 2 4 2" xfId="19476" xr:uid="{00000000-0005-0000-0000-000052300000}"/>
    <cellStyle name="40% - Accent3 17 2 5" xfId="6194" xr:uid="{00000000-0005-0000-0000-000053300000}"/>
    <cellStyle name="40% - Accent3 17 2 5 2" xfId="17482" xr:uid="{00000000-0005-0000-0000-000054300000}"/>
    <cellStyle name="40% - Accent3 17 2 6" xfId="15488" xr:uid="{00000000-0005-0000-0000-000055300000}"/>
    <cellStyle name="40% - Accent3 17 3" xfId="11179" xr:uid="{00000000-0005-0000-0000-000056300000}"/>
    <cellStyle name="40% - Accent3 17 3 2" xfId="22467" xr:uid="{00000000-0005-0000-0000-000057300000}"/>
    <cellStyle name="40% - Accent3 17 4" xfId="9185" xr:uid="{00000000-0005-0000-0000-000058300000}"/>
    <cellStyle name="40% - Accent3 17 4 2" xfId="20473" xr:uid="{00000000-0005-0000-0000-000059300000}"/>
    <cellStyle name="40% - Accent3 17 5" xfId="7191" xr:uid="{00000000-0005-0000-0000-00005A300000}"/>
    <cellStyle name="40% - Accent3 17 5 2" xfId="18479" xr:uid="{00000000-0005-0000-0000-00005B300000}"/>
    <cellStyle name="40% - Accent3 17 6" xfId="5197" xr:uid="{00000000-0005-0000-0000-00005C300000}"/>
    <cellStyle name="40% - Accent3 17 6 2" xfId="16485" xr:uid="{00000000-0005-0000-0000-00005D300000}"/>
    <cellStyle name="40% - Accent3 17 7" xfId="14491" xr:uid="{00000000-0005-0000-0000-00005E300000}"/>
    <cellStyle name="40% - Accent3 17 8" xfId="13177" xr:uid="{00000000-0005-0000-0000-00005F300000}"/>
    <cellStyle name="40% - Accent3 18" xfId="1242" xr:uid="{00000000-0005-0000-0000-000060300000}"/>
    <cellStyle name="40% - Accent3 18 2" xfId="4198" xr:uid="{00000000-0005-0000-0000-000061300000}"/>
    <cellStyle name="40% - Accent3 18 2 2" xfId="12177" xr:uid="{00000000-0005-0000-0000-000062300000}"/>
    <cellStyle name="40% - Accent3 18 2 2 2" xfId="23465" xr:uid="{00000000-0005-0000-0000-000063300000}"/>
    <cellStyle name="40% - Accent3 18 2 3" xfId="10183" xr:uid="{00000000-0005-0000-0000-000064300000}"/>
    <cellStyle name="40% - Accent3 18 2 3 2" xfId="21471" xr:uid="{00000000-0005-0000-0000-000065300000}"/>
    <cellStyle name="40% - Accent3 18 2 4" xfId="8189" xr:uid="{00000000-0005-0000-0000-000066300000}"/>
    <cellStyle name="40% - Accent3 18 2 4 2" xfId="19477" xr:uid="{00000000-0005-0000-0000-000067300000}"/>
    <cellStyle name="40% - Accent3 18 2 5" xfId="6195" xr:uid="{00000000-0005-0000-0000-000068300000}"/>
    <cellStyle name="40% - Accent3 18 2 5 2" xfId="17483" xr:uid="{00000000-0005-0000-0000-000069300000}"/>
    <cellStyle name="40% - Accent3 18 2 6" xfId="15489" xr:uid="{00000000-0005-0000-0000-00006A300000}"/>
    <cellStyle name="40% - Accent3 18 3" xfId="11180" xr:uid="{00000000-0005-0000-0000-00006B300000}"/>
    <cellStyle name="40% - Accent3 18 3 2" xfId="22468" xr:uid="{00000000-0005-0000-0000-00006C300000}"/>
    <cellStyle name="40% - Accent3 18 4" xfId="9186" xr:uid="{00000000-0005-0000-0000-00006D300000}"/>
    <cellStyle name="40% - Accent3 18 4 2" xfId="20474" xr:uid="{00000000-0005-0000-0000-00006E300000}"/>
    <cellStyle name="40% - Accent3 18 5" xfId="7192" xr:uid="{00000000-0005-0000-0000-00006F300000}"/>
    <cellStyle name="40% - Accent3 18 5 2" xfId="18480" xr:uid="{00000000-0005-0000-0000-000070300000}"/>
    <cellStyle name="40% - Accent3 18 6" xfId="5198" xr:uid="{00000000-0005-0000-0000-000071300000}"/>
    <cellStyle name="40% - Accent3 18 6 2" xfId="16486" xr:uid="{00000000-0005-0000-0000-000072300000}"/>
    <cellStyle name="40% - Accent3 18 7" xfId="14492" xr:uid="{00000000-0005-0000-0000-000073300000}"/>
    <cellStyle name="40% - Accent3 18 8" xfId="13178" xr:uid="{00000000-0005-0000-0000-000074300000}"/>
    <cellStyle name="40% - Accent3 19" xfId="1243" xr:uid="{00000000-0005-0000-0000-000075300000}"/>
    <cellStyle name="40% - Accent3 19 2" xfId="4199" xr:uid="{00000000-0005-0000-0000-000076300000}"/>
    <cellStyle name="40% - Accent3 19 2 2" xfId="12178" xr:uid="{00000000-0005-0000-0000-000077300000}"/>
    <cellStyle name="40% - Accent3 19 2 2 2" xfId="23466" xr:uid="{00000000-0005-0000-0000-000078300000}"/>
    <cellStyle name="40% - Accent3 19 2 3" xfId="10184" xr:uid="{00000000-0005-0000-0000-000079300000}"/>
    <cellStyle name="40% - Accent3 19 2 3 2" xfId="21472" xr:uid="{00000000-0005-0000-0000-00007A300000}"/>
    <cellStyle name="40% - Accent3 19 2 4" xfId="8190" xr:uid="{00000000-0005-0000-0000-00007B300000}"/>
    <cellStyle name="40% - Accent3 19 2 4 2" xfId="19478" xr:uid="{00000000-0005-0000-0000-00007C300000}"/>
    <cellStyle name="40% - Accent3 19 2 5" xfId="6196" xr:uid="{00000000-0005-0000-0000-00007D300000}"/>
    <cellStyle name="40% - Accent3 19 2 5 2" xfId="17484" xr:uid="{00000000-0005-0000-0000-00007E300000}"/>
    <cellStyle name="40% - Accent3 19 2 6" xfId="15490" xr:uid="{00000000-0005-0000-0000-00007F300000}"/>
    <cellStyle name="40% - Accent3 19 3" xfId="11181" xr:uid="{00000000-0005-0000-0000-000080300000}"/>
    <cellStyle name="40% - Accent3 19 3 2" xfId="22469" xr:uid="{00000000-0005-0000-0000-000081300000}"/>
    <cellStyle name="40% - Accent3 19 4" xfId="9187" xr:uid="{00000000-0005-0000-0000-000082300000}"/>
    <cellStyle name="40% - Accent3 19 4 2" xfId="20475" xr:uid="{00000000-0005-0000-0000-000083300000}"/>
    <cellStyle name="40% - Accent3 19 5" xfId="7193" xr:uid="{00000000-0005-0000-0000-000084300000}"/>
    <cellStyle name="40% - Accent3 19 5 2" xfId="18481" xr:uid="{00000000-0005-0000-0000-000085300000}"/>
    <cellStyle name="40% - Accent3 19 6" xfId="5199" xr:uid="{00000000-0005-0000-0000-000086300000}"/>
    <cellStyle name="40% - Accent3 19 6 2" xfId="16487" xr:uid="{00000000-0005-0000-0000-000087300000}"/>
    <cellStyle name="40% - Accent3 19 7" xfId="14493" xr:uid="{00000000-0005-0000-0000-000088300000}"/>
    <cellStyle name="40% - Accent3 19 8" xfId="13179" xr:uid="{00000000-0005-0000-0000-000089300000}"/>
    <cellStyle name="40% - Accent3 2" xfId="1244" xr:uid="{00000000-0005-0000-0000-00008A300000}"/>
    <cellStyle name="40% - Accent3 2 10" xfId="24607" xr:uid="{00000000-0005-0000-0000-00008B300000}"/>
    <cellStyle name="40% - Accent3 2 11" xfId="24997" xr:uid="{00000000-0005-0000-0000-00008C300000}"/>
    <cellStyle name="40% - Accent3 2 2" xfId="4200" xr:uid="{00000000-0005-0000-0000-00008D300000}"/>
    <cellStyle name="40% - Accent3 2 2 2" xfId="12179" xr:uid="{00000000-0005-0000-0000-00008E300000}"/>
    <cellStyle name="40% - Accent3 2 2 2 2" xfId="23467" xr:uid="{00000000-0005-0000-0000-00008F300000}"/>
    <cellStyle name="40% - Accent3 2 2 3" xfId="10185" xr:uid="{00000000-0005-0000-0000-000090300000}"/>
    <cellStyle name="40% - Accent3 2 2 3 2" xfId="21473" xr:uid="{00000000-0005-0000-0000-000091300000}"/>
    <cellStyle name="40% - Accent3 2 2 4" xfId="8191" xr:uid="{00000000-0005-0000-0000-000092300000}"/>
    <cellStyle name="40% - Accent3 2 2 4 2" xfId="19479" xr:uid="{00000000-0005-0000-0000-000093300000}"/>
    <cellStyle name="40% - Accent3 2 2 5" xfId="6197" xr:uid="{00000000-0005-0000-0000-000094300000}"/>
    <cellStyle name="40% - Accent3 2 2 5 2" xfId="17485" xr:uid="{00000000-0005-0000-0000-000095300000}"/>
    <cellStyle name="40% - Accent3 2 2 6" xfId="15491" xr:uid="{00000000-0005-0000-0000-000096300000}"/>
    <cellStyle name="40% - Accent3 2 2 7" xfId="24368" xr:uid="{00000000-0005-0000-0000-000097300000}"/>
    <cellStyle name="40% - Accent3 2 2 8" xfId="24832" xr:uid="{00000000-0005-0000-0000-000098300000}"/>
    <cellStyle name="40% - Accent3 2 2 9" xfId="25199" xr:uid="{00000000-0005-0000-0000-000099300000}"/>
    <cellStyle name="40% - Accent3 2 3" xfId="11182" xr:uid="{00000000-0005-0000-0000-00009A300000}"/>
    <cellStyle name="40% - Accent3 2 3 2" xfId="22470" xr:uid="{00000000-0005-0000-0000-00009B300000}"/>
    <cellStyle name="40% - Accent3 2 4" xfId="9188" xr:uid="{00000000-0005-0000-0000-00009C300000}"/>
    <cellStyle name="40% - Accent3 2 4 2" xfId="20476" xr:uid="{00000000-0005-0000-0000-00009D300000}"/>
    <cellStyle name="40% - Accent3 2 5" xfId="7194" xr:uid="{00000000-0005-0000-0000-00009E300000}"/>
    <cellStyle name="40% - Accent3 2 5 2" xfId="18482" xr:uid="{00000000-0005-0000-0000-00009F300000}"/>
    <cellStyle name="40% - Accent3 2 6" xfId="5200" xr:uid="{00000000-0005-0000-0000-0000A0300000}"/>
    <cellStyle name="40% - Accent3 2 6 2" xfId="16488" xr:uid="{00000000-0005-0000-0000-0000A1300000}"/>
    <cellStyle name="40% - Accent3 2 7" xfId="14494" xr:uid="{00000000-0005-0000-0000-0000A2300000}"/>
    <cellStyle name="40% - Accent3 2 8" xfId="13180" xr:uid="{00000000-0005-0000-0000-0000A3300000}"/>
    <cellStyle name="40% - Accent3 2 9" xfId="23980" xr:uid="{00000000-0005-0000-0000-0000A4300000}"/>
    <cellStyle name="40% - Accent3 20" xfId="1245" xr:uid="{00000000-0005-0000-0000-0000A5300000}"/>
    <cellStyle name="40% - Accent3 20 2" xfId="4201" xr:uid="{00000000-0005-0000-0000-0000A6300000}"/>
    <cellStyle name="40% - Accent3 20 2 2" xfId="12180" xr:uid="{00000000-0005-0000-0000-0000A7300000}"/>
    <cellStyle name="40% - Accent3 20 2 2 2" xfId="23468" xr:uid="{00000000-0005-0000-0000-0000A8300000}"/>
    <cellStyle name="40% - Accent3 20 2 3" xfId="10186" xr:uid="{00000000-0005-0000-0000-0000A9300000}"/>
    <cellStyle name="40% - Accent3 20 2 3 2" xfId="21474" xr:uid="{00000000-0005-0000-0000-0000AA300000}"/>
    <cellStyle name="40% - Accent3 20 2 4" xfId="8192" xr:uid="{00000000-0005-0000-0000-0000AB300000}"/>
    <cellStyle name="40% - Accent3 20 2 4 2" xfId="19480" xr:uid="{00000000-0005-0000-0000-0000AC300000}"/>
    <cellStyle name="40% - Accent3 20 2 5" xfId="6198" xr:uid="{00000000-0005-0000-0000-0000AD300000}"/>
    <cellStyle name="40% - Accent3 20 2 5 2" xfId="17486" xr:uid="{00000000-0005-0000-0000-0000AE300000}"/>
    <cellStyle name="40% - Accent3 20 2 6" xfId="15492" xr:uid="{00000000-0005-0000-0000-0000AF300000}"/>
    <cellStyle name="40% - Accent3 20 3" xfId="11183" xr:uid="{00000000-0005-0000-0000-0000B0300000}"/>
    <cellStyle name="40% - Accent3 20 3 2" xfId="22471" xr:uid="{00000000-0005-0000-0000-0000B1300000}"/>
    <cellStyle name="40% - Accent3 20 4" xfId="9189" xr:uid="{00000000-0005-0000-0000-0000B2300000}"/>
    <cellStyle name="40% - Accent3 20 4 2" xfId="20477" xr:uid="{00000000-0005-0000-0000-0000B3300000}"/>
    <cellStyle name="40% - Accent3 20 5" xfId="7195" xr:uid="{00000000-0005-0000-0000-0000B4300000}"/>
    <cellStyle name="40% - Accent3 20 5 2" xfId="18483" xr:uid="{00000000-0005-0000-0000-0000B5300000}"/>
    <cellStyle name="40% - Accent3 20 6" xfId="5201" xr:uid="{00000000-0005-0000-0000-0000B6300000}"/>
    <cellStyle name="40% - Accent3 20 6 2" xfId="16489" xr:uid="{00000000-0005-0000-0000-0000B7300000}"/>
    <cellStyle name="40% - Accent3 20 7" xfId="14495" xr:uid="{00000000-0005-0000-0000-0000B8300000}"/>
    <cellStyle name="40% - Accent3 20 8" xfId="13181" xr:uid="{00000000-0005-0000-0000-0000B9300000}"/>
    <cellStyle name="40% - Accent3 21" xfId="1246" xr:uid="{00000000-0005-0000-0000-0000BA300000}"/>
    <cellStyle name="40% - Accent3 21 2" xfId="4202" xr:uid="{00000000-0005-0000-0000-0000BB300000}"/>
    <cellStyle name="40% - Accent3 21 2 2" xfId="12181" xr:uid="{00000000-0005-0000-0000-0000BC300000}"/>
    <cellStyle name="40% - Accent3 21 2 2 2" xfId="23469" xr:uid="{00000000-0005-0000-0000-0000BD300000}"/>
    <cellStyle name="40% - Accent3 21 2 3" xfId="10187" xr:uid="{00000000-0005-0000-0000-0000BE300000}"/>
    <cellStyle name="40% - Accent3 21 2 3 2" xfId="21475" xr:uid="{00000000-0005-0000-0000-0000BF300000}"/>
    <cellStyle name="40% - Accent3 21 2 4" xfId="8193" xr:uid="{00000000-0005-0000-0000-0000C0300000}"/>
    <cellStyle name="40% - Accent3 21 2 4 2" xfId="19481" xr:uid="{00000000-0005-0000-0000-0000C1300000}"/>
    <cellStyle name="40% - Accent3 21 2 5" xfId="6199" xr:uid="{00000000-0005-0000-0000-0000C2300000}"/>
    <cellStyle name="40% - Accent3 21 2 5 2" xfId="17487" xr:uid="{00000000-0005-0000-0000-0000C3300000}"/>
    <cellStyle name="40% - Accent3 21 2 6" xfId="15493" xr:uid="{00000000-0005-0000-0000-0000C4300000}"/>
    <cellStyle name="40% - Accent3 21 3" xfId="11184" xr:uid="{00000000-0005-0000-0000-0000C5300000}"/>
    <cellStyle name="40% - Accent3 21 3 2" xfId="22472" xr:uid="{00000000-0005-0000-0000-0000C6300000}"/>
    <cellStyle name="40% - Accent3 21 4" xfId="9190" xr:uid="{00000000-0005-0000-0000-0000C7300000}"/>
    <cellStyle name="40% - Accent3 21 4 2" xfId="20478" xr:uid="{00000000-0005-0000-0000-0000C8300000}"/>
    <cellStyle name="40% - Accent3 21 5" xfId="7196" xr:uid="{00000000-0005-0000-0000-0000C9300000}"/>
    <cellStyle name="40% - Accent3 21 5 2" xfId="18484" xr:uid="{00000000-0005-0000-0000-0000CA300000}"/>
    <cellStyle name="40% - Accent3 21 6" xfId="5202" xr:uid="{00000000-0005-0000-0000-0000CB300000}"/>
    <cellStyle name="40% - Accent3 21 6 2" xfId="16490" xr:uid="{00000000-0005-0000-0000-0000CC300000}"/>
    <cellStyle name="40% - Accent3 21 7" xfId="14496" xr:uid="{00000000-0005-0000-0000-0000CD300000}"/>
    <cellStyle name="40% - Accent3 21 8" xfId="13182" xr:uid="{00000000-0005-0000-0000-0000CE300000}"/>
    <cellStyle name="40% - Accent3 22" xfId="1247" xr:uid="{00000000-0005-0000-0000-0000CF300000}"/>
    <cellStyle name="40% - Accent3 22 2" xfId="4203" xr:uid="{00000000-0005-0000-0000-0000D0300000}"/>
    <cellStyle name="40% - Accent3 22 2 2" xfId="12182" xr:uid="{00000000-0005-0000-0000-0000D1300000}"/>
    <cellStyle name="40% - Accent3 22 2 2 2" xfId="23470" xr:uid="{00000000-0005-0000-0000-0000D2300000}"/>
    <cellStyle name="40% - Accent3 22 2 3" xfId="10188" xr:uid="{00000000-0005-0000-0000-0000D3300000}"/>
    <cellStyle name="40% - Accent3 22 2 3 2" xfId="21476" xr:uid="{00000000-0005-0000-0000-0000D4300000}"/>
    <cellStyle name="40% - Accent3 22 2 4" xfId="8194" xr:uid="{00000000-0005-0000-0000-0000D5300000}"/>
    <cellStyle name="40% - Accent3 22 2 4 2" xfId="19482" xr:uid="{00000000-0005-0000-0000-0000D6300000}"/>
    <cellStyle name="40% - Accent3 22 2 5" xfId="6200" xr:uid="{00000000-0005-0000-0000-0000D7300000}"/>
    <cellStyle name="40% - Accent3 22 2 5 2" xfId="17488" xr:uid="{00000000-0005-0000-0000-0000D8300000}"/>
    <cellStyle name="40% - Accent3 22 2 6" xfId="15494" xr:uid="{00000000-0005-0000-0000-0000D9300000}"/>
    <cellStyle name="40% - Accent3 22 3" xfId="11185" xr:uid="{00000000-0005-0000-0000-0000DA300000}"/>
    <cellStyle name="40% - Accent3 22 3 2" xfId="22473" xr:uid="{00000000-0005-0000-0000-0000DB300000}"/>
    <cellStyle name="40% - Accent3 22 4" xfId="9191" xr:uid="{00000000-0005-0000-0000-0000DC300000}"/>
    <cellStyle name="40% - Accent3 22 4 2" xfId="20479" xr:uid="{00000000-0005-0000-0000-0000DD300000}"/>
    <cellStyle name="40% - Accent3 22 5" xfId="7197" xr:uid="{00000000-0005-0000-0000-0000DE300000}"/>
    <cellStyle name="40% - Accent3 22 5 2" xfId="18485" xr:uid="{00000000-0005-0000-0000-0000DF300000}"/>
    <cellStyle name="40% - Accent3 22 6" xfId="5203" xr:uid="{00000000-0005-0000-0000-0000E0300000}"/>
    <cellStyle name="40% - Accent3 22 6 2" xfId="16491" xr:uid="{00000000-0005-0000-0000-0000E1300000}"/>
    <cellStyle name="40% - Accent3 22 7" xfId="14497" xr:uid="{00000000-0005-0000-0000-0000E2300000}"/>
    <cellStyle name="40% - Accent3 22 8" xfId="13183" xr:uid="{00000000-0005-0000-0000-0000E3300000}"/>
    <cellStyle name="40% - Accent3 23" xfId="1248" xr:uid="{00000000-0005-0000-0000-0000E4300000}"/>
    <cellStyle name="40% - Accent3 23 2" xfId="4204" xr:uid="{00000000-0005-0000-0000-0000E5300000}"/>
    <cellStyle name="40% - Accent3 23 2 2" xfId="12183" xr:uid="{00000000-0005-0000-0000-0000E6300000}"/>
    <cellStyle name="40% - Accent3 23 2 2 2" xfId="23471" xr:uid="{00000000-0005-0000-0000-0000E7300000}"/>
    <cellStyle name="40% - Accent3 23 2 3" xfId="10189" xr:uid="{00000000-0005-0000-0000-0000E8300000}"/>
    <cellStyle name="40% - Accent3 23 2 3 2" xfId="21477" xr:uid="{00000000-0005-0000-0000-0000E9300000}"/>
    <cellStyle name="40% - Accent3 23 2 4" xfId="8195" xr:uid="{00000000-0005-0000-0000-0000EA300000}"/>
    <cellStyle name="40% - Accent3 23 2 4 2" xfId="19483" xr:uid="{00000000-0005-0000-0000-0000EB300000}"/>
    <cellStyle name="40% - Accent3 23 2 5" xfId="6201" xr:uid="{00000000-0005-0000-0000-0000EC300000}"/>
    <cellStyle name="40% - Accent3 23 2 5 2" xfId="17489" xr:uid="{00000000-0005-0000-0000-0000ED300000}"/>
    <cellStyle name="40% - Accent3 23 2 6" xfId="15495" xr:uid="{00000000-0005-0000-0000-0000EE300000}"/>
    <cellStyle name="40% - Accent3 23 3" xfId="11186" xr:uid="{00000000-0005-0000-0000-0000EF300000}"/>
    <cellStyle name="40% - Accent3 23 3 2" xfId="22474" xr:uid="{00000000-0005-0000-0000-0000F0300000}"/>
    <cellStyle name="40% - Accent3 23 4" xfId="9192" xr:uid="{00000000-0005-0000-0000-0000F1300000}"/>
    <cellStyle name="40% - Accent3 23 4 2" xfId="20480" xr:uid="{00000000-0005-0000-0000-0000F2300000}"/>
    <cellStyle name="40% - Accent3 23 5" xfId="7198" xr:uid="{00000000-0005-0000-0000-0000F3300000}"/>
    <cellStyle name="40% - Accent3 23 5 2" xfId="18486" xr:uid="{00000000-0005-0000-0000-0000F4300000}"/>
    <cellStyle name="40% - Accent3 23 6" xfId="5204" xr:uid="{00000000-0005-0000-0000-0000F5300000}"/>
    <cellStyle name="40% - Accent3 23 6 2" xfId="16492" xr:uid="{00000000-0005-0000-0000-0000F6300000}"/>
    <cellStyle name="40% - Accent3 23 7" xfId="14498" xr:uid="{00000000-0005-0000-0000-0000F7300000}"/>
    <cellStyle name="40% - Accent3 23 8" xfId="13184" xr:uid="{00000000-0005-0000-0000-0000F8300000}"/>
    <cellStyle name="40% - Accent3 24" xfId="1249" xr:uid="{00000000-0005-0000-0000-0000F9300000}"/>
    <cellStyle name="40% - Accent3 24 2" xfId="4205" xr:uid="{00000000-0005-0000-0000-0000FA300000}"/>
    <cellStyle name="40% - Accent3 24 2 2" xfId="12184" xr:uid="{00000000-0005-0000-0000-0000FB300000}"/>
    <cellStyle name="40% - Accent3 24 2 2 2" xfId="23472" xr:uid="{00000000-0005-0000-0000-0000FC300000}"/>
    <cellStyle name="40% - Accent3 24 2 3" xfId="10190" xr:uid="{00000000-0005-0000-0000-0000FD300000}"/>
    <cellStyle name="40% - Accent3 24 2 3 2" xfId="21478" xr:uid="{00000000-0005-0000-0000-0000FE300000}"/>
    <cellStyle name="40% - Accent3 24 2 4" xfId="8196" xr:uid="{00000000-0005-0000-0000-0000FF300000}"/>
    <cellStyle name="40% - Accent3 24 2 4 2" xfId="19484" xr:uid="{00000000-0005-0000-0000-000000310000}"/>
    <cellStyle name="40% - Accent3 24 2 5" xfId="6202" xr:uid="{00000000-0005-0000-0000-000001310000}"/>
    <cellStyle name="40% - Accent3 24 2 5 2" xfId="17490" xr:uid="{00000000-0005-0000-0000-000002310000}"/>
    <cellStyle name="40% - Accent3 24 2 6" xfId="15496" xr:uid="{00000000-0005-0000-0000-000003310000}"/>
    <cellStyle name="40% - Accent3 24 3" xfId="11187" xr:uid="{00000000-0005-0000-0000-000004310000}"/>
    <cellStyle name="40% - Accent3 24 3 2" xfId="22475" xr:uid="{00000000-0005-0000-0000-000005310000}"/>
    <cellStyle name="40% - Accent3 24 4" xfId="9193" xr:uid="{00000000-0005-0000-0000-000006310000}"/>
    <cellStyle name="40% - Accent3 24 4 2" xfId="20481" xr:uid="{00000000-0005-0000-0000-000007310000}"/>
    <cellStyle name="40% - Accent3 24 5" xfId="7199" xr:uid="{00000000-0005-0000-0000-000008310000}"/>
    <cellStyle name="40% - Accent3 24 5 2" xfId="18487" xr:uid="{00000000-0005-0000-0000-000009310000}"/>
    <cellStyle name="40% - Accent3 24 6" xfId="5205" xr:uid="{00000000-0005-0000-0000-00000A310000}"/>
    <cellStyle name="40% - Accent3 24 6 2" xfId="16493" xr:uid="{00000000-0005-0000-0000-00000B310000}"/>
    <cellStyle name="40% - Accent3 24 7" xfId="14499" xr:uid="{00000000-0005-0000-0000-00000C310000}"/>
    <cellStyle name="40% - Accent3 24 8" xfId="13185" xr:uid="{00000000-0005-0000-0000-00000D310000}"/>
    <cellStyle name="40% - Accent3 25" xfId="1250" xr:uid="{00000000-0005-0000-0000-00000E310000}"/>
    <cellStyle name="40% - Accent3 25 2" xfId="4206" xr:uid="{00000000-0005-0000-0000-00000F310000}"/>
    <cellStyle name="40% - Accent3 25 2 2" xfId="12185" xr:uid="{00000000-0005-0000-0000-000010310000}"/>
    <cellStyle name="40% - Accent3 25 2 2 2" xfId="23473" xr:uid="{00000000-0005-0000-0000-000011310000}"/>
    <cellStyle name="40% - Accent3 25 2 3" xfId="10191" xr:uid="{00000000-0005-0000-0000-000012310000}"/>
    <cellStyle name="40% - Accent3 25 2 3 2" xfId="21479" xr:uid="{00000000-0005-0000-0000-000013310000}"/>
    <cellStyle name="40% - Accent3 25 2 4" xfId="8197" xr:uid="{00000000-0005-0000-0000-000014310000}"/>
    <cellStyle name="40% - Accent3 25 2 4 2" xfId="19485" xr:uid="{00000000-0005-0000-0000-000015310000}"/>
    <cellStyle name="40% - Accent3 25 2 5" xfId="6203" xr:uid="{00000000-0005-0000-0000-000016310000}"/>
    <cellStyle name="40% - Accent3 25 2 5 2" xfId="17491" xr:uid="{00000000-0005-0000-0000-000017310000}"/>
    <cellStyle name="40% - Accent3 25 2 6" xfId="15497" xr:uid="{00000000-0005-0000-0000-000018310000}"/>
    <cellStyle name="40% - Accent3 25 3" xfId="11188" xr:uid="{00000000-0005-0000-0000-000019310000}"/>
    <cellStyle name="40% - Accent3 25 3 2" xfId="22476" xr:uid="{00000000-0005-0000-0000-00001A310000}"/>
    <cellStyle name="40% - Accent3 25 4" xfId="9194" xr:uid="{00000000-0005-0000-0000-00001B310000}"/>
    <cellStyle name="40% - Accent3 25 4 2" xfId="20482" xr:uid="{00000000-0005-0000-0000-00001C310000}"/>
    <cellStyle name="40% - Accent3 25 5" xfId="7200" xr:uid="{00000000-0005-0000-0000-00001D310000}"/>
    <cellStyle name="40% - Accent3 25 5 2" xfId="18488" xr:uid="{00000000-0005-0000-0000-00001E310000}"/>
    <cellStyle name="40% - Accent3 25 6" xfId="5206" xr:uid="{00000000-0005-0000-0000-00001F310000}"/>
    <cellStyle name="40% - Accent3 25 6 2" xfId="16494" xr:uid="{00000000-0005-0000-0000-000020310000}"/>
    <cellStyle name="40% - Accent3 25 7" xfId="14500" xr:uid="{00000000-0005-0000-0000-000021310000}"/>
    <cellStyle name="40% - Accent3 25 8" xfId="13186" xr:uid="{00000000-0005-0000-0000-000022310000}"/>
    <cellStyle name="40% - Accent3 26" xfId="1251" xr:uid="{00000000-0005-0000-0000-000023310000}"/>
    <cellStyle name="40% - Accent3 26 2" xfId="4207" xr:uid="{00000000-0005-0000-0000-000024310000}"/>
    <cellStyle name="40% - Accent3 26 2 2" xfId="12186" xr:uid="{00000000-0005-0000-0000-000025310000}"/>
    <cellStyle name="40% - Accent3 26 2 2 2" xfId="23474" xr:uid="{00000000-0005-0000-0000-000026310000}"/>
    <cellStyle name="40% - Accent3 26 2 3" xfId="10192" xr:uid="{00000000-0005-0000-0000-000027310000}"/>
    <cellStyle name="40% - Accent3 26 2 3 2" xfId="21480" xr:uid="{00000000-0005-0000-0000-000028310000}"/>
    <cellStyle name="40% - Accent3 26 2 4" xfId="8198" xr:uid="{00000000-0005-0000-0000-000029310000}"/>
    <cellStyle name="40% - Accent3 26 2 4 2" xfId="19486" xr:uid="{00000000-0005-0000-0000-00002A310000}"/>
    <cellStyle name="40% - Accent3 26 2 5" xfId="6204" xr:uid="{00000000-0005-0000-0000-00002B310000}"/>
    <cellStyle name="40% - Accent3 26 2 5 2" xfId="17492" xr:uid="{00000000-0005-0000-0000-00002C310000}"/>
    <cellStyle name="40% - Accent3 26 2 6" xfId="15498" xr:uid="{00000000-0005-0000-0000-00002D310000}"/>
    <cellStyle name="40% - Accent3 26 3" xfId="11189" xr:uid="{00000000-0005-0000-0000-00002E310000}"/>
    <cellStyle name="40% - Accent3 26 3 2" xfId="22477" xr:uid="{00000000-0005-0000-0000-00002F310000}"/>
    <cellStyle name="40% - Accent3 26 4" xfId="9195" xr:uid="{00000000-0005-0000-0000-000030310000}"/>
    <cellStyle name="40% - Accent3 26 4 2" xfId="20483" xr:uid="{00000000-0005-0000-0000-000031310000}"/>
    <cellStyle name="40% - Accent3 26 5" xfId="7201" xr:uid="{00000000-0005-0000-0000-000032310000}"/>
    <cellStyle name="40% - Accent3 26 5 2" xfId="18489" xr:uid="{00000000-0005-0000-0000-000033310000}"/>
    <cellStyle name="40% - Accent3 26 6" xfId="5207" xr:uid="{00000000-0005-0000-0000-000034310000}"/>
    <cellStyle name="40% - Accent3 26 6 2" xfId="16495" xr:uid="{00000000-0005-0000-0000-000035310000}"/>
    <cellStyle name="40% - Accent3 26 7" xfId="14501" xr:uid="{00000000-0005-0000-0000-000036310000}"/>
    <cellStyle name="40% - Accent3 26 8" xfId="13187" xr:uid="{00000000-0005-0000-0000-000037310000}"/>
    <cellStyle name="40% - Accent3 27" xfId="1252" xr:uid="{00000000-0005-0000-0000-000038310000}"/>
    <cellStyle name="40% - Accent3 27 2" xfId="4208" xr:uid="{00000000-0005-0000-0000-000039310000}"/>
    <cellStyle name="40% - Accent3 27 2 2" xfId="12187" xr:uid="{00000000-0005-0000-0000-00003A310000}"/>
    <cellStyle name="40% - Accent3 27 2 2 2" xfId="23475" xr:uid="{00000000-0005-0000-0000-00003B310000}"/>
    <cellStyle name="40% - Accent3 27 2 3" xfId="10193" xr:uid="{00000000-0005-0000-0000-00003C310000}"/>
    <cellStyle name="40% - Accent3 27 2 3 2" xfId="21481" xr:uid="{00000000-0005-0000-0000-00003D310000}"/>
    <cellStyle name="40% - Accent3 27 2 4" xfId="8199" xr:uid="{00000000-0005-0000-0000-00003E310000}"/>
    <cellStyle name="40% - Accent3 27 2 4 2" xfId="19487" xr:uid="{00000000-0005-0000-0000-00003F310000}"/>
    <cellStyle name="40% - Accent3 27 2 5" xfId="6205" xr:uid="{00000000-0005-0000-0000-000040310000}"/>
    <cellStyle name="40% - Accent3 27 2 5 2" xfId="17493" xr:uid="{00000000-0005-0000-0000-000041310000}"/>
    <cellStyle name="40% - Accent3 27 2 6" xfId="15499" xr:uid="{00000000-0005-0000-0000-000042310000}"/>
    <cellStyle name="40% - Accent3 27 3" xfId="11190" xr:uid="{00000000-0005-0000-0000-000043310000}"/>
    <cellStyle name="40% - Accent3 27 3 2" xfId="22478" xr:uid="{00000000-0005-0000-0000-000044310000}"/>
    <cellStyle name="40% - Accent3 27 4" xfId="9196" xr:uid="{00000000-0005-0000-0000-000045310000}"/>
    <cellStyle name="40% - Accent3 27 4 2" xfId="20484" xr:uid="{00000000-0005-0000-0000-000046310000}"/>
    <cellStyle name="40% - Accent3 27 5" xfId="7202" xr:uid="{00000000-0005-0000-0000-000047310000}"/>
    <cellStyle name="40% - Accent3 27 5 2" xfId="18490" xr:uid="{00000000-0005-0000-0000-000048310000}"/>
    <cellStyle name="40% - Accent3 27 6" xfId="5208" xr:uid="{00000000-0005-0000-0000-000049310000}"/>
    <cellStyle name="40% - Accent3 27 6 2" xfId="16496" xr:uid="{00000000-0005-0000-0000-00004A310000}"/>
    <cellStyle name="40% - Accent3 27 7" xfId="14502" xr:uid="{00000000-0005-0000-0000-00004B310000}"/>
    <cellStyle name="40% - Accent3 27 8" xfId="13188" xr:uid="{00000000-0005-0000-0000-00004C310000}"/>
    <cellStyle name="40% - Accent3 28" xfId="1253" xr:uid="{00000000-0005-0000-0000-00004D310000}"/>
    <cellStyle name="40% - Accent3 28 2" xfId="4209" xr:uid="{00000000-0005-0000-0000-00004E310000}"/>
    <cellStyle name="40% - Accent3 28 2 2" xfId="12188" xr:uid="{00000000-0005-0000-0000-00004F310000}"/>
    <cellStyle name="40% - Accent3 28 2 2 2" xfId="23476" xr:uid="{00000000-0005-0000-0000-000050310000}"/>
    <cellStyle name="40% - Accent3 28 2 3" xfId="10194" xr:uid="{00000000-0005-0000-0000-000051310000}"/>
    <cellStyle name="40% - Accent3 28 2 3 2" xfId="21482" xr:uid="{00000000-0005-0000-0000-000052310000}"/>
    <cellStyle name="40% - Accent3 28 2 4" xfId="8200" xr:uid="{00000000-0005-0000-0000-000053310000}"/>
    <cellStyle name="40% - Accent3 28 2 4 2" xfId="19488" xr:uid="{00000000-0005-0000-0000-000054310000}"/>
    <cellStyle name="40% - Accent3 28 2 5" xfId="6206" xr:uid="{00000000-0005-0000-0000-000055310000}"/>
    <cellStyle name="40% - Accent3 28 2 5 2" xfId="17494" xr:uid="{00000000-0005-0000-0000-000056310000}"/>
    <cellStyle name="40% - Accent3 28 2 6" xfId="15500" xr:uid="{00000000-0005-0000-0000-000057310000}"/>
    <cellStyle name="40% - Accent3 28 3" xfId="11191" xr:uid="{00000000-0005-0000-0000-000058310000}"/>
    <cellStyle name="40% - Accent3 28 3 2" xfId="22479" xr:uid="{00000000-0005-0000-0000-000059310000}"/>
    <cellStyle name="40% - Accent3 28 4" xfId="9197" xr:uid="{00000000-0005-0000-0000-00005A310000}"/>
    <cellStyle name="40% - Accent3 28 4 2" xfId="20485" xr:uid="{00000000-0005-0000-0000-00005B310000}"/>
    <cellStyle name="40% - Accent3 28 5" xfId="7203" xr:uid="{00000000-0005-0000-0000-00005C310000}"/>
    <cellStyle name="40% - Accent3 28 5 2" xfId="18491" xr:uid="{00000000-0005-0000-0000-00005D310000}"/>
    <cellStyle name="40% - Accent3 28 6" xfId="5209" xr:uid="{00000000-0005-0000-0000-00005E310000}"/>
    <cellStyle name="40% - Accent3 28 6 2" xfId="16497" xr:uid="{00000000-0005-0000-0000-00005F310000}"/>
    <cellStyle name="40% - Accent3 28 7" xfId="14503" xr:uid="{00000000-0005-0000-0000-000060310000}"/>
    <cellStyle name="40% - Accent3 28 8" xfId="13189" xr:uid="{00000000-0005-0000-0000-000061310000}"/>
    <cellStyle name="40% - Accent3 29" xfId="1254" xr:uid="{00000000-0005-0000-0000-000062310000}"/>
    <cellStyle name="40% - Accent3 29 2" xfId="4210" xr:uid="{00000000-0005-0000-0000-000063310000}"/>
    <cellStyle name="40% - Accent3 29 2 2" xfId="12189" xr:uid="{00000000-0005-0000-0000-000064310000}"/>
    <cellStyle name="40% - Accent3 29 2 2 2" xfId="23477" xr:uid="{00000000-0005-0000-0000-000065310000}"/>
    <cellStyle name="40% - Accent3 29 2 3" xfId="10195" xr:uid="{00000000-0005-0000-0000-000066310000}"/>
    <cellStyle name="40% - Accent3 29 2 3 2" xfId="21483" xr:uid="{00000000-0005-0000-0000-000067310000}"/>
    <cellStyle name="40% - Accent3 29 2 4" xfId="8201" xr:uid="{00000000-0005-0000-0000-000068310000}"/>
    <cellStyle name="40% - Accent3 29 2 4 2" xfId="19489" xr:uid="{00000000-0005-0000-0000-000069310000}"/>
    <cellStyle name="40% - Accent3 29 2 5" xfId="6207" xr:uid="{00000000-0005-0000-0000-00006A310000}"/>
    <cellStyle name="40% - Accent3 29 2 5 2" xfId="17495" xr:uid="{00000000-0005-0000-0000-00006B310000}"/>
    <cellStyle name="40% - Accent3 29 2 6" xfId="15501" xr:uid="{00000000-0005-0000-0000-00006C310000}"/>
    <cellStyle name="40% - Accent3 29 3" xfId="11192" xr:uid="{00000000-0005-0000-0000-00006D310000}"/>
    <cellStyle name="40% - Accent3 29 3 2" xfId="22480" xr:uid="{00000000-0005-0000-0000-00006E310000}"/>
    <cellStyle name="40% - Accent3 29 4" xfId="9198" xr:uid="{00000000-0005-0000-0000-00006F310000}"/>
    <cellStyle name="40% - Accent3 29 4 2" xfId="20486" xr:uid="{00000000-0005-0000-0000-000070310000}"/>
    <cellStyle name="40% - Accent3 29 5" xfId="7204" xr:uid="{00000000-0005-0000-0000-000071310000}"/>
    <cellStyle name="40% - Accent3 29 5 2" xfId="18492" xr:uid="{00000000-0005-0000-0000-000072310000}"/>
    <cellStyle name="40% - Accent3 29 6" xfId="5210" xr:uid="{00000000-0005-0000-0000-000073310000}"/>
    <cellStyle name="40% - Accent3 29 6 2" xfId="16498" xr:uid="{00000000-0005-0000-0000-000074310000}"/>
    <cellStyle name="40% - Accent3 29 7" xfId="14504" xr:uid="{00000000-0005-0000-0000-000075310000}"/>
    <cellStyle name="40% - Accent3 29 8" xfId="13190" xr:uid="{00000000-0005-0000-0000-000076310000}"/>
    <cellStyle name="40% - Accent3 3" xfId="1255" xr:uid="{00000000-0005-0000-0000-000077310000}"/>
    <cellStyle name="40% - Accent3 3 10" xfId="24608" xr:uid="{00000000-0005-0000-0000-000078310000}"/>
    <cellStyle name="40% - Accent3 3 11" xfId="24998" xr:uid="{00000000-0005-0000-0000-000079310000}"/>
    <cellStyle name="40% - Accent3 3 2" xfId="4211" xr:uid="{00000000-0005-0000-0000-00007A310000}"/>
    <cellStyle name="40% - Accent3 3 2 2" xfId="12190" xr:uid="{00000000-0005-0000-0000-00007B310000}"/>
    <cellStyle name="40% - Accent3 3 2 2 2" xfId="23478" xr:uid="{00000000-0005-0000-0000-00007C310000}"/>
    <cellStyle name="40% - Accent3 3 2 3" xfId="10196" xr:uid="{00000000-0005-0000-0000-00007D310000}"/>
    <cellStyle name="40% - Accent3 3 2 3 2" xfId="21484" xr:uid="{00000000-0005-0000-0000-00007E310000}"/>
    <cellStyle name="40% - Accent3 3 2 4" xfId="8202" xr:uid="{00000000-0005-0000-0000-00007F310000}"/>
    <cellStyle name="40% - Accent3 3 2 4 2" xfId="19490" xr:uid="{00000000-0005-0000-0000-000080310000}"/>
    <cellStyle name="40% - Accent3 3 2 5" xfId="6208" xr:uid="{00000000-0005-0000-0000-000081310000}"/>
    <cellStyle name="40% - Accent3 3 2 5 2" xfId="17496" xr:uid="{00000000-0005-0000-0000-000082310000}"/>
    <cellStyle name="40% - Accent3 3 2 6" xfId="15502" xr:uid="{00000000-0005-0000-0000-000083310000}"/>
    <cellStyle name="40% - Accent3 3 2 7" xfId="24369" xr:uid="{00000000-0005-0000-0000-000084310000}"/>
    <cellStyle name="40% - Accent3 3 2 8" xfId="24833" xr:uid="{00000000-0005-0000-0000-000085310000}"/>
    <cellStyle name="40% - Accent3 3 2 9" xfId="25200" xr:uid="{00000000-0005-0000-0000-000086310000}"/>
    <cellStyle name="40% - Accent3 3 3" xfId="11193" xr:uid="{00000000-0005-0000-0000-000087310000}"/>
    <cellStyle name="40% - Accent3 3 3 2" xfId="22481" xr:uid="{00000000-0005-0000-0000-000088310000}"/>
    <cellStyle name="40% - Accent3 3 4" xfId="9199" xr:uid="{00000000-0005-0000-0000-000089310000}"/>
    <cellStyle name="40% - Accent3 3 4 2" xfId="20487" xr:uid="{00000000-0005-0000-0000-00008A310000}"/>
    <cellStyle name="40% - Accent3 3 5" xfId="7205" xr:uid="{00000000-0005-0000-0000-00008B310000}"/>
    <cellStyle name="40% - Accent3 3 5 2" xfId="18493" xr:uid="{00000000-0005-0000-0000-00008C310000}"/>
    <cellStyle name="40% - Accent3 3 6" xfId="5211" xr:uid="{00000000-0005-0000-0000-00008D310000}"/>
    <cellStyle name="40% - Accent3 3 6 2" xfId="16499" xr:uid="{00000000-0005-0000-0000-00008E310000}"/>
    <cellStyle name="40% - Accent3 3 7" xfId="14505" xr:uid="{00000000-0005-0000-0000-00008F310000}"/>
    <cellStyle name="40% - Accent3 3 8" xfId="13191" xr:uid="{00000000-0005-0000-0000-000090310000}"/>
    <cellStyle name="40% - Accent3 3 9" xfId="23981" xr:uid="{00000000-0005-0000-0000-000091310000}"/>
    <cellStyle name="40% - Accent3 30" xfId="1256" xr:uid="{00000000-0005-0000-0000-000092310000}"/>
    <cellStyle name="40% - Accent3 30 2" xfId="4212" xr:uid="{00000000-0005-0000-0000-000093310000}"/>
    <cellStyle name="40% - Accent3 30 2 2" xfId="12191" xr:uid="{00000000-0005-0000-0000-000094310000}"/>
    <cellStyle name="40% - Accent3 30 2 2 2" xfId="23479" xr:uid="{00000000-0005-0000-0000-000095310000}"/>
    <cellStyle name="40% - Accent3 30 2 3" xfId="10197" xr:uid="{00000000-0005-0000-0000-000096310000}"/>
    <cellStyle name="40% - Accent3 30 2 3 2" xfId="21485" xr:uid="{00000000-0005-0000-0000-000097310000}"/>
    <cellStyle name="40% - Accent3 30 2 4" xfId="8203" xr:uid="{00000000-0005-0000-0000-000098310000}"/>
    <cellStyle name="40% - Accent3 30 2 4 2" xfId="19491" xr:uid="{00000000-0005-0000-0000-000099310000}"/>
    <cellStyle name="40% - Accent3 30 2 5" xfId="6209" xr:uid="{00000000-0005-0000-0000-00009A310000}"/>
    <cellStyle name="40% - Accent3 30 2 5 2" xfId="17497" xr:uid="{00000000-0005-0000-0000-00009B310000}"/>
    <cellStyle name="40% - Accent3 30 2 6" xfId="15503" xr:uid="{00000000-0005-0000-0000-00009C310000}"/>
    <cellStyle name="40% - Accent3 30 3" xfId="11194" xr:uid="{00000000-0005-0000-0000-00009D310000}"/>
    <cellStyle name="40% - Accent3 30 3 2" xfId="22482" xr:uid="{00000000-0005-0000-0000-00009E310000}"/>
    <cellStyle name="40% - Accent3 30 4" xfId="9200" xr:uid="{00000000-0005-0000-0000-00009F310000}"/>
    <cellStyle name="40% - Accent3 30 4 2" xfId="20488" xr:uid="{00000000-0005-0000-0000-0000A0310000}"/>
    <cellStyle name="40% - Accent3 30 5" xfId="7206" xr:uid="{00000000-0005-0000-0000-0000A1310000}"/>
    <cellStyle name="40% - Accent3 30 5 2" xfId="18494" xr:uid="{00000000-0005-0000-0000-0000A2310000}"/>
    <cellStyle name="40% - Accent3 30 6" xfId="5212" xr:uid="{00000000-0005-0000-0000-0000A3310000}"/>
    <cellStyle name="40% - Accent3 30 6 2" xfId="16500" xr:uid="{00000000-0005-0000-0000-0000A4310000}"/>
    <cellStyle name="40% - Accent3 30 7" xfId="14506" xr:uid="{00000000-0005-0000-0000-0000A5310000}"/>
    <cellStyle name="40% - Accent3 30 8" xfId="13192" xr:uid="{00000000-0005-0000-0000-0000A6310000}"/>
    <cellStyle name="40% - Accent3 31" xfId="1257" xr:uid="{00000000-0005-0000-0000-0000A7310000}"/>
    <cellStyle name="40% - Accent3 31 2" xfId="4213" xr:uid="{00000000-0005-0000-0000-0000A8310000}"/>
    <cellStyle name="40% - Accent3 31 2 2" xfId="12192" xr:uid="{00000000-0005-0000-0000-0000A9310000}"/>
    <cellStyle name="40% - Accent3 31 2 2 2" xfId="23480" xr:uid="{00000000-0005-0000-0000-0000AA310000}"/>
    <cellStyle name="40% - Accent3 31 2 3" xfId="10198" xr:uid="{00000000-0005-0000-0000-0000AB310000}"/>
    <cellStyle name="40% - Accent3 31 2 3 2" xfId="21486" xr:uid="{00000000-0005-0000-0000-0000AC310000}"/>
    <cellStyle name="40% - Accent3 31 2 4" xfId="8204" xr:uid="{00000000-0005-0000-0000-0000AD310000}"/>
    <cellStyle name="40% - Accent3 31 2 4 2" xfId="19492" xr:uid="{00000000-0005-0000-0000-0000AE310000}"/>
    <cellStyle name="40% - Accent3 31 2 5" xfId="6210" xr:uid="{00000000-0005-0000-0000-0000AF310000}"/>
    <cellStyle name="40% - Accent3 31 2 5 2" xfId="17498" xr:uid="{00000000-0005-0000-0000-0000B0310000}"/>
    <cellStyle name="40% - Accent3 31 2 6" xfId="15504" xr:uid="{00000000-0005-0000-0000-0000B1310000}"/>
    <cellStyle name="40% - Accent3 31 3" xfId="11195" xr:uid="{00000000-0005-0000-0000-0000B2310000}"/>
    <cellStyle name="40% - Accent3 31 3 2" xfId="22483" xr:uid="{00000000-0005-0000-0000-0000B3310000}"/>
    <cellStyle name="40% - Accent3 31 4" xfId="9201" xr:uid="{00000000-0005-0000-0000-0000B4310000}"/>
    <cellStyle name="40% - Accent3 31 4 2" xfId="20489" xr:uid="{00000000-0005-0000-0000-0000B5310000}"/>
    <cellStyle name="40% - Accent3 31 5" xfId="7207" xr:uid="{00000000-0005-0000-0000-0000B6310000}"/>
    <cellStyle name="40% - Accent3 31 5 2" xfId="18495" xr:uid="{00000000-0005-0000-0000-0000B7310000}"/>
    <cellStyle name="40% - Accent3 31 6" xfId="5213" xr:uid="{00000000-0005-0000-0000-0000B8310000}"/>
    <cellStyle name="40% - Accent3 31 6 2" xfId="16501" xr:uid="{00000000-0005-0000-0000-0000B9310000}"/>
    <cellStyle name="40% - Accent3 31 7" xfId="14507" xr:uid="{00000000-0005-0000-0000-0000BA310000}"/>
    <cellStyle name="40% - Accent3 31 8" xfId="13193" xr:uid="{00000000-0005-0000-0000-0000BB310000}"/>
    <cellStyle name="40% - Accent3 32" xfId="1258" xr:uid="{00000000-0005-0000-0000-0000BC310000}"/>
    <cellStyle name="40% - Accent3 32 2" xfId="4214" xr:uid="{00000000-0005-0000-0000-0000BD310000}"/>
    <cellStyle name="40% - Accent3 32 2 2" xfId="12193" xr:uid="{00000000-0005-0000-0000-0000BE310000}"/>
    <cellStyle name="40% - Accent3 32 2 2 2" xfId="23481" xr:uid="{00000000-0005-0000-0000-0000BF310000}"/>
    <cellStyle name="40% - Accent3 32 2 3" xfId="10199" xr:uid="{00000000-0005-0000-0000-0000C0310000}"/>
    <cellStyle name="40% - Accent3 32 2 3 2" xfId="21487" xr:uid="{00000000-0005-0000-0000-0000C1310000}"/>
    <cellStyle name="40% - Accent3 32 2 4" xfId="8205" xr:uid="{00000000-0005-0000-0000-0000C2310000}"/>
    <cellStyle name="40% - Accent3 32 2 4 2" xfId="19493" xr:uid="{00000000-0005-0000-0000-0000C3310000}"/>
    <cellStyle name="40% - Accent3 32 2 5" xfId="6211" xr:uid="{00000000-0005-0000-0000-0000C4310000}"/>
    <cellStyle name="40% - Accent3 32 2 5 2" xfId="17499" xr:uid="{00000000-0005-0000-0000-0000C5310000}"/>
    <cellStyle name="40% - Accent3 32 2 6" xfId="15505" xr:uid="{00000000-0005-0000-0000-0000C6310000}"/>
    <cellStyle name="40% - Accent3 32 3" xfId="11196" xr:uid="{00000000-0005-0000-0000-0000C7310000}"/>
    <cellStyle name="40% - Accent3 32 3 2" xfId="22484" xr:uid="{00000000-0005-0000-0000-0000C8310000}"/>
    <cellStyle name="40% - Accent3 32 4" xfId="9202" xr:uid="{00000000-0005-0000-0000-0000C9310000}"/>
    <cellStyle name="40% - Accent3 32 4 2" xfId="20490" xr:uid="{00000000-0005-0000-0000-0000CA310000}"/>
    <cellStyle name="40% - Accent3 32 5" xfId="7208" xr:uid="{00000000-0005-0000-0000-0000CB310000}"/>
    <cellStyle name="40% - Accent3 32 5 2" xfId="18496" xr:uid="{00000000-0005-0000-0000-0000CC310000}"/>
    <cellStyle name="40% - Accent3 32 6" xfId="5214" xr:uid="{00000000-0005-0000-0000-0000CD310000}"/>
    <cellStyle name="40% - Accent3 32 6 2" xfId="16502" xr:uid="{00000000-0005-0000-0000-0000CE310000}"/>
    <cellStyle name="40% - Accent3 32 7" xfId="14508" xr:uid="{00000000-0005-0000-0000-0000CF310000}"/>
    <cellStyle name="40% - Accent3 32 8" xfId="13194" xr:uid="{00000000-0005-0000-0000-0000D0310000}"/>
    <cellStyle name="40% - Accent3 33" xfId="1259" xr:uid="{00000000-0005-0000-0000-0000D1310000}"/>
    <cellStyle name="40% - Accent3 33 2" xfId="4215" xr:uid="{00000000-0005-0000-0000-0000D2310000}"/>
    <cellStyle name="40% - Accent3 33 2 2" xfId="12194" xr:uid="{00000000-0005-0000-0000-0000D3310000}"/>
    <cellStyle name="40% - Accent3 33 2 2 2" xfId="23482" xr:uid="{00000000-0005-0000-0000-0000D4310000}"/>
    <cellStyle name="40% - Accent3 33 2 3" xfId="10200" xr:uid="{00000000-0005-0000-0000-0000D5310000}"/>
    <cellStyle name="40% - Accent3 33 2 3 2" xfId="21488" xr:uid="{00000000-0005-0000-0000-0000D6310000}"/>
    <cellStyle name="40% - Accent3 33 2 4" xfId="8206" xr:uid="{00000000-0005-0000-0000-0000D7310000}"/>
    <cellStyle name="40% - Accent3 33 2 4 2" xfId="19494" xr:uid="{00000000-0005-0000-0000-0000D8310000}"/>
    <cellStyle name="40% - Accent3 33 2 5" xfId="6212" xr:uid="{00000000-0005-0000-0000-0000D9310000}"/>
    <cellStyle name="40% - Accent3 33 2 5 2" xfId="17500" xr:uid="{00000000-0005-0000-0000-0000DA310000}"/>
    <cellStyle name="40% - Accent3 33 2 6" xfId="15506" xr:uid="{00000000-0005-0000-0000-0000DB310000}"/>
    <cellStyle name="40% - Accent3 33 3" xfId="11197" xr:uid="{00000000-0005-0000-0000-0000DC310000}"/>
    <cellStyle name="40% - Accent3 33 3 2" xfId="22485" xr:uid="{00000000-0005-0000-0000-0000DD310000}"/>
    <cellStyle name="40% - Accent3 33 4" xfId="9203" xr:uid="{00000000-0005-0000-0000-0000DE310000}"/>
    <cellStyle name="40% - Accent3 33 4 2" xfId="20491" xr:uid="{00000000-0005-0000-0000-0000DF310000}"/>
    <cellStyle name="40% - Accent3 33 5" xfId="7209" xr:uid="{00000000-0005-0000-0000-0000E0310000}"/>
    <cellStyle name="40% - Accent3 33 5 2" xfId="18497" xr:uid="{00000000-0005-0000-0000-0000E1310000}"/>
    <cellStyle name="40% - Accent3 33 6" xfId="5215" xr:uid="{00000000-0005-0000-0000-0000E2310000}"/>
    <cellStyle name="40% - Accent3 33 6 2" xfId="16503" xr:uid="{00000000-0005-0000-0000-0000E3310000}"/>
    <cellStyle name="40% - Accent3 33 7" xfId="14509" xr:uid="{00000000-0005-0000-0000-0000E4310000}"/>
    <cellStyle name="40% - Accent3 33 8" xfId="13195" xr:uid="{00000000-0005-0000-0000-0000E5310000}"/>
    <cellStyle name="40% - Accent3 34" xfId="1260" xr:uid="{00000000-0005-0000-0000-0000E6310000}"/>
    <cellStyle name="40% - Accent3 34 2" xfId="4216" xr:uid="{00000000-0005-0000-0000-0000E7310000}"/>
    <cellStyle name="40% - Accent3 34 2 2" xfId="12195" xr:uid="{00000000-0005-0000-0000-0000E8310000}"/>
    <cellStyle name="40% - Accent3 34 2 2 2" xfId="23483" xr:uid="{00000000-0005-0000-0000-0000E9310000}"/>
    <cellStyle name="40% - Accent3 34 2 3" xfId="10201" xr:uid="{00000000-0005-0000-0000-0000EA310000}"/>
    <cellStyle name="40% - Accent3 34 2 3 2" xfId="21489" xr:uid="{00000000-0005-0000-0000-0000EB310000}"/>
    <cellStyle name="40% - Accent3 34 2 4" xfId="8207" xr:uid="{00000000-0005-0000-0000-0000EC310000}"/>
    <cellStyle name="40% - Accent3 34 2 4 2" xfId="19495" xr:uid="{00000000-0005-0000-0000-0000ED310000}"/>
    <cellStyle name="40% - Accent3 34 2 5" xfId="6213" xr:uid="{00000000-0005-0000-0000-0000EE310000}"/>
    <cellStyle name="40% - Accent3 34 2 5 2" xfId="17501" xr:uid="{00000000-0005-0000-0000-0000EF310000}"/>
    <cellStyle name="40% - Accent3 34 2 6" xfId="15507" xr:uid="{00000000-0005-0000-0000-0000F0310000}"/>
    <cellStyle name="40% - Accent3 34 3" xfId="11198" xr:uid="{00000000-0005-0000-0000-0000F1310000}"/>
    <cellStyle name="40% - Accent3 34 3 2" xfId="22486" xr:uid="{00000000-0005-0000-0000-0000F2310000}"/>
    <cellStyle name="40% - Accent3 34 4" xfId="9204" xr:uid="{00000000-0005-0000-0000-0000F3310000}"/>
    <cellStyle name="40% - Accent3 34 4 2" xfId="20492" xr:uid="{00000000-0005-0000-0000-0000F4310000}"/>
    <cellStyle name="40% - Accent3 34 5" xfId="7210" xr:uid="{00000000-0005-0000-0000-0000F5310000}"/>
    <cellStyle name="40% - Accent3 34 5 2" xfId="18498" xr:uid="{00000000-0005-0000-0000-0000F6310000}"/>
    <cellStyle name="40% - Accent3 34 6" xfId="5216" xr:uid="{00000000-0005-0000-0000-0000F7310000}"/>
    <cellStyle name="40% - Accent3 34 6 2" xfId="16504" xr:uid="{00000000-0005-0000-0000-0000F8310000}"/>
    <cellStyle name="40% - Accent3 34 7" xfId="14510" xr:uid="{00000000-0005-0000-0000-0000F9310000}"/>
    <cellStyle name="40% - Accent3 34 8" xfId="13196" xr:uid="{00000000-0005-0000-0000-0000FA310000}"/>
    <cellStyle name="40% - Accent3 35" xfId="1261" xr:uid="{00000000-0005-0000-0000-0000FB310000}"/>
    <cellStyle name="40% - Accent3 35 2" xfId="4217" xr:uid="{00000000-0005-0000-0000-0000FC310000}"/>
    <cellStyle name="40% - Accent3 35 2 2" xfId="12196" xr:uid="{00000000-0005-0000-0000-0000FD310000}"/>
    <cellStyle name="40% - Accent3 35 2 2 2" xfId="23484" xr:uid="{00000000-0005-0000-0000-0000FE310000}"/>
    <cellStyle name="40% - Accent3 35 2 3" xfId="10202" xr:uid="{00000000-0005-0000-0000-0000FF310000}"/>
    <cellStyle name="40% - Accent3 35 2 3 2" xfId="21490" xr:uid="{00000000-0005-0000-0000-000000320000}"/>
    <cellStyle name="40% - Accent3 35 2 4" xfId="8208" xr:uid="{00000000-0005-0000-0000-000001320000}"/>
    <cellStyle name="40% - Accent3 35 2 4 2" xfId="19496" xr:uid="{00000000-0005-0000-0000-000002320000}"/>
    <cellStyle name="40% - Accent3 35 2 5" xfId="6214" xr:uid="{00000000-0005-0000-0000-000003320000}"/>
    <cellStyle name="40% - Accent3 35 2 5 2" xfId="17502" xr:uid="{00000000-0005-0000-0000-000004320000}"/>
    <cellStyle name="40% - Accent3 35 2 6" xfId="15508" xr:uid="{00000000-0005-0000-0000-000005320000}"/>
    <cellStyle name="40% - Accent3 35 3" xfId="11199" xr:uid="{00000000-0005-0000-0000-000006320000}"/>
    <cellStyle name="40% - Accent3 35 3 2" xfId="22487" xr:uid="{00000000-0005-0000-0000-000007320000}"/>
    <cellStyle name="40% - Accent3 35 4" xfId="9205" xr:uid="{00000000-0005-0000-0000-000008320000}"/>
    <cellStyle name="40% - Accent3 35 4 2" xfId="20493" xr:uid="{00000000-0005-0000-0000-000009320000}"/>
    <cellStyle name="40% - Accent3 35 5" xfId="7211" xr:uid="{00000000-0005-0000-0000-00000A320000}"/>
    <cellStyle name="40% - Accent3 35 5 2" xfId="18499" xr:uid="{00000000-0005-0000-0000-00000B320000}"/>
    <cellStyle name="40% - Accent3 35 6" xfId="5217" xr:uid="{00000000-0005-0000-0000-00000C320000}"/>
    <cellStyle name="40% - Accent3 35 6 2" xfId="16505" xr:uid="{00000000-0005-0000-0000-00000D320000}"/>
    <cellStyle name="40% - Accent3 35 7" xfId="14511" xr:uid="{00000000-0005-0000-0000-00000E320000}"/>
    <cellStyle name="40% - Accent3 35 8" xfId="13197" xr:uid="{00000000-0005-0000-0000-00000F320000}"/>
    <cellStyle name="40% - Accent3 36" xfId="1262" xr:uid="{00000000-0005-0000-0000-000010320000}"/>
    <cellStyle name="40% - Accent3 36 2" xfId="4218" xr:uid="{00000000-0005-0000-0000-000011320000}"/>
    <cellStyle name="40% - Accent3 36 2 2" xfId="12197" xr:uid="{00000000-0005-0000-0000-000012320000}"/>
    <cellStyle name="40% - Accent3 36 2 2 2" xfId="23485" xr:uid="{00000000-0005-0000-0000-000013320000}"/>
    <cellStyle name="40% - Accent3 36 2 3" xfId="10203" xr:uid="{00000000-0005-0000-0000-000014320000}"/>
    <cellStyle name="40% - Accent3 36 2 3 2" xfId="21491" xr:uid="{00000000-0005-0000-0000-000015320000}"/>
    <cellStyle name="40% - Accent3 36 2 4" xfId="8209" xr:uid="{00000000-0005-0000-0000-000016320000}"/>
    <cellStyle name="40% - Accent3 36 2 4 2" xfId="19497" xr:uid="{00000000-0005-0000-0000-000017320000}"/>
    <cellStyle name="40% - Accent3 36 2 5" xfId="6215" xr:uid="{00000000-0005-0000-0000-000018320000}"/>
    <cellStyle name="40% - Accent3 36 2 5 2" xfId="17503" xr:uid="{00000000-0005-0000-0000-000019320000}"/>
    <cellStyle name="40% - Accent3 36 2 6" xfId="15509" xr:uid="{00000000-0005-0000-0000-00001A320000}"/>
    <cellStyle name="40% - Accent3 36 3" xfId="11200" xr:uid="{00000000-0005-0000-0000-00001B320000}"/>
    <cellStyle name="40% - Accent3 36 3 2" xfId="22488" xr:uid="{00000000-0005-0000-0000-00001C320000}"/>
    <cellStyle name="40% - Accent3 36 4" xfId="9206" xr:uid="{00000000-0005-0000-0000-00001D320000}"/>
    <cellStyle name="40% - Accent3 36 4 2" xfId="20494" xr:uid="{00000000-0005-0000-0000-00001E320000}"/>
    <cellStyle name="40% - Accent3 36 5" xfId="7212" xr:uid="{00000000-0005-0000-0000-00001F320000}"/>
    <cellStyle name="40% - Accent3 36 5 2" xfId="18500" xr:uid="{00000000-0005-0000-0000-000020320000}"/>
    <cellStyle name="40% - Accent3 36 6" xfId="5218" xr:uid="{00000000-0005-0000-0000-000021320000}"/>
    <cellStyle name="40% - Accent3 36 6 2" xfId="16506" xr:uid="{00000000-0005-0000-0000-000022320000}"/>
    <cellStyle name="40% - Accent3 36 7" xfId="14512" xr:uid="{00000000-0005-0000-0000-000023320000}"/>
    <cellStyle name="40% - Accent3 36 8" xfId="13198" xr:uid="{00000000-0005-0000-0000-000024320000}"/>
    <cellStyle name="40% - Accent3 37" xfId="1263" xr:uid="{00000000-0005-0000-0000-000025320000}"/>
    <cellStyle name="40% - Accent3 37 2" xfId="4219" xr:uid="{00000000-0005-0000-0000-000026320000}"/>
    <cellStyle name="40% - Accent3 37 2 2" xfId="12198" xr:uid="{00000000-0005-0000-0000-000027320000}"/>
    <cellStyle name="40% - Accent3 37 2 2 2" xfId="23486" xr:uid="{00000000-0005-0000-0000-000028320000}"/>
    <cellStyle name="40% - Accent3 37 2 3" xfId="10204" xr:uid="{00000000-0005-0000-0000-000029320000}"/>
    <cellStyle name="40% - Accent3 37 2 3 2" xfId="21492" xr:uid="{00000000-0005-0000-0000-00002A320000}"/>
    <cellStyle name="40% - Accent3 37 2 4" xfId="8210" xr:uid="{00000000-0005-0000-0000-00002B320000}"/>
    <cellStyle name="40% - Accent3 37 2 4 2" xfId="19498" xr:uid="{00000000-0005-0000-0000-00002C320000}"/>
    <cellStyle name="40% - Accent3 37 2 5" xfId="6216" xr:uid="{00000000-0005-0000-0000-00002D320000}"/>
    <cellStyle name="40% - Accent3 37 2 5 2" xfId="17504" xr:uid="{00000000-0005-0000-0000-00002E320000}"/>
    <cellStyle name="40% - Accent3 37 2 6" xfId="15510" xr:uid="{00000000-0005-0000-0000-00002F320000}"/>
    <cellStyle name="40% - Accent3 37 3" xfId="11201" xr:uid="{00000000-0005-0000-0000-000030320000}"/>
    <cellStyle name="40% - Accent3 37 3 2" xfId="22489" xr:uid="{00000000-0005-0000-0000-000031320000}"/>
    <cellStyle name="40% - Accent3 37 4" xfId="9207" xr:uid="{00000000-0005-0000-0000-000032320000}"/>
    <cellStyle name="40% - Accent3 37 4 2" xfId="20495" xr:uid="{00000000-0005-0000-0000-000033320000}"/>
    <cellStyle name="40% - Accent3 37 5" xfId="7213" xr:uid="{00000000-0005-0000-0000-000034320000}"/>
    <cellStyle name="40% - Accent3 37 5 2" xfId="18501" xr:uid="{00000000-0005-0000-0000-000035320000}"/>
    <cellStyle name="40% - Accent3 37 6" xfId="5219" xr:uid="{00000000-0005-0000-0000-000036320000}"/>
    <cellStyle name="40% - Accent3 37 6 2" xfId="16507" xr:uid="{00000000-0005-0000-0000-000037320000}"/>
    <cellStyle name="40% - Accent3 37 7" xfId="14513" xr:uid="{00000000-0005-0000-0000-000038320000}"/>
    <cellStyle name="40% - Accent3 37 8" xfId="13199" xr:uid="{00000000-0005-0000-0000-000039320000}"/>
    <cellStyle name="40% - Accent3 38" xfId="1264" xr:uid="{00000000-0005-0000-0000-00003A320000}"/>
    <cellStyle name="40% - Accent3 38 2" xfId="4220" xr:uid="{00000000-0005-0000-0000-00003B320000}"/>
    <cellStyle name="40% - Accent3 38 2 2" xfId="12199" xr:uid="{00000000-0005-0000-0000-00003C320000}"/>
    <cellStyle name="40% - Accent3 38 2 2 2" xfId="23487" xr:uid="{00000000-0005-0000-0000-00003D320000}"/>
    <cellStyle name="40% - Accent3 38 2 3" xfId="10205" xr:uid="{00000000-0005-0000-0000-00003E320000}"/>
    <cellStyle name="40% - Accent3 38 2 3 2" xfId="21493" xr:uid="{00000000-0005-0000-0000-00003F320000}"/>
    <cellStyle name="40% - Accent3 38 2 4" xfId="8211" xr:uid="{00000000-0005-0000-0000-000040320000}"/>
    <cellStyle name="40% - Accent3 38 2 4 2" xfId="19499" xr:uid="{00000000-0005-0000-0000-000041320000}"/>
    <cellStyle name="40% - Accent3 38 2 5" xfId="6217" xr:uid="{00000000-0005-0000-0000-000042320000}"/>
    <cellStyle name="40% - Accent3 38 2 5 2" xfId="17505" xr:uid="{00000000-0005-0000-0000-000043320000}"/>
    <cellStyle name="40% - Accent3 38 2 6" xfId="15511" xr:uid="{00000000-0005-0000-0000-000044320000}"/>
    <cellStyle name="40% - Accent3 38 3" xfId="11202" xr:uid="{00000000-0005-0000-0000-000045320000}"/>
    <cellStyle name="40% - Accent3 38 3 2" xfId="22490" xr:uid="{00000000-0005-0000-0000-000046320000}"/>
    <cellStyle name="40% - Accent3 38 4" xfId="9208" xr:uid="{00000000-0005-0000-0000-000047320000}"/>
    <cellStyle name="40% - Accent3 38 4 2" xfId="20496" xr:uid="{00000000-0005-0000-0000-000048320000}"/>
    <cellStyle name="40% - Accent3 38 5" xfId="7214" xr:uid="{00000000-0005-0000-0000-000049320000}"/>
    <cellStyle name="40% - Accent3 38 5 2" xfId="18502" xr:uid="{00000000-0005-0000-0000-00004A320000}"/>
    <cellStyle name="40% - Accent3 38 6" xfId="5220" xr:uid="{00000000-0005-0000-0000-00004B320000}"/>
    <cellStyle name="40% - Accent3 38 6 2" xfId="16508" xr:uid="{00000000-0005-0000-0000-00004C320000}"/>
    <cellStyle name="40% - Accent3 38 7" xfId="14514" xr:uid="{00000000-0005-0000-0000-00004D320000}"/>
    <cellStyle name="40% - Accent3 38 8" xfId="13200" xr:uid="{00000000-0005-0000-0000-00004E320000}"/>
    <cellStyle name="40% - Accent3 39" xfId="1265" xr:uid="{00000000-0005-0000-0000-00004F320000}"/>
    <cellStyle name="40% - Accent3 39 2" xfId="4221" xr:uid="{00000000-0005-0000-0000-000050320000}"/>
    <cellStyle name="40% - Accent3 39 2 2" xfId="12200" xr:uid="{00000000-0005-0000-0000-000051320000}"/>
    <cellStyle name="40% - Accent3 39 2 2 2" xfId="23488" xr:uid="{00000000-0005-0000-0000-000052320000}"/>
    <cellStyle name="40% - Accent3 39 2 3" xfId="10206" xr:uid="{00000000-0005-0000-0000-000053320000}"/>
    <cellStyle name="40% - Accent3 39 2 3 2" xfId="21494" xr:uid="{00000000-0005-0000-0000-000054320000}"/>
    <cellStyle name="40% - Accent3 39 2 4" xfId="8212" xr:uid="{00000000-0005-0000-0000-000055320000}"/>
    <cellStyle name="40% - Accent3 39 2 4 2" xfId="19500" xr:uid="{00000000-0005-0000-0000-000056320000}"/>
    <cellStyle name="40% - Accent3 39 2 5" xfId="6218" xr:uid="{00000000-0005-0000-0000-000057320000}"/>
    <cellStyle name="40% - Accent3 39 2 5 2" xfId="17506" xr:uid="{00000000-0005-0000-0000-000058320000}"/>
    <cellStyle name="40% - Accent3 39 2 6" xfId="15512" xr:uid="{00000000-0005-0000-0000-000059320000}"/>
    <cellStyle name="40% - Accent3 39 3" xfId="11203" xr:uid="{00000000-0005-0000-0000-00005A320000}"/>
    <cellStyle name="40% - Accent3 39 3 2" xfId="22491" xr:uid="{00000000-0005-0000-0000-00005B320000}"/>
    <cellStyle name="40% - Accent3 39 4" xfId="9209" xr:uid="{00000000-0005-0000-0000-00005C320000}"/>
    <cellStyle name="40% - Accent3 39 4 2" xfId="20497" xr:uid="{00000000-0005-0000-0000-00005D320000}"/>
    <cellStyle name="40% - Accent3 39 5" xfId="7215" xr:uid="{00000000-0005-0000-0000-00005E320000}"/>
    <cellStyle name="40% - Accent3 39 5 2" xfId="18503" xr:uid="{00000000-0005-0000-0000-00005F320000}"/>
    <cellStyle name="40% - Accent3 39 6" xfId="5221" xr:uid="{00000000-0005-0000-0000-000060320000}"/>
    <cellStyle name="40% - Accent3 39 6 2" xfId="16509" xr:uid="{00000000-0005-0000-0000-000061320000}"/>
    <cellStyle name="40% - Accent3 39 7" xfId="14515" xr:uid="{00000000-0005-0000-0000-000062320000}"/>
    <cellStyle name="40% - Accent3 39 8" xfId="13201" xr:uid="{00000000-0005-0000-0000-000063320000}"/>
    <cellStyle name="40% - Accent3 4" xfId="1266" xr:uid="{00000000-0005-0000-0000-000064320000}"/>
    <cellStyle name="40% - Accent3 4 10" xfId="24609" xr:uid="{00000000-0005-0000-0000-000065320000}"/>
    <cellStyle name="40% - Accent3 4 11" xfId="24999" xr:uid="{00000000-0005-0000-0000-000066320000}"/>
    <cellStyle name="40% - Accent3 4 2" xfId="4222" xr:uid="{00000000-0005-0000-0000-000067320000}"/>
    <cellStyle name="40% - Accent3 4 2 2" xfId="12201" xr:uid="{00000000-0005-0000-0000-000068320000}"/>
    <cellStyle name="40% - Accent3 4 2 2 2" xfId="23489" xr:uid="{00000000-0005-0000-0000-000069320000}"/>
    <cellStyle name="40% - Accent3 4 2 3" xfId="10207" xr:uid="{00000000-0005-0000-0000-00006A320000}"/>
    <cellStyle name="40% - Accent3 4 2 3 2" xfId="21495" xr:uid="{00000000-0005-0000-0000-00006B320000}"/>
    <cellStyle name="40% - Accent3 4 2 4" xfId="8213" xr:uid="{00000000-0005-0000-0000-00006C320000}"/>
    <cellStyle name="40% - Accent3 4 2 4 2" xfId="19501" xr:uid="{00000000-0005-0000-0000-00006D320000}"/>
    <cellStyle name="40% - Accent3 4 2 5" xfId="6219" xr:uid="{00000000-0005-0000-0000-00006E320000}"/>
    <cellStyle name="40% - Accent3 4 2 5 2" xfId="17507" xr:uid="{00000000-0005-0000-0000-00006F320000}"/>
    <cellStyle name="40% - Accent3 4 2 6" xfId="15513" xr:uid="{00000000-0005-0000-0000-000070320000}"/>
    <cellStyle name="40% - Accent3 4 2 7" xfId="24370" xr:uid="{00000000-0005-0000-0000-000071320000}"/>
    <cellStyle name="40% - Accent3 4 2 8" xfId="24834" xr:uid="{00000000-0005-0000-0000-000072320000}"/>
    <cellStyle name="40% - Accent3 4 2 9" xfId="25201" xr:uid="{00000000-0005-0000-0000-000073320000}"/>
    <cellStyle name="40% - Accent3 4 3" xfId="11204" xr:uid="{00000000-0005-0000-0000-000074320000}"/>
    <cellStyle name="40% - Accent3 4 3 2" xfId="22492" xr:uid="{00000000-0005-0000-0000-000075320000}"/>
    <cellStyle name="40% - Accent3 4 4" xfId="9210" xr:uid="{00000000-0005-0000-0000-000076320000}"/>
    <cellStyle name="40% - Accent3 4 4 2" xfId="20498" xr:uid="{00000000-0005-0000-0000-000077320000}"/>
    <cellStyle name="40% - Accent3 4 5" xfId="7216" xr:uid="{00000000-0005-0000-0000-000078320000}"/>
    <cellStyle name="40% - Accent3 4 5 2" xfId="18504" xr:uid="{00000000-0005-0000-0000-000079320000}"/>
    <cellStyle name="40% - Accent3 4 6" xfId="5222" xr:uid="{00000000-0005-0000-0000-00007A320000}"/>
    <cellStyle name="40% - Accent3 4 6 2" xfId="16510" xr:uid="{00000000-0005-0000-0000-00007B320000}"/>
    <cellStyle name="40% - Accent3 4 7" xfId="14516" xr:uid="{00000000-0005-0000-0000-00007C320000}"/>
    <cellStyle name="40% - Accent3 4 8" xfId="13202" xr:uid="{00000000-0005-0000-0000-00007D320000}"/>
    <cellStyle name="40% - Accent3 4 9" xfId="23982" xr:uid="{00000000-0005-0000-0000-00007E320000}"/>
    <cellStyle name="40% - Accent3 40" xfId="1267" xr:uid="{00000000-0005-0000-0000-00007F320000}"/>
    <cellStyle name="40% - Accent3 40 2" xfId="4223" xr:uid="{00000000-0005-0000-0000-000080320000}"/>
    <cellStyle name="40% - Accent3 40 2 2" xfId="12202" xr:uid="{00000000-0005-0000-0000-000081320000}"/>
    <cellStyle name="40% - Accent3 40 2 2 2" xfId="23490" xr:uid="{00000000-0005-0000-0000-000082320000}"/>
    <cellStyle name="40% - Accent3 40 2 3" xfId="10208" xr:uid="{00000000-0005-0000-0000-000083320000}"/>
    <cellStyle name="40% - Accent3 40 2 3 2" xfId="21496" xr:uid="{00000000-0005-0000-0000-000084320000}"/>
    <cellStyle name="40% - Accent3 40 2 4" xfId="8214" xr:uid="{00000000-0005-0000-0000-000085320000}"/>
    <cellStyle name="40% - Accent3 40 2 4 2" xfId="19502" xr:uid="{00000000-0005-0000-0000-000086320000}"/>
    <cellStyle name="40% - Accent3 40 2 5" xfId="6220" xr:uid="{00000000-0005-0000-0000-000087320000}"/>
    <cellStyle name="40% - Accent3 40 2 5 2" xfId="17508" xr:uid="{00000000-0005-0000-0000-000088320000}"/>
    <cellStyle name="40% - Accent3 40 2 6" xfId="15514" xr:uid="{00000000-0005-0000-0000-000089320000}"/>
    <cellStyle name="40% - Accent3 40 3" xfId="11205" xr:uid="{00000000-0005-0000-0000-00008A320000}"/>
    <cellStyle name="40% - Accent3 40 3 2" xfId="22493" xr:uid="{00000000-0005-0000-0000-00008B320000}"/>
    <cellStyle name="40% - Accent3 40 4" xfId="9211" xr:uid="{00000000-0005-0000-0000-00008C320000}"/>
    <cellStyle name="40% - Accent3 40 4 2" xfId="20499" xr:uid="{00000000-0005-0000-0000-00008D320000}"/>
    <cellStyle name="40% - Accent3 40 5" xfId="7217" xr:uid="{00000000-0005-0000-0000-00008E320000}"/>
    <cellStyle name="40% - Accent3 40 5 2" xfId="18505" xr:uid="{00000000-0005-0000-0000-00008F320000}"/>
    <cellStyle name="40% - Accent3 40 6" xfId="5223" xr:uid="{00000000-0005-0000-0000-000090320000}"/>
    <cellStyle name="40% - Accent3 40 6 2" xfId="16511" xr:uid="{00000000-0005-0000-0000-000091320000}"/>
    <cellStyle name="40% - Accent3 40 7" xfId="14517" xr:uid="{00000000-0005-0000-0000-000092320000}"/>
    <cellStyle name="40% - Accent3 40 8" xfId="13203" xr:uid="{00000000-0005-0000-0000-000093320000}"/>
    <cellStyle name="40% - Accent3 41" xfId="1268" xr:uid="{00000000-0005-0000-0000-000094320000}"/>
    <cellStyle name="40% - Accent3 41 2" xfId="4224" xr:uid="{00000000-0005-0000-0000-000095320000}"/>
    <cellStyle name="40% - Accent3 41 2 2" xfId="12203" xr:uid="{00000000-0005-0000-0000-000096320000}"/>
    <cellStyle name="40% - Accent3 41 2 2 2" xfId="23491" xr:uid="{00000000-0005-0000-0000-000097320000}"/>
    <cellStyle name="40% - Accent3 41 2 3" xfId="10209" xr:uid="{00000000-0005-0000-0000-000098320000}"/>
    <cellStyle name="40% - Accent3 41 2 3 2" xfId="21497" xr:uid="{00000000-0005-0000-0000-000099320000}"/>
    <cellStyle name="40% - Accent3 41 2 4" xfId="8215" xr:uid="{00000000-0005-0000-0000-00009A320000}"/>
    <cellStyle name="40% - Accent3 41 2 4 2" xfId="19503" xr:uid="{00000000-0005-0000-0000-00009B320000}"/>
    <cellStyle name="40% - Accent3 41 2 5" xfId="6221" xr:uid="{00000000-0005-0000-0000-00009C320000}"/>
    <cellStyle name="40% - Accent3 41 2 5 2" xfId="17509" xr:uid="{00000000-0005-0000-0000-00009D320000}"/>
    <cellStyle name="40% - Accent3 41 2 6" xfId="15515" xr:uid="{00000000-0005-0000-0000-00009E320000}"/>
    <cellStyle name="40% - Accent3 41 3" xfId="11206" xr:uid="{00000000-0005-0000-0000-00009F320000}"/>
    <cellStyle name="40% - Accent3 41 3 2" xfId="22494" xr:uid="{00000000-0005-0000-0000-0000A0320000}"/>
    <cellStyle name="40% - Accent3 41 4" xfId="9212" xr:uid="{00000000-0005-0000-0000-0000A1320000}"/>
    <cellStyle name="40% - Accent3 41 4 2" xfId="20500" xr:uid="{00000000-0005-0000-0000-0000A2320000}"/>
    <cellStyle name="40% - Accent3 41 5" xfId="7218" xr:uid="{00000000-0005-0000-0000-0000A3320000}"/>
    <cellStyle name="40% - Accent3 41 5 2" xfId="18506" xr:uid="{00000000-0005-0000-0000-0000A4320000}"/>
    <cellStyle name="40% - Accent3 41 6" xfId="5224" xr:uid="{00000000-0005-0000-0000-0000A5320000}"/>
    <cellStyle name="40% - Accent3 41 6 2" xfId="16512" xr:uid="{00000000-0005-0000-0000-0000A6320000}"/>
    <cellStyle name="40% - Accent3 41 7" xfId="14518" xr:uid="{00000000-0005-0000-0000-0000A7320000}"/>
    <cellStyle name="40% - Accent3 41 8" xfId="13204" xr:uid="{00000000-0005-0000-0000-0000A8320000}"/>
    <cellStyle name="40% - Accent3 42" xfId="1269" xr:uid="{00000000-0005-0000-0000-0000A9320000}"/>
    <cellStyle name="40% - Accent3 42 2" xfId="4225" xr:uid="{00000000-0005-0000-0000-0000AA320000}"/>
    <cellStyle name="40% - Accent3 42 2 2" xfId="12204" xr:uid="{00000000-0005-0000-0000-0000AB320000}"/>
    <cellStyle name="40% - Accent3 42 2 2 2" xfId="23492" xr:uid="{00000000-0005-0000-0000-0000AC320000}"/>
    <cellStyle name="40% - Accent3 42 2 3" xfId="10210" xr:uid="{00000000-0005-0000-0000-0000AD320000}"/>
    <cellStyle name="40% - Accent3 42 2 3 2" xfId="21498" xr:uid="{00000000-0005-0000-0000-0000AE320000}"/>
    <cellStyle name="40% - Accent3 42 2 4" xfId="8216" xr:uid="{00000000-0005-0000-0000-0000AF320000}"/>
    <cellStyle name="40% - Accent3 42 2 4 2" xfId="19504" xr:uid="{00000000-0005-0000-0000-0000B0320000}"/>
    <cellStyle name="40% - Accent3 42 2 5" xfId="6222" xr:uid="{00000000-0005-0000-0000-0000B1320000}"/>
    <cellStyle name="40% - Accent3 42 2 5 2" xfId="17510" xr:uid="{00000000-0005-0000-0000-0000B2320000}"/>
    <cellStyle name="40% - Accent3 42 2 6" xfId="15516" xr:uid="{00000000-0005-0000-0000-0000B3320000}"/>
    <cellStyle name="40% - Accent3 42 3" xfId="11207" xr:uid="{00000000-0005-0000-0000-0000B4320000}"/>
    <cellStyle name="40% - Accent3 42 3 2" xfId="22495" xr:uid="{00000000-0005-0000-0000-0000B5320000}"/>
    <cellStyle name="40% - Accent3 42 4" xfId="9213" xr:uid="{00000000-0005-0000-0000-0000B6320000}"/>
    <cellStyle name="40% - Accent3 42 4 2" xfId="20501" xr:uid="{00000000-0005-0000-0000-0000B7320000}"/>
    <cellStyle name="40% - Accent3 42 5" xfId="7219" xr:uid="{00000000-0005-0000-0000-0000B8320000}"/>
    <cellStyle name="40% - Accent3 42 5 2" xfId="18507" xr:uid="{00000000-0005-0000-0000-0000B9320000}"/>
    <cellStyle name="40% - Accent3 42 6" xfId="5225" xr:uid="{00000000-0005-0000-0000-0000BA320000}"/>
    <cellStyle name="40% - Accent3 42 6 2" xfId="16513" xr:uid="{00000000-0005-0000-0000-0000BB320000}"/>
    <cellStyle name="40% - Accent3 42 7" xfId="14519" xr:uid="{00000000-0005-0000-0000-0000BC320000}"/>
    <cellStyle name="40% - Accent3 42 8" xfId="13205" xr:uid="{00000000-0005-0000-0000-0000BD320000}"/>
    <cellStyle name="40% - Accent3 43" xfId="1270" xr:uid="{00000000-0005-0000-0000-0000BE320000}"/>
    <cellStyle name="40% - Accent3 43 2" xfId="4226" xr:uid="{00000000-0005-0000-0000-0000BF320000}"/>
    <cellStyle name="40% - Accent3 43 2 2" xfId="12205" xr:uid="{00000000-0005-0000-0000-0000C0320000}"/>
    <cellStyle name="40% - Accent3 43 2 2 2" xfId="23493" xr:uid="{00000000-0005-0000-0000-0000C1320000}"/>
    <cellStyle name="40% - Accent3 43 2 3" xfId="10211" xr:uid="{00000000-0005-0000-0000-0000C2320000}"/>
    <cellStyle name="40% - Accent3 43 2 3 2" xfId="21499" xr:uid="{00000000-0005-0000-0000-0000C3320000}"/>
    <cellStyle name="40% - Accent3 43 2 4" xfId="8217" xr:uid="{00000000-0005-0000-0000-0000C4320000}"/>
    <cellStyle name="40% - Accent3 43 2 4 2" xfId="19505" xr:uid="{00000000-0005-0000-0000-0000C5320000}"/>
    <cellStyle name="40% - Accent3 43 2 5" xfId="6223" xr:uid="{00000000-0005-0000-0000-0000C6320000}"/>
    <cellStyle name="40% - Accent3 43 2 5 2" xfId="17511" xr:uid="{00000000-0005-0000-0000-0000C7320000}"/>
    <cellStyle name="40% - Accent3 43 2 6" xfId="15517" xr:uid="{00000000-0005-0000-0000-0000C8320000}"/>
    <cellStyle name="40% - Accent3 43 3" xfId="11208" xr:uid="{00000000-0005-0000-0000-0000C9320000}"/>
    <cellStyle name="40% - Accent3 43 3 2" xfId="22496" xr:uid="{00000000-0005-0000-0000-0000CA320000}"/>
    <cellStyle name="40% - Accent3 43 4" xfId="9214" xr:uid="{00000000-0005-0000-0000-0000CB320000}"/>
    <cellStyle name="40% - Accent3 43 4 2" xfId="20502" xr:uid="{00000000-0005-0000-0000-0000CC320000}"/>
    <cellStyle name="40% - Accent3 43 5" xfId="7220" xr:uid="{00000000-0005-0000-0000-0000CD320000}"/>
    <cellStyle name="40% - Accent3 43 5 2" xfId="18508" xr:uid="{00000000-0005-0000-0000-0000CE320000}"/>
    <cellStyle name="40% - Accent3 43 6" xfId="5226" xr:uid="{00000000-0005-0000-0000-0000CF320000}"/>
    <cellStyle name="40% - Accent3 43 6 2" xfId="16514" xr:uid="{00000000-0005-0000-0000-0000D0320000}"/>
    <cellStyle name="40% - Accent3 43 7" xfId="14520" xr:uid="{00000000-0005-0000-0000-0000D1320000}"/>
    <cellStyle name="40% - Accent3 43 8" xfId="13206" xr:uid="{00000000-0005-0000-0000-0000D2320000}"/>
    <cellStyle name="40% - Accent3 44" xfId="1271" xr:uid="{00000000-0005-0000-0000-0000D3320000}"/>
    <cellStyle name="40% - Accent3 44 2" xfId="4227" xr:uid="{00000000-0005-0000-0000-0000D4320000}"/>
    <cellStyle name="40% - Accent3 44 2 2" xfId="12206" xr:uid="{00000000-0005-0000-0000-0000D5320000}"/>
    <cellStyle name="40% - Accent3 44 2 2 2" xfId="23494" xr:uid="{00000000-0005-0000-0000-0000D6320000}"/>
    <cellStyle name="40% - Accent3 44 2 3" xfId="10212" xr:uid="{00000000-0005-0000-0000-0000D7320000}"/>
    <cellStyle name="40% - Accent3 44 2 3 2" xfId="21500" xr:uid="{00000000-0005-0000-0000-0000D8320000}"/>
    <cellStyle name="40% - Accent3 44 2 4" xfId="8218" xr:uid="{00000000-0005-0000-0000-0000D9320000}"/>
    <cellStyle name="40% - Accent3 44 2 4 2" xfId="19506" xr:uid="{00000000-0005-0000-0000-0000DA320000}"/>
    <cellStyle name="40% - Accent3 44 2 5" xfId="6224" xr:uid="{00000000-0005-0000-0000-0000DB320000}"/>
    <cellStyle name="40% - Accent3 44 2 5 2" xfId="17512" xr:uid="{00000000-0005-0000-0000-0000DC320000}"/>
    <cellStyle name="40% - Accent3 44 2 6" xfId="15518" xr:uid="{00000000-0005-0000-0000-0000DD320000}"/>
    <cellStyle name="40% - Accent3 44 3" xfId="11209" xr:uid="{00000000-0005-0000-0000-0000DE320000}"/>
    <cellStyle name="40% - Accent3 44 3 2" xfId="22497" xr:uid="{00000000-0005-0000-0000-0000DF320000}"/>
    <cellStyle name="40% - Accent3 44 4" xfId="9215" xr:uid="{00000000-0005-0000-0000-0000E0320000}"/>
    <cellStyle name="40% - Accent3 44 4 2" xfId="20503" xr:uid="{00000000-0005-0000-0000-0000E1320000}"/>
    <cellStyle name="40% - Accent3 44 5" xfId="7221" xr:uid="{00000000-0005-0000-0000-0000E2320000}"/>
    <cellStyle name="40% - Accent3 44 5 2" xfId="18509" xr:uid="{00000000-0005-0000-0000-0000E3320000}"/>
    <cellStyle name="40% - Accent3 44 6" xfId="5227" xr:uid="{00000000-0005-0000-0000-0000E4320000}"/>
    <cellStyle name="40% - Accent3 44 6 2" xfId="16515" xr:uid="{00000000-0005-0000-0000-0000E5320000}"/>
    <cellStyle name="40% - Accent3 44 7" xfId="14521" xr:uid="{00000000-0005-0000-0000-0000E6320000}"/>
    <cellStyle name="40% - Accent3 44 8" xfId="13207" xr:uid="{00000000-0005-0000-0000-0000E7320000}"/>
    <cellStyle name="40% - Accent3 45" xfId="1272" xr:uid="{00000000-0005-0000-0000-0000E8320000}"/>
    <cellStyle name="40% - Accent3 45 2" xfId="4228" xr:uid="{00000000-0005-0000-0000-0000E9320000}"/>
    <cellStyle name="40% - Accent3 45 2 2" xfId="12207" xr:uid="{00000000-0005-0000-0000-0000EA320000}"/>
    <cellStyle name="40% - Accent3 45 2 2 2" xfId="23495" xr:uid="{00000000-0005-0000-0000-0000EB320000}"/>
    <cellStyle name="40% - Accent3 45 2 3" xfId="10213" xr:uid="{00000000-0005-0000-0000-0000EC320000}"/>
    <cellStyle name="40% - Accent3 45 2 3 2" xfId="21501" xr:uid="{00000000-0005-0000-0000-0000ED320000}"/>
    <cellStyle name="40% - Accent3 45 2 4" xfId="8219" xr:uid="{00000000-0005-0000-0000-0000EE320000}"/>
    <cellStyle name="40% - Accent3 45 2 4 2" xfId="19507" xr:uid="{00000000-0005-0000-0000-0000EF320000}"/>
    <cellStyle name="40% - Accent3 45 2 5" xfId="6225" xr:uid="{00000000-0005-0000-0000-0000F0320000}"/>
    <cellStyle name="40% - Accent3 45 2 5 2" xfId="17513" xr:uid="{00000000-0005-0000-0000-0000F1320000}"/>
    <cellStyle name="40% - Accent3 45 2 6" xfId="15519" xr:uid="{00000000-0005-0000-0000-0000F2320000}"/>
    <cellStyle name="40% - Accent3 45 3" xfId="11210" xr:uid="{00000000-0005-0000-0000-0000F3320000}"/>
    <cellStyle name="40% - Accent3 45 3 2" xfId="22498" xr:uid="{00000000-0005-0000-0000-0000F4320000}"/>
    <cellStyle name="40% - Accent3 45 4" xfId="9216" xr:uid="{00000000-0005-0000-0000-0000F5320000}"/>
    <cellStyle name="40% - Accent3 45 4 2" xfId="20504" xr:uid="{00000000-0005-0000-0000-0000F6320000}"/>
    <cellStyle name="40% - Accent3 45 5" xfId="7222" xr:uid="{00000000-0005-0000-0000-0000F7320000}"/>
    <cellStyle name="40% - Accent3 45 5 2" xfId="18510" xr:uid="{00000000-0005-0000-0000-0000F8320000}"/>
    <cellStyle name="40% - Accent3 45 6" xfId="5228" xr:uid="{00000000-0005-0000-0000-0000F9320000}"/>
    <cellStyle name="40% - Accent3 45 6 2" xfId="16516" xr:uid="{00000000-0005-0000-0000-0000FA320000}"/>
    <cellStyle name="40% - Accent3 45 7" xfId="14522" xr:uid="{00000000-0005-0000-0000-0000FB320000}"/>
    <cellStyle name="40% - Accent3 45 8" xfId="13208" xr:uid="{00000000-0005-0000-0000-0000FC320000}"/>
    <cellStyle name="40% - Accent3 46" xfId="1273" xr:uid="{00000000-0005-0000-0000-0000FD320000}"/>
    <cellStyle name="40% - Accent3 46 2" xfId="4229" xr:uid="{00000000-0005-0000-0000-0000FE320000}"/>
    <cellStyle name="40% - Accent3 46 2 2" xfId="12208" xr:uid="{00000000-0005-0000-0000-0000FF320000}"/>
    <cellStyle name="40% - Accent3 46 2 2 2" xfId="23496" xr:uid="{00000000-0005-0000-0000-000000330000}"/>
    <cellStyle name="40% - Accent3 46 2 3" xfId="10214" xr:uid="{00000000-0005-0000-0000-000001330000}"/>
    <cellStyle name="40% - Accent3 46 2 3 2" xfId="21502" xr:uid="{00000000-0005-0000-0000-000002330000}"/>
    <cellStyle name="40% - Accent3 46 2 4" xfId="8220" xr:uid="{00000000-0005-0000-0000-000003330000}"/>
    <cellStyle name="40% - Accent3 46 2 4 2" xfId="19508" xr:uid="{00000000-0005-0000-0000-000004330000}"/>
    <cellStyle name="40% - Accent3 46 2 5" xfId="6226" xr:uid="{00000000-0005-0000-0000-000005330000}"/>
    <cellStyle name="40% - Accent3 46 2 5 2" xfId="17514" xr:uid="{00000000-0005-0000-0000-000006330000}"/>
    <cellStyle name="40% - Accent3 46 2 6" xfId="15520" xr:uid="{00000000-0005-0000-0000-000007330000}"/>
    <cellStyle name="40% - Accent3 46 3" xfId="11211" xr:uid="{00000000-0005-0000-0000-000008330000}"/>
    <cellStyle name="40% - Accent3 46 3 2" xfId="22499" xr:uid="{00000000-0005-0000-0000-000009330000}"/>
    <cellStyle name="40% - Accent3 46 4" xfId="9217" xr:uid="{00000000-0005-0000-0000-00000A330000}"/>
    <cellStyle name="40% - Accent3 46 4 2" xfId="20505" xr:uid="{00000000-0005-0000-0000-00000B330000}"/>
    <cellStyle name="40% - Accent3 46 5" xfId="7223" xr:uid="{00000000-0005-0000-0000-00000C330000}"/>
    <cellStyle name="40% - Accent3 46 5 2" xfId="18511" xr:uid="{00000000-0005-0000-0000-00000D330000}"/>
    <cellStyle name="40% - Accent3 46 6" xfId="5229" xr:uid="{00000000-0005-0000-0000-00000E330000}"/>
    <cellStyle name="40% - Accent3 46 6 2" xfId="16517" xr:uid="{00000000-0005-0000-0000-00000F330000}"/>
    <cellStyle name="40% - Accent3 46 7" xfId="14523" xr:uid="{00000000-0005-0000-0000-000010330000}"/>
    <cellStyle name="40% - Accent3 46 8" xfId="13209" xr:uid="{00000000-0005-0000-0000-000011330000}"/>
    <cellStyle name="40% - Accent3 47" xfId="1274" xr:uid="{00000000-0005-0000-0000-000012330000}"/>
    <cellStyle name="40% - Accent3 47 2" xfId="4230" xr:uid="{00000000-0005-0000-0000-000013330000}"/>
    <cellStyle name="40% - Accent3 47 2 2" xfId="12209" xr:uid="{00000000-0005-0000-0000-000014330000}"/>
    <cellStyle name="40% - Accent3 47 2 2 2" xfId="23497" xr:uid="{00000000-0005-0000-0000-000015330000}"/>
    <cellStyle name="40% - Accent3 47 2 3" xfId="10215" xr:uid="{00000000-0005-0000-0000-000016330000}"/>
    <cellStyle name="40% - Accent3 47 2 3 2" xfId="21503" xr:uid="{00000000-0005-0000-0000-000017330000}"/>
    <cellStyle name="40% - Accent3 47 2 4" xfId="8221" xr:uid="{00000000-0005-0000-0000-000018330000}"/>
    <cellStyle name="40% - Accent3 47 2 4 2" xfId="19509" xr:uid="{00000000-0005-0000-0000-000019330000}"/>
    <cellStyle name="40% - Accent3 47 2 5" xfId="6227" xr:uid="{00000000-0005-0000-0000-00001A330000}"/>
    <cellStyle name="40% - Accent3 47 2 5 2" xfId="17515" xr:uid="{00000000-0005-0000-0000-00001B330000}"/>
    <cellStyle name="40% - Accent3 47 2 6" xfId="15521" xr:uid="{00000000-0005-0000-0000-00001C330000}"/>
    <cellStyle name="40% - Accent3 47 3" xfId="11212" xr:uid="{00000000-0005-0000-0000-00001D330000}"/>
    <cellStyle name="40% - Accent3 47 3 2" xfId="22500" xr:uid="{00000000-0005-0000-0000-00001E330000}"/>
    <cellStyle name="40% - Accent3 47 4" xfId="9218" xr:uid="{00000000-0005-0000-0000-00001F330000}"/>
    <cellStyle name="40% - Accent3 47 4 2" xfId="20506" xr:uid="{00000000-0005-0000-0000-000020330000}"/>
    <cellStyle name="40% - Accent3 47 5" xfId="7224" xr:uid="{00000000-0005-0000-0000-000021330000}"/>
    <cellStyle name="40% - Accent3 47 5 2" xfId="18512" xr:uid="{00000000-0005-0000-0000-000022330000}"/>
    <cellStyle name="40% - Accent3 47 6" xfId="5230" xr:uid="{00000000-0005-0000-0000-000023330000}"/>
    <cellStyle name="40% - Accent3 47 6 2" xfId="16518" xr:uid="{00000000-0005-0000-0000-000024330000}"/>
    <cellStyle name="40% - Accent3 47 7" xfId="14524" xr:uid="{00000000-0005-0000-0000-000025330000}"/>
    <cellStyle name="40% - Accent3 47 8" xfId="13210" xr:uid="{00000000-0005-0000-0000-000026330000}"/>
    <cellStyle name="40% - Accent3 48" xfId="1275" xr:uid="{00000000-0005-0000-0000-000027330000}"/>
    <cellStyle name="40% - Accent3 48 2" xfId="4231" xr:uid="{00000000-0005-0000-0000-000028330000}"/>
    <cellStyle name="40% - Accent3 48 2 2" xfId="12210" xr:uid="{00000000-0005-0000-0000-000029330000}"/>
    <cellStyle name="40% - Accent3 48 2 2 2" xfId="23498" xr:uid="{00000000-0005-0000-0000-00002A330000}"/>
    <cellStyle name="40% - Accent3 48 2 3" xfId="10216" xr:uid="{00000000-0005-0000-0000-00002B330000}"/>
    <cellStyle name="40% - Accent3 48 2 3 2" xfId="21504" xr:uid="{00000000-0005-0000-0000-00002C330000}"/>
    <cellStyle name="40% - Accent3 48 2 4" xfId="8222" xr:uid="{00000000-0005-0000-0000-00002D330000}"/>
    <cellStyle name="40% - Accent3 48 2 4 2" xfId="19510" xr:uid="{00000000-0005-0000-0000-00002E330000}"/>
    <cellStyle name="40% - Accent3 48 2 5" xfId="6228" xr:uid="{00000000-0005-0000-0000-00002F330000}"/>
    <cellStyle name="40% - Accent3 48 2 5 2" xfId="17516" xr:uid="{00000000-0005-0000-0000-000030330000}"/>
    <cellStyle name="40% - Accent3 48 2 6" xfId="15522" xr:uid="{00000000-0005-0000-0000-000031330000}"/>
    <cellStyle name="40% - Accent3 48 3" xfId="11213" xr:uid="{00000000-0005-0000-0000-000032330000}"/>
    <cellStyle name="40% - Accent3 48 3 2" xfId="22501" xr:uid="{00000000-0005-0000-0000-000033330000}"/>
    <cellStyle name="40% - Accent3 48 4" xfId="9219" xr:uid="{00000000-0005-0000-0000-000034330000}"/>
    <cellStyle name="40% - Accent3 48 4 2" xfId="20507" xr:uid="{00000000-0005-0000-0000-000035330000}"/>
    <cellStyle name="40% - Accent3 48 5" xfId="7225" xr:uid="{00000000-0005-0000-0000-000036330000}"/>
    <cellStyle name="40% - Accent3 48 5 2" xfId="18513" xr:uid="{00000000-0005-0000-0000-000037330000}"/>
    <cellStyle name="40% - Accent3 48 6" xfId="5231" xr:uid="{00000000-0005-0000-0000-000038330000}"/>
    <cellStyle name="40% - Accent3 48 6 2" xfId="16519" xr:uid="{00000000-0005-0000-0000-000039330000}"/>
    <cellStyle name="40% - Accent3 48 7" xfId="14525" xr:uid="{00000000-0005-0000-0000-00003A330000}"/>
    <cellStyle name="40% - Accent3 48 8" xfId="13211" xr:uid="{00000000-0005-0000-0000-00003B330000}"/>
    <cellStyle name="40% - Accent3 49" xfId="1276" xr:uid="{00000000-0005-0000-0000-00003C330000}"/>
    <cellStyle name="40% - Accent3 49 2" xfId="4232" xr:uid="{00000000-0005-0000-0000-00003D330000}"/>
    <cellStyle name="40% - Accent3 49 2 2" xfId="12211" xr:uid="{00000000-0005-0000-0000-00003E330000}"/>
    <cellStyle name="40% - Accent3 49 2 2 2" xfId="23499" xr:uid="{00000000-0005-0000-0000-00003F330000}"/>
    <cellStyle name="40% - Accent3 49 2 3" xfId="10217" xr:uid="{00000000-0005-0000-0000-000040330000}"/>
    <cellStyle name="40% - Accent3 49 2 3 2" xfId="21505" xr:uid="{00000000-0005-0000-0000-000041330000}"/>
    <cellStyle name="40% - Accent3 49 2 4" xfId="8223" xr:uid="{00000000-0005-0000-0000-000042330000}"/>
    <cellStyle name="40% - Accent3 49 2 4 2" xfId="19511" xr:uid="{00000000-0005-0000-0000-000043330000}"/>
    <cellStyle name="40% - Accent3 49 2 5" xfId="6229" xr:uid="{00000000-0005-0000-0000-000044330000}"/>
    <cellStyle name="40% - Accent3 49 2 5 2" xfId="17517" xr:uid="{00000000-0005-0000-0000-000045330000}"/>
    <cellStyle name="40% - Accent3 49 2 6" xfId="15523" xr:uid="{00000000-0005-0000-0000-000046330000}"/>
    <cellStyle name="40% - Accent3 49 3" xfId="11214" xr:uid="{00000000-0005-0000-0000-000047330000}"/>
    <cellStyle name="40% - Accent3 49 3 2" xfId="22502" xr:uid="{00000000-0005-0000-0000-000048330000}"/>
    <cellStyle name="40% - Accent3 49 4" xfId="9220" xr:uid="{00000000-0005-0000-0000-000049330000}"/>
    <cellStyle name="40% - Accent3 49 4 2" xfId="20508" xr:uid="{00000000-0005-0000-0000-00004A330000}"/>
    <cellStyle name="40% - Accent3 49 5" xfId="7226" xr:uid="{00000000-0005-0000-0000-00004B330000}"/>
    <cellStyle name="40% - Accent3 49 5 2" xfId="18514" xr:uid="{00000000-0005-0000-0000-00004C330000}"/>
    <cellStyle name="40% - Accent3 49 6" xfId="5232" xr:uid="{00000000-0005-0000-0000-00004D330000}"/>
    <cellStyle name="40% - Accent3 49 6 2" xfId="16520" xr:uid="{00000000-0005-0000-0000-00004E330000}"/>
    <cellStyle name="40% - Accent3 49 7" xfId="14526" xr:uid="{00000000-0005-0000-0000-00004F330000}"/>
    <cellStyle name="40% - Accent3 49 8" xfId="13212" xr:uid="{00000000-0005-0000-0000-000050330000}"/>
    <cellStyle name="40% - Accent3 5" xfId="1277" xr:uid="{00000000-0005-0000-0000-000051330000}"/>
    <cellStyle name="40% - Accent3 5 10" xfId="24610" xr:uid="{00000000-0005-0000-0000-000052330000}"/>
    <cellStyle name="40% - Accent3 5 11" xfId="25000" xr:uid="{00000000-0005-0000-0000-000053330000}"/>
    <cellStyle name="40% - Accent3 5 2" xfId="4233" xr:uid="{00000000-0005-0000-0000-000054330000}"/>
    <cellStyle name="40% - Accent3 5 2 2" xfId="12212" xr:uid="{00000000-0005-0000-0000-000055330000}"/>
    <cellStyle name="40% - Accent3 5 2 2 2" xfId="23500" xr:uid="{00000000-0005-0000-0000-000056330000}"/>
    <cellStyle name="40% - Accent3 5 2 3" xfId="10218" xr:uid="{00000000-0005-0000-0000-000057330000}"/>
    <cellStyle name="40% - Accent3 5 2 3 2" xfId="21506" xr:uid="{00000000-0005-0000-0000-000058330000}"/>
    <cellStyle name="40% - Accent3 5 2 4" xfId="8224" xr:uid="{00000000-0005-0000-0000-000059330000}"/>
    <cellStyle name="40% - Accent3 5 2 4 2" xfId="19512" xr:uid="{00000000-0005-0000-0000-00005A330000}"/>
    <cellStyle name="40% - Accent3 5 2 5" xfId="6230" xr:uid="{00000000-0005-0000-0000-00005B330000}"/>
    <cellStyle name="40% - Accent3 5 2 5 2" xfId="17518" xr:uid="{00000000-0005-0000-0000-00005C330000}"/>
    <cellStyle name="40% - Accent3 5 2 6" xfId="15524" xr:uid="{00000000-0005-0000-0000-00005D330000}"/>
    <cellStyle name="40% - Accent3 5 2 7" xfId="24371" xr:uid="{00000000-0005-0000-0000-00005E330000}"/>
    <cellStyle name="40% - Accent3 5 2 8" xfId="24835" xr:uid="{00000000-0005-0000-0000-00005F330000}"/>
    <cellStyle name="40% - Accent3 5 2 9" xfId="25202" xr:uid="{00000000-0005-0000-0000-000060330000}"/>
    <cellStyle name="40% - Accent3 5 3" xfId="11215" xr:uid="{00000000-0005-0000-0000-000061330000}"/>
    <cellStyle name="40% - Accent3 5 3 2" xfId="22503" xr:uid="{00000000-0005-0000-0000-000062330000}"/>
    <cellStyle name="40% - Accent3 5 4" xfId="9221" xr:uid="{00000000-0005-0000-0000-000063330000}"/>
    <cellStyle name="40% - Accent3 5 4 2" xfId="20509" xr:uid="{00000000-0005-0000-0000-000064330000}"/>
    <cellStyle name="40% - Accent3 5 5" xfId="7227" xr:uid="{00000000-0005-0000-0000-000065330000}"/>
    <cellStyle name="40% - Accent3 5 5 2" xfId="18515" xr:uid="{00000000-0005-0000-0000-000066330000}"/>
    <cellStyle name="40% - Accent3 5 6" xfId="5233" xr:uid="{00000000-0005-0000-0000-000067330000}"/>
    <cellStyle name="40% - Accent3 5 6 2" xfId="16521" xr:uid="{00000000-0005-0000-0000-000068330000}"/>
    <cellStyle name="40% - Accent3 5 7" xfId="14527" xr:uid="{00000000-0005-0000-0000-000069330000}"/>
    <cellStyle name="40% - Accent3 5 8" xfId="13213" xr:uid="{00000000-0005-0000-0000-00006A330000}"/>
    <cellStyle name="40% - Accent3 5 9" xfId="23983" xr:uid="{00000000-0005-0000-0000-00006B330000}"/>
    <cellStyle name="40% - Accent3 50" xfId="1278" xr:uid="{00000000-0005-0000-0000-00006C330000}"/>
    <cellStyle name="40% - Accent3 50 2" xfId="4234" xr:uid="{00000000-0005-0000-0000-00006D330000}"/>
    <cellStyle name="40% - Accent3 50 2 2" xfId="12213" xr:uid="{00000000-0005-0000-0000-00006E330000}"/>
    <cellStyle name="40% - Accent3 50 2 2 2" xfId="23501" xr:uid="{00000000-0005-0000-0000-00006F330000}"/>
    <cellStyle name="40% - Accent3 50 2 3" xfId="10219" xr:uid="{00000000-0005-0000-0000-000070330000}"/>
    <cellStyle name="40% - Accent3 50 2 3 2" xfId="21507" xr:uid="{00000000-0005-0000-0000-000071330000}"/>
    <cellStyle name="40% - Accent3 50 2 4" xfId="8225" xr:uid="{00000000-0005-0000-0000-000072330000}"/>
    <cellStyle name="40% - Accent3 50 2 4 2" xfId="19513" xr:uid="{00000000-0005-0000-0000-000073330000}"/>
    <cellStyle name="40% - Accent3 50 2 5" xfId="6231" xr:uid="{00000000-0005-0000-0000-000074330000}"/>
    <cellStyle name="40% - Accent3 50 2 5 2" xfId="17519" xr:uid="{00000000-0005-0000-0000-000075330000}"/>
    <cellStyle name="40% - Accent3 50 2 6" xfId="15525" xr:uid="{00000000-0005-0000-0000-000076330000}"/>
    <cellStyle name="40% - Accent3 50 3" xfId="11216" xr:uid="{00000000-0005-0000-0000-000077330000}"/>
    <cellStyle name="40% - Accent3 50 3 2" xfId="22504" xr:uid="{00000000-0005-0000-0000-000078330000}"/>
    <cellStyle name="40% - Accent3 50 4" xfId="9222" xr:uid="{00000000-0005-0000-0000-000079330000}"/>
    <cellStyle name="40% - Accent3 50 4 2" xfId="20510" xr:uid="{00000000-0005-0000-0000-00007A330000}"/>
    <cellStyle name="40% - Accent3 50 5" xfId="7228" xr:uid="{00000000-0005-0000-0000-00007B330000}"/>
    <cellStyle name="40% - Accent3 50 5 2" xfId="18516" xr:uid="{00000000-0005-0000-0000-00007C330000}"/>
    <cellStyle name="40% - Accent3 50 6" xfId="5234" xr:uid="{00000000-0005-0000-0000-00007D330000}"/>
    <cellStyle name="40% - Accent3 50 6 2" xfId="16522" xr:uid="{00000000-0005-0000-0000-00007E330000}"/>
    <cellStyle name="40% - Accent3 50 7" xfId="14528" xr:uid="{00000000-0005-0000-0000-00007F330000}"/>
    <cellStyle name="40% - Accent3 50 8" xfId="13214" xr:uid="{00000000-0005-0000-0000-000080330000}"/>
    <cellStyle name="40% - Accent3 51" xfId="1279" xr:uid="{00000000-0005-0000-0000-000081330000}"/>
    <cellStyle name="40% - Accent3 51 2" xfId="4235" xr:uid="{00000000-0005-0000-0000-000082330000}"/>
    <cellStyle name="40% - Accent3 51 2 2" xfId="12214" xr:uid="{00000000-0005-0000-0000-000083330000}"/>
    <cellStyle name="40% - Accent3 51 2 2 2" xfId="23502" xr:uid="{00000000-0005-0000-0000-000084330000}"/>
    <cellStyle name="40% - Accent3 51 2 3" xfId="10220" xr:uid="{00000000-0005-0000-0000-000085330000}"/>
    <cellStyle name="40% - Accent3 51 2 3 2" xfId="21508" xr:uid="{00000000-0005-0000-0000-000086330000}"/>
    <cellStyle name="40% - Accent3 51 2 4" xfId="8226" xr:uid="{00000000-0005-0000-0000-000087330000}"/>
    <cellStyle name="40% - Accent3 51 2 4 2" xfId="19514" xr:uid="{00000000-0005-0000-0000-000088330000}"/>
    <cellStyle name="40% - Accent3 51 2 5" xfId="6232" xr:uid="{00000000-0005-0000-0000-000089330000}"/>
    <cellStyle name="40% - Accent3 51 2 5 2" xfId="17520" xr:uid="{00000000-0005-0000-0000-00008A330000}"/>
    <cellStyle name="40% - Accent3 51 2 6" xfId="15526" xr:uid="{00000000-0005-0000-0000-00008B330000}"/>
    <cellStyle name="40% - Accent3 51 3" xfId="11217" xr:uid="{00000000-0005-0000-0000-00008C330000}"/>
    <cellStyle name="40% - Accent3 51 3 2" xfId="22505" xr:uid="{00000000-0005-0000-0000-00008D330000}"/>
    <cellStyle name="40% - Accent3 51 4" xfId="9223" xr:uid="{00000000-0005-0000-0000-00008E330000}"/>
    <cellStyle name="40% - Accent3 51 4 2" xfId="20511" xr:uid="{00000000-0005-0000-0000-00008F330000}"/>
    <cellStyle name="40% - Accent3 51 5" xfId="7229" xr:uid="{00000000-0005-0000-0000-000090330000}"/>
    <cellStyle name="40% - Accent3 51 5 2" xfId="18517" xr:uid="{00000000-0005-0000-0000-000091330000}"/>
    <cellStyle name="40% - Accent3 51 6" xfId="5235" xr:uid="{00000000-0005-0000-0000-000092330000}"/>
    <cellStyle name="40% - Accent3 51 6 2" xfId="16523" xr:uid="{00000000-0005-0000-0000-000093330000}"/>
    <cellStyle name="40% - Accent3 51 7" xfId="14529" xr:uid="{00000000-0005-0000-0000-000094330000}"/>
    <cellStyle name="40% - Accent3 51 8" xfId="13215" xr:uid="{00000000-0005-0000-0000-000095330000}"/>
    <cellStyle name="40% - Accent3 52" xfId="1280" xr:uid="{00000000-0005-0000-0000-000096330000}"/>
    <cellStyle name="40% - Accent3 52 2" xfId="4236" xr:uid="{00000000-0005-0000-0000-000097330000}"/>
    <cellStyle name="40% - Accent3 52 2 2" xfId="12215" xr:uid="{00000000-0005-0000-0000-000098330000}"/>
    <cellStyle name="40% - Accent3 52 2 2 2" xfId="23503" xr:uid="{00000000-0005-0000-0000-000099330000}"/>
    <cellStyle name="40% - Accent3 52 2 3" xfId="10221" xr:uid="{00000000-0005-0000-0000-00009A330000}"/>
    <cellStyle name="40% - Accent3 52 2 3 2" xfId="21509" xr:uid="{00000000-0005-0000-0000-00009B330000}"/>
    <cellStyle name="40% - Accent3 52 2 4" xfId="8227" xr:uid="{00000000-0005-0000-0000-00009C330000}"/>
    <cellStyle name="40% - Accent3 52 2 4 2" xfId="19515" xr:uid="{00000000-0005-0000-0000-00009D330000}"/>
    <cellStyle name="40% - Accent3 52 2 5" xfId="6233" xr:uid="{00000000-0005-0000-0000-00009E330000}"/>
    <cellStyle name="40% - Accent3 52 2 5 2" xfId="17521" xr:uid="{00000000-0005-0000-0000-00009F330000}"/>
    <cellStyle name="40% - Accent3 52 2 6" xfId="15527" xr:uid="{00000000-0005-0000-0000-0000A0330000}"/>
    <cellStyle name="40% - Accent3 52 3" xfId="11218" xr:uid="{00000000-0005-0000-0000-0000A1330000}"/>
    <cellStyle name="40% - Accent3 52 3 2" xfId="22506" xr:uid="{00000000-0005-0000-0000-0000A2330000}"/>
    <cellStyle name="40% - Accent3 52 4" xfId="9224" xr:uid="{00000000-0005-0000-0000-0000A3330000}"/>
    <cellStyle name="40% - Accent3 52 4 2" xfId="20512" xr:uid="{00000000-0005-0000-0000-0000A4330000}"/>
    <cellStyle name="40% - Accent3 52 5" xfId="7230" xr:uid="{00000000-0005-0000-0000-0000A5330000}"/>
    <cellStyle name="40% - Accent3 52 5 2" xfId="18518" xr:uid="{00000000-0005-0000-0000-0000A6330000}"/>
    <cellStyle name="40% - Accent3 52 6" xfId="5236" xr:uid="{00000000-0005-0000-0000-0000A7330000}"/>
    <cellStyle name="40% - Accent3 52 6 2" xfId="16524" xr:uid="{00000000-0005-0000-0000-0000A8330000}"/>
    <cellStyle name="40% - Accent3 52 7" xfId="14530" xr:uid="{00000000-0005-0000-0000-0000A9330000}"/>
    <cellStyle name="40% - Accent3 52 8" xfId="13216" xr:uid="{00000000-0005-0000-0000-0000AA330000}"/>
    <cellStyle name="40% - Accent3 53" xfId="1281" xr:uid="{00000000-0005-0000-0000-0000AB330000}"/>
    <cellStyle name="40% - Accent3 53 2" xfId="4237" xr:uid="{00000000-0005-0000-0000-0000AC330000}"/>
    <cellStyle name="40% - Accent3 53 2 2" xfId="12216" xr:uid="{00000000-0005-0000-0000-0000AD330000}"/>
    <cellStyle name="40% - Accent3 53 2 2 2" xfId="23504" xr:uid="{00000000-0005-0000-0000-0000AE330000}"/>
    <cellStyle name="40% - Accent3 53 2 3" xfId="10222" xr:uid="{00000000-0005-0000-0000-0000AF330000}"/>
    <cellStyle name="40% - Accent3 53 2 3 2" xfId="21510" xr:uid="{00000000-0005-0000-0000-0000B0330000}"/>
    <cellStyle name="40% - Accent3 53 2 4" xfId="8228" xr:uid="{00000000-0005-0000-0000-0000B1330000}"/>
    <cellStyle name="40% - Accent3 53 2 4 2" xfId="19516" xr:uid="{00000000-0005-0000-0000-0000B2330000}"/>
    <cellStyle name="40% - Accent3 53 2 5" xfId="6234" xr:uid="{00000000-0005-0000-0000-0000B3330000}"/>
    <cellStyle name="40% - Accent3 53 2 5 2" xfId="17522" xr:uid="{00000000-0005-0000-0000-0000B4330000}"/>
    <cellStyle name="40% - Accent3 53 2 6" xfId="15528" xr:uid="{00000000-0005-0000-0000-0000B5330000}"/>
    <cellStyle name="40% - Accent3 53 3" xfId="11219" xr:uid="{00000000-0005-0000-0000-0000B6330000}"/>
    <cellStyle name="40% - Accent3 53 3 2" xfId="22507" xr:uid="{00000000-0005-0000-0000-0000B7330000}"/>
    <cellStyle name="40% - Accent3 53 4" xfId="9225" xr:uid="{00000000-0005-0000-0000-0000B8330000}"/>
    <cellStyle name="40% - Accent3 53 4 2" xfId="20513" xr:uid="{00000000-0005-0000-0000-0000B9330000}"/>
    <cellStyle name="40% - Accent3 53 5" xfId="7231" xr:uid="{00000000-0005-0000-0000-0000BA330000}"/>
    <cellStyle name="40% - Accent3 53 5 2" xfId="18519" xr:uid="{00000000-0005-0000-0000-0000BB330000}"/>
    <cellStyle name="40% - Accent3 53 6" xfId="5237" xr:uid="{00000000-0005-0000-0000-0000BC330000}"/>
    <cellStyle name="40% - Accent3 53 6 2" xfId="16525" xr:uid="{00000000-0005-0000-0000-0000BD330000}"/>
    <cellStyle name="40% - Accent3 53 7" xfId="14531" xr:uid="{00000000-0005-0000-0000-0000BE330000}"/>
    <cellStyle name="40% - Accent3 53 8" xfId="13217" xr:uid="{00000000-0005-0000-0000-0000BF330000}"/>
    <cellStyle name="40% - Accent3 54" xfId="1282" xr:uid="{00000000-0005-0000-0000-0000C0330000}"/>
    <cellStyle name="40% - Accent3 54 2" xfId="4238" xr:uid="{00000000-0005-0000-0000-0000C1330000}"/>
    <cellStyle name="40% - Accent3 54 2 2" xfId="12217" xr:uid="{00000000-0005-0000-0000-0000C2330000}"/>
    <cellStyle name="40% - Accent3 54 2 2 2" xfId="23505" xr:uid="{00000000-0005-0000-0000-0000C3330000}"/>
    <cellStyle name="40% - Accent3 54 2 3" xfId="10223" xr:uid="{00000000-0005-0000-0000-0000C4330000}"/>
    <cellStyle name="40% - Accent3 54 2 3 2" xfId="21511" xr:uid="{00000000-0005-0000-0000-0000C5330000}"/>
    <cellStyle name="40% - Accent3 54 2 4" xfId="8229" xr:uid="{00000000-0005-0000-0000-0000C6330000}"/>
    <cellStyle name="40% - Accent3 54 2 4 2" xfId="19517" xr:uid="{00000000-0005-0000-0000-0000C7330000}"/>
    <cellStyle name="40% - Accent3 54 2 5" xfId="6235" xr:uid="{00000000-0005-0000-0000-0000C8330000}"/>
    <cellStyle name="40% - Accent3 54 2 5 2" xfId="17523" xr:uid="{00000000-0005-0000-0000-0000C9330000}"/>
    <cellStyle name="40% - Accent3 54 2 6" xfId="15529" xr:uid="{00000000-0005-0000-0000-0000CA330000}"/>
    <cellStyle name="40% - Accent3 54 3" xfId="11220" xr:uid="{00000000-0005-0000-0000-0000CB330000}"/>
    <cellStyle name="40% - Accent3 54 3 2" xfId="22508" xr:uid="{00000000-0005-0000-0000-0000CC330000}"/>
    <cellStyle name="40% - Accent3 54 4" xfId="9226" xr:uid="{00000000-0005-0000-0000-0000CD330000}"/>
    <cellStyle name="40% - Accent3 54 4 2" xfId="20514" xr:uid="{00000000-0005-0000-0000-0000CE330000}"/>
    <cellStyle name="40% - Accent3 54 5" xfId="7232" xr:uid="{00000000-0005-0000-0000-0000CF330000}"/>
    <cellStyle name="40% - Accent3 54 5 2" xfId="18520" xr:uid="{00000000-0005-0000-0000-0000D0330000}"/>
    <cellStyle name="40% - Accent3 54 6" xfId="5238" xr:uid="{00000000-0005-0000-0000-0000D1330000}"/>
    <cellStyle name="40% - Accent3 54 6 2" xfId="16526" xr:uid="{00000000-0005-0000-0000-0000D2330000}"/>
    <cellStyle name="40% - Accent3 54 7" xfId="14532" xr:uid="{00000000-0005-0000-0000-0000D3330000}"/>
    <cellStyle name="40% - Accent3 54 8" xfId="13218" xr:uid="{00000000-0005-0000-0000-0000D4330000}"/>
    <cellStyle name="40% - Accent3 55" xfId="1283" xr:uid="{00000000-0005-0000-0000-0000D5330000}"/>
    <cellStyle name="40% - Accent3 55 2" xfId="4239" xr:uid="{00000000-0005-0000-0000-0000D6330000}"/>
    <cellStyle name="40% - Accent3 55 2 2" xfId="12218" xr:uid="{00000000-0005-0000-0000-0000D7330000}"/>
    <cellStyle name="40% - Accent3 55 2 2 2" xfId="23506" xr:uid="{00000000-0005-0000-0000-0000D8330000}"/>
    <cellStyle name="40% - Accent3 55 2 3" xfId="10224" xr:uid="{00000000-0005-0000-0000-0000D9330000}"/>
    <cellStyle name="40% - Accent3 55 2 3 2" xfId="21512" xr:uid="{00000000-0005-0000-0000-0000DA330000}"/>
    <cellStyle name="40% - Accent3 55 2 4" xfId="8230" xr:uid="{00000000-0005-0000-0000-0000DB330000}"/>
    <cellStyle name="40% - Accent3 55 2 4 2" xfId="19518" xr:uid="{00000000-0005-0000-0000-0000DC330000}"/>
    <cellStyle name="40% - Accent3 55 2 5" xfId="6236" xr:uid="{00000000-0005-0000-0000-0000DD330000}"/>
    <cellStyle name="40% - Accent3 55 2 5 2" xfId="17524" xr:uid="{00000000-0005-0000-0000-0000DE330000}"/>
    <cellStyle name="40% - Accent3 55 2 6" xfId="15530" xr:uid="{00000000-0005-0000-0000-0000DF330000}"/>
    <cellStyle name="40% - Accent3 55 3" xfId="11221" xr:uid="{00000000-0005-0000-0000-0000E0330000}"/>
    <cellStyle name="40% - Accent3 55 3 2" xfId="22509" xr:uid="{00000000-0005-0000-0000-0000E1330000}"/>
    <cellStyle name="40% - Accent3 55 4" xfId="9227" xr:uid="{00000000-0005-0000-0000-0000E2330000}"/>
    <cellStyle name="40% - Accent3 55 4 2" xfId="20515" xr:uid="{00000000-0005-0000-0000-0000E3330000}"/>
    <cellStyle name="40% - Accent3 55 5" xfId="7233" xr:uid="{00000000-0005-0000-0000-0000E4330000}"/>
    <cellStyle name="40% - Accent3 55 5 2" xfId="18521" xr:uid="{00000000-0005-0000-0000-0000E5330000}"/>
    <cellStyle name="40% - Accent3 55 6" xfId="5239" xr:uid="{00000000-0005-0000-0000-0000E6330000}"/>
    <cellStyle name="40% - Accent3 55 6 2" xfId="16527" xr:uid="{00000000-0005-0000-0000-0000E7330000}"/>
    <cellStyle name="40% - Accent3 55 7" xfId="14533" xr:uid="{00000000-0005-0000-0000-0000E8330000}"/>
    <cellStyle name="40% - Accent3 55 8" xfId="13219" xr:uid="{00000000-0005-0000-0000-0000E9330000}"/>
    <cellStyle name="40% - Accent3 56" xfId="1284" xr:uid="{00000000-0005-0000-0000-0000EA330000}"/>
    <cellStyle name="40% - Accent3 56 2" xfId="4240" xr:uid="{00000000-0005-0000-0000-0000EB330000}"/>
    <cellStyle name="40% - Accent3 56 2 2" xfId="12219" xr:uid="{00000000-0005-0000-0000-0000EC330000}"/>
    <cellStyle name="40% - Accent3 56 2 2 2" xfId="23507" xr:uid="{00000000-0005-0000-0000-0000ED330000}"/>
    <cellStyle name="40% - Accent3 56 2 3" xfId="10225" xr:uid="{00000000-0005-0000-0000-0000EE330000}"/>
    <cellStyle name="40% - Accent3 56 2 3 2" xfId="21513" xr:uid="{00000000-0005-0000-0000-0000EF330000}"/>
    <cellStyle name="40% - Accent3 56 2 4" xfId="8231" xr:uid="{00000000-0005-0000-0000-0000F0330000}"/>
    <cellStyle name="40% - Accent3 56 2 4 2" xfId="19519" xr:uid="{00000000-0005-0000-0000-0000F1330000}"/>
    <cellStyle name="40% - Accent3 56 2 5" xfId="6237" xr:uid="{00000000-0005-0000-0000-0000F2330000}"/>
    <cellStyle name="40% - Accent3 56 2 5 2" xfId="17525" xr:uid="{00000000-0005-0000-0000-0000F3330000}"/>
    <cellStyle name="40% - Accent3 56 2 6" xfId="15531" xr:uid="{00000000-0005-0000-0000-0000F4330000}"/>
    <cellStyle name="40% - Accent3 56 3" xfId="11222" xr:uid="{00000000-0005-0000-0000-0000F5330000}"/>
    <cellStyle name="40% - Accent3 56 3 2" xfId="22510" xr:uid="{00000000-0005-0000-0000-0000F6330000}"/>
    <cellStyle name="40% - Accent3 56 4" xfId="9228" xr:uid="{00000000-0005-0000-0000-0000F7330000}"/>
    <cellStyle name="40% - Accent3 56 4 2" xfId="20516" xr:uid="{00000000-0005-0000-0000-0000F8330000}"/>
    <cellStyle name="40% - Accent3 56 5" xfId="7234" xr:uid="{00000000-0005-0000-0000-0000F9330000}"/>
    <cellStyle name="40% - Accent3 56 5 2" xfId="18522" xr:uid="{00000000-0005-0000-0000-0000FA330000}"/>
    <cellStyle name="40% - Accent3 56 6" xfId="5240" xr:uid="{00000000-0005-0000-0000-0000FB330000}"/>
    <cellStyle name="40% - Accent3 56 6 2" xfId="16528" xr:uid="{00000000-0005-0000-0000-0000FC330000}"/>
    <cellStyle name="40% - Accent3 56 7" xfId="14534" xr:uid="{00000000-0005-0000-0000-0000FD330000}"/>
    <cellStyle name="40% - Accent3 56 8" xfId="13220" xr:uid="{00000000-0005-0000-0000-0000FE330000}"/>
    <cellStyle name="40% - Accent3 57" xfId="1285" xr:uid="{00000000-0005-0000-0000-0000FF330000}"/>
    <cellStyle name="40% - Accent3 57 2" xfId="4241" xr:uid="{00000000-0005-0000-0000-000000340000}"/>
    <cellStyle name="40% - Accent3 57 2 2" xfId="12220" xr:uid="{00000000-0005-0000-0000-000001340000}"/>
    <cellStyle name="40% - Accent3 57 2 2 2" xfId="23508" xr:uid="{00000000-0005-0000-0000-000002340000}"/>
    <cellStyle name="40% - Accent3 57 2 3" xfId="10226" xr:uid="{00000000-0005-0000-0000-000003340000}"/>
    <cellStyle name="40% - Accent3 57 2 3 2" xfId="21514" xr:uid="{00000000-0005-0000-0000-000004340000}"/>
    <cellStyle name="40% - Accent3 57 2 4" xfId="8232" xr:uid="{00000000-0005-0000-0000-000005340000}"/>
    <cellStyle name="40% - Accent3 57 2 4 2" xfId="19520" xr:uid="{00000000-0005-0000-0000-000006340000}"/>
    <cellStyle name="40% - Accent3 57 2 5" xfId="6238" xr:uid="{00000000-0005-0000-0000-000007340000}"/>
    <cellStyle name="40% - Accent3 57 2 5 2" xfId="17526" xr:uid="{00000000-0005-0000-0000-000008340000}"/>
    <cellStyle name="40% - Accent3 57 2 6" xfId="15532" xr:uid="{00000000-0005-0000-0000-000009340000}"/>
    <cellStyle name="40% - Accent3 57 3" xfId="11223" xr:uid="{00000000-0005-0000-0000-00000A340000}"/>
    <cellStyle name="40% - Accent3 57 3 2" xfId="22511" xr:uid="{00000000-0005-0000-0000-00000B340000}"/>
    <cellStyle name="40% - Accent3 57 4" xfId="9229" xr:uid="{00000000-0005-0000-0000-00000C340000}"/>
    <cellStyle name="40% - Accent3 57 4 2" xfId="20517" xr:uid="{00000000-0005-0000-0000-00000D340000}"/>
    <cellStyle name="40% - Accent3 57 5" xfId="7235" xr:uid="{00000000-0005-0000-0000-00000E340000}"/>
    <cellStyle name="40% - Accent3 57 5 2" xfId="18523" xr:uid="{00000000-0005-0000-0000-00000F340000}"/>
    <cellStyle name="40% - Accent3 57 6" xfId="5241" xr:uid="{00000000-0005-0000-0000-000010340000}"/>
    <cellStyle name="40% - Accent3 57 6 2" xfId="16529" xr:uid="{00000000-0005-0000-0000-000011340000}"/>
    <cellStyle name="40% - Accent3 57 7" xfId="14535" xr:uid="{00000000-0005-0000-0000-000012340000}"/>
    <cellStyle name="40% - Accent3 57 8" xfId="13221" xr:uid="{00000000-0005-0000-0000-000013340000}"/>
    <cellStyle name="40% - Accent3 58" xfId="1286" xr:uid="{00000000-0005-0000-0000-000014340000}"/>
    <cellStyle name="40% - Accent3 58 2" xfId="4242" xr:uid="{00000000-0005-0000-0000-000015340000}"/>
    <cellStyle name="40% - Accent3 58 2 2" xfId="12221" xr:uid="{00000000-0005-0000-0000-000016340000}"/>
    <cellStyle name="40% - Accent3 58 2 2 2" xfId="23509" xr:uid="{00000000-0005-0000-0000-000017340000}"/>
    <cellStyle name="40% - Accent3 58 2 3" xfId="10227" xr:uid="{00000000-0005-0000-0000-000018340000}"/>
    <cellStyle name="40% - Accent3 58 2 3 2" xfId="21515" xr:uid="{00000000-0005-0000-0000-000019340000}"/>
    <cellStyle name="40% - Accent3 58 2 4" xfId="8233" xr:uid="{00000000-0005-0000-0000-00001A340000}"/>
    <cellStyle name="40% - Accent3 58 2 4 2" xfId="19521" xr:uid="{00000000-0005-0000-0000-00001B340000}"/>
    <cellStyle name="40% - Accent3 58 2 5" xfId="6239" xr:uid="{00000000-0005-0000-0000-00001C340000}"/>
    <cellStyle name="40% - Accent3 58 2 5 2" xfId="17527" xr:uid="{00000000-0005-0000-0000-00001D340000}"/>
    <cellStyle name="40% - Accent3 58 2 6" xfId="15533" xr:uid="{00000000-0005-0000-0000-00001E340000}"/>
    <cellStyle name="40% - Accent3 58 3" xfId="11224" xr:uid="{00000000-0005-0000-0000-00001F340000}"/>
    <cellStyle name="40% - Accent3 58 3 2" xfId="22512" xr:uid="{00000000-0005-0000-0000-000020340000}"/>
    <cellStyle name="40% - Accent3 58 4" xfId="9230" xr:uid="{00000000-0005-0000-0000-000021340000}"/>
    <cellStyle name="40% - Accent3 58 4 2" xfId="20518" xr:uid="{00000000-0005-0000-0000-000022340000}"/>
    <cellStyle name="40% - Accent3 58 5" xfId="7236" xr:uid="{00000000-0005-0000-0000-000023340000}"/>
    <cellStyle name="40% - Accent3 58 5 2" xfId="18524" xr:uid="{00000000-0005-0000-0000-000024340000}"/>
    <cellStyle name="40% - Accent3 58 6" xfId="5242" xr:uid="{00000000-0005-0000-0000-000025340000}"/>
    <cellStyle name="40% - Accent3 58 6 2" xfId="16530" xr:uid="{00000000-0005-0000-0000-000026340000}"/>
    <cellStyle name="40% - Accent3 58 7" xfId="14536" xr:uid="{00000000-0005-0000-0000-000027340000}"/>
    <cellStyle name="40% - Accent3 58 8" xfId="13222" xr:uid="{00000000-0005-0000-0000-000028340000}"/>
    <cellStyle name="40% - Accent3 59" xfId="1287" xr:uid="{00000000-0005-0000-0000-000029340000}"/>
    <cellStyle name="40% - Accent3 59 2" xfId="4243" xr:uid="{00000000-0005-0000-0000-00002A340000}"/>
    <cellStyle name="40% - Accent3 59 2 2" xfId="12222" xr:uid="{00000000-0005-0000-0000-00002B340000}"/>
    <cellStyle name="40% - Accent3 59 2 2 2" xfId="23510" xr:uid="{00000000-0005-0000-0000-00002C340000}"/>
    <cellStyle name="40% - Accent3 59 2 3" xfId="10228" xr:uid="{00000000-0005-0000-0000-00002D340000}"/>
    <cellStyle name="40% - Accent3 59 2 3 2" xfId="21516" xr:uid="{00000000-0005-0000-0000-00002E340000}"/>
    <cellStyle name="40% - Accent3 59 2 4" xfId="8234" xr:uid="{00000000-0005-0000-0000-00002F340000}"/>
    <cellStyle name="40% - Accent3 59 2 4 2" xfId="19522" xr:uid="{00000000-0005-0000-0000-000030340000}"/>
    <cellStyle name="40% - Accent3 59 2 5" xfId="6240" xr:uid="{00000000-0005-0000-0000-000031340000}"/>
    <cellStyle name="40% - Accent3 59 2 5 2" xfId="17528" xr:uid="{00000000-0005-0000-0000-000032340000}"/>
    <cellStyle name="40% - Accent3 59 2 6" xfId="15534" xr:uid="{00000000-0005-0000-0000-000033340000}"/>
    <cellStyle name="40% - Accent3 59 3" xfId="11225" xr:uid="{00000000-0005-0000-0000-000034340000}"/>
    <cellStyle name="40% - Accent3 59 3 2" xfId="22513" xr:uid="{00000000-0005-0000-0000-000035340000}"/>
    <cellStyle name="40% - Accent3 59 4" xfId="9231" xr:uid="{00000000-0005-0000-0000-000036340000}"/>
    <cellStyle name="40% - Accent3 59 4 2" xfId="20519" xr:uid="{00000000-0005-0000-0000-000037340000}"/>
    <cellStyle name="40% - Accent3 59 5" xfId="7237" xr:uid="{00000000-0005-0000-0000-000038340000}"/>
    <cellStyle name="40% - Accent3 59 5 2" xfId="18525" xr:uid="{00000000-0005-0000-0000-000039340000}"/>
    <cellStyle name="40% - Accent3 59 6" xfId="5243" xr:uid="{00000000-0005-0000-0000-00003A340000}"/>
    <cellStyle name="40% - Accent3 59 6 2" xfId="16531" xr:uid="{00000000-0005-0000-0000-00003B340000}"/>
    <cellStyle name="40% - Accent3 59 7" xfId="14537" xr:uid="{00000000-0005-0000-0000-00003C340000}"/>
    <cellStyle name="40% - Accent3 59 8" xfId="13223" xr:uid="{00000000-0005-0000-0000-00003D340000}"/>
    <cellStyle name="40% - Accent3 6" xfId="1288" xr:uid="{00000000-0005-0000-0000-00003E340000}"/>
    <cellStyle name="40% - Accent3 6 10" xfId="24611" xr:uid="{00000000-0005-0000-0000-00003F340000}"/>
    <cellStyle name="40% - Accent3 6 11" xfId="25001" xr:uid="{00000000-0005-0000-0000-000040340000}"/>
    <cellStyle name="40% - Accent3 6 2" xfId="4244" xr:uid="{00000000-0005-0000-0000-000041340000}"/>
    <cellStyle name="40% - Accent3 6 2 2" xfId="12223" xr:uid="{00000000-0005-0000-0000-000042340000}"/>
    <cellStyle name="40% - Accent3 6 2 2 2" xfId="23511" xr:uid="{00000000-0005-0000-0000-000043340000}"/>
    <cellStyle name="40% - Accent3 6 2 3" xfId="10229" xr:uid="{00000000-0005-0000-0000-000044340000}"/>
    <cellStyle name="40% - Accent3 6 2 3 2" xfId="21517" xr:uid="{00000000-0005-0000-0000-000045340000}"/>
    <cellStyle name="40% - Accent3 6 2 4" xfId="8235" xr:uid="{00000000-0005-0000-0000-000046340000}"/>
    <cellStyle name="40% - Accent3 6 2 4 2" xfId="19523" xr:uid="{00000000-0005-0000-0000-000047340000}"/>
    <cellStyle name="40% - Accent3 6 2 5" xfId="6241" xr:uid="{00000000-0005-0000-0000-000048340000}"/>
    <cellStyle name="40% - Accent3 6 2 5 2" xfId="17529" xr:uid="{00000000-0005-0000-0000-000049340000}"/>
    <cellStyle name="40% - Accent3 6 2 6" xfId="15535" xr:uid="{00000000-0005-0000-0000-00004A340000}"/>
    <cellStyle name="40% - Accent3 6 2 7" xfId="24372" xr:uid="{00000000-0005-0000-0000-00004B340000}"/>
    <cellStyle name="40% - Accent3 6 2 8" xfId="24836" xr:uid="{00000000-0005-0000-0000-00004C340000}"/>
    <cellStyle name="40% - Accent3 6 2 9" xfId="25203" xr:uid="{00000000-0005-0000-0000-00004D340000}"/>
    <cellStyle name="40% - Accent3 6 3" xfId="11226" xr:uid="{00000000-0005-0000-0000-00004E340000}"/>
    <cellStyle name="40% - Accent3 6 3 2" xfId="22514" xr:uid="{00000000-0005-0000-0000-00004F340000}"/>
    <cellStyle name="40% - Accent3 6 4" xfId="9232" xr:uid="{00000000-0005-0000-0000-000050340000}"/>
    <cellStyle name="40% - Accent3 6 4 2" xfId="20520" xr:uid="{00000000-0005-0000-0000-000051340000}"/>
    <cellStyle name="40% - Accent3 6 5" xfId="7238" xr:uid="{00000000-0005-0000-0000-000052340000}"/>
    <cellStyle name="40% - Accent3 6 5 2" xfId="18526" xr:uid="{00000000-0005-0000-0000-000053340000}"/>
    <cellStyle name="40% - Accent3 6 6" xfId="5244" xr:uid="{00000000-0005-0000-0000-000054340000}"/>
    <cellStyle name="40% - Accent3 6 6 2" xfId="16532" xr:uid="{00000000-0005-0000-0000-000055340000}"/>
    <cellStyle name="40% - Accent3 6 7" xfId="14538" xr:uid="{00000000-0005-0000-0000-000056340000}"/>
    <cellStyle name="40% - Accent3 6 8" xfId="13224" xr:uid="{00000000-0005-0000-0000-000057340000}"/>
    <cellStyle name="40% - Accent3 6 9" xfId="23984" xr:uid="{00000000-0005-0000-0000-000058340000}"/>
    <cellStyle name="40% - Accent3 60" xfId="1289" xr:uid="{00000000-0005-0000-0000-000059340000}"/>
    <cellStyle name="40% - Accent3 60 2" xfId="4245" xr:uid="{00000000-0005-0000-0000-00005A340000}"/>
    <cellStyle name="40% - Accent3 60 2 2" xfId="12224" xr:uid="{00000000-0005-0000-0000-00005B340000}"/>
    <cellStyle name="40% - Accent3 60 2 2 2" xfId="23512" xr:uid="{00000000-0005-0000-0000-00005C340000}"/>
    <cellStyle name="40% - Accent3 60 2 3" xfId="10230" xr:uid="{00000000-0005-0000-0000-00005D340000}"/>
    <cellStyle name="40% - Accent3 60 2 3 2" xfId="21518" xr:uid="{00000000-0005-0000-0000-00005E340000}"/>
    <cellStyle name="40% - Accent3 60 2 4" xfId="8236" xr:uid="{00000000-0005-0000-0000-00005F340000}"/>
    <cellStyle name="40% - Accent3 60 2 4 2" xfId="19524" xr:uid="{00000000-0005-0000-0000-000060340000}"/>
    <cellStyle name="40% - Accent3 60 2 5" xfId="6242" xr:uid="{00000000-0005-0000-0000-000061340000}"/>
    <cellStyle name="40% - Accent3 60 2 5 2" xfId="17530" xr:uid="{00000000-0005-0000-0000-000062340000}"/>
    <cellStyle name="40% - Accent3 60 2 6" xfId="15536" xr:uid="{00000000-0005-0000-0000-000063340000}"/>
    <cellStyle name="40% - Accent3 60 3" xfId="11227" xr:uid="{00000000-0005-0000-0000-000064340000}"/>
    <cellStyle name="40% - Accent3 60 3 2" xfId="22515" xr:uid="{00000000-0005-0000-0000-000065340000}"/>
    <cellStyle name="40% - Accent3 60 4" xfId="9233" xr:uid="{00000000-0005-0000-0000-000066340000}"/>
    <cellStyle name="40% - Accent3 60 4 2" xfId="20521" xr:uid="{00000000-0005-0000-0000-000067340000}"/>
    <cellStyle name="40% - Accent3 60 5" xfId="7239" xr:uid="{00000000-0005-0000-0000-000068340000}"/>
    <cellStyle name="40% - Accent3 60 5 2" xfId="18527" xr:uid="{00000000-0005-0000-0000-000069340000}"/>
    <cellStyle name="40% - Accent3 60 6" xfId="5245" xr:uid="{00000000-0005-0000-0000-00006A340000}"/>
    <cellStyle name="40% - Accent3 60 6 2" xfId="16533" xr:uid="{00000000-0005-0000-0000-00006B340000}"/>
    <cellStyle name="40% - Accent3 60 7" xfId="14539" xr:uid="{00000000-0005-0000-0000-00006C340000}"/>
    <cellStyle name="40% - Accent3 60 8" xfId="13225" xr:uid="{00000000-0005-0000-0000-00006D340000}"/>
    <cellStyle name="40% - Accent3 61" xfId="1290" xr:uid="{00000000-0005-0000-0000-00006E340000}"/>
    <cellStyle name="40% - Accent3 61 2" xfId="4246" xr:uid="{00000000-0005-0000-0000-00006F340000}"/>
    <cellStyle name="40% - Accent3 61 2 2" xfId="12225" xr:uid="{00000000-0005-0000-0000-000070340000}"/>
    <cellStyle name="40% - Accent3 61 2 2 2" xfId="23513" xr:uid="{00000000-0005-0000-0000-000071340000}"/>
    <cellStyle name="40% - Accent3 61 2 3" xfId="10231" xr:uid="{00000000-0005-0000-0000-000072340000}"/>
    <cellStyle name="40% - Accent3 61 2 3 2" xfId="21519" xr:uid="{00000000-0005-0000-0000-000073340000}"/>
    <cellStyle name="40% - Accent3 61 2 4" xfId="8237" xr:uid="{00000000-0005-0000-0000-000074340000}"/>
    <cellStyle name="40% - Accent3 61 2 4 2" xfId="19525" xr:uid="{00000000-0005-0000-0000-000075340000}"/>
    <cellStyle name="40% - Accent3 61 2 5" xfId="6243" xr:uid="{00000000-0005-0000-0000-000076340000}"/>
    <cellStyle name="40% - Accent3 61 2 5 2" xfId="17531" xr:uid="{00000000-0005-0000-0000-000077340000}"/>
    <cellStyle name="40% - Accent3 61 2 6" xfId="15537" xr:uid="{00000000-0005-0000-0000-000078340000}"/>
    <cellStyle name="40% - Accent3 61 3" xfId="11228" xr:uid="{00000000-0005-0000-0000-000079340000}"/>
    <cellStyle name="40% - Accent3 61 3 2" xfId="22516" xr:uid="{00000000-0005-0000-0000-00007A340000}"/>
    <cellStyle name="40% - Accent3 61 4" xfId="9234" xr:uid="{00000000-0005-0000-0000-00007B340000}"/>
    <cellStyle name="40% - Accent3 61 4 2" xfId="20522" xr:uid="{00000000-0005-0000-0000-00007C340000}"/>
    <cellStyle name="40% - Accent3 61 5" xfId="7240" xr:uid="{00000000-0005-0000-0000-00007D340000}"/>
    <cellStyle name="40% - Accent3 61 5 2" xfId="18528" xr:uid="{00000000-0005-0000-0000-00007E340000}"/>
    <cellStyle name="40% - Accent3 61 6" xfId="5246" xr:uid="{00000000-0005-0000-0000-00007F340000}"/>
    <cellStyle name="40% - Accent3 61 6 2" xfId="16534" xr:uid="{00000000-0005-0000-0000-000080340000}"/>
    <cellStyle name="40% - Accent3 61 7" xfId="14540" xr:uid="{00000000-0005-0000-0000-000081340000}"/>
    <cellStyle name="40% - Accent3 61 8" xfId="13226" xr:uid="{00000000-0005-0000-0000-000082340000}"/>
    <cellStyle name="40% - Accent3 62" xfId="1291" xr:uid="{00000000-0005-0000-0000-000083340000}"/>
    <cellStyle name="40% - Accent3 62 2" xfId="4247" xr:uid="{00000000-0005-0000-0000-000084340000}"/>
    <cellStyle name="40% - Accent3 62 2 2" xfId="12226" xr:uid="{00000000-0005-0000-0000-000085340000}"/>
    <cellStyle name="40% - Accent3 62 2 2 2" xfId="23514" xr:uid="{00000000-0005-0000-0000-000086340000}"/>
    <cellStyle name="40% - Accent3 62 2 3" xfId="10232" xr:uid="{00000000-0005-0000-0000-000087340000}"/>
    <cellStyle name="40% - Accent3 62 2 3 2" xfId="21520" xr:uid="{00000000-0005-0000-0000-000088340000}"/>
    <cellStyle name="40% - Accent3 62 2 4" xfId="8238" xr:uid="{00000000-0005-0000-0000-000089340000}"/>
    <cellStyle name="40% - Accent3 62 2 4 2" xfId="19526" xr:uid="{00000000-0005-0000-0000-00008A340000}"/>
    <cellStyle name="40% - Accent3 62 2 5" xfId="6244" xr:uid="{00000000-0005-0000-0000-00008B340000}"/>
    <cellStyle name="40% - Accent3 62 2 5 2" xfId="17532" xr:uid="{00000000-0005-0000-0000-00008C340000}"/>
    <cellStyle name="40% - Accent3 62 2 6" xfId="15538" xr:uid="{00000000-0005-0000-0000-00008D340000}"/>
    <cellStyle name="40% - Accent3 62 3" xfId="11229" xr:uid="{00000000-0005-0000-0000-00008E340000}"/>
    <cellStyle name="40% - Accent3 62 3 2" xfId="22517" xr:uid="{00000000-0005-0000-0000-00008F340000}"/>
    <cellStyle name="40% - Accent3 62 4" xfId="9235" xr:uid="{00000000-0005-0000-0000-000090340000}"/>
    <cellStyle name="40% - Accent3 62 4 2" xfId="20523" xr:uid="{00000000-0005-0000-0000-000091340000}"/>
    <cellStyle name="40% - Accent3 62 5" xfId="7241" xr:uid="{00000000-0005-0000-0000-000092340000}"/>
    <cellStyle name="40% - Accent3 62 5 2" xfId="18529" xr:uid="{00000000-0005-0000-0000-000093340000}"/>
    <cellStyle name="40% - Accent3 62 6" xfId="5247" xr:uid="{00000000-0005-0000-0000-000094340000}"/>
    <cellStyle name="40% - Accent3 62 6 2" xfId="16535" xr:uid="{00000000-0005-0000-0000-000095340000}"/>
    <cellStyle name="40% - Accent3 62 7" xfId="14541" xr:uid="{00000000-0005-0000-0000-000096340000}"/>
    <cellStyle name="40% - Accent3 62 8" xfId="13227" xr:uid="{00000000-0005-0000-0000-000097340000}"/>
    <cellStyle name="40% - Accent3 63" xfId="1292" xr:uid="{00000000-0005-0000-0000-000098340000}"/>
    <cellStyle name="40% - Accent3 63 2" xfId="4248" xr:uid="{00000000-0005-0000-0000-000099340000}"/>
    <cellStyle name="40% - Accent3 63 2 2" xfId="12227" xr:uid="{00000000-0005-0000-0000-00009A340000}"/>
    <cellStyle name="40% - Accent3 63 2 2 2" xfId="23515" xr:uid="{00000000-0005-0000-0000-00009B340000}"/>
    <cellStyle name="40% - Accent3 63 2 3" xfId="10233" xr:uid="{00000000-0005-0000-0000-00009C340000}"/>
    <cellStyle name="40% - Accent3 63 2 3 2" xfId="21521" xr:uid="{00000000-0005-0000-0000-00009D340000}"/>
    <cellStyle name="40% - Accent3 63 2 4" xfId="8239" xr:uid="{00000000-0005-0000-0000-00009E340000}"/>
    <cellStyle name="40% - Accent3 63 2 4 2" xfId="19527" xr:uid="{00000000-0005-0000-0000-00009F340000}"/>
    <cellStyle name="40% - Accent3 63 2 5" xfId="6245" xr:uid="{00000000-0005-0000-0000-0000A0340000}"/>
    <cellStyle name="40% - Accent3 63 2 5 2" xfId="17533" xr:uid="{00000000-0005-0000-0000-0000A1340000}"/>
    <cellStyle name="40% - Accent3 63 2 6" xfId="15539" xr:uid="{00000000-0005-0000-0000-0000A2340000}"/>
    <cellStyle name="40% - Accent3 63 3" xfId="11230" xr:uid="{00000000-0005-0000-0000-0000A3340000}"/>
    <cellStyle name="40% - Accent3 63 3 2" xfId="22518" xr:uid="{00000000-0005-0000-0000-0000A4340000}"/>
    <cellStyle name="40% - Accent3 63 4" xfId="9236" xr:uid="{00000000-0005-0000-0000-0000A5340000}"/>
    <cellStyle name="40% - Accent3 63 4 2" xfId="20524" xr:uid="{00000000-0005-0000-0000-0000A6340000}"/>
    <cellStyle name="40% - Accent3 63 5" xfId="7242" xr:uid="{00000000-0005-0000-0000-0000A7340000}"/>
    <cellStyle name="40% - Accent3 63 5 2" xfId="18530" xr:uid="{00000000-0005-0000-0000-0000A8340000}"/>
    <cellStyle name="40% - Accent3 63 6" xfId="5248" xr:uid="{00000000-0005-0000-0000-0000A9340000}"/>
    <cellStyle name="40% - Accent3 63 6 2" xfId="16536" xr:uid="{00000000-0005-0000-0000-0000AA340000}"/>
    <cellStyle name="40% - Accent3 63 7" xfId="14542" xr:uid="{00000000-0005-0000-0000-0000AB340000}"/>
    <cellStyle name="40% - Accent3 63 8" xfId="13228" xr:uid="{00000000-0005-0000-0000-0000AC340000}"/>
    <cellStyle name="40% - Accent3 64" xfId="1293" xr:uid="{00000000-0005-0000-0000-0000AD340000}"/>
    <cellStyle name="40% - Accent3 64 2" xfId="4249" xr:uid="{00000000-0005-0000-0000-0000AE340000}"/>
    <cellStyle name="40% - Accent3 64 2 2" xfId="12228" xr:uid="{00000000-0005-0000-0000-0000AF340000}"/>
    <cellStyle name="40% - Accent3 64 2 2 2" xfId="23516" xr:uid="{00000000-0005-0000-0000-0000B0340000}"/>
    <cellStyle name="40% - Accent3 64 2 3" xfId="10234" xr:uid="{00000000-0005-0000-0000-0000B1340000}"/>
    <cellStyle name="40% - Accent3 64 2 3 2" xfId="21522" xr:uid="{00000000-0005-0000-0000-0000B2340000}"/>
    <cellStyle name="40% - Accent3 64 2 4" xfId="8240" xr:uid="{00000000-0005-0000-0000-0000B3340000}"/>
    <cellStyle name="40% - Accent3 64 2 4 2" xfId="19528" xr:uid="{00000000-0005-0000-0000-0000B4340000}"/>
    <cellStyle name="40% - Accent3 64 2 5" xfId="6246" xr:uid="{00000000-0005-0000-0000-0000B5340000}"/>
    <cellStyle name="40% - Accent3 64 2 5 2" xfId="17534" xr:uid="{00000000-0005-0000-0000-0000B6340000}"/>
    <cellStyle name="40% - Accent3 64 2 6" xfId="15540" xr:uid="{00000000-0005-0000-0000-0000B7340000}"/>
    <cellStyle name="40% - Accent3 64 3" xfId="11231" xr:uid="{00000000-0005-0000-0000-0000B8340000}"/>
    <cellStyle name="40% - Accent3 64 3 2" xfId="22519" xr:uid="{00000000-0005-0000-0000-0000B9340000}"/>
    <cellStyle name="40% - Accent3 64 4" xfId="9237" xr:uid="{00000000-0005-0000-0000-0000BA340000}"/>
    <cellStyle name="40% - Accent3 64 4 2" xfId="20525" xr:uid="{00000000-0005-0000-0000-0000BB340000}"/>
    <cellStyle name="40% - Accent3 64 5" xfId="7243" xr:uid="{00000000-0005-0000-0000-0000BC340000}"/>
    <cellStyle name="40% - Accent3 64 5 2" xfId="18531" xr:uid="{00000000-0005-0000-0000-0000BD340000}"/>
    <cellStyle name="40% - Accent3 64 6" xfId="5249" xr:uid="{00000000-0005-0000-0000-0000BE340000}"/>
    <cellStyle name="40% - Accent3 64 6 2" xfId="16537" xr:uid="{00000000-0005-0000-0000-0000BF340000}"/>
    <cellStyle name="40% - Accent3 64 7" xfId="14543" xr:uid="{00000000-0005-0000-0000-0000C0340000}"/>
    <cellStyle name="40% - Accent3 64 8" xfId="13229" xr:uid="{00000000-0005-0000-0000-0000C1340000}"/>
    <cellStyle name="40% - Accent3 65" xfId="1294" xr:uid="{00000000-0005-0000-0000-0000C2340000}"/>
    <cellStyle name="40% - Accent3 65 2" xfId="4250" xr:uid="{00000000-0005-0000-0000-0000C3340000}"/>
    <cellStyle name="40% - Accent3 65 2 2" xfId="12229" xr:uid="{00000000-0005-0000-0000-0000C4340000}"/>
    <cellStyle name="40% - Accent3 65 2 2 2" xfId="23517" xr:uid="{00000000-0005-0000-0000-0000C5340000}"/>
    <cellStyle name="40% - Accent3 65 2 3" xfId="10235" xr:uid="{00000000-0005-0000-0000-0000C6340000}"/>
    <cellStyle name="40% - Accent3 65 2 3 2" xfId="21523" xr:uid="{00000000-0005-0000-0000-0000C7340000}"/>
    <cellStyle name="40% - Accent3 65 2 4" xfId="8241" xr:uid="{00000000-0005-0000-0000-0000C8340000}"/>
    <cellStyle name="40% - Accent3 65 2 4 2" xfId="19529" xr:uid="{00000000-0005-0000-0000-0000C9340000}"/>
    <cellStyle name="40% - Accent3 65 2 5" xfId="6247" xr:uid="{00000000-0005-0000-0000-0000CA340000}"/>
    <cellStyle name="40% - Accent3 65 2 5 2" xfId="17535" xr:uid="{00000000-0005-0000-0000-0000CB340000}"/>
    <cellStyle name="40% - Accent3 65 2 6" xfId="15541" xr:uid="{00000000-0005-0000-0000-0000CC340000}"/>
    <cellStyle name="40% - Accent3 65 3" xfId="11232" xr:uid="{00000000-0005-0000-0000-0000CD340000}"/>
    <cellStyle name="40% - Accent3 65 3 2" xfId="22520" xr:uid="{00000000-0005-0000-0000-0000CE340000}"/>
    <cellStyle name="40% - Accent3 65 4" xfId="9238" xr:uid="{00000000-0005-0000-0000-0000CF340000}"/>
    <cellStyle name="40% - Accent3 65 4 2" xfId="20526" xr:uid="{00000000-0005-0000-0000-0000D0340000}"/>
    <cellStyle name="40% - Accent3 65 5" xfId="7244" xr:uid="{00000000-0005-0000-0000-0000D1340000}"/>
    <cellStyle name="40% - Accent3 65 5 2" xfId="18532" xr:uid="{00000000-0005-0000-0000-0000D2340000}"/>
    <cellStyle name="40% - Accent3 65 6" xfId="5250" xr:uid="{00000000-0005-0000-0000-0000D3340000}"/>
    <cellStyle name="40% - Accent3 65 6 2" xfId="16538" xr:uid="{00000000-0005-0000-0000-0000D4340000}"/>
    <cellStyle name="40% - Accent3 65 7" xfId="14544" xr:uid="{00000000-0005-0000-0000-0000D5340000}"/>
    <cellStyle name="40% - Accent3 65 8" xfId="13230" xr:uid="{00000000-0005-0000-0000-0000D6340000}"/>
    <cellStyle name="40% - Accent3 66" xfId="1295" xr:uid="{00000000-0005-0000-0000-0000D7340000}"/>
    <cellStyle name="40% - Accent3 66 2" xfId="4251" xr:uid="{00000000-0005-0000-0000-0000D8340000}"/>
    <cellStyle name="40% - Accent3 66 2 2" xfId="12230" xr:uid="{00000000-0005-0000-0000-0000D9340000}"/>
    <cellStyle name="40% - Accent3 66 2 2 2" xfId="23518" xr:uid="{00000000-0005-0000-0000-0000DA340000}"/>
    <cellStyle name="40% - Accent3 66 2 3" xfId="10236" xr:uid="{00000000-0005-0000-0000-0000DB340000}"/>
    <cellStyle name="40% - Accent3 66 2 3 2" xfId="21524" xr:uid="{00000000-0005-0000-0000-0000DC340000}"/>
    <cellStyle name="40% - Accent3 66 2 4" xfId="8242" xr:uid="{00000000-0005-0000-0000-0000DD340000}"/>
    <cellStyle name="40% - Accent3 66 2 4 2" xfId="19530" xr:uid="{00000000-0005-0000-0000-0000DE340000}"/>
    <cellStyle name="40% - Accent3 66 2 5" xfId="6248" xr:uid="{00000000-0005-0000-0000-0000DF340000}"/>
    <cellStyle name="40% - Accent3 66 2 5 2" xfId="17536" xr:uid="{00000000-0005-0000-0000-0000E0340000}"/>
    <cellStyle name="40% - Accent3 66 2 6" xfId="15542" xr:uid="{00000000-0005-0000-0000-0000E1340000}"/>
    <cellStyle name="40% - Accent3 66 3" xfId="11233" xr:uid="{00000000-0005-0000-0000-0000E2340000}"/>
    <cellStyle name="40% - Accent3 66 3 2" xfId="22521" xr:uid="{00000000-0005-0000-0000-0000E3340000}"/>
    <cellStyle name="40% - Accent3 66 4" xfId="9239" xr:uid="{00000000-0005-0000-0000-0000E4340000}"/>
    <cellStyle name="40% - Accent3 66 4 2" xfId="20527" xr:uid="{00000000-0005-0000-0000-0000E5340000}"/>
    <cellStyle name="40% - Accent3 66 5" xfId="7245" xr:uid="{00000000-0005-0000-0000-0000E6340000}"/>
    <cellStyle name="40% - Accent3 66 5 2" xfId="18533" xr:uid="{00000000-0005-0000-0000-0000E7340000}"/>
    <cellStyle name="40% - Accent3 66 6" xfId="5251" xr:uid="{00000000-0005-0000-0000-0000E8340000}"/>
    <cellStyle name="40% - Accent3 66 6 2" xfId="16539" xr:uid="{00000000-0005-0000-0000-0000E9340000}"/>
    <cellStyle name="40% - Accent3 66 7" xfId="14545" xr:uid="{00000000-0005-0000-0000-0000EA340000}"/>
    <cellStyle name="40% - Accent3 66 8" xfId="13231" xr:uid="{00000000-0005-0000-0000-0000EB340000}"/>
    <cellStyle name="40% - Accent3 67" xfId="1296" xr:uid="{00000000-0005-0000-0000-0000EC340000}"/>
    <cellStyle name="40% - Accent3 67 2" xfId="4252" xr:uid="{00000000-0005-0000-0000-0000ED340000}"/>
    <cellStyle name="40% - Accent3 67 2 2" xfId="12231" xr:uid="{00000000-0005-0000-0000-0000EE340000}"/>
    <cellStyle name="40% - Accent3 67 2 2 2" xfId="23519" xr:uid="{00000000-0005-0000-0000-0000EF340000}"/>
    <cellStyle name="40% - Accent3 67 2 3" xfId="10237" xr:uid="{00000000-0005-0000-0000-0000F0340000}"/>
    <cellStyle name="40% - Accent3 67 2 3 2" xfId="21525" xr:uid="{00000000-0005-0000-0000-0000F1340000}"/>
    <cellStyle name="40% - Accent3 67 2 4" xfId="8243" xr:uid="{00000000-0005-0000-0000-0000F2340000}"/>
    <cellStyle name="40% - Accent3 67 2 4 2" xfId="19531" xr:uid="{00000000-0005-0000-0000-0000F3340000}"/>
    <cellStyle name="40% - Accent3 67 2 5" xfId="6249" xr:uid="{00000000-0005-0000-0000-0000F4340000}"/>
    <cellStyle name="40% - Accent3 67 2 5 2" xfId="17537" xr:uid="{00000000-0005-0000-0000-0000F5340000}"/>
    <cellStyle name="40% - Accent3 67 2 6" xfId="15543" xr:uid="{00000000-0005-0000-0000-0000F6340000}"/>
    <cellStyle name="40% - Accent3 67 3" xfId="11234" xr:uid="{00000000-0005-0000-0000-0000F7340000}"/>
    <cellStyle name="40% - Accent3 67 3 2" xfId="22522" xr:uid="{00000000-0005-0000-0000-0000F8340000}"/>
    <cellStyle name="40% - Accent3 67 4" xfId="9240" xr:uid="{00000000-0005-0000-0000-0000F9340000}"/>
    <cellStyle name="40% - Accent3 67 4 2" xfId="20528" xr:uid="{00000000-0005-0000-0000-0000FA340000}"/>
    <cellStyle name="40% - Accent3 67 5" xfId="7246" xr:uid="{00000000-0005-0000-0000-0000FB340000}"/>
    <cellStyle name="40% - Accent3 67 5 2" xfId="18534" xr:uid="{00000000-0005-0000-0000-0000FC340000}"/>
    <cellStyle name="40% - Accent3 67 6" xfId="5252" xr:uid="{00000000-0005-0000-0000-0000FD340000}"/>
    <cellStyle name="40% - Accent3 67 6 2" xfId="16540" xr:uid="{00000000-0005-0000-0000-0000FE340000}"/>
    <cellStyle name="40% - Accent3 67 7" xfId="14546" xr:uid="{00000000-0005-0000-0000-0000FF340000}"/>
    <cellStyle name="40% - Accent3 67 8" xfId="13232" xr:uid="{00000000-0005-0000-0000-000000350000}"/>
    <cellStyle name="40% - Accent3 68" xfId="1297" xr:uid="{00000000-0005-0000-0000-000001350000}"/>
    <cellStyle name="40% - Accent3 68 2" xfId="4253" xr:uid="{00000000-0005-0000-0000-000002350000}"/>
    <cellStyle name="40% - Accent3 68 2 2" xfId="12232" xr:uid="{00000000-0005-0000-0000-000003350000}"/>
    <cellStyle name="40% - Accent3 68 2 2 2" xfId="23520" xr:uid="{00000000-0005-0000-0000-000004350000}"/>
    <cellStyle name="40% - Accent3 68 2 3" xfId="10238" xr:uid="{00000000-0005-0000-0000-000005350000}"/>
    <cellStyle name="40% - Accent3 68 2 3 2" xfId="21526" xr:uid="{00000000-0005-0000-0000-000006350000}"/>
    <cellStyle name="40% - Accent3 68 2 4" xfId="8244" xr:uid="{00000000-0005-0000-0000-000007350000}"/>
    <cellStyle name="40% - Accent3 68 2 4 2" xfId="19532" xr:uid="{00000000-0005-0000-0000-000008350000}"/>
    <cellStyle name="40% - Accent3 68 2 5" xfId="6250" xr:uid="{00000000-0005-0000-0000-000009350000}"/>
    <cellStyle name="40% - Accent3 68 2 5 2" xfId="17538" xr:uid="{00000000-0005-0000-0000-00000A350000}"/>
    <cellStyle name="40% - Accent3 68 2 6" xfId="15544" xr:uid="{00000000-0005-0000-0000-00000B350000}"/>
    <cellStyle name="40% - Accent3 68 3" xfId="11235" xr:uid="{00000000-0005-0000-0000-00000C350000}"/>
    <cellStyle name="40% - Accent3 68 3 2" xfId="22523" xr:uid="{00000000-0005-0000-0000-00000D350000}"/>
    <cellStyle name="40% - Accent3 68 4" xfId="9241" xr:uid="{00000000-0005-0000-0000-00000E350000}"/>
    <cellStyle name="40% - Accent3 68 4 2" xfId="20529" xr:uid="{00000000-0005-0000-0000-00000F350000}"/>
    <cellStyle name="40% - Accent3 68 5" xfId="7247" xr:uid="{00000000-0005-0000-0000-000010350000}"/>
    <cellStyle name="40% - Accent3 68 5 2" xfId="18535" xr:uid="{00000000-0005-0000-0000-000011350000}"/>
    <cellStyle name="40% - Accent3 68 6" xfId="5253" xr:uid="{00000000-0005-0000-0000-000012350000}"/>
    <cellStyle name="40% - Accent3 68 6 2" xfId="16541" xr:uid="{00000000-0005-0000-0000-000013350000}"/>
    <cellStyle name="40% - Accent3 68 7" xfId="14547" xr:uid="{00000000-0005-0000-0000-000014350000}"/>
    <cellStyle name="40% - Accent3 68 8" xfId="13233" xr:uid="{00000000-0005-0000-0000-000015350000}"/>
    <cellStyle name="40% - Accent3 69" xfId="1298" xr:uid="{00000000-0005-0000-0000-000016350000}"/>
    <cellStyle name="40% - Accent3 69 2" xfId="4254" xr:uid="{00000000-0005-0000-0000-000017350000}"/>
    <cellStyle name="40% - Accent3 69 2 2" xfId="12233" xr:uid="{00000000-0005-0000-0000-000018350000}"/>
    <cellStyle name="40% - Accent3 69 2 2 2" xfId="23521" xr:uid="{00000000-0005-0000-0000-000019350000}"/>
    <cellStyle name="40% - Accent3 69 2 3" xfId="10239" xr:uid="{00000000-0005-0000-0000-00001A350000}"/>
    <cellStyle name="40% - Accent3 69 2 3 2" xfId="21527" xr:uid="{00000000-0005-0000-0000-00001B350000}"/>
    <cellStyle name="40% - Accent3 69 2 4" xfId="8245" xr:uid="{00000000-0005-0000-0000-00001C350000}"/>
    <cellStyle name="40% - Accent3 69 2 4 2" xfId="19533" xr:uid="{00000000-0005-0000-0000-00001D350000}"/>
    <cellStyle name="40% - Accent3 69 2 5" xfId="6251" xr:uid="{00000000-0005-0000-0000-00001E350000}"/>
    <cellStyle name="40% - Accent3 69 2 5 2" xfId="17539" xr:uid="{00000000-0005-0000-0000-00001F350000}"/>
    <cellStyle name="40% - Accent3 69 2 6" xfId="15545" xr:uid="{00000000-0005-0000-0000-000020350000}"/>
    <cellStyle name="40% - Accent3 69 3" xfId="11236" xr:uid="{00000000-0005-0000-0000-000021350000}"/>
    <cellStyle name="40% - Accent3 69 3 2" xfId="22524" xr:uid="{00000000-0005-0000-0000-000022350000}"/>
    <cellStyle name="40% - Accent3 69 4" xfId="9242" xr:uid="{00000000-0005-0000-0000-000023350000}"/>
    <cellStyle name="40% - Accent3 69 4 2" xfId="20530" xr:uid="{00000000-0005-0000-0000-000024350000}"/>
    <cellStyle name="40% - Accent3 69 5" xfId="7248" xr:uid="{00000000-0005-0000-0000-000025350000}"/>
    <cellStyle name="40% - Accent3 69 5 2" xfId="18536" xr:uid="{00000000-0005-0000-0000-000026350000}"/>
    <cellStyle name="40% - Accent3 69 6" xfId="5254" xr:uid="{00000000-0005-0000-0000-000027350000}"/>
    <cellStyle name="40% - Accent3 69 6 2" xfId="16542" xr:uid="{00000000-0005-0000-0000-000028350000}"/>
    <cellStyle name="40% - Accent3 69 7" xfId="14548" xr:uid="{00000000-0005-0000-0000-000029350000}"/>
    <cellStyle name="40% - Accent3 69 8" xfId="13234" xr:uid="{00000000-0005-0000-0000-00002A350000}"/>
    <cellStyle name="40% - Accent3 7" xfId="1299" xr:uid="{00000000-0005-0000-0000-00002B350000}"/>
    <cellStyle name="40% - Accent3 7 10" xfId="24612" xr:uid="{00000000-0005-0000-0000-00002C350000}"/>
    <cellStyle name="40% - Accent3 7 11" xfId="25002" xr:uid="{00000000-0005-0000-0000-00002D350000}"/>
    <cellStyle name="40% - Accent3 7 2" xfId="4255" xr:uid="{00000000-0005-0000-0000-00002E350000}"/>
    <cellStyle name="40% - Accent3 7 2 2" xfId="12234" xr:uid="{00000000-0005-0000-0000-00002F350000}"/>
    <cellStyle name="40% - Accent3 7 2 2 2" xfId="23522" xr:uid="{00000000-0005-0000-0000-000030350000}"/>
    <cellStyle name="40% - Accent3 7 2 3" xfId="10240" xr:uid="{00000000-0005-0000-0000-000031350000}"/>
    <cellStyle name="40% - Accent3 7 2 3 2" xfId="21528" xr:uid="{00000000-0005-0000-0000-000032350000}"/>
    <cellStyle name="40% - Accent3 7 2 4" xfId="8246" xr:uid="{00000000-0005-0000-0000-000033350000}"/>
    <cellStyle name="40% - Accent3 7 2 4 2" xfId="19534" xr:uid="{00000000-0005-0000-0000-000034350000}"/>
    <cellStyle name="40% - Accent3 7 2 5" xfId="6252" xr:uid="{00000000-0005-0000-0000-000035350000}"/>
    <cellStyle name="40% - Accent3 7 2 5 2" xfId="17540" xr:uid="{00000000-0005-0000-0000-000036350000}"/>
    <cellStyle name="40% - Accent3 7 2 6" xfId="15546" xr:uid="{00000000-0005-0000-0000-000037350000}"/>
    <cellStyle name="40% - Accent3 7 2 7" xfId="24373" xr:uid="{00000000-0005-0000-0000-000038350000}"/>
    <cellStyle name="40% - Accent3 7 2 8" xfId="24837" xr:uid="{00000000-0005-0000-0000-000039350000}"/>
    <cellStyle name="40% - Accent3 7 2 9" xfId="25204" xr:uid="{00000000-0005-0000-0000-00003A350000}"/>
    <cellStyle name="40% - Accent3 7 3" xfId="11237" xr:uid="{00000000-0005-0000-0000-00003B350000}"/>
    <cellStyle name="40% - Accent3 7 3 2" xfId="22525" xr:uid="{00000000-0005-0000-0000-00003C350000}"/>
    <cellStyle name="40% - Accent3 7 4" xfId="9243" xr:uid="{00000000-0005-0000-0000-00003D350000}"/>
    <cellStyle name="40% - Accent3 7 4 2" xfId="20531" xr:uid="{00000000-0005-0000-0000-00003E350000}"/>
    <cellStyle name="40% - Accent3 7 5" xfId="7249" xr:uid="{00000000-0005-0000-0000-00003F350000}"/>
    <cellStyle name="40% - Accent3 7 5 2" xfId="18537" xr:uid="{00000000-0005-0000-0000-000040350000}"/>
    <cellStyle name="40% - Accent3 7 6" xfId="5255" xr:uid="{00000000-0005-0000-0000-000041350000}"/>
    <cellStyle name="40% - Accent3 7 6 2" xfId="16543" xr:uid="{00000000-0005-0000-0000-000042350000}"/>
    <cellStyle name="40% - Accent3 7 7" xfId="14549" xr:uid="{00000000-0005-0000-0000-000043350000}"/>
    <cellStyle name="40% - Accent3 7 8" xfId="13235" xr:uid="{00000000-0005-0000-0000-000044350000}"/>
    <cellStyle name="40% - Accent3 7 9" xfId="23985" xr:uid="{00000000-0005-0000-0000-000045350000}"/>
    <cellStyle name="40% - Accent3 70" xfId="1300" xr:uid="{00000000-0005-0000-0000-000046350000}"/>
    <cellStyle name="40% - Accent3 70 2" xfId="4256" xr:uid="{00000000-0005-0000-0000-000047350000}"/>
    <cellStyle name="40% - Accent3 70 2 2" xfId="12235" xr:uid="{00000000-0005-0000-0000-000048350000}"/>
    <cellStyle name="40% - Accent3 70 2 2 2" xfId="23523" xr:uid="{00000000-0005-0000-0000-000049350000}"/>
    <cellStyle name="40% - Accent3 70 2 3" xfId="10241" xr:uid="{00000000-0005-0000-0000-00004A350000}"/>
    <cellStyle name="40% - Accent3 70 2 3 2" xfId="21529" xr:uid="{00000000-0005-0000-0000-00004B350000}"/>
    <cellStyle name="40% - Accent3 70 2 4" xfId="8247" xr:uid="{00000000-0005-0000-0000-00004C350000}"/>
    <cellStyle name="40% - Accent3 70 2 4 2" xfId="19535" xr:uid="{00000000-0005-0000-0000-00004D350000}"/>
    <cellStyle name="40% - Accent3 70 2 5" xfId="6253" xr:uid="{00000000-0005-0000-0000-00004E350000}"/>
    <cellStyle name="40% - Accent3 70 2 5 2" xfId="17541" xr:uid="{00000000-0005-0000-0000-00004F350000}"/>
    <cellStyle name="40% - Accent3 70 2 6" xfId="15547" xr:uid="{00000000-0005-0000-0000-000050350000}"/>
    <cellStyle name="40% - Accent3 70 3" xfId="11238" xr:uid="{00000000-0005-0000-0000-000051350000}"/>
    <cellStyle name="40% - Accent3 70 3 2" xfId="22526" xr:uid="{00000000-0005-0000-0000-000052350000}"/>
    <cellStyle name="40% - Accent3 70 4" xfId="9244" xr:uid="{00000000-0005-0000-0000-000053350000}"/>
    <cellStyle name="40% - Accent3 70 4 2" xfId="20532" xr:uid="{00000000-0005-0000-0000-000054350000}"/>
    <cellStyle name="40% - Accent3 70 5" xfId="7250" xr:uid="{00000000-0005-0000-0000-000055350000}"/>
    <cellStyle name="40% - Accent3 70 5 2" xfId="18538" xr:uid="{00000000-0005-0000-0000-000056350000}"/>
    <cellStyle name="40% - Accent3 70 6" xfId="5256" xr:uid="{00000000-0005-0000-0000-000057350000}"/>
    <cellStyle name="40% - Accent3 70 6 2" xfId="16544" xr:uid="{00000000-0005-0000-0000-000058350000}"/>
    <cellStyle name="40% - Accent3 70 7" xfId="14550" xr:uid="{00000000-0005-0000-0000-000059350000}"/>
    <cellStyle name="40% - Accent3 70 8" xfId="13236" xr:uid="{00000000-0005-0000-0000-00005A350000}"/>
    <cellStyle name="40% - Accent3 71" xfId="1301" xr:uid="{00000000-0005-0000-0000-00005B350000}"/>
    <cellStyle name="40% - Accent3 71 2" xfId="4257" xr:uid="{00000000-0005-0000-0000-00005C350000}"/>
    <cellStyle name="40% - Accent3 71 2 2" xfId="12236" xr:uid="{00000000-0005-0000-0000-00005D350000}"/>
    <cellStyle name="40% - Accent3 71 2 2 2" xfId="23524" xr:uid="{00000000-0005-0000-0000-00005E350000}"/>
    <cellStyle name="40% - Accent3 71 2 3" xfId="10242" xr:uid="{00000000-0005-0000-0000-00005F350000}"/>
    <cellStyle name="40% - Accent3 71 2 3 2" xfId="21530" xr:uid="{00000000-0005-0000-0000-000060350000}"/>
    <cellStyle name="40% - Accent3 71 2 4" xfId="8248" xr:uid="{00000000-0005-0000-0000-000061350000}"/>
    <cellStyle name="40% - Accent3 71 2 4 2" xfId="19536" xr:uid="{00000000-0005-0000-0000-000062350000}"/>
    <cellStyle name="40% - Accent3 71 2 5" xfId="6254" xr:uid="{00000000-0005-0000-0000-000063350000}"/>
    <cellStyle name="40% - Accent3 71 2 5 2" xfId="17542" xr:uid="{00000000-0005-0000-0000-000064350000}"/>
    <cellStyle name="40% - Accent3 71 2 6" xfId="15548" xr:uid="{00000000-0005-0000-0000-000065350000}"/>
    <cellStyle name="40% - Accent3 71 3" xfId="11239" xr:uid="{00000000-0005-0000-0000-000066350000}"/>
    <cellStyle name="40% - Accent3 71 3 2" xfId="22527" xr:uid="{00000000-0005-0000-0000-000067350000}"/>
    <cellStyle name="40% - Accent3 71 4" xfId="9245" xr:uid="{00000000-0005-0000-0000-000068350000}"/>
    <cellStyle name="40% - Accent3 71 4 2" xfId="20533" xr:uid="{00000000-0005-0000-0000-000069350000}"/>
    <cellStyle name="40% - Accent3 71 5" xfId="7251" xr:uid="{00000000-0005-0000-0000-00006A350000}"/>
    <cellStyle name="40% - Accent3 71 5 2" xfId="18539" xr:uid="{00000000-0005-0000-0000-00006B350000}"/>
    <cellStyle name="40% - Accent3 71 6" xfId="5257" xr:uid="{00000000-0005-0000-0000-00006C350000}"/>
    <cellStyle name="40% - Accent3 71 6 2" xfId="16545" xr:uid="{00000000-0005-0000-0000-00006D350000}"/>
    <cellStyle name="40% - Accent3 71 7" xfId="14551" xr:uid="{00000000-0005-0000-0000-00006E350000}"/>
    <cellStyle name="40% - Accent3 71 8" xfId="13237" xr:uid="{00000000-0005-0000-0000-00006F350000}"/>
    <cellStyle name="40% - Accent3 72" xfId="1302" xr:uid="{00000000-0005-0000-0000-000070350000}"/>
    <cellStyle name="40% - Accent3 72 2" xfId="4258" xr:uid="{00000000-0005-0000-0000-000071350000}"/>
    <cellStyle name="40% - Accent3 72 2 2" xfId="12237" xr:uid="{00000000-0005-0000-0000-000072350000}"/>
    <cellStyle name="40% - Accent3 72 2 2 2" xfId="23525" xr:uid="{00000000-0005-0000-0000-000073350000}"/>
    <cellStyle name="40% - Accent3 72 2 3" xfId="10243" xr:uid="{00000000-0005-0000-0000-000074350000}"/>
    <cellStyle name="40% - Accent3 72 2 3 2" xfId="21531" xr:uid="{00000000-0005-0000-0000-000075350000}"/>
    <cellStyle name="40% - Accent3 72 2 4" xfId="8249" xr:uid="{00000000-0005-0000-0000-000076350000}"/>
    <cellStyle name="40% - Accent3 72 2 4 2" xfId="19537" xr:uid="{00000000-0005-0000-0000-000077350000}"/>
    <cellStyle name="40% - Accent3 72 2 5" xfId="6255" xr:uid="{00000000-0005-0000-0000-000078350000}"/>
    <cellStyle name="40% - Accent3 72 2 5 2" xfId="17543" xr:uid="{00000000-0005-0000-0000-000079350000}"/>
    <cellStyle name="40% - Accent3 72 2 6" xfId="15549" xr:uid="{00000000-0005-0000-0000-00007A350000}"/>
    <cellStyle name="40% - Accent3 72 3" xfId="11240" xr:uid="{00000000-0005-0000-0000-00007B350000}"/>
    <cellStyle name="40% - Accent3 72 3 2" xfId="22528" xr:uid="{00000000-0005-0000-0000-00007C350000}"/>
    <cellStyle name="40% - Accent3 72 4" xfId="9246" xr:uid="{00000000-0005-0000-0000-00007D350000}"/>
    <cellStyle name="40% - Accent3 72 4 2" xfId="20534" xr:uid="{00000000-0005-0000-0000-00007E350000}"/>
    <cellStyle name="40% - Accent3 72 5" xfId="7252" xr:uid="{00000000-0005-0000-0000-00007F350000}"/>
    <cellStyle name="40% - Accent3 72 5 2" xfId="18540" xr:uid="{00000000-0005-0000-0000-000080350000}"/>
    <cellStyle name="40% - Accent3 72 6" xfId="5258" xr:uid="{00000000-0005-0000-0000-000081350000}"/>
    <cellStyle name="40% - Accent3 72 6 2" xfId="16546" xr:uid="{00000000-0005-0000-0000-000082350000}"/>
    <cellStyle name="40% - Accent3 72 7" xfId="14552" xr:uid="{00000000-0005-0000-0000-000083350000}"/>
    <cellStyle name="40% - Accent3 72 8" xfId="13238" xr:uid="{00000000-0005-0000-0000-000084350000}"/>
    <cellStyle name="40% - Accent3 8" xfId="1303" xr:uid="{00000000-0005-0000-0000-000085350000}"/>
    <cellStyle name="40% - Accent3 8 2" xfId="4259" xr:uid="{00000000-0005-0000-0000-000086350000}"/>
    <cellStyle name="40% - Accent3 8 2 2" xfId="12238" xr:uid="{00000000-0005-0000-0000-000087350000}"/>
    <cellStyle name="40% - Accent3 8 2 2 2" xfId="23526" xr:uid="{00000000-0005-0000-0000-000088350000}"/>
    <cellStyle name="40% - Accent3 8 2 3" xfId="10244" xr:uid="{00000000-0005-0000-0000-000089350000}"/>
    <cellStyle name="40% - Accent3 8 2 3 2" xfId="21532" xr:uid="{00000000-0005-0000-0000-00008A350000}"/>
    <cellStyle name="40% - Accent3 8 2 4" xfId="8250" xr:uid="{00000000-0005-0000-0000-00008B350000}"/>
    <cellStyle name="40% - Accent3 8 2 4 2" xfId="19538" xr:uid="{00000000-0005-0000-0000-00008C350000}"/>
    <cellStyle name="40% - Accent3 8 2 5" xfId="6256" xr:uid="{00000000-0005-0000-0000-00008D350000}"/>
    <cellStyle name="40% - Accent3 8 2 5 2" xfId="17544" xr:uid="{00000000-0005-0000-0000-00008E350000}"/>
    <cellStyle name="40% - Accent3 8 2 6" xfId="15550" xr:uid="{00000000-0005-0000-0000-00008F350000}"/>
    <cellStyle name="40% - Accent3 8 3" xfId="11241" xr:uid="{00000000-0005-0000-0000-000090350000}"/>
    <cellStyle name="40% - Accent3 8 3 2" xfId="22529" xr:uid="{00000000-0005-0000-0000-000091350000}"/>
    <cellStyle name="40% - Accent3 8 4" xfId="9247" xr:uid="{00000000-0005-0000-0000-000092350000}"/>
    <cellStyle name="40% - Accent3 8 4 2" xfId="20535" xr:uid="{00000000-0005-0000-0000-000093350000}"/>
    <cellStyle name="40% - Accent3 8 5" xfId="7253" xr:uid="{00000000-0005-0000-0000-000094350000}"/>
    <cellStyle name="40% - Accent3 8 5 2" xfId="18541" xr:uid="{00000000-0005-0000-0000-000095350000}"/>
    <cellStyle name="40% - Accent3 8 6" xfId="5259" xr:uid="{00000000-0005-0000-0000-000096350000}"/>
    <cellStyle name="40% - Accent3 8 6 2" xfId="16547" xr:uid="{00000000-0005-0000-0000-000097350000}"/>
    <cellStyle name="40% - Accent3 8 7" xfId="14553" xr:uid="{00000000-0005-0000-0000-000098350000}"/>
    <cellStyle name="40% - Accent3 8 8" xfId="13239" xr:uid="{00000000-0005-0000-0000-000099350000}"/>
    <cellStyle name="40% - Accent3 9" xfId="1304" xr:uid="{00000000-0005-0000-0000-00009A350000}"/>
    <cellStyle name="40% - Accent3 9 2" xfId="4260" xr:uid="{00000000-0005-0000-0000-00009B350000}"/>
    <cellStyle name="40% - Accent3 9 2 2" xfId="12239" xr:uid="{00000000-0005-0000-0000-00009C350000}"/>
    <cellStyle name="40% - Accent3 9 2 2 2" xfId="23527" xr:uid="{00000000-0005-0000-0000-00009D350000}"/>
    <cellStyle name="40% - Accent3 9 2 3" xfId="10245" xr:uid="{00000000-0005-0000-0000-00009E350000}"/>
    <cellStyle name="40% - Accent3 9 2 3 2" xfId="21533" xr:uid="{00000000-0005-0000-0000-00009F350000}"/>
    <cellStyle name="40% - Accent3 9 2 4" xfId="8251" xr:uid="{00000000-0005-0000-0000-0000A0350000}"/>
    <cellStyle name="40% - Accent3 9 2 4 2" xfId="19539" xr:uid="{00000000-0005-0000-0000-0000A1350000}"/>
    <cellStyle name="40% - Accent3 9 2 5" xfId="6257" xr:uid="{00000000-0005-0000-0000-0000A2350000}"/>
    <cellStyle name="40% - Accent3 9 2 5 2" xfId="17545" xr:uid="{00000000-0005-0000-0000-0000A3350000}"/>
    <cellStyle name="40% - Accent3 9 2 6" xfId="15551" xr:uid="{00000000-0005-0000-0000-0000A4350000}"/>
    <cellStyle name="40% - Accent3 9 3" xfId="11242" xr:uid="{00000000-0005-0000-0000-0000A5350000}"/>
    <cellStyle name="40% - Accent3 9 3 2" xfId="22530" xr:uid="{00000000-0005-0000-0000-0000A6350000}"/>
    <cellStyle name="40% - Accent3 9 4" xfId="9248" xr:uid="{00000000-0005-0000-0000-0000A7350000}"/>
    <cellStyle name="40% - Accent3 9 4 2" xfId="20536" xr:uid="{00000000-0005-0000-0000-0000A8350000}"/>
    <cellStyle name="40% - Accent3 9 5" xfId="7254" xr:uid="{00000000-0005-0000-0000-0000A9350000}"/>
    <cellStyle name="40% - Accent3 9 5 2" xfId="18542" xr:uid="{00000000-0005-0000-0000-0000AA350000}"/>
    <cellStyle name="40% - Accent3 9 6" xfId="5260" xr:uid="{00000000-0005-0000-0000-0000AB350000}"/>
    <cellStyle name="40% - Accent3 9 6 2" xfId="16548" xr:uid="{00000000-0005-0000-0000-0000AC350000}"/>
    <cellStyle name="40% - Accent3 9 7" xfId="14554" xr:uid="{00000000-0005-0000-0000-0000AD350000}"/>
    <cellStyle name="40% - Accent3 9 8" xfId="13240" xr:uid="{00000000-0005-0000-0000-0000AE350000}"/>
    <cellStyle name="40% - Accent4 10" xfId="1305" xr:uid="{00000000-0005-0000-0000-0000AF350000}"/>
    <cellStyle name="40% - Accent4 10 2" xfId="4261" xr:uid="{00000000-0005-0000-0000-0000B0350000}"/>
    <cellStyle name="40% - Accent4 10 2 2" xfId="12240" xr:uid="{00000000-0005-0000-0000-0000B1350000}"/>
    <cellStyle name="40% - Accent4 10 2 2 2" xfId="23528" xr:uid="{00000000-0005-0000-0000-0000B2350000}"/>
    <cellStyle name="40% - Accent4 10 2 3" xfId="10246" xr:uid="{00000000-0005-0000-0000-0000B3350000}"/>
    <cellStyle name="40% - Accent4 10 2 3 2" xfId="21534" xr:uid="{00000000-0005-0000-0000-0000B4350000}"/>
    <cellStyle name="40% - Accent4 10 2 4" xfId="8252" xr:uid="{00000000-0005-0000-0000-0000B5350000}"/>
    <cellStyle name="40% - Accent4 10 2 4 2" xfId="19540" xr:uid="{00000000-0005-0000-0000-0000B6350000}"/>
    <cellStyle name="40% - Accent4 10 2 5" xfId="6258" xr:uid="{00000000-0005-0000-0000-0000B7350000}"/>
    <cellStyle name="40% - Accent4 10 2 5 2" xfId="17546" xr:uid="{00000000-0005-0000-0000-0000B8350000}"/>
    <cellStyle name="40% - Accent4 10 2 6" xfId="15552" xr:uid="{00000000-0005-0000-0000-0000B9350000}"/>
    <cellStyle name="40% - Accent4 10 3" xfId="11243" xr:uid="{00000000-0005-0000-0000-0000BA350000}"/>
    <cellStyle name="40% - Accent4 10 3 2" xfId="22531" xr:uid="{00000000-0005-0000-0000-0000BB350000}"/>
    <cellStyle name="40% - Accent4 10 4" xfId="9249" xr:uid="{00000000-0005-0000-0000-0000BC350000}"/>
    <cellStyle name="40% - Accent4 10 4 2" xfId="20537" xr:uid="{00000000-0005-0000-0000-0000BD350000}"/>
    <cellStyle name="40% - Accent4 10 5" xfId="7255" xr:uid="{00000000-0005-0000-0000-0000BE350000}"/>
    <cellStyle name="40% - Accent4 10 5 2" xfId="18543" xr:uid="{00000000-0005-0000-0000-0000BF350000}"/>
    <cellStyle name="40% - Accent4 10 6" xfId="5261" xr:uid="{00000000-0005-0000-0000-0000C0350000}"/>
    <cellStyle name="40% - Accent4 10 6 2" xfId="16549" xr:uid="{00000000-0005-0000-0000-0000C1350000}"/>
    <cellStyle name="40% - Accent4 10 7" xfId="14555" xr:uid="{00000000-0005-0000-0000-0000C2350000}"/>
    <cellStyle name="40% - Accent4 10 8" xfId="13241" xr:uid="{00000000-0005-0000-0000-0000C3350000}"/>
    <cellStyle name="40% - Accent4 11" xfId="1306" xr:uid="{00000000-0005-0000-0000-0000C4350000}"/>
    <cellStyle name="40% - Accent4 11 2" xfId="4262" xr:uid="{00000000-0005-0000-0000-0000C5350000}"/>
    <cellStyle name="40% - Accent4 11 2 2" xfId="12241" xr:uid="{00000000-0005-0000-0000-0000C6350000}"/>
    <cellStyle name="40% - Accent4 11 2 2 2" xfId="23529" xr:uid="{00000000-0005-0000-0000-0000C7350000}"/>
    <cellStyle name="40% - Accent4 11 2 3" xfId="10247" xr:uid="{00000000-0005-0000-0000-0000C8350000}"/>
    <cellStyle name="40% - Accent4 11 2 3 2" xfId="21535" xr:uid="{00000000-0005-0000-0000-0000C9350000}"/>
    <cellStyle name="40% - Accent4 11 2 4" xfId="8253" xr:uid="{00000000-0005-0000-0000-0000CA350000}"/>
    <cellStyle name="40% - Accent4 11 2 4 2" xfId="19541" xr:uid="{00000000-0005-0000-0000-0000CB350000}"/>
    <cellStyle name="40% - Accent4 11 2 5" xfId="6259" xr:uid="{00000000-0005-0000-0000-0000CC350000}"/>
    <cellStyle name="40% - Accent4 11 2 5 2" xfId="17547" xr:uid="{00000000-0005-0000-0000-0000CD350000}"/>
    <cellStyle name="40% - Accent4 11 2 6" xfId="15553" xr:uid="{00000000-0005-0000-0000-0000CE350000}"/>
    <cellStyle name="40% - Accent4 11 3" xfId="11244" xr:uid="{00000000-0005-0000-0000-0000CF350000}"/>
    <cellStyle name="40% - Accent4 11 3 2" xfId="22532" xr:uid="{00000000-0005-0000-0000-0000D0350000}"/>
    <cellStyle name="40% - Accent4 11 4" xfId="9250" xr:uid="{00000000-0005-0000-0000-0000D1350000}"/>
    <cellStyle name="40% - Accent4 11 4 2" xfId="20538" xr:uid="{00000000-0005-0000-0000-0000D2350000}"/>
    <cellStyle name="40% - Accent4 11 5" xfId="7256" xr:uid="{00000000-0005-0000-0000-0000D3350000}"/>
    <cellStyle name="40% - Accent4 11 5 2" xfId="18544" xr:uid="{00000000-0005-0000-0000-0000D4350000}"/>
    <cellStyle name="40% - Accent4 11 6" xfId="5262" xr:uid="{00000000-0005-0000-0000-0000D5350000}"/>
    <cellStyle name="40% - Accent4 11 6 2" xfId="16550" xr:uid="{00000000-0005-0000-0000-0000D6350000}"/>
    <cellStyle name="40% - Accent4 11 7" xfId="14556" xr:uid="{00000000-0005-0000-0000-0000D7350000}"/>
    <cellStyle name="40% - Accent4 11 8" xfId="13242" xr:uid="{00000000-0005-0000-0000-0000D8350000}"/>
    <cellStyle name="40% - Accent4 12" xfId="1307" xr:uid="{00000000-0005-0000-0000-0000D9350000}"/>
    <cellStyle name="40% - Accent4 12 2" xfId="4263" xr:uid="{00000000-0005-0000-0000-0000DA350000}"/>
    <cellStyle name="40% - Accent4 12 2 2" xfId="12242" xr:uid="{00000000-0005-0000-0000-0000DB350000}"/>
    <cellStyle name="40% - Accent4 12 2 2 2" xfId="23530" xr:uid="{00000000-0005-0000-0000-0000DC350000}"/>
    <cellStyle name="40% - Accent4 12 2 3" xfId="10248" xr:uid="{00000000-0005-0000-0000-0000DD350000}"/>
    <cellStyle name="40% - Accent4 12 2 3 2" xfId="21536" xr:uid="{00000000-0005-0000-0000-0000DE350000}"/>
    <cellStyle name="40% - Accent4 12 2 4" xfId="8254" xr:uid="{00000000-0005-0000-0000-0000DF350000}"/>
    <cellStyle name="40% - Accent4 12 2 4 2" xfId="19542" xr:uid="{00000000-0005-0000-0000-0000E0350000}"/>
    <cellStyle name="40% - Accent4 12 2 5" xfId="6260" xr:uid="{00000000-0005-0000-0000-0000E1350000}"/>
    <cellStyle name="40% - Accent4 12 2 5 2" xfId="17548" xr:uid="{00000000-0005-0000-0000-0000E2350000}"/>
    <cellStyle name="40% - Accent4 12 2 6" xfId="15554" xr:uid="{00000000-0005-0000-0000-0000E3350000}"/>
    <cellStyle name="40% - Accent4 12 3" xfId="11245" xr:uid="{00000000-0005-0000-0000-0000E4350000}"/>
    <cellStyle name="40% - Accent4 12 3 2" xfId="22533" xr:uid="{00000000-0005-0000-0000-0000E5350000}"/>
    <cellStyle name="40% - Accent4 12 4" xfId="9251" xr:uid="{00000000-0005-0000-0000-0000E6350000}"/>
    <cellStyle name="40% - Accent4 12 4 2" xfId="20539" xr:uid="{00000000-0005-0000-0000-0000E7350000}"/>
    <cellStyle name="40% - Accent4 12 5" xfId="7257" xr:uid="{00000000-0005-0000-0000-0000E8350000}"/>
    <cellStyle name="40% - Accent4 12 5 2" xfId="18545" xr:uid="{00000000-0005-0000-0000-0000E9350000}"/>
    <cellStyle name="40% - Accent4 12 6" xfId="5263" xr:uid="{00000000-0005-0000-0000-0000EA350000}"/>
    <cellStyle name="40% - Accent4 12 6 2" xfId="16551" xr:uid="{00000000-0005-0000-0000-0000EB350000}"/>
    <cellStyle name="40% - Accent4 12 7" xfId="14557" xr:uid="{00000000-0005-0000-0000-0000EC350000}"/>
    <cellStyle name="40% - Accent4 12 8" xfId="13243" xr:uid="{00000000-0005-0000-0000-0000ED350000}"/>
    <cellStyle name="40% - Accent4 13" xfId="1308" xr:uid="{00000000-0005-0000-0000-0000EE350000}"/>
    <cellStyle name="40% - Accent4 13 2" xfId="4264" xr:uid="{00000000-0005-0000-0000-0000EF350000}"/>
    <cellStyle name="40% - Accent4 13 2 2" xfId="12243" xr:uid="{00000000-0005-0000-0000-0000F0350000}"/>
    <cellStyle name="40% - Accent4 13 2 2 2" xfId="23531" xr:uid="{00000000-0005-0000-0000-0000F1350000}"/>
    <cellStyle name="40% - Accent4 13 2 3" xfId="10249" xr:uid="{00000000-0005-0000-0000-0000F2350000}"/>
    <cellStyle name="40% - Accent4 13 2 3 2" xfId="21537" xr:uid="{00000000-0005-0000-0000-0000F3350000}"/>
    <cellStyle name="40% - Accent4 13 2 4" xfId="8255" xr:uid="{00000000-0005-0000-0000-0000F4350000}"/>
    <cellStyle name="40% - Accent4 13 2 4 2" xfId="19543" xr:uid="{00000000-0005-0000-0000-0000F5350000}"/>
    <cellStyle name="40% - Accent4 13 2 5" xfId="6261" xr:uid="{00000000-0005-0000-0000-0000F6350000}"/>
    <cellStyle name="40% - Accent4 13 2 5 2" xfId="17549" xr:uid="{00000000-0005-0000-0000-0000F7350000}"/>
    <cellStyle name="40% - Accent4 13 2 6" xfId="15555" xr:uid="{00000000-0005-0000-0000-0000F8350000}"/>
    <cellStyle name="40% - Accent4 13 3" xfId="11246" xr:uid="{00000000-0005-0000-0000-0000F9350000}"/>
    <cellStyle name="40% - Accent4 13 3 2" xfId="22534" xr:uid="{00000000-0005-0000-0000-0000FA350000}"/>
    <cellStyle name="40% - Accent4 13 4" xfId="9252" xr:uid="{00000000-0005-0000-0000-0000FB350000}"/>
    <cellStyle name="40% - Accent4 13 4 2" xfId="20540" xr:uid="{00000000-0005-0000-0000-0000FC350000}"/>
    <cellStyle name="40% - Accent4 13 5" xfId="7258" xr:uid="{00000000-0005-0000-0000-0000FD350000}"/>
    <cellStyle name="40% - Accent4 13 5 2" xfId="18546" xr:uid="{00000000-0005-0000-0000-0000FE350000}"/>
    <cellStyle name="40% - Accent4 13 6" xfId="5264" xr:uid="{00000000-0005-0000-0000-0000FF350000}"/>
    <cellStyle name="40% - Accent4 13 6 2" xfId="16552" xr:uid="{00000000-0005-0000-0000-000000360000}"/>
    <cellStyle name="40% - Accent4 13 7" xfId="14558" xr:uid="{00000000-0005-0000-0000-000001360000}"/>
    <cellStyle name="40% - Accent4 13 8" xfId="13244" xr:uid="{00000000-0005-0000-0000-000002360000}"/>
    <cellStyle name="40% - Accent4 14" xfId="1309" xr:uid="{00000000-0005-0000-0000-000003360000}"/>
    <cellStyle name="40% - Accent4 14 2" xfId="4265" xr:uid="{00000000-0005-0000-0000-000004360000}"/>
    <cellStyle name="40% - Accent4 14 2 2" xfId="12244" xr:uid="{00000000-0005-0000-0000-000005360000}"/>
    <cellStyle name="40% - Accent4 14 2 2 2" xfId="23532" xr:uid="{00000000-0005-0000-0000-000006360000}"/>
    <cellStyle name="40% - Accent4 14 2 3" xfId="10250" xr:uid="{00000000-0005-0000-0000-000007360000}"/>
    <cellStyle name="40% - Accent4 14 2 3 2" xfId="21538" xr:uid="{00000000-0005-0000-0000-000008360000}"/>
    <cellStyle name="40% - Accent4 14 2 4" xfId="8256" xr:uid="{00000000-0005-0000-0000-000009360000}"/>
    <cellStyle name="40% - Accent4 14 2 4 2" xfId="19544" xr:uid="{00000000-0005-0000-0000-00000A360000}"/>
    <cellStyle name="40% - Accent4 14 2 5" xfId="6262" xr:uid="{00000000-0005-0000-0000-00000B360000}"/>
    <cellStyle name="40% - Accent4 14 2 5 2" xfId="17550" xr:uid="{00000000-0005-0000-0000-00000C360000}"/>
    <cellStyle name="40% - Accent4 14 2 6" xfId="15556" xr:uid="{00000000-0005-0000-0000-00000D360000}"/>
    <cellStyle name="40% - Accent4 14 3" xfId="11247" xr:uid="{00000000-0005-0000-0000-00000E360000}"/>
    <cellStyle name="40% - Accent4 14 3 2" xfId="22535" xr:uid="{00000000-0005-0000-0000-00000F360000}"/>
    <cellStyle name="40% - Accent4 14 4" xfId="9253" xr:uid="{00000000-0005-0000-0000-000010360000}"/>
    <cellStyle name="40% - Accent4 14 4 2" xfId="20541" xr:uid="{00000000-0005-0000-0000-000011360000}"/>
    <cellStyle name="40% - Accent4 14 5" xfId="7259" xr:uid="{00000000-0005-0000-0000-000012360000}"/>
    <cellStyle name="40% - Accent4 14 5 2" xfId="18547" xr:uid="{00000000-0005-0000-0000-000013360000}"/>
    <cellStyle name="40% - Accent4 14 6" xfId="5265" xr:uid="{00000000-0005-0000-0000-000014360000}"/>
    <cellStyle name="40% - Accent4 14 6 2" xfId="16553" xr:uid="{00000000-0005-0000-0000-000015360000}"/>
    <cellStyle name="40% - Accent4 14 7" xfId="14559" xr:uid="{00000000-0005-0000-0000-000016360000}"/>
    <cellStyle name="40% - Accent4 14 8" xfId="13245" xr:uid="{00000000-0005-0000-0000-000017360000}"/>
    <cellStyle name="40% - Accent4 15" xfId="1310" xr:uid="{00000000-0005-0000-0000-000018360000}"/>
    <cellStyle name="40% - Accent4 15 2" xfId="4266" xr:uid="{00000000-0005-0000-0000-000019360000}"/>
    <cellStyle name="40% - Accent4 15 2 2" xfId="12245" xr:uid="{00000000-0005-0000-0000-00001A360000}"/>
    <cellStyle name="40% - Accent4 15 2 2 2" xfId="23533" xr:uid="{00000000-0005-0000-0000-00001B360000}"/>
    <cellStyle name="40% - Accent4 15 2 3" xfId="10251" xr:uid="{00000000-0005-0000-0000-00001C360000}"/>
    <cellStyle name="40% - Accent4 15 2 3 2" xfId="21539" xr:uid="{00000000-0005-0000-0000-00001D360000}"/>
    <cellStyle name="40% - Accent4 15 2 4" xfId="8257" xr:uid="{00000000-0005-0000-0000-00001E360000}"/>
    <cellStyle name="40% - Accent4 15 2 4 2" xfId="19545" xr:uid="{00000000-0005-0000-0000-00001F360000}"/>
    <cellStyle name="40% - Accent4 15 2 5" xfId="6263" xr:uid="{00000000-0005-0000-0000-000020360000}"/>
    <cellStyle name="40% - Accent4 15 2 5 2" xfId="17551" xr:uid="{00000000-0005-0000-0000-000021360000}"/>
    <cellStyle name="40% - Accent4 15 2 6" xfId="15557" xr:uid="{00000000-0005-0000-0000-000022360000}"/>
    <cellStyle name="40% - Accent4 15 3" xfId="11248" xr:uid="{00000000-0005-0000-0000-000023360000}"/>
    <cellStyle name="40% - Accent4 15 3 2" xfId="22536" xr:uid="{00000000-0005-0000-0000-000024360000}"/>
    <cellStyle name="40% - Accent4 15 4" xfId="9254" xr:uid="{00000000-0005-0000-0000-000025360000}"/>
    <cellStyle name="40% - Accent4 15 4 2" xfId="20542" xr:uid="{00000000-0005-0000-0000-000026360000}"/>
    <cellStyle name="40% - Accent4 15 5" xfId="7260" xr:uid="{00000000-0005-0000-0000-000027360000}"/>
    <cellStyle name="40% - Accent4 15 5 2" xfId="18548" xr:uid="{00000000-0005-0000-0000-000028360000}"/>
    <cellStyle name="40% - Accent4 15 6" xfId="5266" xr:uid="{00000000-0005-0000-0000-000029360000}"/>
    <cellStyle name="40% - Accent4 15 6 2" xfId="16554" xr:uid="{00000000-0005-0000-0000-00002A360000}"/>
    <cellStyle name="40% - Accent4 15 7" xfId="14560" xr:uid="{00000000-0005-0000-0000-00002B360000}"/>
    <cellStyle name="40% - Accent4 15 8" xfId="13246" xr:uid="{00000000-0005-0000-0000-00002C360000}"/>
    <cellStyle name="40% - Accent4 16" xfId="1311" xr:uid="{00000000-0005-0000-0000-00002D360000}"/>
    <cellStyle name="40% - Accent4 16 2" xfId="4267" xr:uid="{00000000-0005-0000-0000-00002E360000}"/>
    <cellStyle name="40% - Accent4 16 2 2" xfId="12246" xr:uid="{00000000-0005-0000-0000-00002F360000}"/>
    <cellStyle name="40% - Accent4 16 2 2 2" xfId="23534" xr:uid="{00000000-0005-0000-0000-000030360000}"/>
    <cellStyle name="40% - Accent4 16 2 3" xfId="10252" xr:uid="{00000000-0005-0000-0000-000031360000}"/>
    <cellStyle name="40% - Accent4 16 2 3 2" xfId="21540" xr:uid="{00000000-0005-0000-0000-000032360000}"/>
    <cellStyle name="40% - Accent4 16 2 4" xfId="8258" xr:uid="{00000000-0005-0000-0000-000033360000}"/>
    <cellStyle name="40% - Accent4 16 2 4 2" xfId="19546" xr:uid="{00000000-0005-0000-0000-000034360000}"/>
    <cellStyle name="40% - Accent4 16 2 5" xfId="6264" xr:uid="{00000000-0005-0000-0000-000035360000}"/>
    <cellStyle name="40% - Accent4 16 2 5 2" xfId="17552" xr:uid="{00000000-0005-0000-0000-000036360000}"/>
    <cellStyle name="40% - Accent4 16 2 6" xfId="15558" xr:uid="{00000000-0005-0000-0000-000037360000}"/>
    <cellStyle name="40% - Accent4 16 3" xfId="11249" xr:uid="{00000000-0005-0000-0000-000038360000}"/>
    <cellStyle name="40% - Accent4 16 3 2" xfId="22537" xr:uid="{00000000-0005-0000-0000-000039360000}"/>
    <cellStyle name="40% - Accent4 16 4" xfId="9255" xr:uid="{00000000-0005-0000-0000-00003A360000}"/>
    <cellStyle name="40% - Accent4 16 4 2" xfId="20543" xr:uid="{00000000-0005-0000-0000-00003B360000}"/>
    <cellStyle name="40% - Accent4 16 5" xfId="7261" xr:uid="{00000000-0005-0000-0000-00003C360000}"/>
    <cellStyle name="40% - Accent4 16 5 2" xfId="18549" xr:uid="{00000000-0005-0000-0000-00003D360000}"/>
    <cellStyle name="40% - Accent4 16 6" xfId="5267" xr:uid="{00000000-0005-0000-0000-00003E360000}"/>
    <cellStyle name="40% - Accent4 16 6 2" xfId="16555" xr:uid="{00000000-0005-0000-0000-00003F360000}"/>
    <cellStyle name="40% - Accent4 16 7" xfId="14561" xr:uid="{00000000-0005-0000-0000-000040360000}"/>
    <cellStyle name="40% - Accent4 16 8" xfId="13247" xr:uid="{00000000-0005-0000-0000-000041360000}"/>
    <cellStyle name="40% - Accent4 17" xfId="1312" xr:uid="{00000000-0005-0000-0000-000042360000}"/>
    <cellStyle name="40% - Accent4 17 2" xfId="4268" xr:uid="{00000000-0005-0000-0000-000043360000}"/>
    <cellStyle name="40% - Accent4 17 2 2" xfId="12247" xr:uid="{00000000-0005-0000-0000-000044360000}"/>
    <cellStyle name="40% - Accent4 17 2 2 2" xfId="23535" xr:uid="{00000000-0005-0000-0000-000045360000}"/>
    <cellStyle name="40% - Accent4 17 2 3" xfId="10253" xr:uid="{00000000-0005-0000-0000-000046360000}"/>
    <cellStyle name="40% - Accent4 17 2 3 2" xfId="21541" xr:uid="{00000000-0005-0000-0000-000047360000}"/>
    <cellStyle name="40% - Accent4 17 2 4" xfId="8259" xr:uid="{00000000-0005-0000-0000-000048360000}"/>
    <cellStyle name="40% - Accent4 17 2 4 2" xfId="19547" xr:uid="{00000000-0005-0000-0000-000049360000}"/>
    <cellStyle name="40% - Accent4 17 2 5" xfId="6265" xr:uid="{00000000-0005-0000-0000-00004A360000}"/>
    <cellStyle name="40% - Accent4 17 2 5 2" xfId="17553" xr:uid="{00000000-0005-0000-0000-00004B360000}"/>
    <cellStyle name="40% - Accent4 17 2 6" xfId="15559" xr:uid="{00000000-0005-0000-0000-00004C360000}"/>
    <cellStyle name="40% - Accent4 17 3" xfId="11250" xr:uid="{00000000-0005-0000-0000-00004D360000}"/>
    <cellStyle name="40% - Accent4 17 3 2" xfId="22538" xr:uid="{00000000-0005-0000-0000-00004E360000}"/>
    <cellStyle name="40% - Accent4 17 4" xfId="9256" xr:uid="{00000000-0005-0000-0000-00004F360000}"/>
    <cellStyle name="40% - Accent4 17 4 2" xfId="20544" xr:uid="{00000000-0005-0000-0000-000050360000}"/>
    <cellStyle name="40% - Accent4 17 5" xfId="7262" xr:uid="{00000000-0005-0000-0000-000051360000}"/>
    <cellStyle name="40% - Accent4 17 5 2" xfId="18550" xr:uid="{00000000-0005-0000-0000-000052360000}"/>
    <cellStyle name="40% - Accent4 17 6" xfId="5268" xr:uid="{00000000-0005-0000-0000-000053360000}"/>
    <cellStyle name="40% - Accent4 17 6 2" xfId="16556" xr:uid="{00000000-0005-0000-0000-000054360000}"/>
    <cellStyle name="40% - Accent4 17 7" xfId="14562" xr:uid="{00000000-0005-0000-0000-000055360000}"/>
    <cellStyle name="40% - Accent4 17 8" xfId="13248" xr:uid="{00000000-0005-0000-0000-000056360000}"/>
    <cellStyle name="40% - Accent4 18" xfId="1313" xr:uid="{00000000-0005-0000-0000-000057360000}"/>
    <cellStyle name="40% - Accent4 18 2" xfId="4269" xr:uid="{00000000-0005-0000-0000-000058360000}"/>
    <cellStyle name="40% - Accent4 18 2 2" xfId="12248" xr:uid="{00000000-0005-0000-0000-000059360000}"/>
    <cellStyle name="40% - Accent4 18 2 2 2" xfId="23536" xr:uid="{00000000-0005-0000-0000-00005A360000}"/>
    <cellStyle name="40% - Accent4 18 2 3" xfId="10254" xr:uid="{00000000-0005-0000-0000-00005B360000}"/>
    <cellStyle name="40% - Accent4 18 2 3 2" xfId="21542" xr:uid="{00000000-0005-0000-0000-00005C360000}"/>
    <cellStyle name="40% - Accent4 18 2 4" xfId="8260" xr:uid="{00000000-0005-0000-0000-00005D360000}"/>
    <cellStyle name="40% - Accent4 18 2 4 2" xfId="19548" xr:uid="{00000000-0005-0000-0000-00005E360000}"/>
    <cellStyle name="40% - Accent4 18 2 5" xfId="6266" xr:uid="{00000000-0005-0000-0000-00005F360000}"/>
    <cellStyle name="40% - Accent4 18 2 5 2" xfId="17554" xr:uid="{00000000-0005-0000-0000-000060360000}"/>
    <cellStyle name="40% - Accent4 18 2 6" xfId="15560" xr:uid="{00000000-0005-0000-0000-000061360000}"/>
    <cellStyle name="40% - Accent4 18 3" xfId="11251" xr:uid="{00000000-0005-0000-0000-000062360000}"/>
    <cellStyle name="40% - Accent4 18 3 2" xfId="22539" xr:uid="{00000000-0005-0000-0000-000063360000}"/>
    <cellStyle name="40% - Accent4 18 4" xfId="9257" xr:uid="{00000000-0005-0000-0000-000064360000}"/>
    <cellStyle name="40% - Accent4 18 4 2" xfId="20545" xr:uid="{00000000-0005-0000-0000-000065360000}"/>
    <cellStyle name="40% - Accent4 18 5" xfId="7263" xr:uid="{00000000-0005-0000-0000-000066360000}"/>
    <cellStyle name="40% - Accent4 18 5 2" xfId="18551" xr:uid="{00000000-0005-0000-0000-000067360000}"/>
    <cellStyle name="40% - Accent4 18 6" xfId="5269" xr:uid="{00000000-0005-0000-0000-000068360000}"/>
    <cellStyle name="40% - Accent4 18 6 2" xfId="16557" xr:uid="{00000000-0005-0000-0000-000069360000}"/>
    <cellStyle name="40% - Accent4 18 7" xfId="14563" xr:uid="{00000000-0005-0000-0000-00006A360000}"/>
    <cellStyle name="40% - Accent4 18 8" xfId="13249" xr:uid="{00000000-0005-0000-0000-00006B360000}"/>
    <cellStyle name="40% - Accent4 19" xfId="1314" xr:uid="{00000000-0005-0000-0000-00006C360000}"/>
    <cellStyle name="40% - Accent4 19 2" xfId="4270" xr:uid="{00000000-0005-0000-0000-00006D360000}"/>
    <cellStyle name="40% - Accent4 19 2 2" xfId="12249" xr:uid="{00000000-0005-0000-0000-00006E360000}"/>
    <cellStyle name="40% - Accent4 19 2 2 2" xfId="23537" xr:uid="{00000000-0005-0000-0000-00006F360000}"/>
    <cellStyle name="40% - Accent4 19 2 3" xfId="10255" xr:uid="{00000000-0005-0000-0000-000070360000}"/>
    <cellStyle name="40% - Accent4 19 2 3 2" xfId="21543" xr:uid="{00000000-0005-0000-0000-000071360000}"/>
    <cellStyle name="40% - Accent4 19 2 4" xfId="8261" xr:uid="{00000000-0005-0000-0000-000072360000}"/>
    <cellStyle name="40% - Accent4 19 2 4 2" xfId="19549" xr:uid="{00000000-0005-0000-0000-000073360000}"/>
    <cellStyle name="40% - Accent4 19 2 5" xfId="6267" xr:uid="{00000000-0005-0000-0000-000074360000}"/>
    <cellStyle name="40% - Accent4 19 2 5 2" xfId="17555" xr:uid="{00000000-0005-0000-0000-000075360000}"/>
    <cellStyle name="40% - Accent4 19 2 6" xfId="15561" xr:uid="{00000000-0005-0000-0000-000076360000}"/>
    <cellStyle name="40% - Accent4 19 3" xfId="11252" xr:uid="{00000000-0005-0000-0000-000077360000}"/>
    <cellStyle name="40% - Accent4 19 3 2" xfId="22540" xr:uid="{00000000-0005-0000-0000-000078360000}"/>
    <cellStyle name="40% - Accent4 19 4" xfId="9258" xr:uid="{00000000-0005-0000-0000-000079360000}"/>
    <cellStyle name="40% - Accent4 19 4 2" xfId="20546" xr:uid="{00000000-0005-0000-0000-00007A360000}"/>
    <cellStyle name="40% - Accent4 19 5" xfId="7264" xr:uid="{00000000-0005-0000-0000-00007B360000}"/>
    <cellStyle name="40% - Accent4 19 5 2" xfId="18552" xr:uid="{00000000-0005-0000-0000-00007C360000}"/>
    <cellStyle name="40% - Accent4 19 6" xfId="5270" xr:uid="{00000000-0005-0000-0000-00007D360000}"/>
    <cellStyle name="40% - Accent4 19 6 2" xfId="16558" xr:uid="{00000000-0005-0000-0000-00007E360000}"/>
    <cellStyle name="40% - Accent4 19 7" xfId="14564" xr:uid="{00000000-0005-0000-0000-00007F360000}"/>
    <cellStyle name="40% - Accent4 19 8" xfId="13250" xr:uid="{00000000-0005-0000-0000-000080360000}"/>
    <cellStyle name="40% - Accent4 2" xfId="1315" xr:uid="{00000000-0005-0000-0000-000081360000}"/>
    <cellStyle name="40% - Accent4 2 10" xfId="24613" xr:uid="{00000000-0005-0000-0000-000082360000}"/>
    <cellStyle name="40% - Accent4 2 11" xfId="25003" xr:uid="{00000000-0005-0000-0000-000083360000}"/>
    <cellStyle name="40% - Accent4 2 2" xfId="4271" xr:uid="{00000000-0005-0000-0000-000084360000}"/>
    <cellStyle name="40% - Accent4 2 2 2" xfId="12250" xr:uid="{00000000-0005-0000-0000-000085360000}"/>
    <cellStyle name="40% - Accent4 2 2 2 2" xfId="23538" xr:uid="{00000000-0005-0000-0000-000086360000}"/>
    <cellStyle name="40% - Accent4 2 2 3" xfId="10256" xr:uid="{00000000-0005-0000-0000-000087360000}"/>
    <cellStyle name="40% - Accent4 2 2 3 2" xfId="21544" xr:uid="{00000000-0005-0000-0000-000088360000}"/>
    <cellStyle name="40% - Accent4 2 2 4" xfId="8262" xr:uid="{00000000-0005-0000-0000-000089360000}"/>
    <cellStyle name="40% - Accent4 2 2 4 2" xfId="19550" xr:uid="{00000000-0005-0000-0000-00008A360000}"/>
    <cellStyle name="40% - Accent4 2 2 5" xfId="6268" xr:uid="{00000000-0005-0000-0000-00008B360000}"/>
    <cellStyle name="40% - Accent4 2 2 5 2" xfId="17556" xr:uid="{00000000-0005-0000-0000-00008C360000}"/>
    <cellStyle name="40% - Accent4 2 2 6" xfId="15562" xr:uid="{00000000-0005-0000-0000-00008D360000}"/>
    <cellStyle name="40% - Accent4 2 2 7" xfId="24374" xr:uid="{00000000-0005-0000-0000-00008E360000}"/>
    <cellStyle name="40% - Accent4 2 2 8" xfId="24838" xr:uid="{00000000-0005-0000-0000-00008F360000}"/>
    <cellStyle name="40% - Accent4 2 2 9" xfId="25205" xr:uid="{00000000-0005-0000-0000-000090360000}"/>
    <cellStyle name="40% - Accent4 2 3" xfId="11253" xr:uid="{00000000-0005-0000-0000-000091360000}"/>
    <cellStyle name="40% - Accent4 2 3 2" xfId="22541" xr:uid="{00000000-0005-0000-0000-000092360000}"/>
    <cellStyle name="40% - Accent4 2 4" xfId="9259" xr:uid="{00000000-0005-0000-0000-000093360000}"/>
    <cellStyle name="40% - Accent4 2 4 2" xfId="20547" xr:uid="{00000000-0005-0000-0000-000094360000}"/>
    <cellStyle name="40% - Accent4 2 5" xfId="7265" xr:uid="{00000000-0005-0000-0000-000095360000}"/>
    <cellStyle name="40% - Accent4 2 5 2" xfId="18553" xr:uid="{00000000-0005-0000-0000-000096360000}"/>
    <cellStyle name="40% - Accent4 2 6" xfId="5271" xr:uid="{00000000-0005-0000-0000-000097360000}"/>
    <cellStyle name="40% - Accent4 2 6 2" xfId="16559" xr:uid="{00000000-0005-0000-0000-000098360000}"/>
    <cellStyle name="40% - Accent4 2 7" xfId="14565" xr:uid="{00000000-0005-0000-0000-000099360000}"/>
    <cellStyle name="40% - Accent4 2 8" xfId="13251" xr:uid="{00000000-0005-0000-0000-00009A360000}"/>
    <cellStyle name="40% - Accent4 2 9" xfId="23986" xr:uid="{00000000-0005-0000-0000-00009B360000}"/>
    <cellStyle name="40% - Accent4 20" xfId="1316" xr:uid="{00000000-0005-0000-0000-00009C360000}"/>
    <cellStyle name="40% - Accent4 20 2" xfId="4272" xr:uid="{00000000-0005-0000-0000-00009D360000}"/>
    <cellStyle name="40% - Accent4 20 2 2" xfId="12251" xr:uid="{00000000-0005-0000-0000-00009E360000}"/>
    <cellStyle name="40% - Accent4 20 2 2 2" xfId="23539" xr:uid="{00000000-0005-0000-0000-00009F360000}"/>
    <cellStyle name="40% - Accent4 20 2 3" xfId="10257" xr:uid="{00000000-0005-0000-0000-0000A0360000}"/>
    <cellStyle name="40% - Accent4 20 2 3 2" xfId="21545" xr:uid="{00000000-0005-0000-0000-0000A1360000}"/>
    <cellStyle name="40% - Accent4 20 2 4" xfId="8263" xr:uid="{00000000-0005-0000-0000-0000A2360000}"/>
    <cellStyle name="40% - Accent4 20 2 4 2" xfId="19551" xr:uid="{00000000-0005-0000-0000-0000A3360000}"/>
    <cellStyle name="40% - Accent4 20 2 5" xfId="6269" xr:uid="{00000000-0005-0000-0000-0000A4360000}"/>
    <cellStyle name="40% - Accent4 20 2 5 2" xfId="17557" xr:uid="{00000000-0005-0000-0000-0000A5360000}"/>
    <cellStyle name="40% - Accent4 20 2 6" xfId="15563" xr:uid="{00000000-0005-0000-0000-0000A6360000}"/>
    <cellStyle name="40% - Accent4 20 3" xfId="11254" xr:uid="{00000000-0005-0000-0000-0000A7360000}"/>
    <cellStyle name="40% - Accent4 20 3 2" xfId="22542" xr:uid="{00000000-0005-0000-0000-0000A8360000}"/>
    <cellStyle name="40% - Accent4 20 4" xfId="9260" xr:uid="{00000000-0005-0000-0000-0000A9360000}"/>
    <cellStyle name="40% - Accent4 20 4 2" xfId="20548" xr:uid="{00000000-0005-0000-0000-0000AA360000}"/>
    <cellStyle name="40% - Accent4 20 5" xfId="7266" xr:uid="{00000000-0005-0000-0000-0000AB360000}"/>
    <cellStyle name="40% - Accent4 20 5 2" xfId="18554" xr:uid="{00000000-0005-0000-0000-0000AC360000}"/>
    <cellStyle name="40% - Accent4 20 6" xfId="5272" xr:uid="{00000000-0005-0000-0000-0000AD360000}"/>
    <cellStyle name="40% - Accent4 20 6 2" xfId="16560" xr:uid="{00000000-0005-0000-0000-0000AE360000}"/>
    <cellStyle name="40% - Accent4 20 7" xfId="14566" xr:uid="{00000000-0005-0000-0000-0000AF360000}"/>
    <cellStyle name="40% - Accent4 20 8" xfId="13252" xr:uid="{00000000-0005-0000-0000-0000B0360000}"/>
    <cellStyle name="40% - Accent4 21" xfId="1317" xr:uid="{00000000-0005-0000-0000-0000B1360000}"/>
    <cellStyle name="40% - Accent4 21 2" xfId="4273" xr:uid="{00000000-0005-0000-0000-0000B2360000}"/>
    <cellStyle name="40% - Accent4 21 2 2" xfId="12252" xr:uid="{00000000-0005-0000-0000-0000B3360000}"/>
    <cellStyle name="40% - Accent4 21 2 2 2" xfId="23540" xr:uid="{00000000-0005-0000-0000-0000B4360000}"/>
    <cellStyle name="40% - Accent4 21 2 3" xfId="10258" xr:uid="{00000000-0005-0000-0000-0000B5360000}"/>
    <cellStyle name="40% - Accent4 21 2 3 2" xfId="21546" xr:uid="{00000000-0005-0000-0000-0000B6360000}"/>
    <cellStyle name="40% - Accent4 21 2 4" xfId="8264" xr:uid="{00000000-0005-0000-0000-0000B7360000}"/>
    <cellStyle name="40% - Accent4 21 2 4 2" xfId="19552" xr:uid="{00000000-0005-0000-0000-0000B8360000}"/>
    <cellStyle name="40% - Accent4 21 2 5" xfId="6270" xr:uid="{00000000-0005-0000-0000-0000B9360000}"/>
    <cellStyle name="40% - Accent4 21 2 5 2" xfId="17558" xr:uid="{00000000-0005-0000-0000-0000BA360000}"/>
    <cellStyle name="40% - Accent4 21 2 6" xfId="15564" xr:uid="{00000000-0005-0000-0000-0000BB360000}"/>
    <cellStyle name="40% - Accent4 21 3" xfId="11255" xr:uid="{00000000-0005-0000-0000-0000BC360000}"/>
    <cellStyle name="40% - Accent4 21 3 2" xfId="22543" xr:uid="{00000000-0005-0000-0000-0000BD360000}"/>
    <cellStyle name="40% - Accent4 21 4" xfId="9261" xr:uid="{00000000-0005-0000-0000-0000BE360000}"/>
    <cellStyle name="40% - Accent4 21 4 2" xfId="20549" xr:uid="{00000000-0005-0000-0000-0000BF360000}"/>
    <cellStyle name="40% - Accent4 21 5" xfId="7267" xr:uid="{00000000-0005-0000-0000-0000C0360000}"/>
    <cellStyle name="40% - Accent4 21 5 2" xfId="18555" xr:uid="{00000000-0005-0000-0000-0000C1360000}"/>
    <cellStyle name="40% - Accent4 21 6" xfId="5273" xr:uid="{00000000-0005-0000-0000-0000C2360000}"/>
    <cellStyle name="40% - Accent4 21 6 2" xfId="16561" xr:uid="{00000000-0005-0000-0000-0000C3360000}"/>
    <cellStyle name="40% - Accent4 21 7" xfId="14567" xr:uid="{00000000-0005-0000-0000-0000C4360000}"/>
    <cellStyle name="40% - Accent4 21 8" xfId="13253" xr:uid="{00000000-0005-0000-0000-0000C5360000}"/>
    <cellStyle name="40% - Accent4 22" xfId="1318" xr:uid="{00000000-0005-0000-0000-0000C6360000}"/>
    <cellStyle name="40% - Accent4 22 2" xfId="4274" xr:uid="{00000000-0005-0000-0000-0000C7360000}"/>
    <cellStyle name="40% - Accent4 22 2 2" xfId="12253" xr:uid="{00000000-0005-0000-0000-0000C8360000}"/>
    <cellStyle name="40% - Accent4 22 2 2 2" xfId="23541" xr:uid="{00000000-0005-0000-0000-0000C9360000}"/>
    <cellStyle name="40% - Accent4 22 2 3" xfId="10259" xr:uid="{00000000-0005-0000-0000-0000CA360000}"/>
    <cellStyle name="40% - Accent4 22 2 3 2" xfId="21547" xr:uid="{00000000-0005-0000-0000-0000CB360000}"/>
    <cellStyle name="40% - Accent4 22 2 4" xfId="8265" xr:uid="{00000000-0005-0000-0000-0000CC360000}"/>
    <cellStyle name="40% - Accent4 22 2 4 2" xfId="19553" xr:uid="{00000000-0005-0000-0000-0000CD360000}"/>
    <cellStyle name="40% - Accent4 22 2 5" xfId="6271" xr:uid="{00000000-0005-0000-0000-0000CE360000}"/>
    <cellStyle name="40% - Accent4 22 2 5 2" xfId="17559" xr:uid="{00000000-0005-0000-0000-0000CF360000}"/>
    <cellStyle name="40% - Accent4 22 2 6" xfId="15565" xr:uid="{00000000-0005-0000-0000-0000D0360000}"/>
    <cellStyle name="40% - Accent4 22 3" xfId="11256" xr:uid="{00000000-0005-0000-0000-0000D1360000}"/>
    <cellStyle name="40% - Accent4 22 3 2" xfId="22544" xr:uid="{00000000-0005-0000-0000-0000D2360000}"/>
    <cellStyle name="40% - Accent4 22 4" xfId="9262" xr:uid="{00000000-0005-0000-0000-0000D3360000}"/>
    <cellStyle name="40% - Accent4 22 4 2" xfId="20550" xr:uid="{00000000-0005-0000-0000-0000D4360000}"/>
    <cellStyle name="40% - Accent4 22 5" xfId="7268" xr:uid="{00000000-0005-0000-0000-0000D5360000}"/>
    <cellStyle name="40% - Accent4 22 5 2" xfId="18556" xr:uid="{00000000-0005-0000-0000-0000D6360000}"/>
    <cellStyle name="40% - Accent4 22 6" xfId="5274" xr:uid="{00000000-0005-0000-0000-0000D7360000}"/>
    <cellStyle name="40% - Accent4 22 6 2" xfId="16562" xr:uid="{00000000-0005-0000-0000-0000D8360000}"/>
    <cellStyle name="40% - Accent4 22 7" xfId="14568" xr:uid="{00000000-0005-0000-0000-0000D9360000}"/>
    <cellStyle name="40% - Accent4 22 8" xfId="13254" xr:uid="{00000000-0005-0000-0000-0000DA360000}"/>
    <cellStyle name="40% - Accent4 23" xfId="1319" xr:uid="{00000000-0005-0000-0000-0000DB360000}"/>
    <cellStyle name="40% - Accent4 23 2" xfId="4275" xr:uid="{00000000-0005-0000-0000-0000DC360000}"/>
    <cellStyle name="40% - Accent4 23 2 2" xfId="12254" xr:uid="{00000000-0005-0000-0000-0000DD360000}"/>
    <cellStyle name="40% - Accent4 23 2 2 2" xfId="23542" xr:uid="{00000000-0005-0000-0000-0000DE360000}"/>
    <cellStyle name="40% - Accent4 23 2 3" xfId="10260" xr:uid="{00000000-0005-0000-0000-0000DF360000}"/>
    <cellStyle name="40% - Accent4 23 2 3 2" xfId="21548" xr:uid="{00000000-0005-0000-0000-0000E0360000}"/>
    <cellStyle name="40% - Accent4 23 2 4" xfId="8266" xr:uid="{00000000-0005-0000-0000-0000E1360000}"/>
    <cellStyle name="40% - Accent4 23 2 4 2" xfId="19554" xr:uid="{00000000-0005-0000-0000-0000E2360000}"/>
    <cellStyle name="40% - Accent4 23 2 5" xfId="6272" xr:uid="{00000000-0005-0000-0000-0000E3360000}"/>
    <cellStyle name="40% - Accent4 23 2 5 2" xfId="17560" xr:uid="{00000000-0005-0000-0000-0000E4360000}"/>
    <cellStyle name="40% - Accent4 23 2 6" xfId="15566" xr:uid="{00000000-0005-0000-0000-0000E5360000}"/>
    <cellStyle name="40% - Accent4 23 3" xfId="11257" xr:uid="{00000000-0005-0000-0000-0000E6360000}"/>
    <cellStyle name="40% - Accent4 23 3 2" xfId="22545" xr:uid="{00000000-0005-0000-0000-0000E7360000}"/>
    <cellStyle name="40% - Accent4 23 4" xfId="9263" xr:uid="{00000000-0005-0000-0000-0000E8360000}"/>
    <cellStyle name="40% - Accent4 23 4 2" xfId="20551" xr:uid="{00000000-0005-0000-0000-0000E9360000}"/>
    <cellStyle name="40% - Accent4 23 5" xfId="7269" xr:uid="{00000000-0005-0000-0000-0000EA360000}"/>
    <cellStyle name="40% - Accent4 23 5 2" xfId="18557" xr:uid="{00000000-0005-0000-0000-0000EB360000}"/>
    <cellStyle name="40% - Accent4 23 6" xfId="5275" xr:uid="{00000000-0005-0000-0000-0000EC360000}"/>
    <cellStyle name="40% - Accent4 23 6 2" xfId="16563" xr:uid="{00000000-0005-0000-0000-0000ED360000}"/>
    <cellStyle name="40% - Accent4 23 7" xfId="14569" xr:uid="{00000000-0005-0000-0000-0000EE360000}"/>
    <cellStyle name="40% - Accent4 23 8" xfId="13255" xr:uid="{00000000-0005-0000-0000-0000EF360000}"/>
    <cellStyle name="40% - Accent4 24" xfId="1320" xr:uid="{00000000-0005-0000-0000-0000F0360000}"/>
    <cellStyle name="40% - Accent4 24 2" xfId="4276" xr:uid="{00000000-0005-0000-0000-0000F1360000}"/>
    <cellStyle name="40% - Accent4 24 2 2" xfId="12255" xr:uid="{00000000-0005-0000-0000-0000F2360000}"/>
    <cellStyle name="40% - Accent4 24 2 2 2" xfId="23543" xr:uid="{00000000-0005-0000-0000-0000F3360000}"/>
    <cellStyle name="40% - Accent4 24 2 3" xfId="10261" xr:uid="{00000000-0005-0000-0000-0000F4360000}"/>
    <cellStyle name="40% - Accent4 24 2 3 2" xfId="21549" xr:uid="{00000000-0005-0000-0000-0000F5360000}"/>
    <cellStyle name="40% - Accent4 24 2 4" xfId="8267" xr:uid="{00000000-0005-0000-0000-0000F6360000}"/>
    <cellStyle name="40% - Accent4 24 2 4 2" xfId="19555" xr:uid="{00000000-0005-0000-0000-0000F7360000}"/>
    <cellStyle name="40% - Accent4 24 2 5" xfId="6273" xr:uid="{00000000-0005-0000-0000-0000F8360000}"/>
    <cellStyle name="40% - Accent4 24 2 5 2" xfId="17561" xr:uid="{00000000-0005-0000-0000-0000F9360000}"/>
    <cellStyle name="40% - Accent4 24 2 6" xfId="15567" xr:uid="{00000000-0005-0000-0000-0000FA360000}"/>
    <cellStyle name="40% - Accent4 24 3" xfId="11258" xr:uid="{00000000-0005-0000-0000-0000FB360000}"/>
    <cellStyle name="40% - Accent4 24 3 2" xfId="22546" xr:uid="{00000000-0005-0000-0000-0000FC360000}"/>
    <cellStyle name="40% - Accent4 24 4" xfId="9264" xr:uid="{00000000-0005-0000-0000-0000FD360000}"/>
    <cellStyle name="40% - Accent4 24 4 2" xfId="20552" xr:uid="{00000000-0005-0000-0000-0000FE360000}"/>
    <cellStyle name="40% - Accent4 24 5" xfId="7270" xr:uid="{00000000-0005-0000-0000-0000FF360000}"/>
    <cellStyle name="40% - Accent4 24 5 2" xfId="18558" xr:uid="{00000000-0005-0000-0000-000000370000}"/>
    <cellStyle name="40% - Accent4 24 6" xfId="5276" xr:uid="{00000000-0005-0000-0000-000001370000}"/>
    <cellStyle name="40% - Accent4 24 6 2" xfId="16564" xr:uid="{00000000-0005-0000-0000-000002370000}"/>
    <cellStyle name="40% - Accent4 24 7" xfId="14570" xr:uid="{00000000-0005-0000-0000-000003370000}"/>
    <cellStyle name="40% - Accent4 24 8" xfId="13256" xr:uid="{00000000-0005-0000-0000-000004370000}"/>
    <cellStyle name="40% - Accent4 25" xfId="1321" xr:uid="{00000000-0005-0000-0000-000005370000}"/>
    <cellStyle name="40% - Accent4 25 2" xfId="4277" xr:uid="{00000000-0005-0000-0000-000006370000}"/>
    <cellStyle name="40% - Accent4 25 2 2" xfId="12256" xr:uid="{00000000-0005-0000-0000-000007370000}"/>
    <cellStyle name="40% - Accent4 25 2 2 2" xfId="23544" xr:uid="{00000000-0005-0000-0000-000008370000}"/>
    <cellStyle name="40% - Accent4 25 2 3" xfId="10262" xr:uid="{00000000-0005-0000-0000-000009370000}"/>
    <cellStyle name="40% - Accent4 25 2 3 2" xfId="21550" xr:uid="{00000000-0005-0000-0000-00000A370000}"/>
    <cellStyle name="40% - Accent4 25 2 4" xfId="8268" xr:uid="{00000000-0005-0000-0000-00000B370000}"/>
    <cellStyle name="40% - Accent4 25 2 4 2" xfId="19556" xr:uid="{00000000-0005-0000-0000-00000C370000}"/>
    <cellStyle name="40% - Accent4 25 2 5" xfId="6274" xr:uid="{00000000-0005-0000-0000-00000D370000}"/>
    <cellStyle name="40% - Accent4 25 2 5 2" xfId="17562" xr:uid="{00000000-0005-0000-0000-00000E370000}"/>
    <cellStyle name="40% - Accent4 25 2 6" xfId="15568" xr:uid="{00000000-0005-0000-0000-00000F370000}"/>
    <cellStyle name="40% - Accent4 25 3" xfId="11259" xr:uid="{00000000-0005-0000-0000-000010370000}"/>
    <cellStyle name="40% - Accent4 25 3 2" xfId="22547" xr:uid="{00000000-0005-0000-0000-000011370000}"/>
    <cellStyle name="40% - Accent4 25 4" xfId="9265" xr:uid="{00000000-0005-0000-0000-000012370000}"/>
    <cellStyle name="40% - Accent4 25 4 2" xfId="20553" xr:uid="{00000000-0005-0000-0000-000013370000}"/>
    <cellStyle name="40% - Accent4 25 5" xfId="7271" xr:uid="{00000000-0005-0000-0000-000014370000}"/>
    <cellStyle name="40% - Accent4 25 5 2" xfId="18559" xr:uid="{00000000-0005-0000-0000-000015370000}"/>
    <cellStyle name="40% - Accent4 25 6" xfId="5277" xr:uid="{00000000-0005-0000-0000-000016370000}"/>
    <cellStyle name="40% - Accent4 25 6 2" xfId="16565" xr:uid="{00000000-0005-0000-0000-000017370000}"/>
    <cellStyle name="40% - Accent4 25 7" xfId="14571" xr:uid="{00000000-0005-0000-0000-000018370000}"/>
    <cellStyle name="40% - Accent4 25 8" xfId="13257" xr:uid="{00000000-0005-0000-0000-000019370000}"/>
    <cellStyle name="40% - Accent4 26" xfId="1322" xr:uid="{00000000-0005-0000-0000-00001A370000}"/>
    <cellStyle name="40% - Accent4 26 2" xfId="4278" xr:uid="{00000000-0005-0000-0000-00001B370000}"/>
    <cellStyle name="40% - Accent4 26 2 2" xfId="12257" xr:uid="{00000000-0005-0000-0000-00001C370000}"/>
    <cellStyle name="40% - Accent4 26 2 2 2" xfId="23545" xr:uid="{00000000-0005-0000-0000-00001D370000}"/>
    <cellStyle name="40% - Accent4 26 2 3" xfId="10263" xr:uid="{00000000-0005-0000-0000-00001E370000}"/>
    <cellStyle name="40% - Accent4 26 2 3 2" xfId="21551" xr:uid="{00000000-0005-0000-0000-00001F370000}"/>
    <cellStyle name="40% - Accent4 26 2 4" xfId="8269" xr:uid="{00000000-0005-0000-0000-000020370000}"/>
    <cellStyle name="40% - Accent4 26 2 4 2" xfId="19557" xr:uid="{00000000-0005-0000-0000-000021370000}"/>
    <cellStyle name="40% - Accent4 26 2 5" xfId="6275" xr:uid="{00000000-0005-0000-0000-000022370000}"/>
    <cellStyle name="40% - Accent4 26 2 5 2" xfId="17563" xr:uid="{00000000-0005-0000-0000-000023370000}"/>
    <cellStyle name="40% - Accent4 26 2 6" xfId="15569" xr:uid="{00000000-0005-0000-0000-000024370000}"/>
    <cellStyle name="40% - Accent4 26 3" xfId="11260" xr:uid="{00000000-0005-0000-0000-000025370000}"/>
    <cellStyle name="40% - Accent4 26 3 2" xfId="22548" xr:uid="{00000000-0005-0000-0000-000026370000}"/>
    <cellStyle name="40% - Accent4 26 4" xfId="9266" xr:uid="{00000000-0005-0000-0000-000027370000}"/>
    <cellStyle name="40% - Accent4 26 4 2" xfId="20554" xr:uid="{00000000-0005-0000-0000-000028370000}"/>
    <cellStyle name="40% - Accent4 26 5" xfId="7272" xr:uid="{00000000-0005-0000-0000-000029370000}"/>
    <cellStyle name="40% - Accent4 26 5 2" xfId="18560" xr:uid="{00000000-0005-0000-0000-00002A370000}"/>
    <cellStyle name="40% - Accent4 26 6" xfId="5278" xr:uid="{00000000-0005-0000-0000-00002B370000}"/>
    <cellStyle name="40% - Accent4 26 6 2" xfId="16566" xr:uid="{00000000-0005-0000-0000-00002C370000}"/>
    <cellStyle name="40% - Accent4 26 7" xfId="14572" xr:uid="{00000000-0005-0000-0000-00002D370000}"/>
    <cellStyle name="40% - Accent4 26 8" xfId="13258" xr:uid="{00000000-0005-0000-0000-00002E370000}"/>
    <cellStyle name="40% - Accent4 27" xfId="1323" xr:uid="{00000000-0005-0000-0000-00002F370000}"/>
    <cellStyle name="40% - Accent4 27 2" xfId="4279" xr:uid="{00000000-0005-0000-0000-000030370000}"/>
    <cellStyle name="40% - Accent4 27 2 2" xfId="12258" xr:uid="{00000000-0005-0000-0000-000031370000}"/>
    <cellStyle name="40% - Accent4 27 2 2 2" xfId="23546" xr:uid="{00000000-0005-0000-0000-000032370000}"/>
    <cellStyle name="40% - Accent4 27 2 3" xfId="10264" xr:uid="{00000000-0005-0000-0000-000033370000}"/>
    <cellStyle name="40% - Accent4 27 2 3 2" xfId="21552" xr:uid="{00000000-0005-0000-0000-000034370000}"/>
    <cellStyle name="40% - Accent4 27 2 4" xfId="8270" xr:uid="{00000000-0005-0000-0000-000035370000}"/>
    <cellStyle name="40% - Accent4 27 2 4 2" xfId="19558" xr:uid="{00000000-0005-0000-0000-000036370000}"/>
    <cellStyle name="40% - Accent4 27 2 5" xfId="6276" xr:uid="{00000000-0005-0000-0000-000037370000}"/>
    <cellStyle name="40% - Accent4 27 2 5 2" xfId="17564" xr:uid="{00000000-0005-0000-0000-000038370000}"/>
    <cellStyle name="40% - Accent4 27 2 6" xfId="15570" xr:uid="{00000000-0005-0000-0000-000039370000}"/>
    <cellStyle name="40% - Accent4 27 3" xfId="11261" xr:uid="{00000000-0005-0000-0000-00003A370000}"/>
    <cellStyle name="40% - Accent4 27 3 2" xfId="22549" xr:uid="{00000000-0005-0000-0000-00003B370000}"/>
    <cellStyle name="40% - Accent4 27 4" xfId="9267" xr:uid="{00000000-0005-0000-0000-00003C370000}"/>
    <cellStyle name="40% - Accent4 27 4 2" xfId="20555" xr:uid="{00000000-0005-0000-0000-00003D370000}"/>
    <cellStyle name="40% - Accent4 27 5" xfId="7273" xr:uid="{00000000-0005-0000-0000-00003E370000}"/>
    <cellStyle name="40% - Accent4 27 5 2" xfId="18561" xr:uid="{00000000-0005-0000-0000-00003F370000}"/>
    <cellStyle name="40% - Accent4 27 6" xfId="5279" xr:uid="{00000000-0005-0000-0000-000040370000}"/>
    <cellStyle name="40% - Accent4 27 6 2" xfId="16567" xr:uid="{00000000-0005-0000-0000-000041370000}"/>
    <cellStyle name="40% - Accent4 27 7" xfId="14573" xr:uid="{00000000-0005-0000-0000-000042370000}"/>
    <cellStyle name="40% - Accent4 27 8" xfId="13259" xr:uid="{00000000-0005-0000-0000-000043370000}"/>
    <cellStyle name="40% - Accent4 28" xfId="1324" xr:uid="{00000000-0005-0000-0000-000044370000}"/>
    <cellStyle name="40% - Accent4 28 2" xfId="4280" xr:uid="{00000000-0005-0000-0000-000045370000}"/>
    <cellStyle name="40% - Accent4 28 2 2" xfId="12259" xr:uid="{00000000-0005-0000-0000-000046370000}"/>
    <cellStyle name="40% - Accent4 28 2 2 2" xfId="23547" xr:uid="{00000000-0005-0000-0000-000047370000}"/>
    <cellStyle name="40% - Accent4 28 2 3" xfId="10265" xr:uid="{00000000-0005-0000-0000-000048370000}"/>
    <cellStyle name="40% - Accent4 28 2 3 2" xfId="21553" xr:uid="{00000000-0005-0000-0000-000049370000}"/>
    <cellStyle name="40% - Accent4 28 2 4" xfId="8271" xr:uid="{00000000-0005-0000-0000-00004A370000}"/>
    <cellStyle name="40% - Accent4 28 2 4 2" xfId="19559" xr:uid="{00000000-0005-0000-0000-00004B370000}"/>
    <cellStyle name="40% - Accent4 28 2 5" xfId="6277" xr:uid="{00000000-0005-0000-0000-00004C370000}"/>
    <cellStyle name="40% - Accent4 28 2 5 2" xfId="17565" xr:uid="{00000000-0005-0000-0000-00004D370000}"/>
    <cellStyle name="40% - Accent4 28 2 6" xfId="15571" xr:uid="{00000000-0005-0000-0000-00004E370000}"/>
    <cellStyle name="40% - Accent4 28 3" xfId="11262" xr:uid="{00000000-0005-0000-0000-00004F370000}"/>
    <cellStyle name="40% - Accent4 28 3 2" xfId="22550" xr:uid="{00000000-0005-0000-0000-000050370000}"/>
    <cellStyle name="40% - Accent4 28 4" xfId="9268" xr:uid="{00000000-0005-0000-0000-000051370000}"/>
    <cellStyle name="40% - Accent4 28 4 2" xfId="20556" xr:uid="{00000000-0005-0000-0000-000052370000}"/>
    <cellStyle name="40% - Accent4 28 5" xfId="7274" xr:uid="{00000000-0005-0000-0000-000053370000}"/>
    <cellStyle name="40% - Accent4 28 5 2" xfId="18562" xr:uid="{00000000-0005-0000-0000-000054370000}"/>
    <cellStyle name="40% - Accent4 28 6" xfId="5280" xr:uid="{00000000-0005-0000-0000-000055370000}"/>
    <cellStyle name="40% - Accent4 28 6 2" xfId="16568" xr:uid="{00000000-0005-0000-0000-000056370000}"/>
    <cellStyle name="40% - Accent4 28 7" xfId="14574" xr:uid="{00000000-0005-0000-0000-000057370000}"/>
    <cellStyle name="40% - Accent4 28 8" xfId="13260" xr:uid="{00000000-0005-0000-0000-000058370000}"/>
    <cellStyle name="40% - Accent4 29" xfId="1325" xr:uid="{00000000-0005-0000-0000-000059370000}"/>
    <cellStyle name="40% - Accent4 29 2" xfId="4281" xr:uid="{00000000-0005-0000-0000-00005A370000}"/>
    <cellStyle name="40% - Accent4 29 2 2" xfId="12260" xr:uid="{00000000-0005-0000-0000-00005B370000}"/>
    <cellStyle name="40% - Accent4 29 2 2 2" xfId="23548" xr:uid="{00000000-0005-0000-0000-00005C370000}"/>
    <cellStyle name="40% - Accent4 29 2 3" xfId="10266" xr:uid="{00000000-0005-0000-0000-00005D370000}"/>
    <cellStyle name="40% - Accent4 29 2 3 2" xfId="21554" xr:uid="{00000000-0005-0000-0000-00005E370000}"/>
    <cellStyle name="40% - Accent4 29 2 4" xfId="8272" xr:uid="{00000000-0005-0000-0000-00005F370000}"/>
    <cellStyle name="40% - Accent4 29 2 4 2" xfId="19560" xr:uid="{00000000-0005-0000-0000-000060370000}"/>
    <cellStyle name="40% - Accent4 29 2 5" xfId="6278" xr:uid="{00000000-0005-0000-0000-000061370000}"/>
    <cellStyle name="40% - Accent4 29 2 5 2" xfId="17566" xr:uid="{00000000-0005-0000-0000-000062370000}"/>
    <cellStyle name="40% - Accent4 29 2 6" xfId="15572" xr:uid="{00000000-0005-0000-0000-000063370000}"/>
    <cellStyle name="40% - Accent4 29 3" xfId="11263" xr:uid="{00000000-0005-0000-0000-000064370000}"/>
    <cellStyle name="40% - Accent4 29 3 2" xfId="22551" xr:uid="{00000000-0005-0000-0000-000065370000}"/>
    <cellStyle name="40% - Accent4 29 4" xfId="9269" xr:uid="{00000000-0005-0000-0000-000066370000}"/>
    <cellStyle name="40% - Accent4 29 4 2" xfId="20557" xr:uid="{00000000-0005-0000-0000-000067370000}"/>
    <cellStyle name="40% - Accent4 29 5" xfId="7275" xr:uid="{00000000-0005-0000-0000-000068370000}"/>
    <cellStyle name="40% - Accent4 29 5 2" xfId="18563" xr:uid="{00000000-0005-0000-0000-000069370000}"/>
    <cellStyle name="40% - Accent4 29 6" xfId="5281" xr:uid="{00000000-0005-0000-0000-00006A370000}"/>
    <cellStyle name="40% - Accent4 29 6 2" xfId="16569" xr:uid="{00000000-0005-0000-0000-00006B370000}"/>
    <cellStyle name="40% - Accent4 29 7" xfId="14575" xr:uid="{00000000-0005-0000-0000-00006C370000}"/>
    <cellStyle name="40% - Accent4 29 8" xfId="13261" xr:uid="{00000000-0005-0000-0000-00006D370000}"/>
    <cellStyle name="40% - Accent4 3" xfId="1326" xr:uid="{00000000-0005-0000-0000-00006E370000}"/>
    <cellStyle name="40% - Accent4 3 10" xfId="24614" xr:uid="{00000000-0005-0000-0000-00006F370000}"/>
    <cellStyle name="40% - Accent4 3 11" xfId="25004" xr:uid="{00000000-0005-0000-0000-000070370000}"/>
    <cellStyle name="40% - Accent4 3 2" xfId="4282" xr:uid="{00000000-0005-0000-0000-000071370000}"/>
    <cellStyle name="40% - Accent4 3 2 2" xfId="12261" xr:uid="{00000000-0005-0000-0000-000072370000}"/>
    <cellStyle name="40% - Accent4 3 2 2 2" xfId="23549" xr:uid="{00000000-0005-0000-0000-000073370000}"/>
    <cellStyle name="40% - Accent4 3 2 3" xfId="10267" xr:uid="{00000000-0005-0000-0000-000074370000}"/>
    <cellStyle name="40% - Accent4 3 2 3 2" xfId="21555" xr:uid="{00000000-0005-0000-0000-000075370000}"/>
    <cellStyle name="40% - Accent4 3 2 4" xfId="8273" xr:uid="{00000000-0005-0000-0000-000076370000}"/>
    <cellStyle name="40% - Accent4 3 2 4 2" xfId="19561" xr:uid="{00000000-0005-0000-0000-000077370000}"/>
    <cellStyle name="40% - Accent4 3 2 5" xfId="6279" xr:uid="{00000000-0005-0000-0000-000078370000}"/>
    <cellStyle name="40% - Accent4 3 2 5 2" xfId="17567" xr:uid="{00000000-0005-0000-0000-000079370000}"/>
    <cellStyle name="40% - Accent4 3 2 6" xfId="15573" xr:uid="{00000000-0005-0000-0000-00007A370000}"/>
    <cellStyle name="40% - Accent4 3 2 7" xfId="24375" xr:uid="{00000000-0005-0000-0000-00007B370000}"/>
    <cellStyle name="40% - Accent4 3 2 8" xfId="24839" xr:uid="{00000000-0005-0000-0000-00007C370000}"/>
    <cellStyle name="40% - Accent4 3 2 9" xfId="25206" xr:uid="{00000000-0005-0000-0000-00007D370000}"/>
    <cellStyle name="40% - Accent4 3 3" xfId="11264" xr:uid="{00000000-0005-0000-0000-00007E370000}"/>
    <cellStyle name="40% - Accent4 3 3 2" xfId="22552" xr:uid="{00000000-0005-0000-0000-00007F370000}"/>
    <cellStyle name="40% - Accent4 3 4" xfId="9270" xr:uid="{00000000-0005-0000-0000-000080370000}"/>
    <cellStyle name="40% - Accent4 3 4 2" xfId="20558" xr:uid="{00000000-0005-0000-0000-000081370000}"/>
    <cellStyle name="40% - Accent4 3 5" xfId="7276" xr:uid="{00000000-0005-0000-0000-000082370000}"/>
    <cellStyle name="40% - Accent4 3 5 2" xfId="18564" xr:uid="{00000000-0005-0000-0000-000083370000}"/>
    <cellStyle name="40% - Accent4 3 6" xfId="5282" xr:uid="{00000000-0005-0000-0000-000084370000}"/>
    <cellStyle name="40% - Accent4 3 6 2" xfId="16570" xr:uid="{00000000-0005-0000-0000-000085370000}"/>
    <cellStyle name="40% - Accent4 3 7" xfId="14576" xr:uid="{00000000-0005-0000-0000-000086370000}"/>
    <cellStyle name="40% - Accent4 3 8" xfId="13262" xr:uid="{00000000-0005-0000-0000-000087370000}"/>
    <cellStyle name="40% - Accent4 3 9" xfId="23987" xr:uid="{00000000-0005-0000-0000-000088370000}"/>
    <cellStyle name="40% - Accent4 30" xfId="1327" xr:uid="{00000000-0005-0000-0000-000089370000}"/>
    <cellStyle name="40% - Accent4 30 2" xfId="4283" xr:uid="{00000000-0005-0000-0000-00008A370000}"/>
    <cellStyle name="40% - Accent4 30 2 2" xfId="12262" xr:uid="{00000000-0005-0000-0000-00008B370000}"/>
    <cellStyle name="40% - Accent4 30 2 2 2" xfId="23550" xr:uid="{00000000-0005-0000-0000-00008C370000}"/>
    <cellStyle name="40% - Accent4 30 2 3" xfId="10268" xr:uid="{00000000-0005-0000-0000-00008D370000}"/>
    <cellStyle name="40% - Accent4 30 2 3 2" xfId="21556" xr:uid="{00000000-0005-0000-0000-00008E370000}"/>
    <cellStyle name="40% - Accent4 30 2 4" xfId="8274" xr:uid="{00000000-0005-0000-0000-00008F370000}"/>
    <cellStyle name="40% - Accent4 30 2 4 2" xfId="19562" xr:uid="{00000000-0005-0000-0000-000090370000}"/>
    <cellStyle name="40% - Accent4 30 2 5" xfId="6280" xr:uid="{00000000-0005-0000-0000-000091370000}"/>
    <cellStyle name="40% - Accent4 30 2 5 2" xfId="17568" xr:uid="{00000000-0005-0000-0000-000092370000}"/>
    <cellStyle name="40% - Accent4 30 2 6" xfId="15574" xr:uid="{00000000-0005-0000-0000-000093370000}"/>
    <cellStyle name="40% - Accent4 30 3" xfId="11265" xr:uid="{00000000-0005-0000-0000-000094370000}"/>
    <cellStyle name="40% - Accent4 30 3 2" xfId="22553" xr:uid="{00000000-0005-0000-0000-000095370000}"/>
    <cellStyle name="40% - Accent4 30 4" xfId="9271" xr:uid="{00000000-0005-0000-0000-000096370000}"/>
    <cellStyle name="40% - Accent4 30 4 2" xfId="20559" xr:uid="{00000000-0005-0000-0000-000097370000}"/>
    <cellStyle name="40% - Accent4 30 5" xfId="7277" xr:uid="{00000000-0005-0000-0000-000098370000}"/>
    <cellStyle name="40% - Accent4 30 5 2" xfId="18565" xr:uid="{00000000-0005-0000-0000-000099370000}"/>
    <cellStyle name="40% - Accent4 30 6" xfId="5283" xr:uid="{00000000-0005-0000-0000-00009A370000}"/>
    <cellStyle name="40% - Accent4 30 6 2" xfId="16571" xr:uid="{00000000-0005-0000-0000-00009B370000}"/>
    <cellStyle name="40% - Accent4 30 7" xfId="14577" xr:uid="{00000000-0005-0000-0000-00009C370000}"/>
    <cellStyle name="40% - Accent4 30 8" xfId="13263" xr:uid="{00000000-0005-0000-0000-00009D370000}"/>
    <cellStyle name="40% - Accent4 31" xfId="1328" xr:uid="{00000000-0005-0000-0000-00009E370000}"/>
    <cellStyle name="40% - Accent4 31 2" xfId="4284" xr:uid="{00000000-0005-0000-0000-00009F370000}"/>
    <cellStyle name="40% - Accent4 31 2 2" xfId="12263" xr:uid="{00000000-0005-0000-0000-0000A0370000}"/>
    <cellStyle name="40% - Accent4 31 2 2 2" xfId="23551" xr:uid="{00000000-0005-0000-0000-0000A1370000}"/>
    <cellStyle name="40% - Accent4 31 2 3" xfId="10269" xr:uid="{00000000-0005-0000-0000-0000A2370000}"/>
    <cellStyle name="40% - Accent4 31 2 3 2" xfId="21557" xr:uid="{00000000-0005-0000-0000-0000A3370000}"/>
    <cellStyle name="40% - Accent4 31 2 4" xfId="8275" xr:uid="{00000000-0005-0000-0000-0000A4370000}"/>
    <cellStyle name="40% - Accent4 31 2 4 2" xfId="19563" xr:uid="{00000000-0005-0000-0000-0000A5370000}"/>
    <cellStyle name="40% - Accent4 31 2 5" xfId="6281" xr:uid="{00000000-0005-0000-0000-0000A6370000}"/>
    <cellStyle name="40% - Accent4 31 2 5 2" xfId="17569" xr:uid="{00000000-0005-0000-0000-0000A7370000}"/>
    <cellStyle name="40% - Accent4 31 2 6" xfId="15575" xr:uid="{00000000-0005-0000-0000-0000A8370000}"/>
    <cellStyle name="40% - Accent4 31 3" xfId="11266" xr:uid="{00000000-0005-0000-0000-0000A9370000}"/>
    <cellStyle name="40% - Accent4 31 3 2" xfId="22554" xr:uid="{00000000-0005-0000-0000-0000AA370000}"/>
    <cellStyle name="40% - Accent4 31 4" xfId="9272" xr:uid="{00000000-0005-0000-0000-0000AB370000}"/>
    <cellStyle name="40% - Accent4 31 4 2" xfId="20560" xr:uid="{00000000-0005-0000-0000-0000AC370000}"/>
    <cellStyle name="40% - Accent4 31 5" xfId="7278" xr:uid="{00000000-0005-0000-0000-0000AD370000}"/>
    <cellStyle name="40% - Accent4 31 5 2" xfId="18566" xr:uid="{00000000-0005-0000-0000-0000AE370000}"/>
    <cellStyle name="40% - Accent4 31 6" xfId="5284" xr:uid="{00000000-0005-0000-0000-0000AF370000}"/>
    <cellStyle name="40% - Accent4 31 6 2" xfId="16572" xr:uid="{00000000-0005-0000-0000-0000B0370000}"/>
    <cellStyle name="40% - Accent4 31 7" xfId="14578" xr:uid="{00000000-0005-0000-0000-0000B1370000}"/>
    <cellStyle name="40% - Accent4 31 8" xfId="13264" xr:uid="{00000000-0005-0000-0000-0000B2370000}"/>
    <cellStyle name="40% - Accent4 32" xfId="1329" xr:uid="{00000000-0005-0000-0000-0000B3370000}"/>
    <cellStyle name="40% - Accent4 32 2" xfId="4285" xr:uid="{00000000-0005-0000-0000-0000B4370000}"/>
    <cellStyle name="40% - Accent4 32 2 2" xfId="12264" xr:uid="{00000000-0005-0000-0000-0000B5370000}"/>
    <cellStyle name="40% - Accent4 32 2 2 2" xfId="23552" xr:uid="{00000000-0005-0000-0000-0000B6370000}"/>
    <cellStyle name="40% - Accent4 32 2 3" xfId="10270" xr:uid="{00000000-0005-0000-0000-0000B7370000}"/>
    <cellStyle name="40% - Accent4 32 2 3 2" xfId="21558" xr:uid="{00000000-0005-0000-0000-0000B8370000}"/>
    <cellStyle name="40% - Accent4 32 2 4" xfId="8276" xr:uid="{00000000-0005-0000-0000-0000B9370000}"/>
    <cellStyle name="40% - Accent4 32 2 4 2" xfId="19564" xr:uid="{00000000-0005-0000-0000-0000BA370000}"/>
    <cellStyle name="40% - Accent4 32 2 5" xfId="6282" xr:uid="{00000000-0005-0000-0000-0000BB370000}"/>
    <cellStyle name="40% - Accent4 32 2 5 2" xfId="17570" xr:uid="{00000000-0005-0000-0000-0000BC370000}"/>
    <cellStyle name="40% - Accent4 32 2 6" xfId="15576" xr:uid="{00000000-0005-0000-0000-0000BD370000}"/>
    <cellStyle name="40% - Accent4 32 3" xfId="11267" xr:uid="{00000000-0005-0000-0000-0000BE370000}"/>
    <cellStyle name="40% - Accent4 32 3 2" xfId="22555" xr:uid="{00000000-0005-0000-0000-0000BF370000}"/>
    <cellStyle name="40% - Accent4 32 4" xfId="9273" xr:uid="{00000000-0005-0000-0000-0000C0370000}"/>
    <cellStyle name="40% - Accent4 32 4 2" xfId="20561" xr:uid="{00000000-0005-0000-0000-0000C1370000}"/>
    <cellStyle name="40% - Accent4 32 5" xfId="7279" xr:uid="{00000000-0005-0000-0000-0000C2370000}"/>
    <cellStyle name="40% - Accent4 32 5 2" xfId="18567" xr:uid="{00000000-0005-0000-0000-0000C3370000}"/>
    <cellStyle name="40% - Accent4 32 6" xfId="5285" xr:uid="{00000000-0005-0000-0000-0000C4370000}"/>
    <cellStyle name="40% - Accent4 32 6 2" xfId="16573" xr:uid="{00000000-0005-0000-0000-0000C5370000}"/>
    <cellStyle name="40% - Accent4 32 7" xfId="14579" xr:uid="{00000000-0005-0000-0000-0000C6370000}"/>
    <cellStyle name="40% - Accent4 32 8" xfId="13265" xr:uid="{00000000-0005-0000-0000-0000C7370000}"/>
    <cellStyle name="40% - Accent4 33" xfId="1330" xr:uid="{00000000-0005-0000-0000-0000C8370000}"/>
    <cellStyle name="40% - Accent4 33 2" xfId="4286" xr:uid="{00000000-0005-0000-0000-0000C9370000}"/>
    <cellStyle name="40% - Accent4 33 2 2" xfId="12265" xr:uid="{00000000-0005-0000-0000-0000CA370000}"/>
    <cellStyle name="40% - Accent4 33 2 2 2" xfId="23553" xr:uid="{00000000-0005-0000-0000-0000CB370000}"/>
    <cellStyle name="40% - Accent4 33 2 3" xfId="10271" xr:uid="{00000000-0005-0000-0000-0000CC370000}"/>
    <cellStyle name="40% - Accent4 33 2 3 2" xfId="21559" xr:uid="{00000000-0005-0000-0000-0000CD370000}"/>
    <cellStyle name="40% - Accent4 33 2 4" xfId="8277" xr:uid="{00000000-0005-0000-0000-0000CE370000}"/>
    <cellStyle name="40% - Accent4 33 2 4 2" xfId="19565" xr:uid="{00000000-0005-0000-0000-0000CF370000}"/>
    <cellStyle name="40% - Accent4 33 2 5" xfId="6283" xr:uid="{00000000-0005-0000-0000-0000D0370000}"/>
    <cellStyle name="40% - Accent4 33 2 5 2" xfId="17571" xr:uid="{00000000-0005-0000-0000-0000D1370000}"/>
    <cellStyle name="40% - Accent4 33 2 6" xfId="15577" xr:uid="{00000000-0005-0000-0000-0000D2370000}"/>
    <cellStyle name="40% - Accent4 33 3" xfId="11268" xr:uid="{00000000-0005-0000-0000-0000D3370000}"/>
    <cellStyle name="40% - Accent4 33 3 2" xfId="22556" xr:uid="{00000000-0005-0000-0000-0000D4370000}"/>
    <cellStyle name="40% - Accent4 33 4" xfId="9274" xr:uid="{00000000-0005-0000-0000-0000D5370000}"/>
    <cellStyle name="40% - Accent4 33 4 2" xfId="20562" xr:uid="{00000000-0005-0000-0000-0000D6370000}"/>
    <cellStyle name="40% - Accent4 33 5" xfId="7280" xr:uid="{00000000-0005-0000-0000-0000D7370000}"/>
    <cellStyle name="40% - Accent4 33 5 2" xfId="18568" xr:uid="{00000000-0005-0000-0000-0000D8370000}"/>
    <cellStyle name="40% - Accent4 33 6" xfId="5286" xr:uid="{00000000-0005-0000-0000-0000D9370000}"/>
    <cellStyle name="40% - Accent4 33 6 2" xfId="16574" xr:uid="{00000000-0005-0000-0000-0000DA370000}"/>
    <cellStyle name="40% - Accent4 33 7" xfId="14580" xr:uid="{00000000-0005-0000-0000-0000DB370000}"/>
    <cellStyle name="40% - Accent4 33 8" xfId="13266" xr:uid="{00000000-0005-0000-0000-0000DC370000}"/>
    <cellStyle name="40% - Accent4 34" xfId="1331" xr:uid="{00000000-0005-0000-0000-0000DD370000}"/>
    <cellStyle name="40% - Accent4 34 2" xfId="4287" xr:uid="{00000000-0005-0000-0000-0000DE370000}"/>
    <cellStyle name="40% - Accent4 34 2 2" xfId="12266" xr:uid="{00000000-0005-0000-0000-0000DF370000}"/>
    <cellStyle name="40% - Accent4 34 2 2 2" xfId="23554" xr:uid="{00000000-0005-0000-0000-0000E0370000}"/>
    <cellStyle name="40% - Accent4 34 2 3" xfId="10272" xr:uid="{00000000-0005-0000-0000-0000E1370000}"/>
    <cellStyle name="40% - Accent4 34 2 3 2" xfId="21560" xr:uid="{00000000-0005-0000-0000-0000E2370000}"/>
    <cellStyle name="40% - Accent4 34 2 4" xfId="8278" xr:uid="{00000000-0005-0000-0000-0000E3370000}"/>
    <cellStyle name="40% - Accent4 34 2 4 2" xfId="19566" xr:uid="{00000000-0005-0000-0000-0000E4370000}"/>
    <cellStyle name="40% - Accent4 34 2 5" xfId="6284" xr:uid="{00000000-0005-0000-0000-0000E5370000}"/>
    <cellStyle name="40% - Accent4 34 2 5 2" xfId="17572" xr:uid="{00000000-0005-0000-0000-0000E6370000}"/>
    <cellStyle name="40% - Accent4 34 2 6" xfId="15578" xr:uid="{00000000-0005-0000-0000-0000E7370000}"/>
    <cellStyle name="40% - Accent4 34 3" xfId="11269" xr:uid="{00000000-0005-0000-0000-0000E8370000}"/>
    <cellStyle name="40% - Accent4 34 3 2" xfId="22557" xr:uid="{00000000-0005-0000-0000-0000E9370000}"/>
    <cellStyle name="40% - Accent4 34 4" xfId="9275" xr:uid="{00000000-0005-0000-0000-0000EA370000}"/>
    <cellStyle name="40% - Accent4 34 4 2" xfId="20563" xr:uid="{00000000-0005-0000-0000-0000EB370000}"/>
    <cellStyle name="40% - Accent4 34 5" xfId="7281" xr:uid="{00000000-0005-0000-0000-0000EC370000}"/>
    <cellStyle name="40% - Accent4 34 5 2" xfId="18569" xr:uid="{00000000-0005-0000-0000-0000ED370000}"/>
    <cellStyle name="40% - Accent4 34 6" xfId="5287" xr:uid="{00000000-0005-0000-0000-0000EE370000}"/>
    <cellStyle name="40% - Accent4 34 6 2" xfId="16575" xr:uid="{00000000-0005-0000-0000-0000EF370000}"/>
    <cellStyle name="40% - Accent4 34 7" xfId="14581" xr:uid="{00000000-0005-0000-0000-0000F0370000}"/>
    <cellStyle name="40% - Accent4 34 8" xfId="13267" xr:uid="{00000000-0005-0000-0000-0000F1370000}"/>
    <cellStyle name="40% - Accent4 35" xfId="1332" xr:uid="{00000000-0005-0000-0000-0000F2370000}"/>
    <cellStyle name="40% - Accent4 35 2" xfId="4288" xr:uid="{00000000-0005-0000-0000-0000F3370000}"/>
    <cellStyle name="40% - Accent4 35 2 2" xfId="12267" xr:uid="{00000000-0005-0000-0000-0000F4370000}"/>
    <cellStyle name="40% - Accent4 35 2 2 2" xfId="23555" xr:uid="{00000000-0005-0000-0000-0000F5370000}"/>
    <cellStyle name="40% - Accent4 35 2 3" xfId="10273" xr:uid="{00000000-0005-0000-0000-0000F6370000}"/>
    <cellStyle name="40% - Accent4 35 2 3 2" xfId="21561" xr:uid="{00000000-0005-0000-0000-0000F7370000}"/>
    <cellStyle name="40% - Accent4 35 2 4" xfId="8279" xr:uid="{00000000-0005-0000-0000-0000F8370000}"/>
    <cellStyle name="40% - Accent4 35 2 4 2" xfId="19567" xr:uid="{00000000-0005-0000-0000-0000F9370000}"/>
    <cellStyle name="40% - Accent4 35 2 5" xfId="6285" xr:uid="{00000000-0005-0000-0000-0000FA370000}"/>
    <cellStyle name="40% - Accent4 35 2 5 2" xfId="17573" xr:uid="{00000000-0005-0000-0000-0000FB370000}"/>
    <cellStyle name="40% - Accent4 35 2 6" xfId="15579" xr:uid="{00000000-0005-0000-0000-0000FC370000}"/>
    <cellStyle name="40% - Accent4 35 3" xfId="11270" xr:uid="{00000000-0005-0000-0000-0000FD370000}"/>
    <cellStyle name="40% - Accent4 35 3 2" xfId="22558" xr:uid="{00000000-0005-0000-0000-0000FE370000}"/>
    <cellStyle name="40% - Accent4 35 4" xfId="9276" xr:uid="{00000000-0005-0000-0000-0000FF370000}"/>
    <cellStyle name="40% - Accent4 35 4 2" xfId="20564" xr:uid="{00000000-0005-0000-0000-000000380000}"/>
    <cellStyle name="40% - Accent4 35 5" xfId="7282" xr:uid="{00000000-0005-0000-0000-000001380000}"/>
    <cellStyle name="40% - Accent4 35 5 2" xfId="18570" xr:uid="{00000000-0005-0000-0000-000002380000}"/>
    <cellStyle name="40% - Accent4 35 6" xfId="5288" xr:uid="{00000000-0005-0000-0000-000003380000}"/>
    <cellStyle name="40% - Accent4 35 6 2" xfId="16576" xr:uid="{00000000-0005-0000-0000-000004380000}"/>
    <cellStyle name="40% - Accent4 35 7" xfId="14582" xr:uid="{00000000-0005-0000-0000-000005380000}"/>
    <cellStyle name="40% - Accent4 35 8" xfId="13268" xr:uid="{00000000-0005-0000-0000-000006380000}"/>
    <cellStyle name="40% - Accent4 36" xfId="1333" xr:uid="{00000000-0005-0000-0000-000007380000}"/>
    <cellStyle name="40% - Accent4 36 2" xfId="4289" xr:uid="{00000000-0005-0000-0000-000008380000}"/>
    <cellStyle name="40% - Accent4 36 2 2" xfId="12268" xr:uid="{00000000-0005-0000-0000-000009380000}"/>
    <cellStyle name="40% - Accent4 36 2 2 2" xfId="23556" xr:uid="{00000000-0005-0000-0000-00000A380000}"/>
    <cellStyle name="40% - Accent4 36 2 3" xfId="10274" xr:uid="{00000000-0005-0000-0000-00000B380000}"/>
    <cellStyle name="40% - Accent4 36 2 3 2" xfId="21562" xr:uid="{00000000-0005-0000-0000-00000C380000}"/>
    <cellStyle name="40% - Accent4 36 2 4" xfId="8280" xr:uid="{00000000-0005-0000-0000-00000D380000}"/>
    <cellStyle name="40% - Accent4 36 2 4 2" xfId="19568" xr:uid="{00000000-0005-0000-0000-00000E380000}"/>
    <cellStyle name="40% - Accent4 36 2 5" xfId="6286" xr:uid="{00000000-0005-0000-0000-00000F380000}"/>
    <cellStyle name="40% - Accent4 36 2 5 2" xfId="17574" xr:uid="{00000000-0005-0000-0000-000010380000}"/>
    <cellStyle name="40% - Accent4 36 2 6" xfId="15580" xr:uid="{00000000-0005-0000-0000-000011380000}"/>
    <cellStyle name="40% - Accent4 36 3" xfId="11271" xr:uid="{00000000-0005-0000-0000-000012380000}"/>
    <cellStyle name="40% - Accent4 36 3 2" xfId="22559" xr:uid="{00000000-0005-0000-0000-000013380000}"/>
    <cellStyle name="40% - Accent4 36 4" xfId="9277" xr:uid="{00000000-0005-0000-0000-000014380000}"/>
    <cellStyle name="40% - Accent4 36 4 2" xfId="20565" xr:uid="{00000000-0005-0000-0000-000015380000}"/>
    <cellStyle name="40% - Accent4 36 5" xfId="7283" xr:uid="{00000000-0005-0000-0000-000016380000}"/>
    <cellStyle name="40% - Accent4 36 5 2" xfId="18571" xr:uid="{00000000-0005-0000-0000-000017380000}"/>
    <cellStyle name="40% - Accent4 36 6" xfId="5289" xr:uid="{00000000-0005-0000-0000-000018380000}"/>
    <cellStyle name="40% - Accent4 36 6 2" xfId="16577" xr:uid="{00000000-0005-0000-0000-000019380000}"/>
    <cellStyle name="40% - Accent4 36 7" xfId="14583" xr:uid="{00000000-0005-0000-0000-00001A380000}"/>
    <cellStyle name="40% - Accent4 36 8" xfId="13269" xr:uid="{00000000-0005-0000-0000-00001B380000}"/>
    <cellStyle name="40% - Accent4 37" xfId="1334" xr:uid="{00000000-0005-0000-0000-00001C380000}"/>
    <cellStyle name="40% - Accent4 37 2" xfId="4290" xr:uid="{00000000-0005-0000-0000-00001D380000}"/>
    <cellStyle name="40% - Accent4 37 2 2" xfId="12269" xr:uid="{00000000-0005-0000-0000-00001E380000}"/>
    <cellStyle name="40% - Accent4 37 2 2 2" xfId="23557" xr:uid="{00000000-0005-0000-0000-00001F380000}"/>
    <cellStyle name="40% - Accent4 37 2 3" xfId="10275" xr:uid="{00000000-0005-0000-0000-000020380000}"/>
    <cellStyle name="40% - Accent4 37 2 3 2" xfId="21563" xr:uid="{00000000-0005-0000-0000-000021380000}"/>
    <cellStyle name="40% - Accent4 37 2 4" xfId="8281" xr:uid="{00000000-0005-0000-0000-000022380000}"/>
    <cellStyle name="40% - Accent4 37 2 4 2" xfId="19569" xr:uid="{00000000-0005-0000-0000-000023380000}"/>
    <cellStyle name="40% - Accent4 37 2 5" xfId="6287" xr:uid="{00000000-0005-0000-0000-000024380000}"/>
    <cellStyle name="40% - Accent4 37 2 5 2" xfId="17575" xr:uid="{00000000-0005-0000-0000-000025380000}"/>
    <cellStyle name="40% - Accent4 37 2 6" xfId="15581" xr:uid="{00000000-0005-0000-0000-000026380000}"/>
    <cellStyle name="40% - Accent4 37 3" xfId="11272" xr:uid="{00000000-0005-0000-0000-000027380000}"/>
    <cellStyle name="40% - Accent4 37 3 2" xfId="22560" xr:uid="{00000000-0005-0000-0000-000028380000}"/>
    <cellStyle name="40% - Accent4 37 4" xfId="9278" xr:uid="{00000000-0005-0000-0000-000029380000}"/>
    <cellStyle name="40% - Accent4 37 4 2" xfId="20566" xr:uid="{00000000-0005-0000-0000-00002A380000}"/>
    <cellStyle name="40% - Accent4 37 5" xfId="7284" xr:uid="{00000000-0005-0000-0000-00002B380000}"/>
    <cellStyle name="40% - Accent4 37 5 2" xfId="18572" xr:uid="{00000000-0005-0000-0000-00002C380000}"/>
    <cellStyle name="40% - Accent4 37 6" xfId="5290" xr:uid="{00000000-0005-0000-0000-00002D380000}"/>
    <cellStyle name="40% - Accent4 37 6 2" xfId="16578" xr:uid="{00000000-0005-0000-0000-00002E380000}"/>
    <cellStyle name="40% - Accent4 37 7" xfId="14584" xr:uid="{00000000-0005-0000-0000-00002F380000}"/>
    <cellStyle name="40% - Accent4 37 8" xfId="13270" xr:uid="{00000000-0005-0000-0000-000030380000}"/>
    <cellStyle name="40% - Accent4 38" xfId="1335" xr:uid="{00000000-0005-0000-0000-000031380000}"/>
    <cellStyle name="40% - Accent4 38 2" xfId="4291" xr:uid="{00000000-0005-0000-0000-000032380000}"/>
    <cellStyle name="40% - Accent4 38 2 2" xfId="12270" xr:uid="{00000000-0005-0000-0000-000033380000}"/>
    <cellStyle name="40% - Accent4 38 2 2 2" xfId="23558" xr:uid="{00000000-0005-0000-0000-000034380000}"/>
    <cellStyle name="40% - Accent4 38 2 3" xfId="10276" xr:uid="{00000000-0005-0000-0000-000035380000}"/>
    <cellStyle name="40% - Accent4 38 2 3 2" xfId="21564" xr:uid="{00000000-0005-0000-0000-000036380000}"/>
    <cellStyle name="40% - Accent4 38 2 4" xfId="8282" xr:uid="{00000000-0005-0000-0000-000037380000}"/>
    <cellStyle name="40% - Accent4 38 2 4 2" xfId="19570" xr:uid="{00000000-0005-0000-0000-000038380000}"/>
    <cellStyle name="40% - Accent4 38 2 5" xfId="6288" xr:uid="{00000000-0005-0000-0000-000039380000}"/>
    <cellStyle name="40% - Accent4 38 2 5 2" xfId="17576" xr:uid="{00000000-0005-0000-0000-00003A380000}"/>
    <cellStyle name="40% - Accent4 38 2 6" xfId="15582" xr:uid="{00000000-0005-0000-0000-00003B380000}"/>
    <cellStyle name="40% - Accent4 38 3" xfId="11273" xr:uid="{00000000-0005-0000-0000-00003C380000}"/>
    <cellStyle name="40% - Accent4 38 3 2" xfId="22561" xr:uid="{00000000-0005-0000-0000-00003D380000}"/>
    <cellStyle name="40% - Accent4 38 4" xfId="9279" xr:uid="{00000000-0005-0000-0000-00003E380000}"/>
    <cellStyle name="40% - Accent4 38 4 2" xfId="20567" xr:uid="{00000000-0005-0000-0000-00003F380000}"/>
    <cellStyle name="40% - Accent4 38 5" xfId="7285" xr:uid="{00000000-0005-0000-0000-000040380000}"/>
    <cellStyle name="40% - Accent4 38 5 2" xfId="18573" xr:uid="{00000000-0005-0000-0000-000041380000}"/>
    <cellStyle name="40% - Accent4 38 6" xfId="5291" xr:uid="{00000000-0005-0000-0000-000042380000}"/>
    <cellStyle name="40% - Accent4 38 6 2" xfId="16579" xr:uid="{00000000-0005-0000-0000-000043380000}"/>
    <cellStyle name="40% - Accent4 38 7" xfId="14585" xr:uid="{00000000-0005-0000-0000-000044380000}"/>
    <cellStyle name="40% - Accent4 38 8" xfId="13271" xr:uid="{00000000-0005-0000-0000-000045380000}"/>
    <cellStyle name="40% - Accent4 39" xfId="1336" xr:uid="{00000000-0005-0000-0000-000046380000}"/>
    <cellStyle name="40% - Accent4 39 2" xfId="4292" xr:uid="{00000000-0005-0000-0000-000047380000}"/>
    <cellStyle name="40% - Accent4 39 2 2" xfId="12271" xr:uid="{00000000-0005-0000-0000-000048380000}"/>
    <cellStyle name="40% - Accent4 39 2 2 2" xfId="23559" xr:uid="{00000000-0005-0000-0000-000049380000}"/>
    <cellStyle name="40% - Accent4 39 2 3" xfId="10277" xr:uid="{00000000-0005-0000-0000-00004A380000}"/>
    <cellStyle name="40% - Accent4 39 2 3 2" xfId="21565" xr:uid="{00000000-0005-0000-0000-00004B380000}"/>
    <cellStyle name="40% - Accent4 39 2 4" xfId="8283" xr:uid="{00000000-0005-0000-0000-00004C380000}"/>
    <cellStyle name="40% - Accent4 39 2 4 2" xfId="19571" xr:uid="{00000000-0005-0000-0000-00004D380000}"/>
    <cellStyle name="40% - Accent4 39 2 5" xfId="6289" xr:uid="{00000000-0005-0000-0000-00004E380000}"/>
    <cellStyle name="40% - Accent4 39 2 5 2" xfId="17577" xr:uid="{00000000-0005-0000-0000-00004F380000}"/>
    <cellStyle name="40% - Accent4 39 2 6" xfId="15583" xr:uid="{00000000-0005-0000-0000-000050380000}"/>
    <cellStyle name="40% - Accent4 39 3" xfId="11274" xr:uid="{00000000-0005-0000-0000-000051380000}"/>
    <cellStyle name="40% - Accent4 39 3 2" xfId="22562" xr:uid="{00000000-0005-0000-0000-000052380000}"/>
    <cellStyle name="40% - Accent4 39 4" xfId="9280" xr:uid="{00000000-0005-0000-0000-000053380000}"/>
    <cellStyle name="40% - Accent4 39 4 2" xfId="20568" xr:uid="{00000000-0005-0000-0000-000054380000}"/>
    <cellStyle name="40% - Accent4 39 5" xfId="7286" xr:uid="{00000000-0005-0000-0000-000055380000}"/>
    <cellStyle name="40% - Accent4 39 5 2" xfId="18574" xr:uid="{00000000-0005-0000-0000-000056380000}"/>
    <cellStyle name="40% - Accent4 39 6" xfId="5292" xr:uid="{00000000-0005-0000-0000-000057380000}"/>
    <cellStyle name="40% - Accent4 39 6 2" xfId="16580" xr:uid="{00000000-0005-0000-0000-000058380000}"/>
    <cellStyle name="40% - Accent4 39 7" xfId="14586" xr:uid="{00000000-0005-0000-0000-000059380000}"/>
    <cellStyle name="40% - Accent4 39 8" xfId="13272" xr:uid="{00000000-0005-0000-0000-00005A380000}"/>
    <cellStyle name="40% - Accent4 4" xfId="1337" xr:uid="{00000000-0005-0000-0000-00005B380000}"/>
    <cellStyle name="40% - Accent4 4 10" xfId="24615" xr:uid="{00000000-0005-0000-0000-00005C380000}"/>
    <cellStyle name="40% - Accent4 4 11" xfId="25005" xr:uid="{00000000-0005-0000-0000-00005D380000}"/>
    <cellStyle name="40% - Accent4 4 2" xfId="4293" xr:uid="{00000000-0005-0000-0000-00005E380000}"/>
    <cellStyle name="40% - Accent4 4 2 2" xfId="12272" xr:uid="{00000000-0005-0000-0000-00005F380000}"/>
    <cellStyle name="40% - Accent4 4 2 2 2" xfId="23560" xr:uid="{00000000-0005-0000-0000-000060380000}"/>
    <cellStyle name="40% - Accent4 4 2 3" xfId="10278" xr:uid="{00000000-0005-0000-0000-000061380000}"/>
    <cellStyle name="40% - Accent4 4 2 3 2" xfId="21566" xr:uid="{00000000-0005-0000-0000-000062380000}"/>
    <cellStyle name="40% - Accent4 4 2 4" xfId="8284" xr:uid="{00000000-0005-0000-0000-000063380000}"/>
    <cellStyle name="40% - Accent4 4 2 4 2" xfId="19572" xr:uid="{00000000-0005-0000-0000-000064380000}"/>
    <cellStyle name="40% - Accent4 4 2 5" xfId="6290" xr:uid="{00000000-0005-0000-0000-000065380000}"/>
    <cellStyle name="40% - Accent4 4 2 5 2" xfId="17578" xr:uid="{00000000-0005-0000-0000-000066380000}"/>
    <cellStyle name="40% - Accent4 4 2 6" xfId="15584" xr:uid="{00000000-0005-0000-0000-000067380000}"/>
    <cellStyle name="40% - Accent4 4 2 7" xfId="24376" xr:uid="{00000000-0005-0000-0000-000068380000}"/>
    <cellStyle name="40% - Accent4 4 2 8" xfId="24840" xr:uid="{00000000-0005-0000-0000-000069380000}"/>
    <cellStyle name="40% - Accent4 4 2 9" xfId="25207" xr:uid="{00000000-0005-0000-0000-00006A380000}"/>
    <cellStyle name="40% - Accent4 4 3" xfId="11275" xr:uid="{00000000-0005-0000-0000-00006B380000}"/>
    <cellStyle name="40% - Accent4 4 3 2" xfId="22563" xr:uid="{00000000-0005-0000-0000-00006C380000}"/>
    <cellStyle name="40% - Accent4 4 4" xfId="9281" xr:uid="{00000000-0005-0000-0000-00006D380000}"/>
    <cellStyle name="40% - Accent4 4 4 2" xfId="20569" xr:uid="{00000000-0005-0000-0000-00006E380000}"/>
    <cellStyle name="40% - Accent4 4 5" xfId="7287" xr:uid="{00000000-0005-0000-0000-00006F380000}"/>
    <cellStyle name="40% - Accent4 4 5 2" xfId="18575" xr:uid="{00000000-0005-0000-0000-000070380000}"/>
    <cellStyle name="40% - Accent4 4 6" xfId="5293" xr:uid="{00000000-0005-0000-0000-000071380000}"/>
    <cellStyle name="40% - Accent4 4 6 2" xfId="16581" xr:uid="{00000000-0005-0000-0000-000072380000}"/>
    <cellStyle name="40% - Accent4 4 7" xfId="14587" xr:uid="{00000000-0005-0000-0000-000073380000}"/>
    <cellStyle name="40% - Accent4 4 8" xfId="13273" xr:uid="{00000000-0005-0000-0000-000074380000}"/>
    <cellStyle name="40% - Accent4 4 9" xfId="23988" xr:uid="{00000000-0005-0000-0000-000075380000}"/>
    <cellStyle name="40% - Accent4 40" xfId="1338" xr:uid="{00000000-0005-0000-0000-000076380000}"/>
    <cellStyle name="40% - Accent4 40 2" xfId="4294" xr:uid="{00000000-0005-0000-0000-000077380000}"/>
    <cellStyle name="40% - Accent4 40 2 2" xfId="12273" xr:uid="{00000000-0005-0000-0000-000078380000}"/>
    <cellStyle name="40% - Accent4 40 2 2 2" xfId="23561" xr:uid="{00000000-0005-0000-0000-000079380000}"/>
    <cellStyle name="40% - Accent4 40 2 3" xfId="10279" xr:uid="{00000000-0005-0000-0000-00007A380000}"/>
    <cellStyle name="40% - Accent4 40 2 3 2" xfId="21567" xr:uid="{00000000-0005-0000-0000-00007B380000}"/>
    <cellStyle name="40% - Accent4 40 2 4" xfId="8285" xr:uid="{00000000-0005-0000-0000-00007C380000}"/>
    <cellStyle name="40% - Accent4 40 2 4 2" xfId="19573" xr:uid="{00000000-0005-0000-0000-00007D380000}"/>
    <cellStyle name="40% - Accent4 40 2 5" xfId="6291" xr:uid="{00000000-0005-0000-0000-00007E380000}"/>
    <cellStyle name="40% - Accent4 40 2 5 2" xfId="17579" xr:uid="{00000000-0005-0000-0000-00007F380000}"/>
    <cellStyle name="40% - Accent4 40 2 6" xfId="15585" xr:uid="{00000000-0005-0000-0000-000080380000}"/>
    <cellStyle name="40% - Accent4 40 3" xfId="11276" xr:uid="{00000000-0005-0000-0000-000081380000}"/>
    <cellStyle name="40% - Accent4 40 3 2" xfId="22564" xr:uid="{00000000-0005-0000-0000-000082380000}"/>
    <cellStyle name="40% - Accent4 40 4" xfId="9282" xr:uid="{00000000-0005-0000-0000-000083380000}"/>
    <cellStyle name="40% - Accent4 40 4 2" xfId="20570" xr:uid="{00000000-0005-0000-0000-000084380000}"/>
    <cellStyle name="40% - Accent4 40 5" xfId="7288" xr:uid="{00000000-0005-0000-0000-000085380000}"/>
    <cellStyle name="40% - Accent4 40 5 2" xfId="18576" xr:uid="{00000000-0005-0000-0000-000086380000}"/>
    <cellStyle name="40% - Accent4 40 6" xfId="5294" xr:uid="{00000000-0005-0000-0000-000087380000}"/>
    <cellStyle name="40% - Accent4 40 6 2" xfId="16582" xr:uid="{00000000-0005-0000-0000-000088380000}"/>
    <cellStyle name="40% - Accent4 40 7" xfId="14588" xr:uid="{00000000-0005-0000-0000-000089380000}"/>
    <cellStyle name="40% - Accent4 40 8" xfId="13274" xr:uid="{00000000-0005-0000-0000-00008A380000}"/>
    <cellStyle name="40% - Accent4 41" xfId="1339" xr:uid="{00000000-0005-0000-0000-00008B380000}"/>
    <cellStyle name="40% - Accent4 41 2" xfId="4295" xr:uid="{00000000-0005-0000-0000-00008C380000}"/>
    <cellStyle name="40% - Accent4 41 2 2" xfId="12274" xr:uid="{00000000-0005-0000-0000-00008D380000}"/>
    <cellStyle name="40% - Accent4 41 2 2 2" xfId="23562" xr:uid="{00000000-0005-0000-0000-00008E380000}"/>
    <cellStyle name="40% - Accent4 41 2 3" xfId="10280" xr:uid="{00000000-0005-0000-0000-00008F380000}"/>
    <cellStyle name="40% - Accent4 41 2 3 2" xfId="21568" xr:uid="{00000000-0005-0000-0000-000090380000}"/>
    <cellStyle name="40% - Accent4 41 2 4" xfId="8286" xr:uid="{00000000-0005-0000-0000-000091380000}"/>
    <cellStyle name="40% - Accent4 41 2 4 2" xfId="19574" xr:uid="{00000000-0005-0000-0000-000092380000}"/>
    <cellStyle name="40% - Accent4 41 2 5" xfId="6292" xr:uid="{00000000-0005-0000-0000-000093380000}"/>
    <cellStyle name="40% - Accent4 41 2 5 2" xfId="17580" xr:uid="{00000000-0005-0000-0000-000094380000}"/>
    <cellStyle name="40% - Accent4 41 2 6" xfId="15586" xr:uid="{00000000-0005-0000-0000-000095380000}"/>
    <cellStyle name="40% - Accent4 41 3" xfId="11277" xr:uid="{00000000-0005-0000-0000-000096380000}"/>
    <cellStyle name="40% - Accent4 41 3 2" xfId="22565" xr:uid="{00000000-0005-0000-0000-000097380000}"/>
    <cellStyle name="40% - Accent4 41 4" xfId="9283" xr:uid="{00000000-0005-0000-0000-000098380000}"/>
    <cellStyle name="40% - Accent4 41 4 2" xfId="20571" xr:uid="{00000000-0005-0000-0000-000099380000}"/>
    <cellStyle name="40% - Accent4 41 5" xfId="7289" xr:uid="{00000000-0005-0000-0000-00009A380000}"/>
    <cellStyle name="40% - Accent4 41 5 2" xfId="18577" xr:uid="{00000000-0005-0000-0000-00009B380000}"/>
    <cellStyle name="40% - Accent4 41 6" xfId="5295" xr:uid="{00000000-0005-0000-0000-00009C380000}"/>
    <cellStyle name="40% - Accent4 41 6 2" xfId="16583" xr:uid="{00000000-0005-0000-0000-00009D380000}"/>
    <cellStyle name="40% - Accent4 41 7" xfId="14589" xr:uid="{00000000-0005-0000-0000-00009E380000}"/>
    <cellStyle name="40% - Accent4 41 8" xfId="13275" xr:uid="{00000000-0005-0000-0000-00009F380000}"/>
    <cellStyle name="40% - Accent4 42" xfId="1340" xr:uid="{00000000-0005-0000-0000-0000A0380000}"/>
    <cellStyle name="40% - Accent4 42 2" xfId="4296" xr:uid="{00000000-0005-0000-0000-0000A1380000}"/>
    <cellStyle name="40% - Accent4 42 2 2" xfId="12275" xr:uid="{00000000-0005-0000-0000-0000A2380000}"/>
    <cellStyle name="40% - Accent4 42 2 2 2" xfId="23563" xr:uid="{00000000-0005-0000-0000-0000A3380000}"/>
    <cellStyle name="40% - Accent4 42 2 3" xfId="10281" xr:uid="{00000000-0005-0000-0000-0000A4380000}"/>
    <cellStyle name="40% - Accent4 42 2 3 2" xfId="21569" xr:uid="{00000000-0005-0000-0000-0000A5380000}"/>
    <cellStyle name="40% - Accent4 42 2 4" xfId="8287" xr:uid="{00000000-0005-0000-0000-0000A6380000}"/>
    <cellStyle name="40% - Accent4 42 2 4 2" xfId="19575" xr:uid="{00000000-0005-0000-0000-0000A7380000}"/>
    <cellStyle name="40% - Accent4 42 2 5" xfId="6293" xr:uid="{00000000-0005-0000-0000-0000A8380000}"/>
    <cellStyle name="40% - Accent4 42 2 5 2" xfId="17581" xr:uid="{00000000-0005-0000-0000-0000A9380000}"/>
    <cellStyle name="40% - Accent4 42 2 6" xfId="15587" xr:uid="{00000000-0005-0000-0000-0000AA380000}"/>
    <cellStyle name="40% - Accent4 42 3" xfId="11278" xr:uid="{00000000-0005-0000-0000-0000AB380000}"/>
    <cellStyle name="40% - Accent4 42 3 2" xfId="22566" xr:uid="{00000000-0005-0000-0000-0000AC380000}"/>
    <cellStyle name="40% - Accent4 42 4" xfId="9284" xr:uid="{00000000-0005-0000-0000-0000AD380000}"/>
    <cellStyle name="40% - Accent4 42 4 2" xfId="20572" xr:uid="{00000000-0005-0000-0000-0000AE380000}"/>
    <cellStyle name="40% - Accent4 42 5" xfId="7290" xr:uid="{00000000-0005-0000-0000-0000AF380000}"/>
    <cellStyle name="40% - Accent4 42 5 2" xfId="18578" xr:uid="{00000000-0005-0000-0000-0000B0380000}"/>
    <cellStyle name="40% - Accent4 42 6" xfId="5296" xr:uid="{00000000-0005-0000-0000-0000B1380000}"/>
    <cellStyle name="40% - Accent4 42 6 2" xfId="16584" xr:uid="{00000000-0005-0000-0000-0000B2380000}"/>
    <cellStyle name="40% - Accent4 42 7" xfId="14590" xr:uid="{00000000-0005-0000-0000-0000B3380000}"/>
    <cellStyle name="40% - Accent4 42 8" xfId="13276" xr:uid="{00000000-0005-0000-0000-0000B4380000}"/>
    <cellStyle name="40% - Accent4 43" xfId="1341" xr:uid="{00000000-0005-0000-0000-0000B5380000}"/>
    <cellStyle name="40% - Accent4 43 2" xfId="4297" xr:uid="{00000000-0005-0000-0000-0000B6380000}"/>
    <cellStyle name="40% - Accent4 43 2 2" xfId="12276" xr:uid="{00000000-0005-0000-0000-0000B7380000}"/>
    <cellStyle name="40% - Accent4 43 2 2 2" xfId="23564" xr:uid="{00000000-0005-0000-0000-0000B8380000}"/>
    <cellStyle name="40% - Accent4 43 2 3" xfId="10282" xr:uid="{00000000-0005-0000-0000-0000B9380000}"/>
    <cellStyle name="40% - Accent4 43 2 3 2" xfId="21570" xr:uid="{00000000-0005-0000-0000-0000BA380000}"/>
    <cellStyle name="40% - Accent4 43 2 4" xfId="8288" xr:uid="{00000000-0005-0000-0000-0000BB380000}"/>
    <cellStyle name="40% - Accent4 43 2 4 2" xfId="19576" xr:uid="{00000000-0005-0000-0000-0000BC380000}"/>
    <cellStyle name="40% - Accent4 43 2 5" xfId="6294" xr:uid="{00000000-0005-0000-0000-0000BD380000}"/>
    <cellStyle name="40% - Accent4 43 2 5 2" xfId="17582" xr:uid="{00000000-0005-0000-0000-0000BE380000}"/>
    <cellStyle name="40% - Accent4 43 2 6" xfId="15588" xr:uid="{00000000-0005-0000-0000-0000BF380000}"/>
    <cellStyle name="40% - Accent4 43 3" xfId="11279" xr:uid="{00000000-0005-0000-0000-0000C0380000}"/>
    <cellStyle name="40% - Accent4 43 3 2" xfId="22567" xr:uid="{00000000-0005-0000-0000-0000C1380000}"/>
    <cellStyle name="40% - Accent4 43 4" xfId="9285" xr:uid="{00000000-0005-0000-0000-0000C2380000}"/>
    <cellStyle name="40% - Accent4 43 4 2" xfId="20573" xr:uid="{00000000-0005-0000-0000-0000C3380000}"/>
    <cellStyle name="40% - Accent4 43 5" xfId="7291" xr:uid="{00000000-0005-0000-0000-0000C4380000}"/>
    <cellStyle name="40% - Accent4 43 5 2" xfId="18579" xr:uid="{00000000-0005-0000-0000-0000C5380000}"/>
    <cellStyle name="40% - Accent4 43 6" xfId="5297" xr:uid="{00000000-0005-0000-0000-0000C6380000}"/>
    <cellStyle name="40% - Accent4 43 6 2" xfId="16585" xr:uid="{00000000-0005-0000-0000-0000C7380000}"/>
    <cellStyle name="40% - Accent4 43 7" xfId="14591" xr:uid="{00000000-0005-0000-0000-0000C8380000}"/>
    <cellStyle name="40% - Accent4 43 8" xfId="13277" xr:uid="{00000000-0005-0000-0000-0000C9380000}"/>
    <cellStyle name="40% - Accent4 44" xfId="1342" xr:uid="{00000000-0005-0000-0000-0000CA380000}"/>
    <cellStyle name="40% - Accent4 44 2" xfId="4298" xr:uid="{00000000-0005-0000-0000-0000CB380000}"/>
    <cellStyle name="40% - Accent4 44 2 2" xfId="12277" xr:uid="{00000000-0005-0000-0000-0000CC380000}"/>
    <cellStyle name="40% - Accent4 44 2 2 2" xfId="23565" xr:uid="{00000000-0005-0000-0000-0000CD380000}"/>
    <cellStyle name="40% - Accent4 44 2 3" xfId="10283" xr:uid="{00000000-0005-0000-0000-0000CE380000}"/>
    <cellStyle name="40% - Accent4 44 2 3 2" xfId="21571" xr:uid="{00000000-0005-0000-0000-0000CF380000}"/>
    <cellStyle name="40% - Accent4 44 2 4" xfId="8289" xr:uid="{00000000-0005-0000-0000-0000D0380000}"/>
    <cellStyle name="40% - Accent4 44 2 4 2" xfId="19577" xr:uid="{00000000-0005-0000-0000-0000D1380000}"/>
    <cellStyle name="40% - Accent4 44 2 5" xfId="6295" xr:uid="{00000000-0005-0000-0000-0000D2380000}"/>
    <cellStyle name="40% - Accent4 44 2 5 2" xfId="17583" xr:uid="{00000000-0005-0000-0000-0000D3380000}"/>
    <cellStyle name="40% - Accent4 44 2 6" xfId="15589" xr:uid="{00000000-0005-0000-0000-0000D4380000}"/>
    <cellStyle name="40% - Accent4 44 3" xfId="11280" xr:uid="{00000000-0005-0000-0000-0000D5380000}"/>
    <cellStyle name="40% - Accent4 44 3 2" xfId="22568" xr:uid="{00000000-0005-0000-0000-0000D6380000}"/>
    <cellStyle name="40% - Accent4 44 4" xfId="9286" xr:uid="{00000000-0005-0000-0000-0000D7380000}"/>
    <cellStyle name="40% - Accent4 44 4 2" xfId="20574" xr:uid="{00000000-0005-0000-0000-0000D8380000}"/>
    <cellStyle name="40% - Accent4 44 5" xfId="7292" xr:uid="{00000000-0005-0000-0000-0000D9380000}"/>
    <cellStyle name="40% - Accent4 44 5 2" xfId="18580" xr:uid="{00000000-0005-0000-0000-0000DA380000}"/>
    <cellStyle name="40% - Accent4 44 6" xfId="5298" xr:uid="{00000000-0005-0000-0000-0000DB380000}"/>
    <cellStyle name="40% - Accent4 44 6 2" xfId="16586" xr:uid="{00000000-0005-0000-0000-0000DC380000}"/>
    <cellStyle name="40% - Accent4 44 7" xfId="14592" xr:uid="{00000000-0005-0000-0000-0000DD380000}"/>
    <cellStyle name="40% - Accent4 44 8" xfId="13278" xr:uid="{00000000-0005-0000-0000-0000DE380000}"/>
    <cellStyle name="40% - Accent4 45" xfId="1343" xr:uid="{00000000-0005-0000-0000-0000DF380000}"/>
    <cellStyle name="40% - Accent4 45 2" xfId="4299" xr:uid="{00000000-0005-0000-0000-0000E0380000}"/>
    <cellStyle name="40% - Accent4 45 2 2" xfId="12278" xr:uid="{00000000-0005-0000-0000-0000E1380000}"/>
    <cellStyle name="40% - Accent4 45 2 2 2" xfId="23566" xr:uid="{00000000-0005-0000-0000-0000E2380000}"/>
    <cellStyle name="40% - Accent4 45 2 3" xfId="10284" xr:uid="{00000000-0005-0000-0000-0000E3380000}"/>
    <cellStyle name="40% - Accent4 45 2 3 2" xfId="21572" xr:uid="{00000000-0005-0000-0000-0000E4380000}"/>
    <cellStyle name="40% - Accent4 45 2 4" xfId="8290" xr:uid="{00000000-0005-0000-0000-0000E5380000}"/>
    <cellStyle name="40% - Accent4 45 2 4 2" xfId="19578" xr:uid="{00000000-0005-0000-0000-0000E6380000}"/>
    <cellStyle name="40% - Accent4 45 2 5" xfId="6296" xr:uid="{00000000-0005-0000-0000-0000E7380000}"/>
    <cellStyle name="40% - Accent4 45 2 5 2" xfId="17584" xr:uid="{00000000-0005-0000-0000-0000E8380000}"/>
    <cellStyle name="40% - Accent4 45 2 6" xfId="15590" xr:uid="{00000000-0005-0000-0000-0000E9380000}"/>
    <cellStyle name="40% - Accent4 45 3" xfId="11281" xr:uid="{00000000-0005-0000-0000-0000EA380000}"/>
    <cellStyle name="40% - Accent4 45 3 2" xfId="22569" xr:uid="{00000000-0005-0000-0000-0000EB380000}"/>
    <cellStyle name="40% - Accent4 45 4" xfId="9287" xr:uid="{00000000-0005-0000-0000-0000EC380000}"/>
    <cellStyle name="40% - Accent4 45 4 2" xfId="20575" xr:uid="{00000000-0005-0000-0000-0000ED380000}"/>
    <cellStyle name="40% - Accent4 45 5" xfId="7293" xr:uid="{00000000-0005-0000-0000-0000EE380000}"/>
    <cellStyle name="40% - Accent4 45 5 2" xfId="18581" xr:uid="{00000000-0005-0000-0000-0000EF380000}"/>
    <cellStyle name="40% - Accent4 45 6" xfId="5299" xr:uid="{00000000-0005-0000-0000-0000F0380000}"/>
    <cellStyle name="40% - Accent4 45 6 2" xfId="16587" xr:uid="{00000000-0005-0000-0000-0000F1380000}"/>
    <cellStyle name="40% - Accent4 45 7" xfId="14593" xr:uid="{00000000-0005-0000-0000-0000F2380000}"/>
    <cellStyle name="40% - Accent4 45 8" xfId="13279" xr:uid="{00000000-0005-0000-0000-0000F3380000}"/>
    <cellStyle name="40% - Accent4 46" xfId="1344" xr:uid="{00000000-0005-0000-0000-0000F4380000}"/>
    <cellStyle name="40% - Accent4 46 2" xfId="4300" xr:uid="{00000000-0005-0000-0000-0000F5380000}"/>
    <cellStyle name="40% - Accent4 46 2 2" xfId="12279" xr:uid="{00000000-0005-0000-0000-0000F6380000}"/>
    <cellStyle name="40% - Accent4 46 2 2 2" xfId="23567" xr:uid="{00000000-0005-0000-0000-0000F7380000}"/>
    <cellStyle name="40% - Accent4 46 2 3" xfId="10285" xr:uid="{00000000-0005-0000-0000-0000F8380000}"/>
    <cellStyle name="40% - Accent4 46 2 3 2" xfId="21573" xr:uid="{00000000-0005-0000-0000-0000F9380000}"/>
    <cellStyle name="40% - Accent4 46 2 4" xfId="8291" xr:uid="{00000000-0005-0000-0000-0000FA380000}"/>
    <cellStyle name="40% - Accent4 46 2 4 2" xfId="19579" xr:uid="{00000000-0005-0000-0000-0000FB380000}"/>
    <cellStyle name="40% - Accent4 46 2 5" xfId="6297" xr:uid="{00000000-0005-0000-0000-0000FC380000}"/>
    <cellStyle name="40% - Accent4 46 2 5 2" xfId="17585" xr:uid="{00000000-0005-0000-0000-0000FD380000}"/>
    <cellStyle name="40% - Accent4 46 2 6" xfId="15591" xr:uid="{00000000-0005-0000-0000-0000FE380000}"/>
    <cellStyle name="40% - Accent4 46 3" xfId="11282" xr:uid="{00000000-0005-0000-0000-0000FF380000}"/>
    <cellStyle name="40% - Accent4 46 3 2" xfId="22570" xr:uid="{00000000-0005-0000-0000-000000390000}"/>
    <cellStyle name="40% - Accent4 46 4" xfId="9288" xr:uid="{00000000-0005-0000-0000-000001390000}"/>
    <cellStyle name="40% - Accent4 46 4 2" xfId="20576" xr:uid="{00000000-0005-0000-0000-000002390000}"/>
    <cellStyle name="40% - Accent4 46 5" xfId="7294" xr:uid="{00000000-0005-0000-0000-000003390000}"/>
    <cellStyle name="40% - Accent4 46 5 2" xfId="18582" xr:uid="{00000000-0005-0000-0000-000004390000}"/>
    <cellStyle name="40% - Accent4 46 6" xfId="5300" xr:uid="{00000000-0005-0000-0000-000005390000}"/>
    <cellStyle name="40% - Accent4 46 6 2" xfId="16588" xr:uid="{00000000-0005-0000-0000-000006390000}"/>
    <cellStyle name="40% - Accent4 46 7" xfId="14594" xr:uid="{00000000-0005-0000-0000-000007390000}"/>
    <cellStyle name="40% - Accent4 46 8" xfId="13280" xr:uid="{00000000-0005-0000-0000-000008390000}"/>
    <cellStyle name="40% - Accent4 47" xfId="1345" xr:uid="{00000000-0005-0000-0000-000009390000}"/>
    <cellStyle name="40% - Accent4 47 2" xfId="4301" xr:uid="{00000000-0005-0000-0000-00000A390000}"/>
    <cellStyle name="40% - Accent4 47 2 2" xfId="12280" xr:uid="{00000000-0005-0000-0000-00000B390000}"/>
    <cellStyle name="40% - Accent4 47 2 2 2" xfId="23568" xr:uid="{00000000-0005-0000-0000-00000C390000}"/>
    <cellStyle name="40% - Accent4 47 2 3" xfId="10286" xr:uid="{00000000-0005-0000-0000-00000D390000}"/>
    <cellStyle name="40% - Accent4 47 2 3 2" xfId="21574" xr:uid="{00000000-0005-0000-0000-00000E390000}"/>
    <cellStyle name="40% - Accent4 47 2 4" xfId="8292" xr:uid="{00000000-0005-0000-0000-00000F390000}"/>
    <cellStyle name="40% - Accent4 47 2 4 2" xfId="19580" xr:uid="{00000000-0005-0000-0000-000010390000}"/>
    <cellStyle name="40% - Accent4 47 2 5" xfId="6298" xr:uid="{00000000-0005-0000-0000-000011390000}"/>
    <cellStyle name="40% - Accent4 47 2 5 2" xfId="17586" xr:uid="{00000000-0005-0000-0000-000012390000}"/>
    <cellStyle name="40% - Accent4 47 2 6" xfId="15592" xr:uid="{00000000-0005-0000-0000-000013390000}"/>
    <cellStyle name="40% - Accent4 47 3" xfId="11283" xr:uid="{00000000-0005-0000-0000-000014390000}"/>
    <cellStyle name="40% - Accent4 47 3 2" xfId="22571" xr:uid="{00000000-0005-0000-0000-000015390000}"/>
    <cellStyle name="40% - Accent4 47 4" xfId="9289" xr:uid="{00000000-0005-0000-0000-000016390000}"/>
    <cellStyle name="40% - Accent4 47 4 2" xfId="20577" xr:uid="{00000000-0005-0000-0000-000017390000}"/>
    <cellStyle name="40% - Accent4 47 5" xfId="7295" xr:uid="{00000000-0005-0000-0000-000018390000}"/>
    <cellStyle name="40% - Accent4 47 5 2" xfId="18583" xr:uid="{00000000-0005-0000-0000-000019390000}"/>
    <cellStyle name="40% - Accent4 47 6" xfId="5301" xr:uid="{00000000-0005-0000-0000-00001A390000}"/>
    <cellStyle name="40% - Accent4 47 6 2" xfId="16589" xr:uid="{00000000-0005-0000-0000-00001B390000}"/>
    <cellStyle name="40% - Accent4 47 7" xfId="14595" xr:uid="{00000000-0005-0000-0000-00001C390000}"/>
    <cellStyle name="40% - Accent4 47 8" xfId="13281" xr:uid="{00000000-0005-0000-0000-00001D390000}"/>
    <cellStyle name="40% - Accent4 48" xfId="1346" xr:uid="{00000000-0005-0000-0000-00001E390000}"/>
    <cellStyle name="40% - Accent4 48 2" xfId="4302" xr:uid="{00000000-0005-0000-0000-00001F390000}"/>
    <cellStyle name="40% - Accent4 48 2 2" xfId="12281" xr:uid="{00000000-0005-0000-0000-000020390000}"/>
    <cellStyle name="40% - Accent4 48 2 2 2" xfId="23569" xr:uid="{00000000-0005-0000-0000-000021390000}"/>
    <cellStyle name="40% - Accent4 48 2 3" xfId="10287" xr:uid="{00000000-0005-0000-0000-000022390000}"/>
    <cellStyle name="40% - Accent4 48 2 3 2" xfId="21575" xr:uid="{00000000-0005-0000-0000-000023390000}"/>
    <cellStyle name="40% - Accent4 48 2 4" xfId="8293" xr:uid="{00000000-0005-0000-0000-000024390000}"/>
    <cellStyle name="40% - Accent4 48 2 4 2" xfId="19581" xr:uid="{00000000-0005-0000-0000-000025390000}"/>
    <cellStyle name="40% - Accent4 48 2 5" xfId="6299" xr:uid="{00000000-0005-0000-0000-000026390000}"/>
    <cellStyle name="40% - Accent4 48 2 5 2" xfId="17587" xr:uid="{00000000-0005-0000-0000-000027390000}"/>
    <cellStyle name="40% - Accent4 48 2 6" xfId="15593" xr:uid="{00000000-0005-0000-0000-000028390000}"/>
    <cellStyle name="40% - Accent4 48 3" xfId="11284" xr:uid="{00000000-0005-0000-0000-000029390000}"/>
    <cellStyle name="40% - Accent4 48 3 2" xfId="22572" xr:uid="{00000000-0005-0000-0000-00002A390000}"/>
    <cellStyle name="40% - Accent4 48 4" xfId="9290" xr:uid="{00000000-0005-0000-0000-00002B390000}"/>
    <cellStyle name="40% - Accent4 48 4 2" xfId="20578" xr:uid="{00000000-0005-0000-0000-00002C390000}"/>
    <cellStyle name="40% - Accent4 48 5" xfId="7296" xr:uid="{00000000-0005-0000-0000-00002D390000}"/>
    <cellStyle name="40% - Accent4 48 5 2" xfId="18584" xr:uid="{00000000-0005-0000-0000-00002E390000}"/>
    <cellStyle name="40% - Accent4 48 6" xfId="5302" xr:uid="{00000000-0005-0000-0000-00002F390000}"/>
    <cellStyle name="40% - Accent4 48 6 2" xfId="16590" xr:uid="{00000000-0005-0000-0000-000030390000}"/>
    <cellStyle name="40% - Accent4 48 7" xfId="14596" xr:uid="{00000000-0005-0000-0000-000031390000}"/>
    <cellStyle name="40% - Accent4 48 8" xfId="13282" xr:uid="{00000000-0005-0000-0000-000032390000}"/>
    <cellStyle name="40% - Accent4 49" xfId="1347" xr:uid="{00000000-0005-0000-0000-000033390000}"/>
    <cellStyle name="40% - Accent4 49 2" xfId="4303" xr:uid="{00000000-0005-0000-0000-000034390000}"/>
    <cellStyle name="40% - Accent4 49 2 2" xfId="12282" xr:uid="{00000000-0005-0000-0000-000035390000}"/>
    <cellStyle name="40% - Accent4 49 2 2 2" xfId="23570" xr:uid="{00000000-0005-0000-0000-000036390000}"/>
    <cellStyle name="40% - Accent4 49 2 3" xfId="10288" xr:uid="{00000000-0005-0000-0000-000037390000}"/>
    <cellStyle name="40% - Accent4 49 2 3 2" xfId="21576" xr:uid="{00000000-0005-0000-0000-000038390000}"/>
    <cellStyle name="40% - Accent4 49 2 4" xfId="8294" xr:uid="{00000000-0005-0000-0000-000039390000}"/>
    <cellStyle name="40% - Accent4 49 2 4 2" xfId="19582" xr:uid="{00000000-0005-0000-0000-00003A390000}"/>
    <cellStyle name="40% - Accent4 49 2 5" xfId="6300" xr:uid="{00000000-0005-0000-0000-00003B390000}"/>
    <cellStyle name="40% - Accent4 49 2 5 2" xfId="17588" xr:uid="{00000000-0005-0000-0000-00003C390000}"/>
    <cellStyle name="40% - Accent4 49 2 6" xfId="15594" xr:uid="{00000000-0005-0000-0000-00003D390000}"/>
    <cellStyle name="40% - Accent4 49 3" xfId="11285" xr:uid="{00000000-0005-0000-0000-00003E390000}"/>
    <cellStyle name="40% - Accent4 49 3 2" xfId="22573" xr:uid="{00000000-0005-0000-0000-00003F390000}"/>
    <cellStyle name="40% - Accent4 49 4" xfId="9291" xr:uid="{00000000-0005-0000-0000-000040390000}"/>
    <cellStyle name="40% - Accent4 49 4 2" xfId="20579" xr:uid="{00000000-0005-0000-0000-000041390000}"/>
    <cellStyle name="40% - Accent4 49 5" xfId="7297" xr:uid="{00000000-0005-0000-0000-000042390000}"/>
    <cellStyle name="40% - Accent4 49 5 2" xfId="18585" xr:uid="{00000000-0005-0000-0000-000043390000}"/>
    <cellStyle name="40% - Accent4 49 6" xfId="5303" xr:uid="{00000000-0005-0000-0000-000044390000}"/>
    <cellStyle name="40% - Accent4 49 6 2" xfId="16591" xr:uid="{00000000-0005-0000-0000-000045390000}"/>
    <cellStyle name="40% - Accent4 49 7" xfId="14597" xr:uid="{00000000-0005-0000-0000-000046390000}"/>
    <cellStyle name="40% - Accent4 49 8" xfId="13283" xr:uid="{00000000-0005-0000-0000-000047390000}"/>
    <cellStyle name="40% - Accent4 5" xfId="1348" xr:uid="{00000000-0005-0000-0000-000048390000}"/>
    <cellStyle name="40% - Accent4 5 10" xfId="24616" xr:uid="{00000000-0005-0000-0000-000049390000}"/>
    <cellStyle name="40% - Accent4 5 11" xfId="25006" xr:uid="{00000000-0005-0000-0000-00004A390000}"/>
    <cellStyle name="40% - Accent4 5 2" xfId="4304" xr:uid="{00000000-0005-0000-0000-00004B390000}"/>
    <cellStyle name="40% - Accent4 5 2 2" xfId="12283" xr:uid="{00000000-0005-0000-0000-00004C390000}"/>
    <cellStyle name="40% - Accent4 5 2 2 2" xfId="23571" xr:uid="{00000000-0005-0000-0000-00004D390000}"/>
    <cellStyle name="40% - Accent4 5 2 3" xfId="10289" xr:uid="{00000000-0005-0000-0000-00004E390000}"/>
    <cellStyle name="40% - Accent4 5 2 3 2" xfId="21577" xr:uid="{00000000-0005-0000-0000-00004F390000}"/>
    <cellStyle name="40% - Accent4 5 2 4" xfId="8295" xr:uid="{00000000-0005-0000-0000-000050390000}"/>
    <cellStyle name="40% - Accent4 5 2 4 2" xfId="19583" xr:uid="{00000000-0005-0000-0000-000051390000}"/>
    <cellStyle name="40% - Accent4 5 2 5" xfId="6301" xr:uid="{00000000-0005-0000-0000-000052390000}"/>
    <cellStyle name="40% - Accent4 5 2 5 2" xfId="17589" xr:uid="{00000000-0005-0000-0000-000053390000}"/>
    <cellStyle name="40% - Accent4 5 2 6" xfId="15595" xr:uid="{00000000-0005-0000-0000-000054390000}"/>
    <cellStyle name="40% - Accent4 5 2 7" xfId="24377" xr:uid="{00000000-0005-0000-0000-000055390000}"/>
    <cellStyle name="40% - Accent4 5 2 8" xfId="24841" xr:uid="{00000000-0005-0000-0000-000056390000}"/>
    <cellStyle name="40% - Accent4 5 2 9" xfId="25208" xr:uid="{00000000-0005-0000-0000-000057390000}"/>
    <cellStyle name="40% - Accent4 5 3" xfId="11286" xr:uid="{00000000-0005-0000-0000-000058390000}"/>
    <cellStyle name="40% - Accent4 5 3 2" xfId="22574" xr:uid="{00000000-0005-0000-0000-000059390000}"/>
    <cellStyle name="40% - Accent4 5 4" xfId="9292" xr:uid="{00000000-0005-0000-0000-00005A390000}"/>
    <cellStyle name="40% - Accent4 5 4 2" xfId="20580" xr:uid="{00000000-0005-0000-0000-00005B390000}"/>
    <cellStyle name="40% - Accent4 5 5" xfId="7298" xr:uid="{00000000-0005-0000-0000-00005C390000}"/>
    <cellStyle name="40% - Accent4 5 5 2" xfId="18586" xr:uid="{00000000-0005-0000-0000-00005D390000}"/>
    <cellStyle name="40% - Accent4 5 6" xfId="5304" xr:uid="{00000000-0005-0000-0000-00005E390000}"/>
    <cellStyle name="40% - Accent4 5 6 2" xfId="16592" xr:uid="{00000000-0005-0000-0000-00005F390000}"/>
    <cellStyle name="40% - Accent4 5 7" xfId="14598" xr:uid="{00000000-0005-0000-0000-000060390000}"/>
    <cellStyle name="40% - Accent4 5 8" xfId="13284" xr:uid="{00000000-0005-0000-0000-000061390000}"/>
    <cellStyle name="40% - Accent4 5 9" xfId="23989" xr:uid="{00000000-0005-0000-0000-000062390000}"/>
    <cellStyle name="40% - Accent4 50" xfId="1349" xr:uid="{00000000-0005-0000-0000-000063390000}"/>
    <cellStyle name="40% - Accent4 50 2" xfId="4305" xr:uid="{00000000-0005-0000-0000-000064390000}"/>
    <cellStyle name="40% - Accent4 50 2 2" xfId="12284" xr:uid="{00000000-0005-0000-0000-000065390000}"/>
    <cellStyle name="40% - Accent4 50 2 2 2" xfId="23572" xr:uid="{00000000-0005-0000-0000-000066390000}"/>
    <cellStyle name="40% - Accent4 50 2 3" xfId="10290" xr:uid="{00000000-0005-0000-0000-000067390000}"/>
    <cellStyle name="40% - Accent4 50 2 3 2" xfId="21578" xr:uid="{00000000-0005-0000-0000-000068390000}"/>
    <cellStyle name="40% - Accent4 50 2 4" xfId="8296" xr:uid="{00000000-0005-0000-0000-000069390000}"/>
    <cellStyle name="40% - Accent4 50 2 4 2" xfId="19584" xr:uid="{00000000-0005-0000-0000-00006A390000}"/>
    <cellStyle name="40% - Accent4 50 2 5" xfId="6302" xr:uid="{00000000-0005-0000-0000-00006B390000}"/>
    <cellStyle name="40% - Accent4 50 2 5 2" xfId="17590" xr:uid="{00000000-0005-0000-0000-00006C390000}"/>
    <cellStyle name="40% - Accent4 50 2 6" xfId="15596" xr:uid="{00000000-0005-0000-0000-00006D390000}"/>
    <cellStyle name="40% - Accent4 50 3" xfId="11287" xr:uid="{00000000-0005-0000-0000-00006E390000}"/>
    <cellStyle name="40% - Accent4 50 3 2" xfId="22575" xr:uid="{00000000-0005-0000-0000-00006F390000}"/>
    <cellStyle name="40% - Accent4 50 4" xfId="9293" xr:uid="{00000000-0005-0000-0000-000070390000}"/>
    <cellStyle name="40% - Accent4 50 4 2" xfId="20581" xr:uid="{00000000-0005-0000-0000-000071390000}"/>
    <cellStyle name="40% - Accent4 50 5" xfId="7299" xr:uid="{00000000-0005-0000-0000-000072390000}"/>
    <cellStyle name="40% - Accent4 50 5 2" xfId="18587" xr:uid="{00000000-0005-0000-0000-000073390000}"/>
    <cellStyle name="40% - Accent4 50 6" xfId="5305" xr:uid="{00000000-0005-0000-0000-000074390000}"/>
    <cellStyle name="40% - Accent4 50 6 2" xfId="16593" xr:uid="{00000000-0005-0000-0000-000075390000}"/>
    <cellStyle name="40% - Accent4 50 7" xfId="14599" xr:uid="{00000000-0005-0000-0000-000076390000}"/>
    <cellStyle name="40% - Accent4 50 8" xfId="13285" xr:uid="{00000000-0005-0000-0000-000077390000}"/>
    <cellStyle name="40% - Accent4 51" xfId="1350" xr:uid="{00000000-0005-0000-0000-000078390000}"/>
    <cellStyle name="40% - Accent4 51 2" xfId="4306" xr:uid="{00000000-0005-0000-0000-000079390000}"/>
    <cellStyle name="40% - Accent4 51 2 2" xfId="12285" xr:uid="{00000000-0005-0000-0000-00007A390000}"/>
    <cellStyle name="40% - Accent4 51 2 2 2" xfId="23573" xr:uid="{00000000-0005-0000-0000-00007B390000}"/>
    <cellStyle name="40% - Accent4 51 2 3" xfId="10291" xr:uid="{00000000-0005-0000-0000-00007C390000}"/>
    <cellStyle name="40% - Accent4 51 2 3 2" xfId="21579" xr:uid="{00000000-0005-0000-0000-00007D390000}"/>
    <cellStyle name="40% - Accent4 51 2 4" xfId="8297" xr:uid="{00000000-0005-0000-0000-00007E390000}"/>
    <cellStyle name="40% - Accent4 51 2 4 2" xfId="19585" xr:uid="{00000000-0005-0000-0000-00007F390000}"/>
    <cellStyle name="40% - Accent4 51 2 5" xfId="6303" xr:uid="{00000000-0005-0000-0000-000080390000}"/>
    <cellStyle name="40% - Accent4 51 2 5 2" xfId="17591" xr:uid="{00000000-0005-0000-0000-000081390000}"/>
    <cellStyle name="40% - Accent4 51 2 6" xfId="15597" xr:uid="{00000000-0005-0000-0000-000082390000}"/>
    <cellStyle name="40% - Accent4 51 3" xfId="11288" xr:uid="{00000000-0005-0000-0000-000083390000}"/>
    <cellStyle name="40% - Accent4 51 3 2" xfId="22576" xr:uid="{00000000-0005-0000-0000-000084390000}"/>
    <cellStyle name="40% - Accent4 51 4" xfId="9294" xr:uid="{00000000-0005-0000-0000-000085390000}"/>
    <cellStyle name="40% - Accent4 51 4 2" xfId="20582" xr:uid="{00000000-0005-0000-0000-000086390000}"/>
    <cellStyle name="40% - Accent4 51 5" xfId="7300" xr:uid="{00000000-0005-0000-0000-000087390000}"/>
    <cellStyle name="40% - Accent4 51 5 2" xfId="18588" xr:uid="{00000000-0005-0000-0000-000088390000}"/>
    <cellStyle name="40% - Accent4 51 6" xfId="5306" xr:uid="{00000000-0005-0000-0000-000089390000}"/>
    <cellStyle name="40% - Accent4 51 6 2" xfId="16594" xr:uid="{00000000-0005-0000-0000-00008A390000}"/>
    <cellStyle name="40% - Accent4 51 7" xfId="14600" xr:uid="{00000000-0005-0000-0000-00008B390000}"/>
    <cellStyle name="40% - Accent4 51 8" xfId="13286" xr:uid="{00000000-0005-0000-0000-00008C390000}"/>
    <cellStyle name="40% - Accent4 52" xfId="1351" xr:uid="{00000000-0005-0000-0000-00008D390000}"/>
    <cellStyle name="40% - Accent4 52 2" xfId="4307" xr:uid="{00000000-0005-0000-0000-00008E390000}"/>
    <cellStyle name="40% - Accent4 52 2 2" xfId="12286" xr:uid="{00000000-0005-0000-0000-00008F390000}"/>
    <cellStyle name="40% - Accent4 52 2 2 2" xfId="23574" xr:uid="{00000000-0005-0000-0000-000090390000}"/>
    <cellStyle name="40% - Accent4 52 2 3" xfId="10292" xr:uid="{00000000-0005-0000-0000-000091390000}"/>
    <cellStyle name="40% - Accent4 52 2 3 2" xfId="21580" xr:uid="{00000000-0005-0000-0000-000092390000}"/>
    <cellStyle name="40% - Accent4 52 2 4" xfId="8298" xr:uid="{00000000-0005-0000-0000-000093390000}"/>
    <cellStyle name="40% - Accent4 52 2 4 2" xfId="19586" xr:uid="{00000000-0005-0000-0000-000094390000}"/>
    <cellStyle name="40% - Accent4 52 2 5" xfId="6304" xr:uid="{00000000-0005-0000-0000-000095390000}"/>
    <cellStyle name="40% - Accent4 52 2 5 2" xfId="17592" xr:uid="{00000000-0005-0000-0000-000096390000}"/>
    <cellStyle name="40% - Accent4 52 2 6" xfId="15598" xr:uid="{00000000-0005-0000-0000-000097390000}"/>
    <cellStyle name="40% - Accent4 52 3" xfId="11289" xr:uid="{00000000-0005-0000-0000-000098390000}"/>
    <cellStyle name="40% - Accent4 52 3 2" xfId="22577" xr:uid="{00000000-0005-0000-0000-000099390000}"/>
    <cellStyle name="40% - Accent4 52 4" xfId="9295" xr:uid="{00000000-0005-0000-0000-00009A390000}"/>
    <cellStyle name="40% - Accent4 52 4 2" xfId="20583" xr:uid="{00000000-0005-0000-0000-00009B390000}"/>
    <cellStyle name="40% - Accent4 52 5" xfId="7301" xr:uid="{00000000-0005-0000-0000-00009C390000}"/>
    <cellStyle name="40% - Accent4 52 5 2" xfId="18589" xr:uid="{00000000-0005-0000-0000-00009D390000}"/>
    <cellStyle name="40% - Accent4 52 6" xfId="5307" xr:uid="{00000000-0005-0000-0000-00009E390000}"/>
    <cellStyle name="40% - Accent4 52 6 2" xfId="16595" xr:uid="{00000000-0005-0000-0000-00009F390000}"/>
    <cellStyle name="40% - Accent4 52 7" xfId="14601" xr:uid="{00000000-0005-0000-0000-0000A0390000}"/>
    <cellStyle name="40% - Accent4 52 8" xfId="13287" xr:uid="{00000000-0005-0000-0000-0000A1390000}"/>
    <cellStyle name="40% - Accent4 53" xfId="1352" xr:uid="{00000000-0005-0000-0000-0000A2390000}"/>
    <cellStyle name="40% - Accent4 53 2" xfId="4308" xr:uid="{00000000-0005-0000-0000-0000A3390000}"/>
    <cellStyle name="40% - Accent4 53 2 2" xfId="12287" xr:uid="{00000000-0005-0000-0000-0000A4390000}"/>
    <cellStyle name="40% - Accent4 53 2 2 2" xfId="23575" xr:uid="{00000000-0005-0000-0000-0000A5390000}"/>
    <cellStyle name="40% - Accent4 53 2 3" xfId="10293" xr:uid="{00000000-0005-0000-0000-0000A6390000}"/>
    <cellStyle name="40% - Accent4 53 2 3 2" xfId="21581" xr:uid="{00000000-0005-0000-0000-0000A7390000}"/>
    <cellStyle name="40% - Accent4 53 2 4" xfId="8299" xr:uid="{00000000-0005-0000-0000-0000A8390000}"/>
    <cellStyle name="40% - Accent4 53 2 4 2" xfId="19587" xr:uid="{00000000-0005-0000-0000-0000A9390000}"/>
    <cellStyle name="40% - Accent4 53 2 5" xfId="6305" xr:uid="{00000000-0005-0000-0000-0000AA390000}"/>
    <cellStyle name="40% - Accent4 53 2 5 2" xfId="17593" xr:uid="{00000000-0005-0000-0000-0000AB390000}"/>
    <cellStyle name="40% - Accent4 53 2 6" xfId="15599" xr:uid="{00000000-0005-0000-0000-0000AC390000}"/>
    <cellStyle name="40% - Accent4 53 3" xfId="11290" xr:uid="{00000000-0005-0000-0000-0000AD390000}"/>
    <cellStyle name="40% - Accent4 53 3 2" xfId="22578" xr:uid="{00000000-0005-0000-0000-0000AE390000}"/>
    <cellStyle name="40% - Accent4 53 4" xfId="9296" xr:uid="{00000000-0005-0000-0000-0000AF390000}"/>
    <cellStyle name="40% - Accent4 53 4 2" xfId="20584" xr:uid="{00000000-0005-0000-0000-0000B0390000}"/>
    <cellStyle name="40% - Accent4 53 5" xfId="7302" xr:uid="{00000000-0005-0000-0000-0000B1390000}"/>
    <cellStyle name="40% - Accent4 53 5 2" xfId="18590" xr:uid="{00000000-0005-0000-0000-0000B2390000}"/>
    <cellStyle name="40% - Accent4 53 6" xfId="5308" xr:uid="{00000000-0005-0000-0000-0000B3390000}"/>
    <cellStyle name="40% - Accent4 53 6 2" xfId="16596" xr:uid="{00000000-0005-0000-0000-0000B4390000}"/>
    <cellStyle name="40% - Accent4 53 7" xfId="14602" xr:uid="{00000000-0005-0000-0000-0000B5390000}"/>
    <cellStyle name="40% - Accent4 53 8" xfId="13288" xr:uid="{00000000-0005-0000-0000-0000B6390000}"/>
    <cellStyle name="40% - Accent4 54" xfId="1353" xr:uid="{00000000-0005-0000-0000-0000B7390000}"/>
    <cellStyle name="40% - Accent4 54 2" xfId="4309" xr:uid="{00000000-0005-0000-0000-0000B8390000}"/>
    <cellStyle name="40% - Accent4 54 2 2" xfId="12288" xr:uid="{00000000-0005-0000-0000-0000B9390000}"/>
    <cellStyle name="40% - Accent4 54 2 2 2" xfId="23576" xr:uid="{00000000-0005-0000-0000-0000BA390000}"/>
    <cellStyle name="40% - Accent4 54 2 3" xfId="10294" xr:uid="{00000000-0005-0000-0000-0000BB390000}"/>
    <cellStyle name="40% - Accent4 54 2 3 2" xfId="21582" xr:uid="{00000000-0005-0000-0000-0000BC390000}"/>
    <cellStyle name="40% - Accent4 54 2 4" xfId="8300" xr:uid="{00000000-0005-0000-0000-0000BD390000}"/>
    <cellStyle name="40% - Accent4 54 2 4 2" xfId="19588" xr:uid="{00000000-0005-0000-0000-0000BE390000}"/>
    <cellStyle name="40% - Accent4 54 2 5" xfId="6306" xr:uid="{00000000-0005-0000-0000-0000BF390000}"/>
    <cellStyle name="40% - Accent4 54 2 5 2" xfId="17594" xr:uid="{00000000-0005-0000-0000-0000C0390000}"/>
    <cellStyle name="40% - Accent4 54 2 6" xfId="15600" xr:uid="{00000000-0005-0000-0000-0000C1390000}"/>
    <cellStyle name="40% - Accent4 54 3" xfId="11291" xr:uid="{00000000-0005-0000-0000-0000C2390000}"/>
    <cellStyle name="40% - Accent4 54 3 2" xfId="22579" xr:uid="{00000000-0005-0000-0000-0000C3390000}"/>
    <cellStyle name="40% - Accent4 54 4" xfId="9297" xr:uid="{00000000-0005-0000-0000-0000C4390000}"/>
    <cellStyle name="40% - Accent4 54 4 2" xfId="20585" xr:uid="{00000000-0005-0000-0000-0000C5390000}"/>
    <cellStyle name="40% - Accent4 54 5" xfId="7303" xr:uid="{00000000-0005-0000-0000-0000C6390000}"/>
    <cellStyle name="40% - Accent4 54 5 2" xfId="18591" xr:uid="{00000000-0005-0000-0000-0000C7390000}"/>
    <cellStyle name="40% - Accent4 54 6" xfId="5309" xr:uid="{00000000-0005-0000-0000-0000C8390000}"/>
    <cellStyle name="40% - Accent4 54 6 2" xfId="16597" xr:uid="{00000000-0005-0000-0000-0000C9390000}"/>
    <cellStyle name="40% - Accent4 54 7" xfId="14603" xr:uid="{00000000-0005-0000-0000-0000CA390000}"/>
    <cellStyle name="40% - Accent4 54 8" xfId="13289" xr:uid="{00000000-0005-0000-0000-0000CB390000}"/>
    <cellStyle name="40% - Accent4 55" xfId="1354" xr:uid="{00000000-0005-0000-0000-0000CC390000}"/>
    <cellStyle name="40% - Accent4 55 2" xfId="4310" xr:uid="{00000000-0005-0000-0000-0000CD390000}"/>
    <cellStyle name="40% - Accent4 55 2 2" xfId="12289" xr:uid="{00000000-0005-0000-0000-0000CE390000}"/>
    <cellStyle name="40% - Accent4 55 2 2 2" xfId="23577" xr:uid="{00000000-0005-0000-0000-0000CF390000}"/>
    <cellStyle name="40% - Accent4 55 2 3" xfId="10295" xr:uid="{00000000-0005-0000-0000-0000D0390000}"/>
    <cellStyle name="40% - Accent4 55 2 3 2" xfId="21583" xr:uid="{00000000-0005-0000-0000-0000D1390000}"/>
    <cellStyle name="40% - Accent4 55 2 4" xfId="8301" xr:uid="{00000000-0005-0000-0000-0000D2390000}"/>
    <cellStyle name="40% - Accent4 55 2 4 2" xfId="19589" xr:uid="{00000000-0005-0000-0000-0000D3390000}"/>
    <cellStyle name="40% - Accent4 55 2 5" xfId="6307" xr:uid="{00000000-0005-0000-0000-0000D4390000}"/>
    <cellStyle name="40% - Accent4 55 2 5 2" xfId="17595" xr:uid="{00000000-0005-0000-0000-0000D5390000}"/>
    <cellStyle name="40% - Accent4 55 2 6" xfId="15601" xr:uid="{00000000-0005-0000-0000-0000D6390000}"/>
    <cellStyle name="40% - Accent4 55 3" xfId="11292" xr:uid="{00000000-0005-0000-0000-0000D7390000}"/>
    <cellStyle name="40% - Accent4 55 3 2" xfId="22580" xr:uid="{00000000-0005-0000-0000-0000D8390000}"/>
    <cellStyle name="40% - Accent4 55 4" xfId="9298" xr:uid="{00000000-0005-0000-0000-0000D9390000}"/>
    <cellStyle name="40% - Accent4 55 4 2" xfId="20586" xr:uid="{00000000-0005-0000-0000-0000DA390000}"/>
    <cellStyle name="40% - Accent4 55 5" xfId="7304" xr:uid="{00000000-0005-0000-0000-0000DB390000}"/>
    <cellStyle name="40% - Accent4 55 5 2" xfId="18592" xr:uid="{00000000-0005-0000-0000-0000DC390000}"/>
    <cellStyle name="40% - Accent4 55 6" xfId="5310" xr:uid="{00000000-0005-0000-0000-0000DD390000}"/>
    <cellStyle name="40% - Accent4 55 6 2" xfId="16598" xr:uid="{00000000-0005-0000-0000-0000DE390000}"/>
    <cellStyle name="40% - Accent4 55 7" xfId="14604" xr:uid="{00000000-0005-0000-0000-0000DF390000}"/>
    <cellStyle name="40% - Accent4 55 8" xfId="13290" xr:uid="{00000000-0005-0000-0000-0000E0390000}"/>
    <cellStyle name="40% - Accent4 56" xfId="1355" xr:uid="{00000000-0005-0000-0000-0000E1390000}"/>
    <cellStyle name="40% - Accent4 56 2" xfId="4311" xr:uid="{00000000-0005-0000-0000-0000E2390000}"/>
    <cellStyle name="40% - Accent4 56 2 2" xfId="12290" xr:uid="{00000000-0005-0000-0000-0000E3390000}"/>
    <cellStyle name="40% - Accent4 56 2 2 2" xfId="23578" xr:uid="{00000000-0005-0000-0000-0000E4390000}"/>
    <cellStyle name="40% - Accent4 56 2 3" xfId="10296" xr:uid="{00000000-0005-0000-0000-0000E5390000}"/>
    <cellStyle name="40% - Accent4 56 2 3 2" xfId="21584" xr:uid="{00000000-0005-0000-0000-0000E6390000}"/>
    <cellStyle name="40% - Accent4 56 2 4" xfId="8302" xr:uid="{00000000-0005-0000-0000-0000E7390000}"/>
    <cellStyle name="40% - Accent4 56 2 4 2" xfId="19590" xr:uid="{00000000-0005-0000-0000-0000E8390000}"/>
    <cellStyle name="40% - Accent4 56 2 5" xfId="6308" xr:uid="{00000000-0005-0000-0000-0000E9390000}"/>
    <cellStyle name="40% - Accent4 56 2 5 2" xfId="17596" xr:uid="{00000000-0005-0000-0000-0000EA390000}"/>
    <cellStyle name="40% - Accent4 56 2 6" xfId="15602" xr:uid="{00000000-0005-0000-0000-0000EB390000}"/>
    <cellStyle name="40% - Accent4 56 3" xfId="11293" xr:uid="{00000000-0005-0000-0000-0000EC390000}"/>
    <cellStyle name="40% - Accent4 56 3 2" xfId="22581" xr:uid="{00000000-0005-0000-0000-0000ED390000}"/>
    <cellStyle name="40% - Accent4 56 4" xfId="9299" xr:uid="{00000000-0005-0000-0000-0000EE390000}"/>
    <cellStyle name="40% - Accent4 56 4 2" xfId="20587" xr:uid="{00000000-0005-0000-0000-0000EF390000}"/>
    <cellStyle name="40% - Accent4 56 5" xfId="7305" xr:uid="{00000000-0005-0000-0000-0000F0390000}"/>
    <cellStyle name="40% - Accent4 56 5 2" xfId="18593" xr:uid="{00000000-0005-0000-0000-0000F1390000}"/>
    <cellStyle name="40% - Accent4 56 6" xfId="5311" xr:uid="{00000000-0005-0000-0000-0000F2390000}"/>
    <cellStyle name="40% - Accent4 56 6 2" xfId="16599" xr:uid="{00000000-0005-0000-0000-0000F3390000}"/>
    <cellStyle name="40% - Accent4 56 7" xfId="14605" xr:uid="{00000000-0005-0000-0000-0000F4390000}"/>
    <cellStyle name="40% - Accent4 56 8" xfId="13291" xr:uid="{00000000-0005-0000-0000-0000F5390000}"/>
    <cellStyle name="40% - Accent4 57" xfId="1356" xr:uid="{00000000-0005-0000-0000-0000F6390000}"/>
    <cellStyle name="40% - Accent4 57 2" xfId="4312" xr:uid="{00000000-0005-0000-0000-0000F7390000}"/>
    <cellStyle name="40% - Accent4 57 2 2" xfId="12291" xr:uid="{00000000-0005-0000-0000-0000F8390000}"/>
    <cellStyle name="40% - Accent4 57 2 2 2" xfId="23579" xr:uid="{00000000-0005-0000-0000-0000F9390000}"/>
    <cellStyle name="40% - Accent4 57 2 3" xfId="10297" xr:uid="{00000000-0005-0000-0000-0000FA390000}"/>
    <cellStyle name="40% - Accent4 57 2 3 2" xfId="21585" xr:uid="{00000000-0005-0000-0000-0000FB390000}"/>
    <cellStyle name="40% - Accent4 57 2 4" xfId="8303" xr:uid="{00000000-0005-0000-0000-0000FC390000}"/>
    <cellStyle name="40% - Accent4 57 2 4 2" xfId="19591" xr:uid="{00000000-0005-0000-0000-0000FD390000}"/>
    <cellStyle name="40% - Accent4 57 2 5" xfId="6309" xr:uid="{00000000-0005-0000-0000-0000FE390000}"/>
    <cellStyle name="40% - Accent4 57 2 5 2" xfId="17597" xr:uid="{00000000-0005-0000-0000-0000FF390000}"/>
    <cellStyle name="40% - Accent4 57 2 6" xfId="15603" xr:uid="{00000000-0005-0000-0000-0000003A0000}"/>
    <cellStyle name="40% - Accent4 57 3" xfId="11294" xr:uid="{00000000-0005-0000-0000-0000013A0000}"/>
    <cellStyle name="40% - Accent4 57 3 2" xfId="22582" xr:uid="{00000000-0005-0000-0000-0000023A0000}"/>
    <cellStyle name="40% - Accent4 57 4" xfId="9300" xr:uid="{00000000-0005-0000-0000-0000033A0000}"/>
    <cellStyle name="40% - Accent4 57 4 2" xfId="20588" xr:uid="{00000000-0005-0000-0000-0000043A0000}"/>
    <cellStyle name="40% - Accent4 57 5" xfId="7306" xr:uid="{00000000-0005-0000-0000-0000053A0000}"/>
    <cellStyle name="40% - Accent4 57 5 2" xfId="18594" xr:uid="{00000000-0005-0000-0000-0000063A0000}"/>
    <cellStyle name="40% - Accent4 57 6" xfId="5312" xr:uid="{00000000-0005-0000-0000-0000073A0000}"/>
    <cellStyle name="40% - Accent4 57 6 2" xfId="16600" xr:uid="{00000000-0005-0000-0000-0000083A0000}"/>
    <cellStyle name="40% - Accent4 57 7" xfId="14606" xr:uid="{00000000-0005-0000-0000-0000093A0000}"/>
    <cellStyle name="40% - Accent4 57 8" xfId="13292" xr:uid="{00000000-0005-0000-0000-00000A3A0000}"/>
    <cellStyle name="40% - Accent4 58" xfId="1357" xr:uid="{00000000-0005-0000-0000-00000B3A0000}"/>
    <cellStyle name="40% - Accent4 58 2" xfId="4313" xr:uid="{00000000-0005-0000-0000-00000C3A0000}"/>
    <cellStyle name="40% - Accent4 58 2 2" xfId="12292" xr:uid="{00000000-0005-0000-0000-00000D3A0000}"/>
    <cellStyle name="40% - Accent4 58 2 2 2" xfId="23580" xr:uid="{00000000-0005-0000-0000-00000E3A0000}"/>
    <cellStyle name="40% - Accent4 58 2 3" xfId="10298" xr:uid="{00000000-0005-0000-0000-00000F3A0000}"/>
    <cellStyle name="40% - Accent4 58 2 3 2" xfId="21586" xr:uid="{00000000-0005-0000-0000-0000103A0000}"/>
    <cellStyle name="40% - Accent4 58 2 4" xfId="8304" xr:uid="{00000000-0005-0000-0000-0000113A0000}"/>
    <cellStyle name="40% - Accent4 58 2 4 2" xfId="19592" xr:uid="{00000000-0005-0000-0000-0000123A0000}"/>
    <cellStyle name="40% - Accent4 58 2 5" xfId="6310" xr:uid="{00000000-0005-0000-0000-0000133A0000}"/>
    <cellStyle name="40% - Accent4 58 2 5 2" xfId="17598" xr:uid="{00000000-0005-0000-0000-0000143A0000}"/>
    <cellStyle name="40% - Accent4 58 2 6" xfId="15604" xr:uid="{00000000-0005-0000-0000-0000153A0000}"/>
    <cellStyle name="40% - Accent4 58 3" xfId="11295" xr:uid="{00000000-0005-0000-0000-0000163A0000}"/>
    <cellStyle name="40% - Accent4 58 3 2" xfId="22583" xr:uid="{00000000-0005-0000-0000-0000173A0000}"/>
    <cellStyle name="40% - Accent4 58 4" xfId="9301" xr:uid="{00000000-0005-0000-0000-0000183A0000}"/>
    <cellStyle name="40% - Accent4 58 4 2" xfId="20589" xr:uid="{00000000-0005-0000-0000-0000193A0000}"/>
    <cellStyle name="40% - Accent4 58 5" xfId="7307" xr:uid="{00000000-0005-0000-0000-00001A3A0000}"/>
    <cellStyle name="40% - Accent4 58 5 2" xfId="18595" xr:uid="{00000000-0005-0000-0000-00001B3A0000}"/>
    <cellStyle name="40% - Accent4 58 6" xfId="5313" xr:uid="{00000000-0005-0000-0000-00001C3A0000}"/>
    <cellStyle name="40% - Accent4 58 6 2" xfId="16601" xr:uid="{00000000-0005-0000-0000-00001D3A0000}"/>
    <cellStyle name="40% - Accent4 58 7" xfId="14607" xr:uid="{00000000-0005-0000-0000-00001E3A0000}"/>
    <cellStyle name="40% - Accent4 58 8" xfId="13293" xr:uid="{00000000-0005-0000-0000-00001F3A0000}"/>
    <cellStyle name="40% - Accent4 59" xfId="1358" xr:uid="{00000000-0005-0000-0000-0000203A0000}"/>
    <cellStyle name="40% - Accent4 59 2" xfId="4314" xr:uid="{00000000-0005-0000-0000-0000213A0000}"/>
    <cellStyle name="40% - Accent4 59 2 2" xfId="12293" xr:uid="{00000000-0005-0000-0000-0000223A0000}"/>
    <cellStyle name="40% - Accent4 59 2 2 2" xfId="23581" xr:uid="{00000000-0005-0000-0000-0000233A0000}"/>
    <cellStyle name="40% - Accent4 59 2 3" xfId="10299" xr:uid="{00000000-0005-0000-0000-0000243A0000}"/>
    <cellStyle name="40% - Accent4 59 2 3 2" xfId="21587" xr:uid="{00000000-0005-0000-0000-0000253A0000}"/>
    <cellStyle name="40% - Accent4 59 2 4" xfId="8305" xr:uid="{00000000-0005-0000-0000-0000263A0000}"/>
    <cellStyle name="40% - Accent4 59 2 4 2" xfId="19593" xr:uid="{00000000-0005-0000-0000-0000273A0000}"/>
    <cellStyle name="40% - Accent4 59 2 5" xfId="6311" xr:uid="{00000000-0005-0000-0000-0000283A0000}"/>
    <cellStyle name="40% - Accent4 59 2 5 2" xfId="17599" xr:uid="{00000000-0005-0000-0000-0000293A0000}"/>
    <cellStyle name="40% - Accent4 59 2 6" xfId="15605" xr:uid="{00000000-0005-0000-0000-00002A3A0000}"/>
    <cellStyle name="40% - Accent4 59 3" xfId="11296" xr:uid="{00000000-0005-0000-0000-00002B3A0000}"/>
    <cellStyle name="40% - Accent4 59 3 2" xfId="22584" xr:uid="{00000000-0005-0000-0000-00002C3A0000}"/>
    <cellStyle name="40% - Accent4 59 4" xfId="9302" xr:uid="{00000000-0005-0000-0000-00002D3A0000}"/>
    <cellStyle name="40% - Accent4 59 4 2" xfId="20590" xr:uid="{00000000-0005-0000-0000-00002E3A0000}"/>
    <cellStyle name="40% - Accent4 59 5" xfId="7308" xr:uid="{00000000-0005-0000-0000-00002F3A0000}"/>
    <cellStyle name="40% - Accent4 59 5 2" xfId="18596" xr:uid="{00000000-0005-0000-0000-0000303A0000}"/>
    <cellStyle name="40% - Accent4 59 6" xfId="5314" xr:uid="{00000000-0005-0000-0000-0000313A0000}"/>
    <cellStyle name="40% - Accent4 59 6 2" xfId="16602" xr:uid="{00000000-0005-0000-0000-0000323A0000}"/>
    <cellStyle name="40% - Accent4 59 7" xfId="14608" xr:uid="{00000000-0005-0000-0000-0000333A0000}"/>
    <cellStyle name="40% - Accent4 59 8" xfId="13294" xr:uid="{00000000-0005-0000-0000-0000343A0000}"/>
    <cellStyle name="40% - Accent4 6" xfId="1359" xr:uid="{00000000-0005-0000-0000-0000353A0000}"/>
    <cellStyle name="40% - Accent4 6 10" xfId="24617" xr:uid="{00000000-0005-0000-0000-0000363A0000}"/>
    <cellStyle name="40% - Accent4 6 11" xfId="25007" xr:uid="{00000000-0005-0000-0000-0000373A0000}"/>
    <cellStyle name="40% - Accent4 6 2" xfId="4315" xr:uid="{00000000-0005-0000-0000-0000383A0000}"/>
    <cellStyle name="40% - Accent4 6 2 2" xfId="12294" xr:uid="{00000000-0005-0000-0000-0000393A0000}"/>
    <cellStyle name="40% - Accent4 6 2 2 2" xfId="23582" xr:uid="{00000000-0005-0000-0000-00003A3A0000}"/>
    <cellStyle name="40% - Accent4 6 2 3" xfId="10300" xr:uid="{00000000-0005-0000-0000-00003B3A0000}"/>
    <cellStyle name="40% - Accent4 6 2 3 2" xfId="21588" xr:uid="{00000000-0005-0000-0000-00003C3A0000}"/>
    <cellStyle name="40% - Accent4 6 2 4" xfId="8306" xr:uid="{00000000-0005-0000-0000-00003D3A0000}"/>
    <cellStyle name="40% - Accent4 6 2 4 2" xfId="19594" xr:uid="{00000000-0005-0000-0000-00003E3A0000}"/>
    <cellStyle name="40% - Accent4 6 2 5" xfId="6312" xr:uid="{00000000-0005-0000-0000-00003F3A0000}"/>
    <cellStyle name="40% - Accent4 6 2 5 2" xfId="17600" xr:uid="{00000000-0005-0000-0000-0000403A0000}"/>
    <cellStyle name="40% - Accent4 6 2 6" xfId="15606" xr:uid="{00000000-0005-0000-0000-0000413A0000}"/>
    <cellStyle name="40% - Accent4 6 2 7" xfId="24378" xr:uid="{00000000-0005-0000-0000-0000423A0000}"/>
    <cellStyle name="40% - Accent4 6 2 8" xfId="24842" xr:uid="{00000000-0005-0000-0000-0000433A0000}"/>
    <cellStyle name="40% - Accent4 6 2 9" xfId="25209" xr:uid="{00000000-0005-0000-0000-0000443A0000}"/>
    <cellStyle name="40% - Accent4 6 3" xfId="11297" xr:uid="{00000000-0005-0000-0000-0000453A0000}"/>
    <cellStyle name="40% - Accent4 6 3 2" xfId="22585" xr:uid="{00000000-0005-0000-0000-0000463A0000}"/>
    <cellStyle name="40% - Accent4 6 4" xfId="9303" xr:uid="{00000000-0005-0000-0000-0000473A0000}"/>
    <cellStyle name="40% - Accent4 6 4 2" xfId="20591" xr:uid="{00000000-0005-0000-0000-0000483A0000}"/>
    <cellStyle name="40% - Accent4 6 5" xfId="7309" xr:uid="{00000000-0005-0000-0000-0000493A0000}"/>
    <cellStyle name="40% - Accent4 6 5 2" xfId="18597" xr:uid="{00000000-0005-0000-0000-00004A3A0000}"/>
    <cellStyle name="40% - Accent4 6 6" xfId="5315" xr:uid="{00000000-0005-0000-0000-00004B3A0000}"/>
    <cellStyle name="40% - Accent4 6 6 2" xfId="16603" xr:uid="{00000000-0005-0000-0000-00004C3A0000}"/>
    <cellStyle name="40% - Accent4 6 7" xfId="14609" xr:uid="{00000000-0005-0000-0000-00004D3A0000}"/>
    <cellStyle name="40% - Accent4 6 8" xfId="13295" xr:uid="{00000000-0005-0000-0000-00004E3A0000}"/>
    <cellStyle name="40% - Accent4 6 9" xfId="23990" xr:uid="{00000000-0005-0000-0000-00004F3A0000}"/>
    <cellStyle name="40% - Accent4 60" xfId="1360" xr:uid="{00000000-0005-0000-0000-0000503A0000}"/>
    <cellStyle name="40% - Accent4 60 2" xfId="4316" xr:uid="{00000000-0005-0000-0000-0000513A0000}"/>
    <cellStyle name="40% - Accent4 60 2 2" xfId="12295" xr:uid="{00000000-0005-0000-0000-0000523A0000}"/>
    <cellStyle name="40% - Accent4 60 2 2 2" xfId="23583" xr:uid="{00000000-0005-0000-0000-0000533A0000}"/>
    <cellStyle name="40% - Accent4 60 2 3" xfId="10301" xr:uid="{00000000-0005-0000-0000-0000543A0000}"/>
    <cellStyle name="40% - Accent4 60 2 3 2" xfId="21589" xr:uid="{00000000-0005-0000-0000-0000553A0000}"/>
    <cellStyle name="40% - Accent4 60 2 4" xfId="8307" xr:uid="{00000000-0005-0000-0000-0000563A0000}"/>
    <cellStyle name="40% - Accent4 60 2 4 2" xfId="19595" xr:uid="{00000000-0005-0000-0000-0000573A0000}"/>
    <cellStyle name="40% - Accent4 60 2 5" xfId="6313" xr:uid="{00000000-0005-0000-0000-0000583A0000}"/>
    <cellStyle name="40% - Accent4 60 2 5 2" xfId="17601" xr:uid="{00000000-0005-0000-0000-0000593A0000}"/>
    <cellStyle name="40% - Accent4 60 2 6" xfId="15607" xr:uid="{00000000-0005-0000-0000-00005A3A0000}"/>
    <cellStyle name="40% - Accent4 60 3" xfId="11298" xr:uid="{00000000-0005-0000-0000-00005B3A0000}"/>
    <cellStyle name="40% - Accent4 60 3 2" xfId="22586" xr:uid="{00000000-0005-0000-0000-00005C3A0000}"/>
    <cellStyle name="40% - Accent4 60 4" xfId="9304" xr:uid="{00000000-0005-0000-0000-00005D3A0000}"/>
    <cellStyle name="40% - Accent4 60 4 2" xfId="20592" xr:uid="{00000000-0005-0000-0000-00005E3A0000}"/>
    <cellStyle name="40% - Accent4 60 5" xfId="7310" xr:uid="{00000000-0005-0000-0000-00005F3A0000}"/>
    <cellStyle name="40% - Accent4 60 5 2" xfId="18598" xr:uid="{00000000-0005-0000-0000-0000603A0000}"/>
    <cellStyle name="40% - Accent4 60 6" xfId="5316" xr:uid="{00000000-0005-0000-0000-0000613A0000}"/>
    <cellStyle name="40% - Accent4 60 6 2" xfId="16604" xr:uid="{00000000-0005-0000-0000-0000623A0000}"/>
    <cellStyle name="40% - Accent4 60 7" xfId="14610" xr:uid="{00000000-0005-0000-0000-0000633A0000}"/>
    <cellStyle name="40% - Accent4 60 8" xfId="13296" xr:uid="{00000000-0005-0000-0000-0000643A0000}"/>
    <cellStyle name="40% - Accent4 61" xfId="1361" xr:uid="{00000000-0005-0000-0000-0000653A0000}"/>
    <cellStyle name="40% - Accent4 61 2" xfId="4317" xr:uid="{00000000-0005-0000-0000-0000663A0000}"/>
    <cellStyle name="40% - Accent4 61 2 2" xfId="12296" xr:uid="{00000000-0005-0000-0000-0000673A0000}"/>
    <cellStyle name="40% - Accent4 61 2 2 2" xfId="23584" xr:uid="{00000000-0005-0000-0000-0000683A0000}"/>
    <cellStyle name="40% - Accent4 61 2 3" xfId="10302" xr:uid="{00000000-0005-0000-0000-0000693A0000}"/>
    <cellStyle name="40% - Accent4 61 2 3 2" xfId="21590" xr:uid="{00000000-0005-0000-0000-00006A3A0000}"/>
    <cellStyle name="40% - Accent4 61 2 4" xfId="8308" xr:uid="{00000000-0005-0000-0000-00006B3A0000}"/>
    <cellStyle name="40% - Accent4 61 2 4 2" xfId="19596" xr:uid="{00000000-0005-0000-0000-00006C3A0000}"/>
    <cellStyle name="40% - Accent4 61 2 5" xfId="6314" xr:uid="{00000000-0005-0000-0000-00006D3A0000}"/>
    <cellStyle name="40% - Accent4 61 2 5 2" xfId="17602" xr:uid="{00000000-0005-0000-0000-00006E3A0000}"/>
    <cellStyle name="40% - Accent4 61 2 6" xfId="15608" xr:uid="{00000000-0005-0000-0000-00006F3A0000}"/>
    <cellStyle name="40% - Accent4 61 3" xfId="11299" xr:uid="{00000000-0005-0000-0000-0000703A0000}"/>
    <cellStyle name="40% - Accent4 61 3 2" xfId="22587" xr:uid="{00000000-0005-0000-0000-0000713A0000}"/>
    <cellStyle name="40% - Accent4 61 4" xfId="9305" xr:uid="{00000000-0005-0000-0000-0000723A0000}"/>
    <cellStyle name="40% - Accent4 61 4 2" xfId="20593" xr:uid="{00000000-0005-0000-0000-0000733A0000}"/>
    <cellStyle name="40% - Accent4 61 5" xfId="7311" xr:uid="{00000000-0005-0000-0000-0000743A0000}"/>
    <cellStyle name="40% - Accent4 61 5 2" xfId="18599" xr:uid="{00000000-0005-0000-0000-0000753A0000}"/>
    <cellStyle name="40% - Accent4 61 6" xfId="5317" xr:uid="{00000000-0005-0000-0000-0000763A0000}"/>
    <cellStyle name="40% - Accent4 61 6 2" xfId="16605" xr:uid="{00000000-0005-0000-0000-0000773A0000}"/>
    <cellStyle name="40% - Accent4 61 7" xfId="14611" xr:uid="{00000000-0005-0000-0000-0000783A0000}"/>
    <cellStyle name="40% - Accent4 61 8" xfId="13297" xr:uid="{00000000-0005-0000-0000-0000793A0000}"/>
    <cellStyle name="40% - Accent4 62" xfId="1362" xr:uid="{00000000-0005-0000-0000-00007A3A0000}"/>
    <cellStyle name="40% - Accent4 62 2" xfId="4318" xr:uid="{00000000-0005-0000-0000-00007B3A0000}"/>
    <cellStyle name="40% - Accent4 62 2 2" xfId="12297" xr:uid="{00000000-0005-0000-0000-00007C3A0000}"/>
    <cellStyle name="40% - Accent4 62 2 2 2" xfId="23585" xr:uid="{00000000-0005-0000-0000-00007D3A0000}"/>
    <cellStyle name="40% - Accent4 62 2 3" xfId="10303" xr:uid="{00000000-0005-0000-0000-00007E3A0000}"/>
    <cellStyle name="40% - Accent4 62 2 3 2" xfId="21591" xr:uid="{00000000-0005-0000-0000-00007F3A0000}"/>
    <cellStyle name="40% - Accent4 62 2 4" xfId="8309" xr:uid="{00000000-0005-0000-0000-0000803A0000}"/>
    <cellStyle name="40% - Accent4 62 2 4 2" xfId="19597" xr:uid="{00000000-0005-0000-0000-0000813A0000}"/>
    <cellStyle name="40% - Accent4 62 2 5" xfId="6315" xr:uid="{00000000-0005-0000-0000-0000823A0000}"/>
    <cellStyle name="40% - Accent4 62 2 5 2" xfId="17603" xr:uid="{00000000-0005-0000-0000-0000833A0000}"/>
    <cellStyle name="40% - Accent4 62 2 6" xfId="15609" xr:uid="{00000000-0005-0000-0000-0000843A0000}"/>
    <cellStyle name="40% - Accent4 62 3" xfId="11300" xr:uid="{00000000-0005-0000-0000-0000853A0000}"/>
    <cellStyle name="40% - Accent4 62 3 2" xfId="22588" xr:uid="{00000000-0005-0000-0000-0000863A0000}"/>
    <cellStyle name="40% - Accent4 62 4" xfId="9306" xr:uid="{00000000-0005-0000-0000-0000873A0000}"/>
    <cellStyle name="40% - Accent4 62 4 2" xfId="20594" xr:uid="{00000000-0005-0000-0000-0000883A0000}"/>
    <cellStyle name="40% - Accent4 62 5" xfId="7312" xr:uid="{00000000-0005-0000-0000-0000893A0000}"/>
    <cellStyle name="40% - Accent4 62 5 2" xfId="18600" xr:uid="{00000000-0005-0000-0000-00008A3A0000}"/>
    <cellStyle name="40% - Accent4 62 6" xfId="5318" xr:uid="{00000000-0005-0000-0000-00008B3A0000}"/>
    <cellStyle name="40% - Accent4 62 6 2" xfId="16606" xr:uid="{00000000-0005-0000-0000-00008C3A0000}"/>
    <cellStyle name="40% - Accent4 62 7" xfId="14612" xr:uid="{00000000-0005-0000-0000-00008D3A0000}"/>
    <cellStyle name="40% - Accent4 62 8" xfId="13298" xr:uid="{00000000-0005-0000-0000-00008E3A0000}"/>
    <cellStyle name="40% - Accent4 63" xfId="1363" xr:uid="{00000000-0005-0000-0000-00008F3A0000}"/>
    <cellStyle name="40% - Accent4 63 2" xfId="4319" xr:uid="{00000000-0005-0000-0000-0000903A0000}"/>
    <cellStyle name="40% - Accent4 63 2 2" xfId="12298" xr:uid="{00000000-0005-0000-0000-0000913A0000}"/>
    <cellStyle name="40% - Accent4 63 2 2 2" xfId="23586" xr:uid="{00000000-0005-0000-0000-0000923A0000}"/>
    <cellStyle name="40% - Accent4 63 2 3" xfId="10304" xr:uid="{00000000-0005-0000-0000-0000933A0000}"/>
    <cellStyle name="40% - Accent4 63 2 3 2" xfId="21592" xr:uid="{00000000-0005-0000-0000-0000943A0000}"/>
    <cellStyle name="40% - Accent4 63 2 4" xfId="8310" xr:uid="{00000000-0005-0000-0000-0000953A0000}"/>
    <cellStyle name="40% - Accent4 63 2 4 2" xfId="19598" xr:uid="{00000000-0005-0000-0000-0000963A0000}"/>
    <cellStyle name="40% - Accent4 63 2 5" xfId="6316" xr:uid="{00000000-0005-0000-0000-0000973A0000}"/>
    <cellStyle name="40% - Accent4 63 2 5 2" xfId="17604" xr:uid="{00000000-0005-0000-0000-0000983A0000}"/>
    <cellStyle name="40% - Accent4 63 2 6" xfId="15610" xr:uid="{00000000-0005-0000-0000-0000993A0000}"/>
    <cellStyle name="40% - Accent4 63 3" xfId="11301" xr:uid="{00000000-0005-0000-0000-00009A3A0000}"/>
    <cellStyle name="40% - Accent4 63 3 2" xfId="22589" xr:uid="{00000000-0005-0000-0000-00009B3A0000}"/>
    <cellStyle name="40% - Accent4 63 4" xfId="9307" xr:uid="{00000000-0005-0000-0000-00009C3A0000}"/>
    <cellStyle name="40% - Accent4 63 4 2" xfId="20595" xr:uid="{00000000-0005-0000-0000-00009D3A0000}"/>
    <cellStyle name="40% - Accent4 63 5" xfId="7313" xr:uid="{00000000-0005-0000-0000-00009E3A0000}"/>
    <cellStyle name="40% - Accent4 63 5 2" xfId="18601" xr:uid="{00000000-0005-0000-0000-00009F3A0000}"/>
    <cellStyle name="40% - Accent4 63 6" xfId="5319" xr:uid="{00000000-0005-0000-0000-0000A03A0000}"/>
    <cellStyle name="40% - Accent4 63 6 2" xfId="16607" xr:uid="{00000000-0005-0000-0000-0000A13A0000}"/>
    <cellStyle name="40% - Accent4 63 7" xfId="14613" xr:uid="{00000000-0005-0000-0000-0000A23A0000}"/>
    <cellStyle name="40% - Accent4 63 8" xfId="13299" xr:uid="{00000000-0005-0000-0000-0000A33A0000}"/>
    <cellStyle name="40% - Accent4 64" xfId="1364" xr:uid="{00000000-0005-0000-0000-0000A43A0000}"/>
    <cellStyle name="40% - Accent4 64 2" xfId="4320" xr:uid="{00000000-0005-0000-0000-0000A53A0000}"/>
    <cellStyle name="40% - Accent4 64 2 2" xfId="12299" xr:uid="{00000000-0005-0000-0000-0000A63A0000}"/>
    <cellStyle name="40% - Accent4 64 2 2 2" xfId="23587" xr:uid="{00000000-0005-0000-0000-0000A73A0000}"/>
    <cellStyle name="40% - Accent4 64 2 3" xfId="10305" xr:uid="{00000000-0005-0000-0000-0000A83A0000}"/>
    <cellStyle name="40% - Accent4 64 2 3 2" xfId="21593" xr:uid="{00000000-0005-0000-0000-0000A93A0000}"/>
    <cellStyle name="40% - Accent4 64 2 4" xfId="8311" xr:uid="{00000000-0005-0000-0000-0000AA3A0000}"/>
    <cellStyle name="40% - Accent4 64 2 4 2" xfId="19599" xr:uid="{00000000-0005-0000-0000-0000AB3A0000}"/>
    <cellStyle name="40% - Accent4 64 2 5" xfId="6317" xr:uid="{00000000-0005-0000-0000-0000AC3A0000}"/>
    <cellStyle name="40% - Accent4 64 2 5 2" xfId="17605" xr:uid="{00000000-0005-0000-0000-0000AD3A0000}"/>
    <cellStyle name="40% - Accent4 64 2 6" xfId="15611" xr:uid="{00000000-0005-0000-0000-0000AE3A0000}"/>
    <cellStyle name="40% - Accent4 64 3" xfId="11302" xr:uid="{00000000-0005-0000-0000-0000AF3A0000}"/>
    <cellStyle name="40% - Accent4 64 3 2" xfId="22590" xr:uid="{00000000-0005-0000-0000-0000B03A0000}"/>
    <cellStyle name="40% - Accent4 64 4" xfId="9308" xr:uid="{00000000-0005-0000-0000-0000B13A0000}"/>
    <cellStyle name="40% - Accent4 64 4 2" xfId="20596" xr:uid="{00000000-0005-0000-0000-0000B23A0000}"/>
    <cellStyle name="40% - Accent4 64 5" xfId="7314" xr:uid="{00000000-0005-0000-0000-0000B33A0000}"/>
    <cellStyle name="40% - Accent4 64 5 2" xfId="18602" xr:uid="{00000000-0005-0000-0000-0000B43A0000}"/>
    <cellStyle name="40% - Accent4 64 6" xfId="5320" xr:uid="{00000000-0005-0000-0000-0000B53A0000}"/>
    <cellStyle name="40% - Accent4 64 6 2" xfId="16608" xr:uid="{00000000-0005-0000-0000-0000B63A0000}"/>
    <cellStyle name="40% - Accent4 64 7" xfId="14614" xr:uid="{00000000-0005-0000-0000-0000B73A0000}"/>
    <cellStyle name="40% - Accent4 64 8" xfId="13300" xr:uid="{00000000-0005-0000-0000-0000B83A0000}"/>
    <cellStyle name="40% - Accent4 65" xfId="1365" xr:uid="{00000000-0005-0000-0000-0000B93A0000}"/>
    <cellStyle name="40% - Accent4 65 2" xfId="4321" xr:uid="{00000000-0005-0000-0000-0000BA3A0000}"/>
    <cellStyle name="40% - Accent4 65 2 2" xfId="12300" xr:uid="{00000000-0005-0000-0000-0000BB3A0000}"/>
    <cellStyle name="40% - Accent4 65 2 2 2" xfId="23588" xr:uid="{00000000-0005-0000-0000-0000BC3A0000}"/>
    <cellStyle name="40% - Accent4 65 2 3" xfId="10306" xr:uid="{00000000-0005-0000-0000-0000BD3A0000}"/>
    <cellStyle name="40% - Accent4 65 2 3 2" xfId="21594" xr:uid="{00000000-0005-0000-0000-0000BE3A0000}"/>
    <cellStyle name="40% - Accent4 65 2 4" xfId="8312" xr:uid="{00000000-0005-0000-0000-0000BF3A0000}"/>
    <cellStyle name="40% - Accent4 65 2 4 2" xfId="19600" xr:uid="{00000000-0005-0000-0000-0000C03A0000}"/>
    <cellStyle name="40% - Accent4 65 2 5" xfId="6318" xr:uid="{00000000-0005-0000-0000-0000C13A0000}"/>
    <cellStyle name="40% - Accent4 65 2 5 2" xfId="17606" xr:uid="{00000000-0005-0000-0000-0000C23A0000}"/>
    <cellStyle name="40% - Accent4 65 2 6" xfId="15612" xr:uid="{00000000-0005-0000-0000-0000C33A0000}"/>
    <cellStyle name="40% - Accent4 65 3" xfId="11303" xr:uid="{00000000-0005-0000-0000-0000C43A0000}"/>
    <cellStyle name="40% - Accent4 65 3 2" xfId="22591" xr:uid="{00000000-0005-0000-0000-0000C53A0000}"/>
    <cellStyle name="40% - Accent4 65 4" xfId="9309" xr:uid="{00000000-0005-0000-0000-0000C63A0000}"/>
    <cellStyle name="40% - Accent4 65 4 2" xfId="20597" xr:uid="{00000000-0005-0000-0000-0000C73A0000}"/>
    <cellStyle name="40% - Accent4 65 5" xfId="7315" xr:uid="{00000000-0005-0000-0000-0000C83A0000}"/>
    <cellStyle name="40% - Accent4 65 5 2" xfId="18603" xr:uid="{00000000-0005-0000-0000-0000C93A0000}"/>
    <cellStyle name="40% - Accent4 65 6" xfId="5321" xr:uid="{00000000-0005-0000-0000-0000CA3A0000}"/>
    <cellStyle name="40% - Accent4 65 6 2" xfId="16609" xr:uid="{00000000-0005-0000-0000-0000CB3A0000}"/>
    <cellStyle name="40% - Accent4 65 7" xfId="14615" xr:uid="{00000000-0005-0000-0000-0000CC3A0000}"/>
    <cellStyle name="40% - Accent4 65 8" xfId="13301" xr:uid="{00000000-0005-0000-0000-0000CD3A0000}"/>
    <cellStyle name="40% - Accent4 66" xfId="1366" xr:uid="{00000000-0005-0000-0000-0000CE3A0000}"/>
    <cellStyle name="40% - Accent4 66 2" xfId="4322" xr:uid="{00000000-0005-0000-0000-0000CF3A0000}"/>
    <cellStyle name="40% - Accent4 66 2 2" xfId="12301" xr:uid="{00000000-0005-0000-0000-0000D03A0000}"/>
    <cellStyle name="40% - Accent4 66 2 2 2" xfId="23589" xr:uid="{00000000-0005-0000-0000-0000D13A0000}"/>
    <cellStyle name="40% - Accent4 66 2 3" xfId="10307" xr:uid="{00000000-0005-0000-0000-0000D23A0000}"/>
    <cellStyle name="40% - Accent4 66 2 3 2" xfId="21595" xr:uid="{00000000-0005-0000-0000-0000D33A0000}"/>
    <cellStyle name="40% - Accent4 66 2 4" xfId="8313" xr:uid="{00000000-0005-0000-0000-0000D43A0000}"/>
    <cellStyle name="40% - Accent4 66 2 4 2" xfId="19601" xr:uid="{00000000-0005-0000-0000-0000D53A0000}"/>
    <cellStyle name="40% - Accent4 66 2 5" xfId="6319" xr:uid="{00000000-0005-0000-0000-0000D63A0000}"/>
    <cellStyle name="40% - Accent4 66 2 5 2" xfId="17607" xr:uid="{00000000-0005-0000-0000-0000D73A0000}"/>
    <cellStyle name="40% - Accent4 66 2 6" xfId="15613" xr:uid="{00000000-0005-0000-0000-0000D83A0000}"/>
    <cellStyle name="40% - Accent4 66 3" xfId="11304" xr:uid="{00000000-0005-0000-0000-0000D93A0000}"/>
    <cellStyle name="40% - Accent4 66 3 2" xfId="22592" xr:uid="{00000000-0005-0000-0000-0000DA3A0000}"/>
    <cellStyle name="40% - Accent4 66 4" xfId="9310" xr:uid="{00000000-0005-0000-0000-0000DB3A0000}"/>
    <cellStyle name="40% - Accent4 66 4 2" xfId="20598" xr:uid="{00000000-0005-0000-0000-0000DC3A0000}"/>
    <cellStyle name="40% - Accent4 66 5" xfId="7316" xr:uid="{00000000-0005-0000-0000-0000DD3A0000}"/>
    <cellStyle name="40% - Accent4 66 5 2" xfId="18604" xr:uid="{00000000-0005-0000-0000-0000DE3A0000}"/>
    <cellStyle name="40% - Accent4 66 6" xfId="5322" xr:uid="{00000000-0005-0000-0000-0000DF3A0000}"/>
    <cellStyle name="40% - Accent4 66 6 2" xfId="16610" xr:uid="{00000000-0005-0000-0000-0000E03A0000}"/>
    <cellStyle name="40% - Accent4 66 7" xfId="14616" xr:uid="{00000000-0005-0000-0000-0000E13A0000}"/>
    <cellStyle name="40% - Accent4 66 8" xfId="13302" xr:uid="{00000000-0005-0000-0000-0000E23A0000}"/>
    <cellStyle name="40% - Accent4 67" xfId="1367" xr:uid="{00000000-0005-0000-0000-0000E33A0000}"/>
    <cellStyle name="40% - Accent4 67 2" xfId="4323" xr:uid="{00000000-0005-0000-0000-0000E43A0000}"/>
    <cellStyle name="40% - Accent4 67 2 2" xfId="12302" xr:uid="{00000000-0005-0000-0000-0000E53A0000}"/>
    <cellStyle name="40% - Accent4 67 2 2 2" xfId="23590" xr:uid="{00000000-0005-0000-0000-0000E63A0000}"/>
    <cellStyle name="40% - Accent4 67 2 3" xfId="10308" xr:uid="{00000000-0005-0000-0000-0000E73A0000}"/>
    <cellStyle name="40% - Accent4 67 2 3 2" xfId="21596" xr:uid="{00000000-0005-0000-0000-0000E83A0000}"/>
    <cellStyle name="40% - Accent4 67 2 4" xfId="8314" xr:uid="{00000000-0005-0000-0000-0000E93A0000}"/>
    <cellStyle name="40% - Accent4 67 2 4 2" xfId="19602" xr:uid="{00000000-0005-0000-0000-0000EA3A0000}"/>
    <cellStyle name="40% - Accent4 67 2 5" xfId="6320" xr:uid="{00000000-0005-0000-0000-0000EB3A0000}"/>
    <cellStyle name="40% - Accent4 67 2 5 2" xfId="17608" xr:uid="{00000000-0005-0000-0000-0000EC3A0000}"/>
    <cellStyle name="40% - Accent4 67 2 6" xfId="15614" xr:uid="{00000000-0005-0000-0000-0000ED3A0000}"/>
    <cellStyle name="40% - Accent4 67 3" xfId="11305" xr:uid="{00000000-0005-0000-0000-0000EE3A0000}"/>
    <cellStyle name="40% - Accent4 67 3 2" xfId="22593" xr:uid="{00000000-0005-0000-0000-0000EF3A0000}"/>
    <cellStyle name="40% - Accent4 67 4" xfId="9311" xr:uid="{00000000-0005-0000-0000-0000F03A0000}"/>
    <cellStyle name="40% - Accent4 67 4 2" xfId="20599" xr:uid="{00000000-0005-0000-0000-0000F13A0000}"/>
    <cellStyle name="40% - Accent4 67 5" xfId="7317" xr:uid="{00000000-0005-0000-0000-0000F23A0000}"/>
    <cellStyle name="40% - Accent4 67 5 2" xfId="18605" xr:uid="{00000000-0005-0000-0000-0000F33A0000}"/>
    <cellStyle name="40% - Accent4 67 6" xfId="5323" xr:uid="{00000000-0005-0000-0000-0000F43A0000}"/>
    <cellStyle name="40% - Accent4 67 6 2" xfId="16611" xr:uid="{00000000-0005-0000-0000-0000F53A0000}"/>
    <cellStyle name="40% - Accent4 67 7" xfId="14617" xr:uid="{00000000-0005-0000-0000-0000F63A0000}"/>
    <cellStyle name="40% - Accent4 67 8" xfId="13303" xr:uid="{00000000-0005-0000-0000-0000F73A0000}"/>
    <cellStyle name="40% - Accent4 68" xfId="1368" xr:uid="{00000000-0005-0000-0000-0000F83A0000}"/>
    <cellStyle name="40% - Accent4 68 2" xfId="4324" xr:uid="{00000000-0005-0000-0000-0000F93A0000}"/>
    <cellStyle name="40% - Accent4 68 2 2" xfId="12303" xr:uid="{00000000-0005-0000-0000-0000FA3A0000}"/>
    <cellStyle name="40% - Accent4 68 2 2 2" xfId="23591" xr:uid="{00000000-0005-0000-0000-0000FB3A0000}"/>
    <cellStyle name="40% - Accent4 68 2 3" xfId="10309" xr:uid="{00000000-0005-0000-0000-0000FC3A0000}"/>
    <cellStyle name="40% - Accent4 68 2 3 2" xfId="21597" xr:uid="{00000000-0005-0000-0000-0000FD3A0000}"/>
    <cellStyle name="40% - Accent4 68 2 4" xfId="8315" xr:uid="{00000000-0005-0000-0000-0000FE3A0000}"/>
    <cellStyle name="40% - Accent4 68 2 4 2" xfId="19603" xr:uid="{00000000-0005-0000-0000-0000FF3A0000}"/>
    <cellStyle name="40% - Accent4 68 2 5" xfId="6321" xr:uid="{00000000-0005-0000-0000-0000003B0000}"/>
    <cellStyle name="40% - Accent4 68 2 5 2" xfId="17609" xr:uid="{00000000-0005-0000-0000-0000013B0000}"/>
    <cellStyle name="40% - Accent4 68 2 6" xfId="15615" xr:uid="{00000000-0005-0000-0000-0000023B0000}"/>
    <cellStyle name="40% - Accent4 68 3" xfId="11306" xr:uid="{00000000-0005-0000-0000-0000033B0000}"/>
    <cellStyle name="40% - Accent4 68 3 2" xfId="22594" xr:uid="{00000000-0005-0000-0000-0000043B0000}"/>
    <cellStyle name="40% - Accent4 68 4" xfId="9312" xr:uid="{00000000-0005-0000-0000-0000053B0000}"/>
    <cellStyle name="40% - Accent4 68 4 2" xfId="20600" xr:uid="{00000000-0005-0000-0000-0000063B0000}"/>
    <cellStyle name="40% - Accent4 68 5" xfId="7318" xr:uid="{00000000-0005-0000-0000-0000073B0000}"/>
    <cellStyle name="40% - Accent4 68 5 2" xfId="18606" xr:uid="{00000000-0005-0000-0000-0000083B0000}"/>
    <cellStyle name="40% - Accent4 68 6" xfId="5324" xr:uid="{00000000-0005-0000-0000-0000093B0000}"/>
    <cellStyle name="40% - Accent4 68 6 2" xfId="16612" xr:uid="{00000000-0005-0000-0000-00000A3B0000}"/>
    <cellStyle name="40% - Accent4 68 7" xfId="14618" xr:uid="{00000000-0005-0000-0000-00000B3B0000}"/>
    <cellStyle name="40% - Accent4 68 8" xfId="13304" xr:uid="{00000000-0005-0000-0000-00000C3B0000}"/>
    <cellStyle name="40% - Accent4 69" xfId="1369" xr:uid="{00000000-0005-0000-0000-00000D3B0000}"/>
    <cellStyle name="40% - Accent4 69 2" xfId="4325" xr:uid="{00000000-0005-0000-0000-00000E3B0000}"/>
    <cellStyle name="40% - Accent4 69 2 2" xfId="12304" xr:uid="{00000000-0005-0000-0000-00000F3B0000}"/>
    <cellStyle name="40% - Accent4 69 2 2 2" xfId="23592" xr:uid="{00000000-0005-0000-0000-0000103B0000}"/>
    <cellStyle name="40% - Accent4 69 2 3" xfId="10310" xr:uid="{00000000-0005-0000-0000-0000113B0000}"/>
    <cellStyle name="40% - Accent4 69 2 3 2" xfId="21598" xr:uid="{00000000-0005-0000-0000-0000123B0000}"/>
    <cellStyle name="40% - Accent4 69 2 4" xfId="8316" xr:uid="{00000000-0005-0000-0000-0000133B0000}"/>
    <cellStyle name="40% - Accent4 69 2 4 2" xfId="19604" xr:uid="{00000000-0005-0000-0000-0000143B0000}"/>
    <cellStyle name="40% - Accent4 69 2 5" xfId="6322" xr:uid="{00000000-0005-0000-0000-0000153B0000}"/>
    <cellStyle name="40% - Accent4 69 2 5 2" xfId="17610" xr:uid="{00000000-0005-0000-0000-0000163B0000}"/>
    <cellStyle name="40% - Accent4 69 2 6" xfId="15616" xr:uid="{00000000-0005-0000-0000-0000173B0000}"/>
    <cellStyle name="40% - Accent4 69 3" xfId="11307" xr:uid="{00000000-0005-0000-0000-0000183B0000}"/>
    <cellStyle name="40% - Accent4 69 3 2" xfId="22595" xr:uid="{00000000-0005-0000-0000-0000193B0000}"/>
    <cellStyle name="40% - Accent4 69 4" xfId="9313" xr:uid="{00000000-0005-0000-0000-00001A3B0000}"/>
    <cellStyle name="40% - Accent4 69 4 2" xfId="20601" xr:uid="{00000000-0005-0000-0000-00001B3B0000}"/>
    <cellStyle name="40% - Accent4 69 5" xfId="7319" xr:uid="{00000000-0005-0000-0000-00001C3B0000}"/>
    <cellStyle name="40% - Accent4 69 5 2" xfId="18607" xr:uid="{00000000-0005-0000-0000-00001D3B0000}"/>
    <cellStyle name="40% - Accent4 69 6" xfId="5325" xr:uid="{00000000-0005-0000-0000-00001E3B0000}"/>
    <cellStyle name="40% - Accent4 69 6 2" xfId="16613" xr:uid="{00000000-0005-0000-0000-00001F3B0000}"/>
    <cellStyle name="40% - Accent4 69 7" xfId="14619" xr:uid="{00000000-0005-0000-0000-0000203B0000}"/>
    <cellStyle name="40% - Accent4 69 8" xfId="13305" xr:uid="{00000000-0005-0000-0000-0000213B0000}"/>
    <cellStyle name="40% - Accent4 7" xfId="1370" xr:uid="{00000000-0005-0000-0000-0000223B0000}"/>
    <cellStyle name="40% - Accent4 7 10" xfId="24618" xr:uid="{00000000-0005-0000-0000-0000233B0000}"/>
    <cellStyle name="40% - Accent4 7 11" xfId="25008" xr:uid="{00000000-0005-0000-0000-0000243B0000}"/>
    <cellStyle name="40% - Accent4 7 2" xfId="4326" xr:uid="{00000000-0005-0000-0000-0000253B0000}"/>
    <cellStyle name="40% - Accent4 7 2 2" xfId="12305" xr:uid="{00000000-0005-0000-0000-0000263B0000}"/>
    <cellStyle name="40% - Accent4 7 2 2 2" xfId="23593" xr:uid="{00000000-0005-0000-0000-0000273B0000}"/>
    <cellStyle name="40% - Accent4 7 2 3" xfId="10311" xr:uid="{00000000-0005-0000-0000-0000283B0000}"/>
    <cellStyle name="40% - Accent4 7 2 3 2" xfId="21599" xr:uid="{00000000-0005-0000-0000-0000293B0000}"/>
    <cellStyle name="40% - Accent4 7 2 4" xfId="8317" xr:uid="{00000000-0005-0000-0000-00002A3B0000}"/>
    <cellStyle name="40% - Accent4 7 2 4 2" xfId="19605" xr:uid="{00000000-0005-0000-0000-00002B3B0000}"/>
    <cellStyle name="40% - Accent4 7 2 5" xfId="6323" xr:uid="{00000000-0005-0000-0000-00002C3B0000}"/>
    <cellStyle name="40% - Accent4 7 2 5 2" xfId="17611" xr:uid="{00000000-0005-0000-0000-00002D3B0000}"/>
    <cellStyle name="40% - Accent4 7 2 6" xfId="15617" xr:uid="{00000000-0005-0000-0000-00002E3B0000}"/>
    <cellStyle name="40% - Accent4 7 2 7" xfId="24379" xr:uid="{00000000-0005-0000-0000-00002F3B0000}"/>
    <cellStyle name="40% - Accent4 7 2 8" xfId="24843" xr:uid="{00000000-0005-0000-0000-0000303B0000}"/>
    <cellStyle name="40% - Accent4 7 2 9" xfId="25210" xr:uid="{00000000-0005-0000-0000-0000313B0000}"/>
    <cellStyle name="40% - Accent4 7 3" xfId="11308" xr:uid="{00000000-0005-0000-0000-0000323B0000}"/>
    <cellStyle name="40% - Accent4 7 3 2" xfId="22596" xr:uid="{00000000-0005-0000-0000-0000333B0000}"/>
    <cellStyle name="40% - Accent4 7 4" xfId="9314" xr:uid="{00000000-0005-0000-0000-0000343B0000}"/>
    <cellStyle name="40% - Accent4 7 4 2" xfId="20602" xr:uid="{00000000-0005-0000-0000-0000353B0000}"/>
    <cellStyle name="40% - Accent4 7 5" xfId="7320" xr:uid="{00000000-0005-0000-0000-0000363B0000}"/>
    <cellStyle name="40% - Accent4 7 5 2" xfId="18608" xr:uid="{00000000-0005-0000-0000-0000373B0000}"/>
    <cellStyle name="40% - Accent4 7 6" xfId="5326" xr:uid="{00000000-0005-0000-0000-0000383B0000}"/>
    <cellStyle name="40% - Accent4 7 6 2" xfId="16614" xr:uid="{00000000-0005-0000-0000-0000393B0000}"/>
    <cellStyle name="40% - Accent4 7 7" xfId="14620" xr:uid="{00000000-0005-0000-0000-00003A3B0000}"/>
    <cellStyle name="40% - Accent4 7 8" xfId="13306" xr:uid="{00000000-0005-0000-0000-00003B3B0000}"/>
    <cellStyle name="40% - Accent4 7 9" xfId="23991" xr:uid="{00000000-0005-0000-0000-00003C3B0000}"/>
    <cellStyle name="40% - Accent4 70" xfId="1371" xr:uid="{00000000-0005-0000-0000-00003D3B0000}"/>
    <cellStyle name="40% - Accent4 70 2" xfId="4327" xr:uid="{00000000-0005-0000-0000-00003E3B0000}"/>
    <cellStyle name="40% - Accent4 70 2 2" xfId="12306" xr:uid="{00000000-0005-0000-0000-00003F3B0000}"/>
    <cellStyle name="40% - Accent4 70 2 2 2" xfId="23594" xr:uid="{00000000-0005-0000-0000-0000403B0000}"/>
    <cellStyle name="40% - Accent4 70 2 3" xfId="10312" xr:uid="{00000000-0005-0000-0000-0000413B0000}"/>
    <cellStyle name="40% - Accent4 70 2 3 2" xfId="21600" xr:uid="{00000000-0005-0000-0000-0000423B0000}"/>
    <cellStyle name="40% - Accent4 70 2 4" xfId="8318" xr:uid="{00000000-0005-0000-0000-0000433B0000}"/>
    <cellStyle name="40% - Accent4 70 2 4 2" xfId="19606" xr:uid="{00000000-0005-0000-0000-0000443B0000}"/>
    <cellStyle name="40% - Accent4 70 2 5" xfId="6324" xr:uid="{00000000-0005-0000-0000-0000453B0000}"/>
    <cellStyle name="40% - Accent4 70 2 5 2" xfId="17612" xr:uid="{00000000-0005-0000-0000-0000463B0000}"/>
    <cellStyle name="40% - Accent4 70 2 6" xfId="15618" xr:uid="{00000000-0005-0000-0000-0000473B0000}"/>
    <cellStyle name="40% - Accent4 70 3" xfId="11309" xr:uid="{00000000-0005-0000-0000-0000483B0000}"/>
    <cellStyle name="40% - Accent4 70 3 2" xfId="22597" xr:uid="{00000000-0005-0000-0000-0000493B0000}"/>
    <cellStyle name="40% - Accent4 70 4" xfId="9315" xr:uid="{00000000-0005-0000-0000-00004A3B0000}"/>
    <cellStyle name="40% - Accent4 70 4 2" xfId="20603" xr:uid="{00000000-0005-0000-0000-00004B3B0000}"/>
    <cellStyle name="40% - Accent4 70 5" xfId="7321" xr:uid="{00000000-0005-0000-0000-00004C3B0000}"/>
    <cellStyle name="40% - Accent4 70 5 2" xfId="18609" xr:uid="{00000000-0005-0000-0000-00004D3B0000}"/>
    <cellStyle name="40% - Accent4 70 6" xfId="5327" xr:uid="{00000000-0005-0000-0000-00004E3B0000}"/>
    <cellStyle name="40% - Accent4 70 6 2" xfId="16615" xr:uid="{00000000-0005-0000-0000-00004F3B0000}"/>
    <cellStyle name="40% - Accent4 70 7" xfId="14621" xr:uid="{00000000-0005-0000-0000-0000503B0000}"/>
    <cellStyle name="40% - Accent4 70 8" xfId="13307" xr:uid="{00000000-0005-0000-0000-0000513B0000}"/>
    <cellStyle name="40% - Accent4 71" xfId="1372" xr:uid="{00000000-0005-0000-0000-0000523B0000}"/>
    <cellStyle name="40% - Accent4 71 2" xfId="4328" xr:uid="{00000000-0005-0000-0000-0000533B0000}"/>
    <cellStyle name="40% - Accent4 71 2 2" xfId="12307" xr:uid="{00000000-0005-0000-0000-0000543B0000}"/>
    <cellStyle name="40% - Accent4 71 2 2 2" xfId="23595" xr:uid="{00000000-0005-0000-0000-0000553B0000}"/>
    <cellStyle name="40% - Accent4 71 2 3" xfId="10313" xr:uid="{00000000-0005-0000-0000-0000563B0000}"/>
    <cellStyle name="40% - Accent4 71 2 3 2" xfId="21601" xr:uid="{00000000-0005-0000-0000-0000573B0000}"/>
    <cellStyle name="40% - Accent4 71 2 4" xfId="8319" xr:uid="{00000000-0005-0000-0000-0000583B0000}"/>
    <cellStyle name="40% - Accent4 71 2 4 2" xfId="19607" xr:uid="{00000000-0005-0000-0000-0000593B0000}"/>
    <cellStyle name="40% - Accent4 71 2 5" xfId="6325" xr:uid="{00000000-0005-0000-0000-00005A3B0000}"/>
    <cellStyle name="40% - Accent4 71 2 5 2" xfId="17613" xr:uid="{00000000-0005-0000-0000-00005B3B0000}"/>
    <cellStyle name="40% - Accent4 71 2 6" xfId="15619" xr:uid="{00000000-0005-0000-0000-00005C3B0000}"/>
    <cellStyle name="40% - Accent4 71 3" xfId="11310" xr:uid="{00000000-0005-0000-0000-00005D3B0000}"/>
    <cellStyle name="40% - Accent4 71 3 2" xfId="22598" xr:uid="{00000000-0005-0000-0000-00005E3B0000}"/>
    <cellStyle name="40% - Accent4 71 4" xfId="9316" xr:uid="{00000000-0005-0000-0000-00005F3B0000}"/>
    <cellStyle name="40% - Accent4 71 4 2" xfId="20604" xr:uid="{00000000-0005-0000-0000-0000603B0000}"/>
    <cellStyle name="40% - Accent4 71 5" xfId="7322" xr:uid="{00000000-0005-0000-0000-0000613B0000}"/>
    <cellStyle name="40% - Accent4 71 5 2" xfId="18610" xr:uid="{00000000-0005-0000-0000-0000623B0000}"/>
    <cellStyle name="40% - Accent4 71 6" xfId="5328" xr:uid="{00000000-0005-0000-0000-0000633B0000}"/>
    <cellStyle name="40% - Accent4 71 6 2" xfId="16616" xr:uid="{00000000-0005-0000-0000-0000643B0000}"/>
    <cellStyle name="40% - Accent4 71 7" xfId="14622" xr:uid="{00000000-0005-0000-0000-0000653B0000}"/>
    <cellStyle name="40% - Accent4 71 8" xfId="13308" xr:uid="{00000000-0005-0000-0000-0000663B0000}"/>
    <cellStyle name="40% - Accent4 72" xfId="1373" xr:uid="{00000000-0005-0000-0000-0000673B0000}"/>
    <cellStyle name="40% - Accent4 72 2" xfId="4329" xr:uid="{00000000-0005-0000-0000-0000683B0000}"/>
    <cellStyle name="40% - Accent4 72 2 2" xfId="12308" xr:uid="{00000000-0005-0000-0000-0000693B0000}"/>
    <cellStyle name="40% - Accent4 72 2 2 2" xfId="23596" xr:uid="{00000000-0005-0000-0000-00006A3B0000}"/>
    <cellStyle name="40% - Accent4 72 2 3" xfId="10314" xr:uid="{00000000-0005-0000-0000-00006B3B0000}"/>
    <cellStyle name="40% - Accent4 72 2 3 2" xfId="21602" xr:uid="{00000000-0005-0000-0000-00006C3B0000}"/>
    <cellStyle name="40% - Accent4 72 2 4" xfId="8320" xr:uid="{00000000-0005-0000-0000-00006D3B0000}"/>
    <cellStyle name="40% - Accent4 72 2 4 2" xfId="19608" xr:uid="{00000000-0005-0000-0000-00006E3B0000}"/>
    <cellStyle name="40% - Accent4 72 2 5" xfId="6326" xr:uid="{00000000-0005-0000-0000-00006F3B0000}"/>
    <cellStyle name="40% - Accent4 72 2 5 2" xfId="17614" xr:uid="{00000000-0005-0000-0000-0000703B0000}"/>
    <cellStyle name="40% - Accent4 72 2 6" xfId="15620" xr:uid="{00000000-0005-0000-0000-0000713B0000}"/>
    <cellStyle name="40% - Accent4 72 3" xfId="11311" xr:uid="{00000000-0005-0000-0000-0000723B0000}"/>
    <cellStyle name="40% - Accent4 72 3 2" xfId="22599" xr:uid="{00000000-0005-0000-0000-0000733B0000}"/>
    <cellStyle name="40% - Accent4 72 4" xfId="9317" xr:uid="{00000000-0005-0000-0000-0000743B0000}"/>
    <cellStyle name="40% - Accent4 72 4 2" xfId="20605" xr:uid="{00000000-0005-0000-0000-0000753B0000}"/>
    <cellStyle name="40% - Accent4 72 5" xfId="7323" xr:uid="{00000000-0005-0000-0000-0000763B0000}"/>
    <cellStyle name="40% - Accent4 72 5 2" xfId="18611" xr:uid="{00000000-0005-0000-0000-0000773B0000}"/>
    <cellStyle name="40% - Accent4 72 6" xfId="5329" xr:uid="{00000000-0005-0000-0000-0000783B0000}"/>
    <cellStyle name="40% - Accent4 72 6 2" xfId="16617" xr:uid="{00000000-0005-0000-0000-0000793B0000}"/>
    <cellStyle name="40% - Accent4 72 7" xfId="14623" xr:uid="{00000000-0005-0000-0000-00007A3B0000}"/>
    <cellStyle name="40% - Accent4 72 8" xfId="13309" xr:uid="{00000000-0005-0000-0000-00007B3B0000}"/>
    <cellStyle name="40% - Accent4 8" xfId="1374" xr:uid="{00000000-0005-0000-0000-00007C3B0000}"/>
    <cellStyle name="40% - Accent4 8 2" xfId="4330" xr:uid="{00000000-0005-0000-0000-00007D3B0000}"/>
    <cellStyle name="40% - Accent4 8 2 2" xfId="12309" xr:uid="{00000000-0005-0000-0000-00007E3B0000}"/>
    <cellStyle name="40% - Accent4 8 2 2 2" xfId="23597" xr:uid="{00000000-0005-0000-0000-00007F3B0000}"/>
    <cellStyle name="40% - Accent4 8 2 3" xfId="10315" xr:uid="{00000000-0005-0000-0000-0000803B0000}"/>
    <cellStyle name="40% - Accent4 8 2 3 2" xfId="21603" xr:uid="{00000000-0005-0000-0000-0000813B0000}"/>
    <cellStyle name="40% - Accent4 8 2 4" xfId="8321" xr:uid="{00000000-0005-0000-0000-0000823B0000}"/>
    <cellStyle name="40% - Accent4 8 2 4 2" xfId="19609" xr:uid="{00000000-0005-0000-0000-0000833B0000}"/>
    <cellStyle name="40% - Accent4 8 2 5" xfId="6327" xr:uid="{00000000-0005-0000-0000-0000843B0000}"/>
    <cellStyle name="40% - Accent4 8 2 5 2" xfId="17615" xr:uid="{00000000-0005-0000-0000-0000853B0000}"/>
    <cellStyle name="40% - Accent4 8 2 6" xfId="15621" xr:uid="{00000000-0005-0000-0000-0000863B0000}"/>
    <cellStyle name="40% - Accent4 8 3" xfId="11312" xr:uid="{00000000-0005-0000-0000-0000873B0000}"/>
    <cellStyle name="40% - Accent4 8 3 2" xfId="22600" xr:uid="{00000000-0005-0000-0000-0000883B0000}"/>
    <cellStyle name="40% - Accent4 8 4" xfId="9318" xr:uid="{00000000-0005-0000-0000-0000893B0000}"/>
    <cellStyle name="40% - Accent4 8 4 2" xfId="20606" xr:uid="{00000000-0005-0000-0000-00008A3B0000}"/>
    <cellStyle name="40% - Accent4 8 5" xfId="7324" xr:uid="{00000000-0005-0000-0000-00008B3B0000}"/>
    <cellStyle name="40% - Accent4 8 5 2" xfId="18612" xr:uid="{00000000-0005-0000-0000-00008C3B0000}"/>
    <cellStyle name="40% - Accent4 8 6" xfId="5330" xr:uid="{00000000-0005-0000-0000-00008D3B0000}"/>
    <cellStyle name="40% - Accent4 8 6 2" xfId="16618" xr:uid="{00000000-0005-0000-0000-00008E3B0000}"/>
    <cellStyle name="40% - Accent4 8 7" xfId="14624" xr:uid="{00000000-0005-0000-0000-00008F3B0000}"/>
    <cellStyle name="40% - Accent4 8 8" xfId="13310" xr:uid="{00000000-0005-0000-0000-0000903B0000}"/>
    <cellStyle name="40% - Accent4 9" xfId="1375" xr:uid="{00000000-0005-0000-0000-0000913B0000}"/>
    <cellStyle name="40% - Accent4 9 2" xfId="4331" xr:uid="{00000000-0005-0000-0000-0000923B0000}"/>
    <cellStyle name="40% - Accent4 9 2 2" xfId="12310" xr:uid="{00000000-0005-0000-0000-0000933B0000}"/>
    <cellStyle name="40% - Accent4 9 2 2 2" xfId="23598" xr:uid="{00000000-0005-0000-0000-0000943B0000}"/>
    <cellStyle name="40% - Accent4 9 2 3" xfId="10316" xr:uid="{00000000-0005-0000-0000-0000953B0000}"/>
    <cellStyle name="40% - Accent4 9 2 3 2" xfId="21604" xr:uid="{00000000-0005-0000-0000-0000963B0000}"/>
    <cellStyle name="40% - Accent4 9 2 4" xfId="8322" xr:uid="{00000000-0005-0000-0000-0000973B0000}"/>
    <cellStyle name="40% - Accent4 9 2 4 2" xfId="19610" xr:uid="{00000000-0005-0000-0000-0000983B0000}"/>
    <cellStyle name="40% - Accent4 9 2 5" xfId="6328" xr:uid="{00000000-0005-0000-0000-0000993B0000}"/>
    <cellStyle name="40% - Accent4 9 2 5 2" xfId="17616" xr:uid="{00000000-0005-0000-0000-00009A3B0000}"/>
    <cellStyle name="40% - Accent4 9 2 6" xfId="15622" xr:uid="{00000000-0005-0000-0000-00009B3B0000}"/>
    <cellStyle name="40% - Accent4 9 3" xfId="11313" xr:uid="{00000000-0005-0000-0000-00009C3B0000}"/>
    <cellStyle name="40% - Accent4 9 3 2" xfId="22601" xr:uid="{00000000-0005-0000-0000-00009D3B0000}"/>
    <cellStyle name="40% - Accent4 9 4" xfId="9319" xr:uid="{00000000-0005-0000-0000-00009E3B0000}"/>
    <cellStyle name="40% - Accent4 9 4 2" xfId="20607" xr:uid="{00000000-0005-0000-0000-00009F3B0000}"/>
    <cellStyle name="40% - Accent4 9 5" xfId="7325" xr:uid="{00000000-0005-0000-0000-0000A03B0000}"/>
    <cellStyle name="40% - Accent4 9 5 2" xfId="18613" xr:uid="{00000000-0005-0000-0000-0000A13B0000}"/>
    <cellStyle name="40% - Accent4 9 6" xfId="5331" xr:uid="{00000000-0005-0000-0000-0000A23B0000}"/>
    <cellStyle name="40% - Accent4 9 6 2" xfId="16619" xr:uid="{00000000-0005-0000-0000-0000A33B0000}"/>
    <cellStyle name="40% - Accent4 9 7" xfId="14625" xr:uid="{00000000-0005-0000-0000-0000A43B0000}"/>
    <cellStyle name="40% - Accent4 9 8" xfId="13311" xr:uid="{00000000-0005-0000-0000-0000A53B0000}"/>
    <cellStyle name="40% - Accent5 10" xfId="1376" xr:uid="{00000000-0005-0000-0000-0000A63B0000}"/>
    <cellStyle name="40% - Accent5 10 2" xfId="4332" xr:uid="{00000000-0005-0000-0000-0000A73B0000}"/>
    <cellStyle name="40% - Accent5 10 2 2" xfId="12311" xr:uid="{00000000-0005-0000-0000-0000A83B0000}"/>
    <cellStyle name="40% - Accent5 10 2 2 2" xfId="23599" xr:uid="{00000000-0005-0000-0000-0000A93B0000}"/>
    <cellStyle name="40% - Accent5 10 2 3" xfId="10317" xr:uid="{00000000-0005-0000-0000-0000AA3B0000}"/>
    <cellStyle name="40% - Accent5 10 2 3 2" xfId="21605" xr:uid="{00000000-0005-0000-0000-0000AB3B0000}"/>
    <cellStyle name="40% - Accent5 10 2 4" xfId="8323" xr:uid="{00000000-0005-0000-0000-0000AC3B0000}"/>
    <cellStyle name="40% - Accent5 10 2 4 2" xfId="19611" xr:uid="{00000000-0005-0000-0000-0000AD3B0000}"/>
    <cellStyle name="40% - Accent5 10 2 5" xfId="6329" xr:uid="{00000000-0005-0000-0000-0000AE3B0000}"/>
    <cellStyle name="40% - Accent5 10 2 5 2" xfId="17617" xr:uid="{00000000-0005-0000-0000-0000AF3B0000}"/>
    <cellStyle name="40% - Accent5 10 2 6" xfId="15623" xr:uid="{00000000-0005-0000-0000-0000B03B0000}"/>
    <cellStyle name="40% - Accent5 10 3" xfId="11314" xr:uid="{00000000-0005-0000-0000-0000B13B0000}"/>
    <cellStyle name="40% - Accent5 10 3 2" xfId="22602" xr:uid="{00000000-0005-0000-0000-0000B23B0000}"/>
    <cellStyle name="40% - Accent5 10 4" xfId="9320" xr:uid="{00000000-0005-0000-0000-0000B33B0000}"/>
    <cellStyle name="40% - Accent5 10 4 2" xfId="20608" xr:uid="{00000000-0005-0000-0000-0000B43B0000}"/>
    <cellStyle name="40% - Accent5 10 5" xfId="7326" xr:uid="{00000000-0005-0000-0000-0000B53B0000}"/>
    <cellStyle name="40% - Accent5 10 5 2" xfId="18614" xr:uid="{00000000-0005-0000-0000-0000B63B0000}"/>
    <cellStyle name="40% - Accent5 10 6" xfId="5332" xr:uid="{00000000-0005-0000-0000-0000B73B0000}"/>
    <cellStyle name="40% - Accent5 10 6 2" xfId="16620" xr:uid="{00000000-0005-0000-0000-0000B83B0000}"/>
    <cellStyle name="40% - Accent5 10 7" xfId="14626" xr:uid="{00000000-0005-0000-0000-0000B93B0000}"/>
    <cellStyle name="40% - Accent5 10 8" xfId="13312" xr:uid="{00000000-0005-0000-0000-0000BA3B0000}"/>
    <cellStyle name="40% - Accent5 11" xfId="1377" xr:uid="{00000000-0005-0000-0000-0000BB3B0000}"/>
    <cellStyle name="40% - Accent5 11 2" xfId="4333" xr:uid="{00000000-0005-0000-0000-0000BC3B0000}"/>
    <cellStyle name="40% - Accent5 11 2 2" xfId="12312" xr:uid="{00000000-0005-0000-0000-0000BD3B0000}"/>
    <cellStyle name="40% - Accent5 11 2 2 2" xfId="23600" xr:uid="{00000000-0005-0000-0000-0000BE3B0000}"/>
    <cellStyle name="40% - Accent5 11 2 3" xfId="10318" xr:uid="{00000000-0005-0000-0000-0000BF3B0000}"/>
    <cellStyle name="40% - Accent5 11 2 3 2" xfId="21606" xr:uid="{00000000-0005-0000-0000-0000C03B0000}"/>
    <cellStyle name="40% - Accent5 11 2 4" xfId="8324" xr:uid="{00000000-0005-0000-0000-0000C13B0000}"/>
    <cellStyle name="40% - Accent5 11 2 4 2" xfId="19612" xr:uid="{00000000-0005-0000-0000-0000C23B0000}"/>
    <cellStyle name="40% - Accent5 11 2 5" xfId="6330" xr:uid="{00000000-0005-0000-0000-0000C33B0000}"/>
    <cellStyle name="40% - Accent5 11 2 5 2" xfId="17618" xr:uid="{00000000-0005-0000-0000-0000C43B0000}"/>
    <cellStyle name="40% - Accent5 11 2 6" xfId="15624" xr:uid="{00000000-0005-0000-0000-0000C53B0000}"/>
    <cellStyle name="40% - Accent5 11 3" xfId="11315" xr:uid="{00000000-0005-0000-0000-0000C63B0000}"/>
    <cellStyle name="40% - Accent5 11 3 2" xfId="22603" xr:uid="{00000000-0005-0000-0000-0000C73B0000}"/>
    <cellStyle name="40% - Accent5 11 4" xfId="9321" xr:uid="{00000000-0005-0000-0000-0000C83B0000}"/>
    <cellStyle name="40% - Accent5 11 4 2" xfId="20609" xr:uid="{00000000-0005-0000-0000-0000C93B0000}"/>
    <cellStyle name="40% - Accent5 11 5" xfId="7327" xr:uid="{00000000-0005-0000-0000-0000CA3B0000}"/>
    <cellStyle name="40% - Accent5 11 5 2" xfId="18615" xr:uid="{00000000-0005-0000-0000-0000CB3B0000}"/>
    <cellStyle name="40% - Accent5 11 6" xfId="5333" xr:uid="{00000000-0005-0000-0000-0000CC3B0000}"/>
    <cellStyle name="40% - Accent5 11 6 2" xfId="16621" xr:uid="{00000000-0005-0000-0000-0000CD3B0000}"/>
    <cellStyle name="40% - Accent5 11 7" xfId="14627" xr:uid="{00000000-0005-0000-0000-0000CE3B0000}"/>
    <cellStyle name="40% - Accent5 11 8" xfId="13313" xr:uid="{00000000-0005-0000-0000-0000CF3B0000}"/>
    <cellStyle name="40% - Accent5 12" xfId="1378" xr:uid="{00000000-0005-0000-0000-0000D03B0000}"/>
    <cellStyle name="40% - Accent5 12 2" xfId="4334" xr:uid="{00000000-0005-0000-0000-0000D13B0000}"/>
    <cellStyle name="40% - Accent5 12 2 2" xfId="12313" xr:uid="{00000000-0005-0000-0000-0000D23B0000}"/>
    <cellStyle name="40% - Accent5 12 2 2 2" xfId="23601" xr:uid="{00000000-0005-0000-0000-0000D33B0000}"/>
    <cellStyle name="40% - Accent5 12 2 3" xfId="10319" xr:uid="{00000000-0005-0000-0000-0000D43B0000}"/>
    <cellStyle name="40% - Accent5 12 2 3 2" xfId="21607" xr:uid="{00000000-0005-0000-0000-0000D53B0000}"/>
    <cellStyle name="40% - Accent5 12 2 4" xfId="8325" xr:uid="{00000000-0005-0000-0000-0000D63B0000}"/>
    <cellStyle name="40% - Accent5 12 2 4 2" xfId="19613" xr:uid="{00000000-0005-0000-0000-0000D73B0000}"/>
    <cellStyle name="40% - Accent5 12 2 5" xfId="6331" xr:uid="{00000000-0005-0000-0000-0000D83B0000}"/>
    <cellStyle name="40% - Accent5 12 2 5 2" xfId="17619" xr:uid="{00000000-0005-0000-0000-0000D93B0000}"/>
    <cellStyle name="40% - Accent5 12 2 6" xfId="15625" xr:uid="{00000000-0005-0000-0000-0000DA3B0000}"/>
    <cellStyle name="40% - Accent5 12 3" xfId="11316" xr:uid="{00000000-0005-0000-0000-0000DB3B0000}"/>
    <cellStyle name="40% - Accent5 12 3 2" xfId="22604" xr:uid="{00000000-0005-0000-0000-0000DC3B0000}"/>
    <cellStyle name="40% - Accent5 12 4" xfId="9322" xr:uid="{00000000-0005-0000-0000-0000DD3B0000}"/>
    <cellStyle name="40% - Accent5 12 4 2" xfId="20610" xr:uid="{00000000-0005-0000-0000-0000DE3B0000}"/>
    <cellStyle name="40% - Accent5 12 5" xfId="7328" xr:uid="{00000000-0005-0000-0000-0000DF3B0000}"/>
    <cellStyle name="40% - Accent5 12 5 2" xfId="18616" xr:uid="{00000000-0005-0000-0000-0000E03B0000}"/>
    <cellStyle name="40% - Accent5 12 6" xfId="5334" xr:uid="{00000000-0005-0000-0000-0000E13B0000}"/>
    <cellStyle name="40% - Accent5 12 6 2" xfId="16622" xr:uid="{00000000-0005-0000-0000-0000E23B0000}"/>
    <cellStyle name="40% - Accent5 12 7" xfId="14628" xr:uid="{00000000-0005-0000-0000-0000E33B0000}"/>
    <cellStyle name="40% - Accent5 12 8" xfId="13314" xr:uid="{00000000-0005-0000-0000-0000E43B0000}"/>
    <cellStyle name="40% - Accent5 13" xfId="1379" xr:uid="{00000000-0005-0000-0000-0000E53B0000}"/>
    <cellStyle name="40% - Accent5 13 2" xfId="4335" xr:uid="{00000000-0005-0000-0000-0000E63B0000}"/>
    <cellStyle name="40% - Accent5 13 2 2" xfId="12314" xr:uid="{00000000-0005-0000-0000-0000E73B0000}"/>
    <cellStyle name="40% - Accent5 13 2 2 2" xfId="23602" xr:uid="{00000000-0005-0000-0000-0000E83B0000}"/>
    <cellStyle name="40% - Accent5 13 2 3" xfId="10320" xr:uid="{00000000-0005-0000-0000-0000E93B0000}"/>
    <cellStyle name="40% - Accent5 13 2 3 2" xfId="21608" xr:uid="{00000000-0005-0000-0000-0000EA3B0000}"/>
    <cellStyle name="40% - Accent5 13 2 4" xfId="8326" xr:uid="{00000000-0005-0000-0000-0000EB3B0000}"/>
    <cellStyle name="40% - Accent5 13 2 4 2" xfId="19614" xr:uid="{00000000-0005-0000-0000-0000EC3B0000}"/>
    <cellStyle name="40% - Accent5 13 2 5" xfId="6332" xr:uid="{00000000-0005-0000-0000-0000ED3B0000}"/>
    <cellStyle name="40% - Accent5 13 2 5 2" xfId="17620" xr:uid="{00000000-0005-0000-0000-0000EE3B0000}"/>
    <cellStyle name="40% - Accent5 13 2 6" xfId="15626" xr:uid="{00000000-0005-0000-0000-0000EF3B0000}"/>
    <cellStyle name="40% - Accent5 13 3" xfId="11317" xr:uid="{00000000-0005-0000-0000-0000F03B0000}"/>
    <cellStyle name="40% - Accent5 13 3 2" xfId="22605" xr:uid="{00000000-0005-0000-0000-0000F13B0000}"/>
    <cellStyle name="40% - Accent5 13 4" xfId="9323" xr:uid="{00000000-0005-0000-0000-0000F23B0000}"/>
    <cellStyle name="40% - Accent5 13 4 2" xfId="20611" xr:uid="{00000000-0005-0000-0000-0000F33B0000}"/>
    <cellStyle name="40% - Accent5 13 5" xfId="7329" xr:uid="{00000000-0005-0000-0000-0000F43B0000}"/>
    <cellStyle name="40% - Accent5 13 5 2" xfId="18617" xr:uid="{00000000-0005-0000-0000-0000F53B0000}"/>
    <cellStyle name="40% - Accent5 13 6" xfId="5335" xr:uid="{00000000-0005-0000-0000-0000F63B0000}"/>
    <cellStyle name="40% - Accent5 13 6 2" xfId="16623" xr:uid="{00000000-0005-0000-0000-0000F73B0000}"/>
    <cellStyle name="40% - Accent5 13 7" xfId="14629" xr:uid="{00000000-0005-0000-0000-0000F83B0000}"/>
    <cellStyle name="40% - Accent5 13 8" xfId="13315" xr:uid="{00000000-0005-0000-0000-0000F93B0000}"/>
    <cellStyle name="40% - Accent5 14" xfId="1380" xr:uid="{00000000-0005-0000-0000-0000FA3B0000}"/>
    <cellStyle name="40% - Accent5 14 2" xfId="4336" xr:uid="{00000000-0005-0000-0000-0000FB3B0000}"/>
    <cellStyle name="40% - Accent5 14 2 2" xfId="12315" xr:uid="{00000000-0005-0000-0000-0000FC3B0000}"/>
    <cellStyle name="40% - Accent5 14 2 2 2" xfId="23603" xr:uid="{00000000-0005-0000-0000-0000FD3B0000}"/>
    <cellStyle name="40% - Accent5 14 2 3" xfId="10321" xr:uid="{00000000-0005-0000-0000-0000FE3B0000}"/>
    <cellStyle name="40% - Accent5 14 2 3 2" xfId="21609" xr:uid="{00000000-0005-0000-0000-0000FF3B0000}"/>
    <cellStyle name="40% - Accent5 14 2 4" xfId="8327" xr:uid="{00000000-0005-0000-0000-0000003C0000}"/>
    <cellStyle name="40% - Accent5 14 2 4 2" xfId="19615" xr:uid="{00000000-0005-0000-0000-0000013C0000}"/>
    <cellStyle name="40% - Accent5 14 2 5" xfId="6333" xr:uid="{00000000-0005-0000-0000-0000023C0000}"/>
    <cellStyle name="40% - Accent5 14 2 5 2" xfId="17621" xr:uid="{00000000-0005-0000-0000-0000033C0000}"/>
    <cellStyle name="40% - Accent5 14 2 6" xfId="15627" xr:uid="{00000000-0005-0000-0000-0000043C0000}"/>
    <cellStyle name="40% - Accent5 14 3" xfId="11318" xr:uid="{00000000-0005-0000-0000-0000053C0000}"/>
    <cellStyle name="40% - Accent5 14 3 2" xfId="22606" xr:uid="{00000000-0005-0000-0000-0000063C0000}"/>
    <cellStyle name="40% - Accent5 14 4" xfId="9324" xr:uid="{00000000-0005-0000-0000-0000073C0000}"/>
    <cellStyle name="40% - Accent5 14 4 2" xfId="20612" xr:uid="{00000000-0005-0000-0000-0000083C0000}"/>
    <cellStyle name="40% - Accent5 14 5" xfId="7330" xr:uid="{00000000-0005-0000-0000-0000093C0000}"/>
    <cellStyle name="40% - Accent5 14 5 2" xfId="18618" xr:uid="{00000000-0005-0000-0000-00000A3C0000}"/>
    <cellStyle name="40% - Accent5 14 6" xfId="5336" xr:uid="{00000000-0005-0000-0000-00000B3C0000}"/>
    <cellStyle name="40% - Accent5 14 6 2" xfId="16624" xr:uid="{00000000-0005-0000-0000-00000C3C0000}"/>
    <cellStyle name="40% - Accent5 14 7" xfId="14630" xr:uid="{00000000-0005-0000-0000-00000D3C0000}"/>
    <cellStyle name="40% - Accent5 14 8" xfId="13316" xr:uid="{00000000-0005-0000-0000-00000E3C0000}"/>
    <cellStyle name="40% - Accent5 15" xfId="1381" xr:uid="{00000000-0005-0000-0000-00000F3C0000}"/>
    <cellStyle name="40% - Accent5 15 2" xfId="4337" xr:uid="{00000000-0005-0000-0000-0000103C0000}"/>
    <cellStyle name="40% - Accent5 15 2 2" xfId="12316" xr:uid="{00000000-0005-0000-0000-0000113C0000}"/>
    <cellStyle name="40% - Accent5 15 2 2 2" xfId="23604" xr:uid="{00000000-0005-0000-0000-0000123C0000}"/>
    <cellStyle name="40% - Accent5 15 2 3" xfId="10322" xr:uid="{00000000-0005-0000-0000-0000133C0000}"/>
    <cellStyle name="40% - Accent5 15 2 3 2" xfId="21610" xr:uid="{00000000-0005-0000-0000-0000143C0000}"/>
    <cellStyle name="40% - Accent5 15 2 4" xfId="8328" xr:uid="{00000000-0005-0000-0000-0000153C0000}"/>
    <cellStyle name="40% - Accent5 15 2 4 2" xfId="19616" xr:uid="{00000000-0005-0000-0000-0000163C0000}"/>
    <cellStyle name="40% - Accent5 15 2 5" xfId="6334" xr:uid="{00000000-0005-0000-0000-0000173C0000}"/>
    <cellStyle name="40% - Accent5 15 2 5 2" xfId="17622" xr:uid="{00000000-0005-0000-0000-0000183C0000}"/>
    <cellStyle name="40% - Accent5 15 2 6" xfId="15628" xr:uid="{00000000-0005-0000-0000-0000193C0000}"/>
    <cellStyle name="40% - Accent5 15 3" xfId="11319" xr:uid="{00000000-0005-0000-0000-00001A3C0000}"/>
    <cellStyle name="40% - Accent5 15 3 2" xfId="22607" xr:uid="{00000000-0005-0000-0000-00001B3C0000}"/>
    <cellStyle name="40% - Accent5 15 4" xfId="9325" xr:uid="{00000000-0005-0000-0000-00001C3C0000}"/>
    <cellStyle name="40% - Accent5 15 4 2" xfId="20613" xr:uid="{00000000-0005-0000-0000-00001D3C0000}"/>
    <cellStyle name="40% - Accent5 15 5" xfId="7331" xr:uid="{00000000-0005-0000-0000-00001E3C0000}"/>
    <cellStyle name="40% - Accent5 15 5 2" xfId="18619" xr:uid="{00000000-0005-0000-0000-00001F3C0000}"/>
    <cellStyle name="40% - Accent5 15 6" xfId="5337" xr:uid="{00000000-0005-0000-0000-0000203C0000}"/>
    <cellStyle name="40% - Accent5 15 6 2" xfId="16625" xr:uid="{00000000-0005-0000-0000-0000213C0000}"/>
    <cellStyle name="40% - Accent5 15 7" xfId="14631" xr:uid="{00000000-0005-0000-0000-0000223C0000}"/>
    <cellStyle name="40% - Accent5 15 8" xfId="13317" xr:uid="{00000000-0005-0000-0000-0000233C0000}"/>
    <cellStyle name="40% - Accent5 16" xfId="1382" xr:uid="{00000000-0005-0000-0000-0000243C0000}"/>
    <cellStyle name="40% - Accent5 16 2" xfId="4338" xr:uid="{00000000-0005-0000-0000-0000253C0000}"/>
    <cellStyle name="40% - Accent5 16 2 2" xfId="12317" xr:uid="{00000000-0005-0000-0000-0000263C0000}"/>
    <cellStyle name="40% - Accent5 16 2 2 2" xfId="23605" xr:uid="{00000000-0005-0000-0000-0000273C0000}"/>
    <cellStyle name="40% - Accent5 16 2 3" xfId="10323" xr:uid="{00000000-0005-0000-0000-0000283C0000}"/>
    <cellStyle name="40% - Accent5 16 2 3 2" xfId="21611" xr:uid="{00000000-0005-0000-0000-0000293C0000}"/>
    <cellStyle name="40% - Accent5 16 2 4" xfId="8329" xr:uid="{00000000-0005-0000-0000-00002A3C0000}"/>
    <cellStyle name="40% - Accent5 16 2 4 2" xfId="19617" xr:uid="{00000000-0005-0000-0000-00002B3C0000}"/>
    <cellStyle name="40% - Accent5 16 2 5" xfId="6335" xr:uid="{00000000-0005-0000-0000-00002C3C0000}"/>
    <cellStyle name="40% - Accent5 16 2 5 2" xfId="17623" xr:uid="{00000000-0005-0000-0000-00002D3C0000}"/>
    <cellStyle name="40% - Accent5 16 2 6" xfId="15629" xr:uid="{00000000-0005-0000-0000-00002E3C0000}"/>
    <cellStyle name="40% - Accent5 16 3" xfId="11320" xr:uid="{00000000-0005-0000-0000-00002F3C0000}"/>
    <cellStyle name="40% - Accent5 16 3 2" xfId="22608" xr:uid="{00000000-0005-0000-0000-0000303C0000}"/>
    <cellStyle name="40% - Accent5 16 4" xfId="9326" xr:uid="{00000000-0005-0000-0000-0000313C0000}"/>
    <cellStyle name="40% - Accent5 16 4 2" xfId="20614" xr:uid="{00000000-0005-0000-0000-0000323C0000}"/>
    <cellStyle name="40% - Accent5 16 5" xfId="7332" xr:uid="{00000000-0005-0000-0000-0000333C0000}"/>
    <cellStyle name="40% - Accent5 16 5 2" xfId="18620" xr:uid="{00000000-0005-0000-0000-0000343C0000}"/>
    <cellStyle name="40% - Accent5 16 6" xfId="5338" xr:uid="{00000000-0005-0000-0000-0000353C0000}"/>
    <cellStyle name="40% - Accent5 16 6 2" xfId="16626" xr:uid="{00000000-0005-0000-0000-0000363C0000}"/>
    <cellStyle name="40% - Accent5 16 7" xfId="14632" xr:uid="{00000000-0005-0000-0000-0000373C0000}"/>
    <cellStyle name="40% - Accent5 16 8" xfId="13318" xr:uid="{00000000-0005-0000-0000-0000383C0000}"/>
    <cellStyle name="40% - Accent5 17" xfId="1383" xr:uid="{00000000-0005-0000-0000-0000393C0000}"/>
    <cellStyle name="40% - Accent5 17 2" xfId="4339" xr:uid="{00000000-0005-0000-0000-00003A3C0000}"/>
    <cellStyle name="40% - Accent5 17 2 2" xfId="12318" xr:uid="{00000000-0005-0000-0000-00003B3C0000}"/>
    <cellStyle name="40% - Accent5 17 2 2 2" xfId="23606" xr:uid="{00000000-0005-0000-0000-00003C3C0000}"/>
    <cellStyle name="40% - Accent5 17 2 3" xfId="10324" xr:uid="{00000000-0005-0000-0000-00003D3C0000}"/>
    <cellStyle name="40% - Accent5 17 2 3 2" xfId="21612" xr:uid="{00000000-0005-0000-0000-00003E3C0000}"/>
    <cellStyle name="40% - Accent5 17 2 4" xfId="8330" xr:uid="{00000000-0005-0000-0000-00003F3C0000}"/>
    <cellStyle name="40% - Accent5 17 2 4 2" xfId="19618" xr:uid="{00000000-0005-0000-0000-0000403C0000}"/>
    <cellStyle name="40% - Accent5 17 2 5" xfId="6336" xr:uid="{00000000-0005-0000-0000-0000413C0000}"/>
    <cellStyle name="40% - Accent5 17 2 5 2" xfId="17624" xr:uid="{00000000-0005-0000-0000-0000423C0000}"/>
    <cellStyle name="40% - Accent5 17 2 6" xfId="15630" xr:uid="{00000000-0005-0000-0000-0000433C0000}"/>
    <cellStyle name="40% - Accent5 17 3" xfId="11321" xr:uid="{00000000-0005-0000-0000-0000443C0000}"/>
    <cellStyle name="40% - Accent5 17 3 2" xfId="22609" xr:uid="{00000000-0005-0000-0000-0000453C0000}"/>
    <cellStyle name="40% - Accent5 17 4" xfId="9327" xr:uid="{00000000-0005-0000-0000-0000463C0000}"/>
    <cellStyle name="40% - Accent5 17 4 2" xfId="20615" xr:uid="{00000000-0005-0000-0000-0000473C0000}"/>
    <cellStyle name="40% - Accent5 17 5" xfId="7333" xr:uid="{00000000-0005-0000-0000-0000483C0000}"/>
    <cellStyle name="40% - Accent5 17 5 2" xfId="18621" xr:uid="{00000000-0005-0000-0000-0000493C0000}"/>
    <cellStyle name="40% - Accent5 17 6" xfId="5339" xr:uid="{00000000-0005-0000-0000-00004A3C0000}"/>
    <cellStyle name="40% - Accent5 17 6 2" xfId="16627" xr:uid="{00000000-0005-0000-0000-00004B3C0000}"/>
    <cellStyle name="40% - Accent5 17 7" xfId="14633" xr:uid="{00000000-0005-0000-0000-00004C3C0000}"/>
    <cellStyle name="40% - Accent5 17 8" xfId="13319" xr:uid="{00000000-0005-0000-0000-00004D3C0000}"/>
    <cellStyle name="40% - Accent5 18" xfId="1384" xr:uid="{00000000-0005-0000-0000-00004E3C0000}"/>
    <cellStyle name="40% - Accent5 18 2" xfId="4340" xr:uid="{00000000-0005-0000-0000-00004F3C0000}"/>
    <cellStyle name="40% - Accent5 18 2 2" xfId="12319" xr:uid="{00000000-0005-0000-0000-0000503C0000}"/>
    <cellStyle name="40% - Accent5 18 2 2 2" xfId="23607" xr:uid="{00000000-0005-0000-0000-0000513C0000}"/>
    <cellStyle name="40% - Accent5 18 2 3" xfId="10325" xr:uid="{00000000-0005-0000-0000-0000523C0000}"/>
    <cellStyle name="40% - Accent5 18 2 3 2" xfId="21613" xr:uid="{00000000-0005-0000-0000-0000533C0000}"/>
    <cellStyle name="40% - Accent5 18 2 4" xfId="8331" xr:uid="{00000000-0005-0000-0000-0000543C0000}"/>
    <cellStyle name="40% - Accent5 18 2 4 2" xfId="19619" xr:uid="{00000000-0005-0000-0000-0000553C0000}"/>
    <cellStyle name="40% - Accent5 18 2 5" xfId="6337" xr:uid="{00000000-0005-0000-0000-0000563C0000}"/>
    <cellStyle name="40% - Accent5 18 2 5 2" xfId="17625" xr:uid="{00000000-0005-0000-0000-0000573C0000}"/>
    <cellStyle name="40% - Accent5 18 2 6" xfId="15631" xr:uid="{00000000-0005-0000-0000-0000583C0000}"/>
    <cellStyle name="40% - Accent5 18 3" xfId="11322" xr:uid="{00000000-0005-0000-0000-0000593C0000}"/>
    <cellStyle name="40% - Accent5 18 3 2" xfId="22610" xr:uid="{00000000-0005-0000-0000-00005A3C0000}"/>
    <cellStyle name="40% - Accent5 18 4" xfId="9328" xr:uid="{00000000-0005-0000-0000-00005B3C0000}"/>
    <cellStyle name="40% - Accent5 18 4 2" xfId="20616" xr:uid="{00000000-0005-0000-0000-00005C3C0000}"/>
    <cellStyle name="40% - Accent5 18 5" xfId="7334" xr:uid="{00000000-0005-0000-0000-00005D3C0000}"/>
    <cellStyle name="40% - Accent5 18 5 2" xfId="18622" xr:uid="{00000000-0005-0000-0000-00005E3C0000}"/>
    <cellStyle name="40% - Accent5 18 6" xfId="5340" xr:uid="{00000000-0005-0000-0000-00005F3C0000}"/>
    <cellStyle name="40% - Accent5 18 6 2" xfId="16628" xr:uid="{00000000-0005-0000-0000-0000603C0000}"/>
    <cellStyle name="40% - Accent5 18 7" xfId="14634" xr:uid="{00000000-0005-0000-0000-0000613C0000}"/>
    <cellStyle name="40% - Accent5 18 8" xfId="13320" xr:uid="{00000000-0005-0000-0000-0000623C0000}"/>
    <cellStyle name="40% - Accent5 19" xfId="1385" xr:uid="{00000000-0005-0000-0000-0000633C0000}"/>
    <cellStyle name="40% - Accent5 19 2" xfId="4341" xr:uid="{00000000-0005-0000-0000-0000643C0000}"/>
    <cellStyle name="40% - Accent5 19 2 2" xfId="12320" xr:uid="{00000000-0005-0000-0000-0000653C0000}"/>
    <cellStyle name="40% - Accent5 19 2 2 2" xfId="23608" xr:uid="{00000000-0005-0000-0000-0000663C0000}"/>
    <cellStyle name="40% - Accent5 19 2 3" xfId="10326" xr:uid="{00000000-0005-0000-0000-0000673C0000}"/>
    <cellStyle name="40% - Accent5 19 2 3 2" xfId="21614" xr:uid="{00000000-0005-0000-0000-0000683C0000}"/>
    <cellStyle name="40% - Accent5 19 2 4" xfId="8332" xr:uid="{00000000-0005-0000-0000-0000693C0000}"/>
    <cellStyle name="40% - Accent5 19 2 4 2" xfId="19620" xr:uid="{00000000-0005-0000-0000-00006A3C0000}"/>
    <cellStyle name="40% - Accent5 19 2 5" xfId="6338" xr:uid="{00000000-0005-0000-0000-00006B3C0000}"/>
    <cellStyle name="40% - Accent5 19 2 5 2" xfId="17626" xr:uid="{00000000-0005-0000-0000-00006C3C0000}"/>
    <cellStyle name="40% - Accent5 19 2 6" xfId="15632" xr:uid="{00000000-0005-0000-0000-00006D3C0000}"/>
    <cellStyle name="40% - Accent5 19 3" xfId="11323" xr:uid="{00000000-0005-0000-0000-00006E3C0000}"/>
    <cellStyle name="40% - Accent5 19 3 2" xfId="22611" xr:uid="{00000000-0005-0000-0000-00006F3C0000}"/>
    <cellStyle name="40% - Accent5 19 4" xfId="9329" xr:uid="{00000000-0005-0000-0000-0000703C0000}"/>
    <cellStyle name="40% - Accent5 19 4 2" xfId="20617" xr:uid="{00000000-0005-0000-0000-0000713C0000}"/>
    <cellStyle name="40% - Accent5 19 5" xfId="7335" xr:uid="{00000000-0005-0000-0000-0000723C0000}"/>
    <cellStyle name="40% - Accent5 19 5 2" xfId="18623" xr:uid="{00000000-0005-0000-0000-0000733C0000}"/>
    <cellStyle name="40% - Accent5 19 6" xfId="5341" xr:uid="{00000000-0005-0000-0000-0000743C0000}"/>
    <cellStyle name="40% - Accent5 19 6 2" xfId="16629" xr:uid="{00000000-0005-0000-0000-0000753C0000}"/>
    <cellStyle name="40% - Accent5 19 7" xfId="14635" xr:uid="{00000000-0005-0000-0000-0000763C0000}"/>
    <cellStyle name="40% - Accent5 19 8" xfId="13321" xr:uid="{00000000-0005-0000-0000-0000773C0000}"/>
    <cellStyle name="40% - Accent5 2" xfId="1386" xr:uid="{00000000-0005-0000-0000-0000783C0000}"/>
    <cellStyle name="40% - Accent5 2 10" xfId="24619" xr:uid="{00000000-0005-0000-0000-0000793C0000}"/>
    <cellStyle name="40% - Accent5 2 11" xfId="25009" xr:uid="{00000000-0005-0000-0000-00007A3C0000}"/>
    <cellStyle name="40% - Accent5 2 2" xfId="4342" xr:uid="{00000000-0005-0000-0000-00007B3C0000}"/>
    <cellStyle name="40% - Accent5 2 2 2" xfId="12321" xr:uid="{00000000-0005-0000-0000-00007C3C0000}"/>
    <cellStyle name="40% - Accent5 2 2 2 2" xfId="23609" xr:uid="{00000000-0005-0000-0000-00007D3C0000}"/>
    <cellStyle name="40% - Accent5 2 2 3" xfId="10327" xr:uid="{00000000-0005-0000-0000-00007E3C0000}"/>
    <cellStyle name="40% - Accent5 2 2 3 2" xfId="21615" xr:uid="{00000000-0005-0000-0000-00007F3C0000}"/>
    <cellStyle name="40% - Accent5 2 2 4" xfId="8333" xr:uid="{00000000-0005-0000-0000-0000803C0000}"/>
    <cellStyle name="40% - Accent5 2 2 4 2" xfId="19621" xr:uid="{00000000-0005-0000-0000-0000813C0000}"/>
    <cellStyle name="40% - Accent5 2 2 5" xfId="6339" xr:uid="{00000000-0005-0000-0000-0000823C0000}"/>
    <cellStyle name="40% - Accent5 2 2 5 2" xfId="17627" xr:uid="{00000000-0005-0000-0000-0000833C0000}"/>
    <cellStyle name="40% - Accent5 2 2 6" xfId="15633" xr:uid="{00000000-0005-0000-0000-0000843C0000}"/>
    <cellStyle name="40% - Accent5 2 2 7" xfId="24380" xr:uid="{00000000-0005-0000-0000-0000853C0000}"/>
    <cellStyle name="40% - Accent5 2 2 8" xfId="24844" xr:uid="{00000000-0005-0000-0000-0000863C0000}"/>
    <cellStyle name="40% - Accent5 2 2 9" xfId="25211" xr:uid="{00000000-0005-0000-0000-0000873C0000}"/>
    <cellStyle name="40% - Accent5 2 3" xfId="11324" xr:uid="{00000000-0005-0000-0000-0000883C0000}"/>
    <cellStyle name="40% - Accent5 2 3 2" xfId="22612" xr:uid="{00000000-0005-0000-0000-0000893C0000}"/>
    <cellStyle name="40% - Accent5 2 4" xfId="9330" xr:uid="{00000000-0005-0000-0000-00008A3C0000}"/>
    <cellStyle name="40% - Accent5 2 4 2" xfId="20618" xr:uid="{00000000-0005-0000-0000-00008B3C0000}"/>
    <cellStyle name="40% - Accent5 2 5" xfId="7336" xr:uid="{00000000-0005-0000-0000-00008C3C0000}"/>
    <cellStyle name="40% - Accent5 2 5 2" xfId="18624" xr:uid="{00000000-0005-0000-0000-00008D3C0000}"/>
    <cellStyle name="40% - Accent5 2 6" xfId="5342" xr:uid="{00000000-0005-0000-0000-00008E3C0000}"/>
    <cellStyle name="40% - Accent5 2 6 2" xfId="16630" xr:uid="{00000000-0005-0000-0000-00008F3C0000}"/>
    <cellStyle name="40% - Accent5 2 7" xfId="14636" xr:uid="{00000000-0005-0000-0000-0000903C0000}"/>
    <cellStyle name="40% - Accent5 2 8" xfId="13322" xr:uid="{00000000-0005-0000-0000-0000913C0000}"/>
    <cellStyle name="40% - Accent5 2 9" xfId="23992" xr:uid="{00000000-0005-0000-0000-0000923C0000}"/>
    <cellStyle name="40% - Accent5 20" xfId="1387" xr:uid="{00000000-0005-0000-0000-0000933C0000}"/>
    <cellStyle name="40% - Accent5 20 2" xfId="4343" xr:uid="{00000000-0005-0000-0000-0000943C0000}"/>
    <cellStyle name="40% - Accent5 20 2 2" xfId="12322" xr:uid="{00000000-0005-0000-0000-0000953C0000}"/>
    <cellStyle name="40% - Accent5 20 2 2 2" xfId="23610" xr:uid="{00000000-0005-0000-0000-0000963C0000}"/>
    <cellStyle name="40% - Accent5 20 2 3" xfId="10328" xr:uid="{00000000-0005-0000-0000-0000973C0000}"/>
    <cellStyle name="40% - Accent5 20 2 3 2" xfId="21616" xr:uid="{00000000-0005-0000-0000-0000983C0000}"/>
    <cellStyle name="40% - Accent5 20 2 4" xfId="8334" xr:uid="{00000000-0005-0000-0000-0000993C0000}"/>
    <cellStyle name="40% - Accent5 20 2 4 2" xfId="19622" xr:uid="{00000000-0005-0000-0000-00009A3C0000}"/>
    <cellStyle name="40% - Accent5 20 2 5" xfId="6340" xr:uid="{00000000-0005-0000-0000-00009B3C0000}"/>
    <cellStyle name="40% - Accent5 20 2 5 2" xfId="17628" xr:uid="{00000000-0005-0000-0000-00009C3C0000}"/>
    <cellStyle name="40% - Accent5 20 2 6" xfId="15634" xr:uid="{00000000-0005-0000-0000-00009D3C0000}"/>
    <cellStyle name="40% - Accent5 20 3" xfId="11325" xr:uid="{00000000-0005-0000-0000-00009E3C0000}"/>
    <cellStyle name="40% - Accent5 20 3 2" xfId="22613" xr:uid="{00000000-0005-0000-0000-00009F3C0000}"/>
    <cellStyle name="40% - Accent5 20 4" xfId="9331" xr:uid="{00000000-0005-0000-0000-0000A03C0000}"/>
    <cellStyle name="40% - Accent5 20 4 2" xfId="20619" xr:uid="{00000000-0005-0000-0000-0000A13C0000}"/>
    <cellStyle name="40% - Accent5 20 5" xfId="7337" xr:uid="{00000000-0005-0000-0000-0000A23C0000}"/>
    <cellStyle name="40% - Accent5 20 5 2" xfId="18625" xr:uid="{00000000-0005-0000-0000-0000A33C0000}"/>
    <cellStyle name="40% - Accent5 20 6" xfId="5343" xr:uid="{00000000-0005-0000-0000-0000A43C0000}"/>
    <cellStyle name="40% - Accent5 20 6 2" xfId="16631" xr:uid="{00000000-0005-0000-0000-0000A53C0000}"/>
    <cellStyle name="40% - Accent5 20 7" xfId="14637" xr:uid="{00000000-0005-0000-0000-0000A63C0000}"/>
    <cellStyle name="40% - Accent5 20 8" xfId="13323" xr:uid="{00000000-0005-0000-0000-0000A73C0000}"/>
    <cellStyle name="40% - Accent5 21" xfId="1388" xr:uid="{00000000-0005-0000-0000-0000A83C0000}"/>
    <cellStyle name="40% - Accent5 21 2" xfId="4344" xr:uid="{00000000-0005-0000-0000-0000A93C0000}"/>
    <cellStyle name="40% - Accent5 21 2 2" xfId="12323" xr:uid="{00000000-0005-0000-0000-0000AA3C0000}"/>
    <cellStyle name="40% - Accent5 21 2 2 2" xfId="23611" xr:uid="{00000000-0005-0000-0000-0000AB3C0000}"/>
    <cellStyle name="40% - Accent5 21 2 3" xfId="10329" xr:uid="{00000000-0005-0000-0000-0000AC3C0000}"/>
    <cellStyle name="40% - Accent5 21 2 3 2" xfId="21617" xr:uid="{00000000-0005-0000-0000-0000AD3C0000}"/>
    <cellStyle name="40% - Accent5 21 2 4" xfId="8335" xr:uid="{00000000-0005-0000-0000-0000AE3C0000}"/>
    <cellStyle name="40% - Accent5 21 2 4 2" xfId="19623" xr:uid="{00000000-0005-0000-0000-0000AF3C0000}"/>
    <cellStyle name="40% - Accent5 21 2 5" xfId="6341" xr:uid="{00000000-0005-0000-0000-0000B03C0000}"/>
    <cellStyle name="40% - Accent5 21 2 5 2" xfId="17629" xr:uid="{00000000-0005-0000-0000-0000B13C0000}"/>
    <cellStyle name="40% - Accent5 21 2 6" xfId="15635" xr:uid="{00000000-0005-0000-0000-0000B23C0000}"/>
    <cellStyle name="40% - Accent5 21 3" xfId="11326" xr:uid="{00000000-0005-0000-0000-0000B33C0000}"/>
    <cellStyle name="40% - Accent5 21 3 2" xfId="22614" xr:uid="{00000000-0005-0000-0000-0000B43C0000}"/>
    <cellStyle name="40% - Accent5 21 4" xfId="9332" xr:uid="{00000000-0005-0000-0000-0000B53C0000}"/>
    <cellStyle name="40% - Accent5 21 4 2" xfId="20620" xr:uid="{00000000-0005-0000-0000-0000B63C0000}"/>
    <cellStyle name="40% - Accent5 21 5" xfId="7338" xr:uid="{00000000-0005-0000-0000-0000B73C0000}"/>
    <cellStyle name="40% - Accent5 21 5 2" xfId="18626" xr:uid="{00000000-0005-0000-0000-0000B83C0000}"/>
    <cellStyle name="40% - Accent5 21 6" xfId="5344" xr:uid="{00000000-0005-0000-0000-0000B93C0000}"/>
    <cellStyle name="40% - Accent5 21 6 2" xfId="16632" xr:uid="{00000000-0005-0000-0000-0000BA3C0000}"/>
    <cellStyle name="40% - Accent5 21 7" xfId="14638" xr:uid="{00000000-0005-0000-0000-0000BB3C0000}"/>
    <cellStyle name="40% - Accent5 21 8" xfId="13324" xr:uid="{00000000-0005-0000-0000-0000BC3C0000}"/>
    <cellStyle name="40% - Accent5 22" xfId="1389" xr:uid="{00000000-0005-0000-0000-0000BD3C0000}"/>
    <cellStyle name="40% - Accent5 22 2" xfId="4345" xr:uid="{00000000-0005-0000-0000-0000BE3C0000}"/>
    <cellStyle name="40% - Accent5 22 2 2" xfId="12324" xr:uid="{00000000-0005-0000-0000-0000BF3C0000}"/>
    <cellStyle name="40% - Accent5 22 2 2 2" xfId="23612" xr:uid="{00000000-0005-0000-0000-0000C03C0000}"/>
    <cellStyle name="40% - Accent5 22 2 3" xfId="10330" xr:uid="{00000000-0005-0000-0000-0000C13C0000}"/>
    <cellStyle name="40% - Accent5 22 2 3 2" xfId="21618" xr:uid="{00000000-0005-0000-0000-0000C23C0000}"/>
    <cellStyle name="40% - Accent5 22 2 4" xfId="8336" xr:uid="{00000000-0005-0000-0000-0000C33C0000}"/>
    <cellStyle name="40% - Accent5 22 2 4 2" xfId="19624" xr:uid="{00000000-0005-0000-0000-0000C43C0000}"/>
    <cellStyle name="40% - Accent5 22 2 5" xfId="6342" xr:uid="{00000000-0005-0000-0000-0000C53C0000}"/>
    <cellStyle name="40% - Accent5 22 2 5 2" xfId="17630" xr:uid="{00000000-0005-0000-0000-0000C63C0000}"/>
    <cellStyle name="40% - Accent5 22 2 6" xfId="15636" xr:uid="{00000000-0005-0000-0000-0000C73C0000}"/>
    <cellStyle name="40% - Accent5 22 3" xfId="11327" xr:uid="{00000000-0005-0000-0000-0000C83C0000}"/>
    <cellStyle name="40% - Accent5 22 3 2" xfId="22615" xr:uid="{00000000-0005-0000-0000-0000C93C0000}"/>
    <cellStyle name="40% - Accent5 22 4" xfId="9333" xr:uid="{00000000-0005-0000-0000-0000CA3C0000}"/>
    <cellStyle name="40% - Accent5 22 4 2" xfId="20621" xr:uid="{00000000-0005-0000-0000-0000CB3C0000}"/>
    <cellStyle name="40% - Accent5 22 5" xfId="7339" xr:uid="{00000000-0005-0000-0000-0000CC3C0000}"/>
    <cellStyle name="40% - Accent5 22 5 2" xfId="18627" xr:uid="{00000000-0005-0000-0000-0000CD3C0000}"/>
    <cellStyle name="40% - Accent5 22 6" xfId="5345" xr:uid="{00000000-0005-0000-0000-0000CE3C0000}"/>
    <cellStyle name="40% - Accent5 22 6 2" xfId="16633" xr:uid="{00000000-0005-0000-0000-0000CF3C0000}"/>
    <cellStyle name="40% - Accent5 22 7" xfId="14639" xr:uid="{00000000-0005-0000-0000-0000D03C0000}"/>
    <cellStyle name="40% - Accent5 22 8" xfId="13325" xr:uid="{00000000-0005-0000-0000-0000D13C0000}"/>
    <cellStyle name="40% - Accent5 23" xfId="1390" xr:uid="{00000000-0005-0000-0000-0000D23C0000}"/>
    <cellStyle name="40% - Accent5 23 2" xfId="4346" xr:uid="{00000000-0005-0000-0000-0000D33C0000}"/>
    <cellStyle name="40% - Accent5 23 2 2" xfId="12325" xr:uid="{00000000-0005-0000-0000-0000D43C0000}"/>
    <cellStyle name="40% - Accent5 23 2 2 2" xfId="23613" xr:uid="{00000000-0005-0000-0000-0000D53C0000}"/>
    <cellStyle name="40% - Accent5 23 2 3" xfId="10331" xr:uid="{00000000-0005-0000-0000-0000D63C0000}"/>
    <cellStyle name="40% - Accent5 23 2 3 2" xfId="21619" xr:uid="{00000000-0005-0000-0000-0000D73C0000}"/>
    <cellStyle name="40% - Accent5 23 2 4" xfId="8337" xr:uid="{00000000-0005-0000-0000-0000D83C0000}"/>
    <cellStyle name="40% - Accent5 23 2 4 2" xfId="19625" xr:uid="{00000000-0005-0000-0000-0000D93C0000}"/>
    <cellStyle name="40% - Accent5 23 2 5" xfId="6343" xr:uid="{00000000-0005-0000-0000-0000DA3C0000}"/>
    <cellStyle name="40% - Accent5 23 2 5 2" xfId="17631" xr:uid="{00000000-0005-0000-0000-0000DB3C0000}"/>
    <cellStyle name="40% - Accent5 23 2 6" xfId="15637" xr:uid="{00000000-0005-0000-0000-0000DC3C0000}"/>
    <cellStyle name="40% - Accent5 23 3" xfId="11328" xr:uid="{00000000-0005-0000-0000-0000DD3C0000}"/>
    <cellStyle name="40% - Accent5 23 3 2" xfId="22616" xr:uid="{00000000-0005-0000-0000-0000DE3C0000}"/>
    <cellStyle name="40% - Accent5 23 4" xfId="9334" xr:uid="{00000000-0005-0000-0000-0000DF3C0000}"/>
    <cellStyle name="40% - Accent5 23 4 2" xfId="20622" xr:uid="{00000000-0005-0000-0000-0000E03C0000}"/>
    <cellStyle name="40% - Accent5 23 5" xfId="7340" xr:uid="{00000000-0005-0000-0000-0000E13C0000}"/>
    <cellStyle name="40% - Accent5 23 5 2" xfId="18628" xr:uid="{00000000-0005-0000-0000-0000E23C0000}"/>
    <cellStyle name="40% - Accent5 23 6" xfId="5346" xr:uid="{00000000-0005-0000-0000-0000E33C0000}"/>
    <cellStyle name="40% - Accent5 23 6 2" xfId="16634" xr:uid="{00000000-0005-0000-0000-0000E43C0000}"/>
    <cellStyle name="40% - Accent5 23 7" xfId="14640" xr:uid="{00000000-0005-0000-0000-0000E53C0000}"/>
    <cellStyle name="40% - Accent5 23 8" xfId="13326" xr:uid="{00000000-0005-0000-0000-0000E63C0000}"/>
    <cellStyle name="40% - Accent5 24" xfId="1391" xr:uid="{00000000-0005-0000-0000-0000E73C0000}"/>
    <cellStyle name="40% - Accent5 24 2" xfId="4347" xr:uid="{00000000-0005-0000-0000-0000E83C0000}"/>
    <cellStyle name="40% - Accent5 24 2 2" xfId="12326" xr:uid="{00000000-0005-0000-0000-0000E93C0000}"/>
    <cellStyle name="40% - Accent5 24 2 2 2" xfId="23614" xr:uid="{00000000-0005-0000-0000-0000EA3C0000}"/>
    <cellStyle name="40% - Accent5 24 2 3" xfId="10332" xr:uid="{00000000-0005-0000-0000-0000EB3C0000}"/>
    <cellStyle name="40% - Accent5 24 2 3 2" xfId="21620" xr:uid="{00000000-0005-0000-0000-0000EC3C0000}"/>
    <cellStyle name="40% - Accent5 24 2 4" xfId="8338" xr:uid="{00000000-0005-0000-0000-0000ED3C0000}"/>
    <cellStyle name="40% - Accent5 24 2 4 2" xfId="19626" xr:uid="{00000000-0005-0000-0000-0000EE3C0000}"/>
    <cellStyle name="40% - Accent5 24 2 5" xfId="6344" xr:uid="{00000000-0005-0000-0000-0000EF3C0000}"/>
    <cellStyle name="40% - Accent5 24 2 5 2" xfId="17632" xr:uid="{00000000-0005-0000-0000-0000F03C0000}"/>
    <cellStyle name="40% - Accent5 24 2 6" xfId="15638" xr:uid="{00000000-0005-0000-0000-0000F13C0000}"/>
    <cellStyle name="40% - Accent5 24 3" xfId="11329" xr:uid="{00000000-0005-0000-0000-0000F23C0000}"/>
    <cellStyle name="40% - Accent5 24 3 2" xfId="22617" xr:uid="{00000000-0005-0000-0000-0000F33C0000}"/>
    <cellStyle name="40% - Accent5 24 4" xfId="9335" xr:uid="{00000000-0005-0000-0000-0000F43C0000}"/>
    <cellStyle name="40% - Accent5 24 4 2" xfId="20623" xr:uid="{00000000-0005-0000-0000-0000F53C0000}"/>
    <cellStyle name="40% - Accent5 24 5" xfId="7341" xr:uid="{00000000-0005-0000-0000-0000F63C0000}"/>
    <cellStyle name="40% - Accent5 24 5 2" xfId="18629" xr:uid="{00000000-0005-0000-0000-0000F73C0000}"/>
    <cellStyle name="40% - Accent5 24 6" xfId="5347" xr:uid="{00000000-0005-0000-0000-0000F83C0000}"/>
    <cellStyle name="40% - Accent5 24 6 2" xfId="16635" xr:uid="{00000000-0005-0000-0000-0000F93C0000}"/>
    <cellStyle name="40% - Accent5 24 7" xfId="14641" xr:uid="{00000000-0005-0000-0000-0000FA3C0000}"/>
    <cellStyle name="40% - Accent5 24 8" xfId="13327" xr:uid="{00000000-0005-0000-0000-0000FB3C0000}"/>
    <cellStyle name="40% - Accent5 25" xfId="1392" xr:uid="{00000000-0005-0000-0000-0000FC3C0000}"/>
    <cellStyle name="40% - Accent5 25 2" xfId="4348" xr:uid="{00000000-0005-0000-0000-0000FD3C0000}"/>
    <cellStyle name="40% - Accent5 25 2 2" xfId="12327" xr:uid="{00000000-0005-0000-0000-0000FE3C0000}"/>
    <cellStyle name="40% - Accent5 25 2 2 2" xfId="23615" xr:uid="{00000000-0005-0000-0000-0000FF3C0000}"/>
    <cellStyle name="40% - Accent5 25 2 3" xfId="10333" xr:uid="{00000000-0005-0000-0000-0000003D0000}"/>
    <cellStyle name="40% - Accent5 25 2 3 2" xfId="21621" xr:uid="{00000000-0005-0000-0000-0000013D0000}"/>
    <cellStyle name="40% - Accent5 25 2 4" xfId="8339" xr:uid="{00000000-0005-0000-0000-0000023D0000}"/>
    <cellStyle name="40% - Accent5 25 2 4 2" xfId="19627" xr:uid="{00000000-0005-0000-0000-0000033D0000}"/>
    <cellStyle name="40% - Accent5 25 2 5" xfId="6345" xr:uid="{00000000-0005-0000-0000-0000043D0000}"/>
    <cellStyle name="40% - Accent5 25 2 5 2" xfId="17633" xr:uid="{00000000-0005-0000-0000-0000053D0000}"/>
    <cellStyle name="40% - Accent5 25 2 6" xfId="15639" xr:uid="{00000000-0005-0000-0000-0000063D0000}"/>
    <cellStyle name="40% - Accent5 25 3" xfId="11330" xr:uid="{00000000-0005-0000-0000-0000073D0000}"/>
    <cellStyle name="40% - Accent5 25 3 2" xfId="22618" xr:uid="{00000000-0005-0000-0000-0000083D0000}"/>
    <cellStyle name="40% - Accent5 25 4" xfId="9336" xr:uid="{00000000-0005-0000-0000-0000093D0000}"/>
    <cellStyle name="40% - Accent5 25 4 2" xfId="20624" xr:uid="{00000000-0005-0000-0000-00000A3D0000}"/>
    <cellStyle name="40% - Accent5 25 5" xfId="7342" xr:uid="{00000000-0005-0000-0000-00000B3D0000}"/>
    <cellStyle name="40% - Accent5 25 5 2" xfId="18630" xr:uid="{00000000-0005-0000-0000-00000C3D0000}"/>
    <cellStyle name="40% - Accent5 25 6" xfId="5348" xr:uid="{00000000-0005-0000-0000-00000D3D0000}"/>
    <cellStyle name="40% - Accent5 25 6 2" xfId="16636" xr:uid="{00000000-0005-0000-0000-00000E3D0000}"/>
    <cellStyle name="40% - Accent5 25 7" xfId="14642" xr:uid="{00000000-0005-0000-0000-00000F3D0000}"/>
    <cellStyle name="40% - Accent5 25 8" xfId="13328" xr:uid="{00000000-0005-0000-0000-0000103D0000}"/>
    <cellStyle name="40% - Accent5 26" xfId="1393" xr:uid="{00000000-0005-0000-0000-0000113D0000}"/>
    <cellStyle name="40% - Accent5 26 2" xfId="4349" xr:uid="{00000000-0005-0000-0000-0000123D0000}"/>
    <cellStyle name="40% - Accent5 26 2 2" xfId="12328" xr:uid="{00000000-0005-0000-0000-0000133D0000}"/>
    <cellStyle name="40% - Accent5 26 2 2 2" xfId="23616" xr:uid="{00000000-0005-0000-0000-0000143D0000}"/>
    <cellStyle name="40% - Accent5 26 2 3" xfId="10334" xr:uid="{00000000-0005-0000-0000-0000153D0000}"/>
    <cellStyle name="40% - Accent5 26 2 3 2" xfId="21622" xr:uid="{00000000-0005-0000-0000-0000163D0000}"/>
    <cellStyle name="40% - Accent5 26 2 4" xfId="8340" xr:uid="{00000000-0005-0000-0000-0000173D0000}"/>
    <cellStyle name="40% - Accent5 26 2 4 2" xfId="19628" xr:uid="{00000000-0005-0000-0000-0000183D0000}"/>
    <cellStyle name="40% - Accent5 26 2 5" xfId="6346" xr:uid="{00000000-0005-0000-0000-0000193D0000}"/>
    <cellStyle name="40% - Accent5 26 2 5 2" xfId="17634" xr:uid="{00000000-0005-0000-0000-00001A3D0000}"/>
    <cellStyle name="40% - Accent5 26 2 6" xfId="15640" xr:uid="{00000000-0005-0000-0000-00001B3D0000}"/>
    <cellStyle name="40% - Accent5 26 3" xfId="11331" xr:uid="{00000000-0005-0000-0000-00001C3D0000}"/>
    <cellStyle name="40% - Accent5 26 3 2" xfId="22619" xr:uid="{00000000-0005-0000-0000-00001D3D0000}"/>
    <cellStyle name="40% - Accent5 26 4" xfId="9337" xr:uid="{00000000-0005-0000-0000-00001E3D0000}"/>
    <cellStyle name="40% - Accent5 26 4 2" xfId="20625" xr:uid="{00000000-0005-0000-0000-00001F3D0000}"/>
    <cellStyle name="40% - Accent5 26 5" xfId="7343" xr:uid="{00000000-0005-0000-0000-0000203D0000}"/>
    <cellStyle name="40% - Accent5 26 5 2" xfId="18631" xr:uid="{00000000-0005-0000-0000-0000213D0000}"/>
    <cellStyle name="40% - Accent5 26 6" xfId="5349" xr:uid="{00000000-0005-0000-0000-0000223D0000}"/>
    <cellStyle name="40% - Accent5 26 6 2" xfId="16637" xr:uid="{00000000-0005-0000-0000-0000233D0000}"/>
    <cellStyle name="40% - Accent5 26 7" xfId="14643" xr:uid="{00000000-0005-0000-0000-0000243D0000}"/>
    <cellStyle name="40% - Accent5 26 8" xfId="13329" xr:uid="{00000000-0005-0000-0000-0000253D0000}"/>
    <cellStyle name="40% - Accent5 27" xfId="1394" xr:uid="{00000000-0005-0000-0000-0000263D0000}"/>
    <cellStyle name="40% - Accent5 27 2" xfId="4350" xr:uid="{00000000-0005-0000-0000-0000273D0000}"/>
    <cellStyle name="40% - Accent5 27 2 2" xfId="12329" xr:uid="{00000000-0005-0000-0000-0000283D0000}"/>
    <cellStyle name="40% - Accent5 27 2 2 2" xfId="23617" xr:uid="{00000000-0005-0000-0000-0000293D0000}"/>
    <cellStyle name="40% - Accent5 27 2 3" xfId="10335" xr:uid="{00000000-0005-0000-0000-00002A3D0000}"/>
    <cellStyle name="40% - Accent5 27 2 3 2" xfId="21623" xr:uid="{00000000-0005-0000-0000-00002B3D0000}"/>
    <cellStyle name="40% - Accent5 27 2 4" xfId="8341" xr:uid="{00000000-0005-0000-0000-00002C3D0000}"/>
    <cellStyle name="40% - Accent5 27 2 4 2" xfId="19629" xr:uid="{00000000-0005-0000-0000-00002D3D0000}"/>
    <cellStyle name="40% - Accent5 27 2 5" xfId="6347" xr:uid="{00000000-0005-0000-0000-00002E3D0000}"/>
    <cellStyle name="40% - Accent5 27 2 5 2" xfId="17635" xr:uid="{00000000-0005-0000-0000-00002F3D0000}"/>
    <cellStyle name="40% - Accent5 27 2 6" xfId="15641" xr:uid="{00000000-0005-0000-0000-0000303D0000}"/>
    <cellStyle name="40% - Accent5 27 3" xfId="11332" xr:uid="{00000000-0005-0000-0000-0000313D0000}"/>
    <cellStyle name="40% - Accent5 27 3 2" xfId="22620" xr:uid="{00000000-0005-0000-0000-0000323D0000}"/>
    <cellStyle name="40% - Accent5 27 4" xfId="9338" xr:uid="{00000000-0005-0000-0000-0000333D0000}"/>
    <cellStyle name="40% - Accent5 27 4 2" xfId="20626" xr:uid="{00000000-0005-0000-0000-0000343D0000}"/>
    <cellStyle name="40% - Accent5 27 5" xfId="7344" xr:uid="{00000000-0005-0000-0000-0000353D0000}"/>
    <cellStyle name="40% - Accent5 27 5 2" xfId="18632" xr:uid="{00000000-0005-0000-0000-0000363D0000}"/>
    <cellStyle name="40% - Accent5 27 6" xfId="5350" xr:uid="{00000000-0005-0000-0000-0000373D0000}"/>
    <cellStyle name="40% - Accent5 27 6 2" xfId="16638" xr:uid="{00000000-0005-0000-0000-0000383D0000}"/>
    <cellStyle name="40% - Accent5 27 7" xfId="14644" xr:uid="{00000000-0005-0000-0000-0000393D0000}"/>
    <cellStyle name="40% - Accent5 27 8" xfId="13330" xr:uid="{00000000-0005-0000-0000-00003A3D0000}"/>
    <cellStyle name="40% - Accent5 28" xfId="1395" xr:uid="{00000000-0005-0000-0000-00003B3D0000}"/>
    <cellStyle name="40% - Accent5 28 2" xfId="4351" xr:uid="{00000000-0005-0000-0000-00003C3D0000}"/>
    <cellStyle name="40% - Accent5 28 2 2" xfId="12330" xr:uid="{00000000-0005-0000-0000-00003D3D0000}"/>
    <cellStyle name="40% - Accent5 28 2 2 2" xfId="23618" xr:uid="{00000000-0005-0000-0000-00003E3D0000}"/>
    <cellStyle name="40% - Accent5 28 2 3" xfId="10336" xr:uid="{00000000-0005-0000-0000-00003F3D0000}"/>
    <cellStyle name="40% - Accent5 28 2 3 2" xfId="21624" xr:uid="{00000000-0005-0000-0000-0000403D0000}"/>
    <cellStyle name="40% - Accent5 28 2 4" xfId="8342" xr:uid="{00000000-0005-0000-0000-0000413D0000}"/>
    <cellStyle name="40% - Accent5 28 2 4 2" xfId="19630" xr:uid="{00000000-0005-0000-0000-0000423D0000}"/>
    <cellStyle name="40% - Accent5 28 2 5" xfId="6348" xr:uid="{00000000-0005-0000-0000-0000433D0000}"/>
    <cellStyle name="40% - Accent5 28 2 5 2" xfId="17636" xr:uid="{00000000-0005-0000-0000-0000443D0000}"/>
    <cellStyle name="40% - Accent5 28 2 6" xfId="15642" xr:uid="{00000000-0005-0000-0000-0000453D0000}"/>
    <cellStyle name="40% - Accent5 28 3" xfId="11333" xr:uid="{00000000-0005-0000-0000-0000463D0000}"/>
    <cellStyle name="40% - Accent5 28 3 2" xfId="22621" xr:uid="{00000000-0005-0000-0000-0000473D0000}"/>
    <cellStyle name="40% - Accent5 28 4" xfId="9339" xr:uid="{00000000-0005-0000-0000-0000483D0000}"/>
    <cellStyle name="40% - Accent5 28 4 2" xfId="20627" xr:uid="{00000000-0005-0000-0000-0000493D0000}"/>
    <cellStyle name="40% - Accent5 28 5" xfId="7345" xr:uid="{00000000-0005-0000-0000-00004A3D0000}"/>
    <cellStyle name="40% - Accent5 28 5 2" xfId="18633" xr:uid="{00000000-0005-0000-0000-00004B3D0000}"/>
    <cellStyle name="40% - Accent5 28 6" xfId="5351" xr:uid="{00000000-0005-0000-0000-00004C3D0000}"/>
    <cellStyle name="40% - Accent5 28 6 2" xfId="16639" xr:uid="{00000000-0005-0000-0000-00004D3D0000}"/>
    <cellStyle name="40% - Accent5 28 7" xfId="14645" xr:uid="{00000000-0005-0000-0000-00004E3D0000}"/>
    <cellStyle name="40% - Accent5 28 8" xfId="13331" xr:uid="{00000000-0005-0000-0000-00004F3D0000}"/>
    <cellStyle name="40% - Accent5 29" xfId="1396" xr:uid="{00000000-0005-0000-0000-0000503D0000}"/>
    <cellStyle name="40% - Accent5 29 2" xfId="4352" xr:uid="{00000000-0005-0000-0000-0000513D0000}"/>
    <cellStyle name="40% - Accent5 29 2 2" xfId="12331" xr:uid="{00000000-0005-0000-0000-0000523D0000}"/>
    <cellStyle name="40% - Accent5 29 2 2 2" xfId="23619" xr:uid="{00000000-0005-0000-0000-0000533D0000}"/>
    <cellStyle name="40% - Accent5 29 2 3" xfId="10337" xr:uid="{00000000-0005-0000-0000-0000543D0000}"/>
    <cellStyle name="40% - Accent5 29 2 3 2" xfId="21625" xr:uid="{00000000-0005-0000-0000-0000553D0000}"/>
    <cellStyle name="40% - Accent5 29 2 4" xfId="8343" xr:uid="{00000000-0005-0000-0000-0000563D0000}"/>
    <cellStyle name="40% - Accent5 29 2 4 2" xfId="19631" xr:uid="{00000000-0005-0000-0000-0000573D0000}"/>
    <cellStyle name="40% - Accent5 29 2 5" xfId="6349" xr:uid="{00000000-0005-0000-0000-0000583D0000}"/>
    <cellStyle name="40% - Accent5 29 2 5 2" xfId="17637" xr:uid="{00000000-0005-0000-0000-0000593D0000}"/>
    <cellStyle name="40% - Accent5 29 2 6" xfId="15643" xr:uid="{00000000-0005-0000-0000-00005A3D0000}"/>
    <cellStyle name="40% - Accent5 29 3" xfId="11334" xr:uid="{00000000-0005-0000-0000-00005B3D0000}"/>
    <cellStyle name="40% - Accent5 29 3 2" xfId="22622" xr:uid="{00000000-0005-0000-0000-00005C3D0000}"/>
    <cellStyle name="40% - Accent5 29 4" xfId="9340" xr:uid="{00000000-0005-0000-0000-00005D3D0000}"/>
    <cellStyle name="40% - Accent5 29 4 2" xfId="20628" xr:uid="{00000000-0005-0000-0000-00005E3D0000}"/>
    <cellStyle name="40% - Accent5 29 5" xfId="7346" xr:uid="{00000000-0005-0000-0000-00005F3D0000}"/>
    <cellStyle name="40% - Accent5 29 5 2" xfId="18634" xr:uid="{00000000-0005-0000-0000-0000603D0000}"/>
    <cellStyle name="40% - Accent5 29 6" xfId="5352" xr:uid="{00000000-0005-0000-0000-0000613D0000}"/>
    <cellStyle name="40% - Accent5 29 6 2" xfId="16640" xr:uid="{00000000-0005-0000-0000-0000623D0000}"/>
    <cellStyle name="40% - Accent5 29 7" xfId="14646" xr:uid="{00000000-0005-0000-0000-0000633D0000}"/>
    <cellStyle name="40% - Accent5 29 8" xfId="13332" xr:uid="{00000000-0005-0000-0000-0000643D0000}"/>
    <cellStyle name="40% - Accent5 3" xfId="1397" xr:uid="{00000000-0005-0000-0000-0000653D0000}"/>
    <cellStyle name="40% - Accent5 3 10" xfId="24620" xr:uid="{00000000-0005-0000-0000-0000663D0000}"/>
    <cellStyle name="40% - Accent5 3 11" xfId="25010" xr:uid="{00000000-0005-0000-0000-0000673D0000}"/>
    <cellStyle name="40% - Accent5 3 2" xfId="4353" xr:uid="{00000000-0005-0000-0000-0000683D0000}"/>
    <cellStyle name="40% - Accent5 3 2 2" xfId="12332" xr:uid="{00000000-0005-0000-0000-0000693D0000}"/>
    <cellStyle name="40% - Accent5 3 2 2 2" xfId="23620" xr:uid="{00000000-0005-0000-0000-00006A3D0000}"/>
    <cellStyle name="40% - Accent5 3 2 3" xfId="10338" xr:uid="{00000000-0005-0000-0000-00006B3D0000}"/>
    <cellStyle name="40% - Accent5 3 2 3 2" xfId="21626" xr:uid="{00000000-0005-0000-0000-00006C3D0000}"/>
    <cellStyle name="40% - Accent5 3 2 4" xfId="8344" xr:uid="{00000000-0005-0000-0000-00006D3D0000}"/>
    <cellStyle name="40% - Accent5 3 2 4 2" xfId="19632" xr:uid="{00000000-0005-0000-0000-00006E3D0000}"/>
    <cellStyle name="40% - Accent5 3 2 5" xfId="6350" xr:uid="{00000000-0005-0000-0000-00006F3D0000}"/>
    <cellStyle name="40% - Accent5 3 2 5 2" xfId="17638" xr:uid="{00000000-0005-0000-0000-0000703D0000}"/>
    <cellStyle name="40% - Accent5 3 2 6" xfId="15644" xr:uid="{00000000-0005-0000-0000-0000713D0000}"/>
    <cellStyle name="40% - Accent5 3 2 7" xfId="24381" xr:uid="{00000000-0005-0000-0000-0000723D0000}"/>
    <cellStyle name="40% - Accent5 3 2 8" xfId="24845" xr:uid="{00000000-0005-0000-0000-0000733D0000}"/>
    <cellStyle name="40% - Accent5 3 2 9" xfId="25212" xr:uid="{00000000-0005-0000-0000-0000743D0000}"/>
    <cellStyle name="40% - Accent5 3 3" xfId="11335" xr:uid="{00000000-0005-0000-0000-0000753D0000}"/>
    <cellStyle name="40% - Accent5 3 3 2" xfId="22623" xr:uid="{00000000-0005-0000-0000-0000763D0000}"/>
    <cellStyle name="40% - Accent5 3 4" xfId="9341" xr:uid="{00000000-0005-0000-0000-0000773D0000}"/>
    <cellStyle name="40% - Accent5 3 4 2" xfId="20629" xr:uid="{00000000-0005-0000-0000-0000783D0000}"/>
    <cellStyle name="40% - Accent5 3 5" xfId="7347" xr:uid="{00000000-0005-0000-0000-0000793D0000}"/>
    <cellStyle name="40% - Accent5 3 5 2" xfId="18635" xr:uid="{00000000-0005-0000-0000-00007A3D0000}"/>
    <cellStyle name="40% - Accent5 3 6" xfId="5353" xr:uid="{00000000-0005-0000-0000-00007B3D0000}"/>
    <cellStyle name="40% - Accent5 3 6 2" xfId="16641" xr:uid="{00000000-0005-0000-0000-00007C3D0000}"/>
    <cellStyle name="40% - Accent5 3 7" xfId="14647" xr:uid="{00000000-0005-0000-0000-00007D3D0000}"/>
    <cellStyle name="40% - Accent5 3 8" xfId="13333" xr:uid="{00000000-0005-0000-0000-00007E3D0000}"/>
    <cellStyle name="40% - Accent5 3 9" xfId="23993" xr:uid="{00000000-0005-0000-0000-00007F3D0000}"/>
    <cellStyle name="40% - Accent5 30" xfId="1398" xr:uid="{00000000-0005-0000-0000-0000803D0000}"/>
    <cellStyle name="40% - Accent5 30 2" xfId="4354" xr:uid="{00000000-0005-0000-0000-0000813D0000}"/>
    <cellStyle name="40% - Accent5 30 2 2" xfId="12333" xr:uid="{00000000-0005-0000-0000-0000823D0000}"/>
    <cellStyle name="40% - Accent5 30 2 2 2" xfId="23621" xr:uid="{00000000-0005-0000-0000-0000833D0000}"/>
    <cellStyle name="40% - Accent5 30 2 3" xfId="10339" xr:uid="{00000000-0005-0000-0000-0000843D0000}"/>
    <cellStyle name="40% - Accent5 30 2 3 2" xfId="21627" xr:uid="{00000000-0005-0000-0000-0000853D0000}"/>
    <cellStyle name="40% - Accent5 30 2 4" xfId="8345" xr:uid="{00000000-0005-0000-0000-0000863D0000}"/>
    <cellStyle name="40% - Accent5 30 2 4 2" xfId="19633" xr:uid="{00000000-0005-0000-0000-0000873D0000}"/>
    <cellStyle name="40% - Accent5 30 2 5" xfId="6351" xr:uid="{00000000-0005-0000-0000-0000883D0000}"/>
    <cellStyle name="40% - Accent5 30 2 5 2" xfId="17639" xr:uid="{00000000-0005-0000-0000-0000893D0000}"/>
    <cellStyle name="40% - Accent5 30 2 6" xfId="15645" xr:uid="{00000000-0005-0000-0000-00008A3D0000}"/>
    <cellStyle name="40% - Accent5 30 3" xfId="11336" xr:uid="{00000000-0005-0000-0000-00008B3D0000}"/>
    <cellStyle name="40% - Accent5 30 3 2" xfId="22624" xr:uid="{00000000-0005-0000-0000-00008C3D0000}"/>
    <cellStyle name="40% - Accent5 30 4" xfId="9342" xr:uid="{00000000-0005-0000-0000-00008D3D0000}"/>
    <cellStyle name="40% - Accent5 30 4 2" xfId="20630" xr:uid="{00000000-0005-0000-0000-00008E3D0000}"/>
    <cellStyle name="40% - Accent5 30 5" xfId="7348" xr:uid="{00000000-0005-0000-0000-00008F3D0000}"/>
    <cellStyle name="40% - Accent5 30 5 2" xfId="18636" xr:uid="{00000000-0005-0000-0000-0000903D0000}"/>
    <cellStyle name="40% - Accent5 30 6" xfId="5354" xr:uid="{00000000-0005-0000-0000-0000913D0000}"/>
    <cellStyle name="40% - Accent5 30 6 2" xfId="16642" xr:uid="{00000000-0005-0000-0000-0000923D0000}"/>
    <cellStyle name="40% - Accent5 30 7" xfId="14648" xr:uid="{00000000-0005-0000-0000-0000933D0000}"/>
    <cellStyle name="40% - Accent5 30 8" xfId="13334" xr:uid="{00000000-0005-0000-0000-0000943D0000}"/>
    <cellStyle name="40% - Accent5 31" xfId="1399" xr:uid="{00000000-0005-0000-0000-0000953D0000}"/>
    <cellStyle name="40% - Accent5 31 2" xfId="4355" xr:uid="{00000000-0005-0000-0000-0000963D0000}"/>
    <cellStyle name="40% - Accent5 31 2 2" xfId="12334" xr:uid="{00000000-0005-0000-0000-0000973D0000}"/>
    <cellStyle name="40% - Accent5 31 2 2 2" xfId="23622" xr:uid="{00000000-0005-0000-0000-0000983D0000}"/>
    <cellStyle name="40% - Accent5 31 2 3" xfId="10340" xr:uid="{00000000-0005-0000-0000-0000993D0000}"/>
    <cellStyle name="40% - Accent5 31 2 3 2" xfId="21628" xr:uid="{00000000-0005-0000-0000-00009A3D0000}"/>
    <cellStyle name="40% - Accent5 31 2 4" xfId="8346" xr:uid="{00000000-0005-0000-0000-00009B3D0000}"/>
    <cellStyle name="40% - Accent5 31 2 4 2" xfId="19634" xr:uid="{00000000-0005-0000-0000-00009C3D0000}"/>
    <cellStyle name="40% - Accent5 31 2 5" xfId="6352" xr:uid="{00000000-0005-0000-0000-00009D3D0000}"/>
    <cellStyle name="40% - Accent5 31 2 5 2" xfId="17640" xr:uid="{00000000-0005-0000-0000-00009E3D0000}"/>
    <cellStyle name="40% - Accent5 31 2 6" xfId="15646" xr:uid="{00000000-0005-0000-0000-00009F3D0000}"/>
    <cellStyle name="40% - Accent5 31 3" xfId="11337" xr:uid="{00000000-0005-0000-0000-0000A03D0000}"/>
    <cellStyle name="40% - Accent5 31 3 2" xfId="22625" xr:uid="{00000000-0005-0000-0000-0000A13D0000}"/>
    <cellStyle name="40% - Accent5 31 4" xfId="9343" xr:uid="{00000000-0005-0000-0000-0000A23D0000}"/>
    <cellStyle name="40% - Accent5 31 4 2" xfId="20631" xr:uid="{00000000-0005-0000-0000-0000A33D0000}"/>
    <cellStyle name="40% - Accent5 31 5" xfId="7349" xr:uid="{00000000-0005-0000-0000-0000A43D0000}"/>
    <cellStyle name="40% - Accent5 31 5 2" xfId="18637" xr:uid="{00000000-0005-0000-0000-0000A53D0000}"/>
    <cellStyle name="40% - Accent5 31 6" xfId="5355" xr:uid="{00000000-0005-0000-0000-0000A63D0000}"/>
    <cellStyle name="40% - Accent5 31 6 2" xfId="16643" xr:uid="{00000000-0005-0000-0000-0000A73D0000}"/>
    <cellStyle name="40% - Accent5 31 7" xfId="14649" xr:uid="{00000000-0005-0000-0000-0000A83D0000}"/>
    <cellStyle name="40% - Accent5 31 8" xfId="13335" xr:uid="{00000000-0005-0000-0000-0000A93D0000}"/>
    <cellStyle name="40% - Accent5 32" xfId="1400" xr:uid="{00000000-0005-0000-0000-0000AA3D0000}"/>
    <cellStyle name="40% - Accent5 32 2" xfId="4356" xr:uid="{00000000-0005-0000-0000-0000AB3D0000}"/>
    <cellStyle name="40% - Accent5 32 2 2" xfId="12335" xr:uid="{00000000-0005-0000-0000-0000AC3D0000}"/>
    <cellStyle name="40% - Accent5 32 2 2 2" xfId="23623" xr:uid="{00000000-0005-0000-0000-0000AD3D0000}"/>
    <cellStyle name="40% - Accent5 32 2 3" xfId="10341" xr:uid="{00000000-0005-0000-0000-0000AE3D0000}"/>
    <cellStyle name="40% - Accent5 32 2 3 2" xfId="21629" xr:uid="{00000000-0005-0000-0000-0000AF3D0000}"/>
    <cellStyle name="40% - Accent5 32 2 4" xfId="8347" xr:uid="{00000000-0005-0000-0000-0000B03D0000}"/>
    <cellStyle name="40% - Accent5 32 2 4 2" xfId="19635" xr:uid="{00000000-0005-0000-0000-0000B13D0000}"/>
    <cellStyle name="40% - Accent5 32 2 5" xfId="6353" xr:uid="{00000000-0005-0000-0000-0000B23D0000}"/>
    <cellStyle name="40% - Accent5 32 2 5 2" xfId="17641" xr:uid="{00000000-0005-0000-0000-0000B33D0000}"/>
    <cellStyle name="40% - Accent5 32 2 6" xfId="15647" xr:uid="{00000000-0005-0000-0000-0000B43D0000}"/>
    <cellStyle name="40% - Accent5 32 3" xfId="11338" xr:uid="{00000000-0005-0000-0000-0000B53D0000}"/>
    <cellStyle name="40% - Accent5 32 3 2" xfId="22626" xr:uid="{00000000-0005-0000-0000-0000B63D0000}"/>
    <cellStyle name="40% - Accent5 32 4" xfId="9344" xr:uid="{00000000-0005-0000-0000-0000B73D0000}"/>
    <cellStyle name="40% - Accent5 32 4 2" xfId="20632" xr:uid="{00000000-0005-0000-0000-0000B83D0000}"/>
    <cellStyle name="40% - Accent5 32 5" xfId="7350" xr:uid="{00000000-0005-0000-0000-0000B93D0000}"/>
    <cellStyle name="40% - Accent5 32 5 2" xfId="18638" xr:uid="{00000000-0005-0000-0000-0000BA3D0000}"/>
    <cellStyle name="40% - Accent5 32 6" xfId="5356" xr:uid="{00000000-0005-0000-0000-0000BB3D0000}"/>
    <cellStyle name="40% - Accent5 32 6 2" xfId="16644" xr:uid="{00000000-0005-0000-0000-0000BC3D0000}"/>
    <cellStyle name="40% - Accent5 32 7" xfId="14650" xr:uid="{00000000-0005-0000-0000-0000BD3D0000}"/>
    <cellStyle name="40% - Accent5 32 8" xfId="13336" xr:uid="{00000000-0005-0000-0000-0000BE3D0000}"/>
    <cellStyle name="40% - Accent5 33" xfId="1401" xr:uid="{00000000-0005-0000-0000-0000BF3D0000}"/>
    <cellStyle name="40% - Accent5 33 2" xfId="4357" xr:uid="{00000000-0005-0000-0000-0000C03D0000}"/>
    <cellStyle name="40% - Accent5 33 2 2" xfId="12336" xr:uid="{00000000-0005-0000-0000-0000C13D0000}"/>
    <cellStyle name="40% - Accent5 33 2 2 2" xfId="23624" xr:uid="{00000000-0005-0000-0000-0000C23D0000}"/>
    <cellStyle name="40% - Accent5 33 2 3" xfId="10342" xr:uid="{00000000-0005-0000-0000-0000C33D0000}"/>
    <cellStyle name="40% - Accent5 33 2 3 2" xfId="21630" xr:uid="{00000000-0005-0000-0000-0000C43D0000}"/>
    <cellStyle name="40% - Accent5 33 2 4" xfId="8348" xr:uid="{00000000-0005-0000-0000-0000C53D0000}"/>
    <cellStyle name="40% - Accent5 33 2 4 2" xfId="19636" xr:uid="{00000000-0005-0000-0000-0000C63D0000}"/>
    <cellStyle name="40% - Accent5 33 2 5" xfId="6354" xr:uid="{00000000-0005-0000-0000-0000C73D0000}"/>
    <cellStyle name="40% - Accent5 33 2 5 2" xfId="17642" xr:uid="{00000000-0005-0000-0000-0000C83D0000}"/>
    <cellStyle name="40% - Accent5 33 2 6" xfId="15648" xr:uid="{00000000-0005-0000-0000-0000C93D0000}"/>
    <cellStyle name="40% - Accent5 33 3" xfId="11339" xr:uid="{00000000-0005-0000-0000-0000CA3D0000}"/>
    <cellStyle name="40% - Accent5 33 3 2" xfId="22627" xr:uid="{00000000-0005-0000-0000-0000CB3D0000}"/>
    <cellStyle name="40% - Accent5 33 4" xfId="9345" xr:uid="{00000000-0005-0000-0000-0000CC3D0000}"/>
    <cellStyle name="40% - Accent5 33 4 2" xfId="20633" xr:uid="{00000000-0005-0000-0000-0000CD3D0000}"/>
    <cellStyle name="40% - Accent5 33 5" xfId="7351" xr:uid="{00000000-0005-0000-0000-0000CE3D0000}"/>
    <cellStyle name="40% - Accent5 33 5 2" xfId="18639" xr:uid="{00000000-0005-0000-0000-0000CF3D0000}"/>
    <cellStyle name="40% - Accent5 33 6" xfId="5357" xr:uid="{00000000-0005-0000-0000-0000D03D0000}"/>
    <cellStyle name="40% - Accent5 33 6 2" xfId="16645" xr:uid="{00000000-0005-0000-0000-0000D13D0000}"/>
    <cellStyle name="40% - Accent5 33 7" xfId="14651" xr:uid="{00000000-0005-0000-0000-0000D23D0000}"/>
    <cellStyle name="40% - Accent5 33 8" xfId="13337" xr:uid="{00000000-0005-0000-0000-0000D33D0000}"/>
    <cellStyle name="40% - Accent5 34" xfId="1402" xr:uid="{00000000-0005-0000-0000-0000D43D0000}"/>
    <cellStyle name="40% - Accent5 34 2" xfId="4358" xr:uid="{00000000-0005-0000-0000-0000D53D0000}"/>
    <cellStyle name="40% - Accent5 34 2 2" xfId="12337" xr:uid="{00000000-0005-0000-0000-0000D63D0000}"/>
    <cellStyle name="40% - Accent5 34 2 2 2" xfId="23625" xr:uid="{00000000-0005-0000-0000-0000D73D0000}"/>
    <cellStyle name="40% - Accent5 34 2 3" xfId="10343" xr:uid="{00000000-0005-0000-0000-0000D83D0000}"/>
    <cellStyle name="40% - Accent5 34 2 3 2" xfId="21631" xr:uid="{00000000-0005-0000-0000-0000D93D0000}"/>
    <cellStyle name="40% - Accent5 34 2 4" xfId="8349" xr:uid="{00000000-0005-0000-0000-0000DA3D0000}"/>
    <cellStyle name="40% - Accent5 34 2 4 2" xfId="19637" xr:uid="{00000000-0005-0000-0000-0000DB3D0000}"/>
    <cellStyle name="40% - Accent5 34 2 5" xfId="6355" xr:uid="{00000000-0005-0000-0000-0000DC3D0000}"/>
    <cellStyle name="40% - Accent5 34 2 5 2" xfId="17643" xr:uid="{00000000-0005-0000-0000-0000DD3D0000}"/>
    <cellStyle name="40% - Accent5 34 2 6" xfId="15649" xr:uid="{00000000-0005-0000-0000-0000DE3D0000}"/>
    <cellStyle name="40% - Accent5 34 3" xfId="11340" xr:uid="{00000000-0005-0000-0000-0000DF3D0000}"/>
    <cellStyle name="40% - Accent5 34 3 2" xfId="22628" xr:uid="{00000000-0005-0000-0000-0000E03D0000}"/>
    <cellStyle name="40% - Accent5 34 4" xfId="9346" xr:uid="{00000000-0005-0000-0000-0000E13D0000}"/>
    <cellStyle name="40% - Accent5 34 4 2" xfId="20634" xr:uid="{00000000-0005-0000-0000-0000E23D0000}"/>
    <cellStyle name="40% - Accent5 34 5" xfId="7352" xr:uid="{00000000-0005-0000-0000-0000E33D0000}"/>
    <cellStyle name="40% - Accent5 34 5 2" xfId="18640" xr:uid="{00000000-0005-0000-0000-0000E43D0000}"/>
    <cellStyle name="40% - Accent5 34 6" xfId="5358" xr:uid="{00000000-0005-0000-0000-0000E53D0000}"/>
    <cellStyle name="40% - Accent5 34 6 2" xfId="16646" xr:uid="{00000000-0005-0000-0000-0000E63D0000}"/>
    <cellStyle name="40% - Accent5 34 7" xfId="14652" xr:uid="{00000000-0005-0000-0000-0000E73D0000}"/>
    <cellStyle name="40% - Accent5 34 8" xfId="13338" xr:uid="{00000000-0005-0000-0000-0000E83D0000}"/>
    <cellStyle name="40% - Accent5 35" xfId="1403" xr:uid="{00000000-0005-0000-0000-0000E93D0000}"/>
    <cellStyle name="40% - Accent5 35 2" xfId="4359" xr:uid="{00000000-0005-0000-0000-0000EA3D0000}"/>
    <cellStyle name="40% - Accent5 35 2 2" xfId="12338" xr:uid="{00000000-0005-0000-0000-0000EB3D0000}"/>
    <cellStyle name="40% - Accent5 35 2 2 2" xfId="23626" xr:uid="{00000000-0005-0000-0000-0000EC3D0000}"/>
    <cellStyle name="40% - Accent5 35 2 3" xfId="10344" xr:uid="{00000000-0005-0000-0000-0000ED3D0000}"/>
    <cellStyle name="40% - Accent5 35 2 3 2" xfId="21632" xr:uid="{00000000-0005-0000-0000-0000EE3D0000}"/>
    <cellStyle name="40% - Accent5 35 2 4" xfId="8350" xr:uid="{00000000-0005-0000-0000-0000EF3D0000}"/>
    <cellStyle name="40% - Accent5 35 2 4 2" xfId="19638" xr:uid="{00000000-0005-0000-0000-0000F03D0000}"/>
    <cellStyle name="40% - Accent5 35 2 5" xfId="6356" xr:uid="{00000000-0005-0000-0000-0000F13D0000}"/>
    <cellStyle name="40% - Accent5 35 2 5 2" xfId="17644" xr:uid="{00000000-0005-0000-0000-0000F23D0000}"/>
    <cellStyle name="40% - Accent5 35 2 6" xfId="15650" xr:uid="{00000000-0005-0000-0000-0000F33D0000}"/>
    <cellStyle name="40% - Accent5 35 3" xfId="11341" xr:uid="{00000000-0005-0000-0000-0000F43D0000}"/>
    <cellStyle name="40% - Accent5 35 3 2" xfId="22629" xr:uid="{00000000-0005-0000-0000-0000F53D0000}"/>
    <cellStyle name="40% - Accent5 35 4" xfId="9347" xr:uid="{00000000-0005-0000-0000-0000F63D0000}"/>
    <cellStyle name="40% - Accent5 35 4 2" xfId="20635" xr:uid="{00000000-0005-0000-0000-0000F73D0000}"/>
    <cellStyle name="40% - Accent5 35 5" xfId="7353" xr:uid="{00000000-0005-0000-0000-0000F83D0000}"/>
    <cellStyle name="40% - Accent5 35 5 2" xfId="18641" xr:uid="{00000000-0005-0000-0000-0000F93D0000}"/>
    <cellStyle name="40% - Accent5 35 6" xfId="5359" xr:uid="{00000000-0005-0000-0000-0000FA3D0000}"/>
    <cellStyle name="40% - Accent5 35 6 2" xfId="16647" xr:uid="{00000000-0005-0000-0000-0000FB3D0000}"/>
    <cellStyle name="40% - Accent5 35 7" xfId="14653" xr:uid="{00000000-0005-0000-0000-0000FC3D0000}"/>
    <cellStyle name="40% - Accent5 35 8" xfId="13339" xr:uid="{00000000-0005-0000-0000-0000FD3D0000}"/>
    <cellStyle name="40% - Accent5 36" xfId="1404" xr:uid="{00000000-0005-0000-0000-0000FE3D0000}"/>
    <cellStyle name="40% - Accent5 36 2" xfId="4360" xr:uid="{00000000-0005-0000-0000-0000FF3D0000}"/>
    <cellStyle name="40% - Accent5 36 2 2" xfId="12339" xr:uid="{00000000-0005-0000-0000-0000003E0000}"/>
    <cellStyle name="40% - Accent5 36 2 2 2" xfId="23627" xr:uid="{00000000-0005-0000-0000-0000013E0000}"/>
    <cellStyle name="40% - Accent5 36 2 3" xfId="10345" xr:uid="{00000000-0005-0000-0000-0000023E0000}"/>
    <cellStyle name="40% - Accent5 36 2 3 2" xfId="21633" xr:uid="{00000000-0005-0000-0000-0000033E0000}"/>
    <cellStyle name="40% - Accent5 36 2 4" xfId="8351" xr:uid="{00000000-0005-0000-0000-0000043E0000}"/>
    <cellStyle name="40% - Accent5 36 2 4 2" xfId="19639" xr:uid="{00000000-0005-0000-0000-0000053E0000}"/>
    <cellStyle name="40% - Accent5 36 2 5" xfId="6357" xr:uid="{00000000-0005-0000-0000-0000063E0000}"/>
    <cellStyle name="40% - Accent5 36 2 5 2" xfId="17645" xr:uid="{00000000-0005-0000-0000-0000073E0000}"/>
    <cellStyle name="40% - Accent5 36 2 6" xfId="15651" xr:uid="{00000000-0005-0000-0000-0000083E0000}"/>
    <cellStyle name="40% - Accent5 36 3" xfId="11342" xr:uid="{00000000-0005-0000-0000-0000093E0000}"/>
    <cellStyle name="40% - Accent5 36 3 2" xfId="22630" xr:uid="{00000000-0005-0000-0000-00000A3E0000}"/>
    <cellStyle name="40% - Accent5 36 4" xfId="9348" xr:uid="{00000000-0005-0000-0000-00000B3E0000}"/>
    <cellStyle name="40% - Accent5 36 4 2" xfId="20636" xr:uid="{00000000-0005-0000-0000-00000C3E0000}"/>
    <cellStyle name="40% - Accent5 36 5" xfId="7354" xr:uid="{00000000-0005-0000-0000-00000D3E0000}"/>
    <cellStyle name="40% - Accent5 36 5 2" xfId="18642" xr:uid="{00000000-0005-0000-0000-00000E3E0000}"/>
    <cellStyle name="40% - Accent5 36 6" xfId="5360" xr:uid="{00000000-0005-0000-0000-00000F3E0000}"/>
    <cellStyle name="40% - Accent5 36 6 2" xfId="16648" xr:uid="{00000000-0005-0000-0000-0000103E0000}"/>
    <cellStyle name="40% - Accent5 36 7" xfId="14654" xr:uid="{00000000-0005-0000-0000-0000113E0000}"/>
    <cellStyle name="40% - Accent5 36 8" xfId="13340" xr:uid="{00000000-0005-0000-0000-0000123E0000}"/>
    <cellStyle name="40% - Accent5 37" xfId="1405" xr:uid="{00000000-0005-0000-0000-0000133E0000}"/>
    <cellStyle name="40% - Accent5 37 2" xfId="4361" xr:uid="{00000000-0005-0000-0000-0000143E0000}"/>
    <cellStyle name="40% - Accent5 37 2 2" xfId="12340" xr:uid="{00000000-0005-0000-0000-0000153E0000}"/>
    <cellStyle name="40% - Accent5 37 2 2 2" xfId="23628" xr:uid="{00000000-0005-0000-0000-0000163E0000}"/>
    <cellStyle name="40% - Accent5 37 2 3" xfId="10346" xr:uid="{00000000-0005-0000-0000-0000173E0000}"/>
    <cellStyle name="40% - Accent5 37 2 3 2" xfId="21634" xr:uid="{00000000-0005-0000-0000-0000183E0000}"/>
    <cellStyle name="40% - Accent5 37 2 4" xfId="8352" xr:uid="{00000000-0005-0000-0000-0000193E0000}"/>
    <cellStyle name="40% - Accent5 37 2 4 2" xfId="19640" xr:uid="{00000000-0005-0000-0000-00001A3E0000}"/>
    <cellStyle name="40% - Accent5 37 2 5" xfId="6358" xr:uid="{00000000-0005-0000-0000-00001B3E0000}"/>
    <cellStyle name="40% - Accent5 37 2 5 2" xfId="17646" xr:uid="{00000000-0005-0000-0000-00001C3E0000}"/>
    <cellStyle name="40% - Accent5 37 2 6" xfId="15652" xr:uid="{00000000-0005-0000-0000-00001D3E0000}"/>
    <cellStyle name="40% - Accent5 37 3" xfId="11343" xr:uid="{00000000-0005-0000-0000-00001E3E0000}"/>
    <cellStyle name="40% - Accent5 37 3 2" xfId="22631" xr:uid="{00000000-0005-0000-0000-00001F3E0000}"/>
    <cellStyle name="40% - Accent5 37 4" xfId="9349" xr:uid="{00000000-0005-0000-0000-0000203E0000}"/>
    <cellStyle name="40% - Accent5 37 4 2" xfId="20637" xr:uid="{00000000-0005-0000-0000-0000213E0000}"/>
    <cellStyle name="40% - Accent5 37 5" xfId="7355" xr:uid="{00000000-0005-0000-0000-0000223E0000}"/>
    <cellStyle name="40% - Accent5 37 5 2" xfId="18643" xr:uid="{00000000-0005-0000-0000-0000233E0000}"/>
    <cellStyle name="40% - Accent5 37 6" xfId="5361" xr:uid="{00000000-0005-0000-0000-0000243E0000}"/>
    <cellStyle name="40% - Accent5 37 6 2" xfId="16649" xr:uid="{00000000-0005-0000-0000-0000253E0000}"/>
    <cellStyle name="40% - Accent5 37 7" xfId="14655" xr:uid="{00000000-0005-0000-0000-0000263E0000}"/>
    <cellStyle name="40% - Accent5 37 8" xfId="13341" xr:uid="{00000000-0005-0000-0000-0000273E0000}"/>
    <cellStyle name="40% - Accent5 38" xfId="1406" xr:uid="{00000000-0005-0000-0000-0000283E0000}"/>
    <cellStyle name="40% - Accent5 38 2" xfId="4362" xr:uid="{00000000-0005-0000-0000-0000293E0000}"/>
    <cellStyle name="40% - Accent5 38 2 2" xfId="12341" xr:uid="{00000000-0005-0000-0000-00002A3E0000}"/>
    <cellStyle name="40% - Accent5 38 2 2 2" xfId="23629" xr:uid="{00000000-0005-0000-0000-00002B3E0000}"/>
    <cellStyle name="40% - Accent5 38 2 3" xfId="10347" xr:uid="{00000000-0005-0000-0000-00002C3E0000}"/>
    <cellStyle name="40% - Accent5 38 2 3 2" xfId="21635" xr:uid="{00000000-0005-0000-0000-00002D3E0000}"/>
    <cellStyle name="40% - Accent5 38 2 4" xfId="8353" xr:uid="{00000000-0005-0000-0000-00002E3E0000}"/>
    <cellStyle name="40% - Accent5 38 2 4 2" xfId="19641" xr:uid="{00000000-0005-0000-0000-00002F3E0000}"/>
    <cellStyle name="40% - Accent5 38 2 5" xfId="6359" xr:uid="{00000000-0005-0000-0000-0000303E0000}"/>
    <cellStyle name="40% - Accent5 38 2 5 2" xfId="17647" xr:uid="{00000000-0005-0000-0000-0000313E0000}"/>
    <cellStyle name="40% - Accent5 38 2 6" xfId="15653" xr:uid="{00000000-0005-0000-0000-0000323E0000}"/>
    <cellStyle name="40% - Accent5 38 3" xfId="11344" xr:uid="{00000000-0005-0000-0000-0000333E0000}"/>
    <cellStyle name="40% - Accent5 38 3 2" xfId="22632" xr:uid="{00000000-0005-0000-0000-0000343E0000}"/>
    <cellStyle name="40% - Accent5 38 4" xfId="9350" xr:uid="{00000000-0005-0000-0000-0000353E0000}"/>
    <cellStyle name="40% - Accent5 38 4 2" xfId="20638" xr:uid="{00000000-0005-0000-0000-0000363E0000}"/>
    <cellStyle name="40% - Accent5 38 5" xfId="7356" xr:uid="{00000000-0005-0000-0000-0000373E0000}"/>
    <cellStyle name="40% - Accent5 38 5 2" xfId="18644" xr:uid="{00000000-0005-0000-0000-0000383E0000}"/>
    <cellStyle name="40% - Accent5 38 6" xfId="5362" xr:uid="{00000000-0005-0000-0000-0000393E0000}"/>
    <cellStyle name="40% - Accent5 38 6 2" xfId="16650" xr:uid="{00000000-0005-0000-0000-00003A3E0000}"/>
    <cellStyle name="40% - Accent5 38 7" xfId="14656" xr:uid="{00000000-0005-0000-0000-00003B3E0000}"/>
    <cellStyle name="40% - Accent5 38 8" xfId="13342" xr:uid="{00000000-0005-0000-0000-00003C3E0000}"/>
    <cellStyle name="40% - Accent5 39" xfId="1407" xr:uid="{00000000-0005-0000-0000-00003D3E0000}"/>
    <cellStyle name="40% - Accent5 39 2" xfId="4363" xr:uid="{00000000-0005-0000-0000-00003E3E0000}"/>
    <cellStyle name="40% - Accent5 39 2 2" xfId="12342" xr:uid="{00000000-0005-0000-0000-00003F3E0000}"/>
    <cellStyle name="40% - Accent5 39 2 2 2" xfId="23630" xr:uid="{00000000-0005-0000-0000-0000403E0000}"/>
    <cellStyle name="40% - Accent5 39 2 3" xfId="10348" xr:uid="{00000000-0005-0000-0000-0000413E0000}"/>
    <cellStyle name="40% - Accent5 39 2 3 2" xfId="21636" xr:uid="{00000000-0005-0000-0000-0000423E0000}"/>
    <cellStyle name="40% - Accent5 39 2 4" xfId="8354" xr:uid="{00000000-0005-0000-0000-0000433E0000}"/>
    <cellStyle name="40% - Accent5 39 2 4 2" xfId="19642" xr:uid="{00000000-0005-0000-0000-0000443E0000}"/>
    <cellStyle name="40% - Accent5 39 2 5" xfId="6360" xr:uid="{00000000-0005-0000-0000-0000453E0000}"/>
    <cellStyle name="40% - Accent5 39 2 5 2" xfId="17648" xr:uid="{00000000-0005-0000-0000-0000463E0000}"/>
    <cellStyle name="40% - Accent5 39 2 6" xfId="15654" xr:uid="{00000000-0005-0000-0000-0000473E0000}"/>
    <cellStyle name="40% - Accent5 39 3" xfId="11345" xr:uid="{00000000-0005-0000-0000-0000483E0000}"/>
    <cellStyle name="40% - Accent5 39 3 2" xfId="22633" xr:uid="{00000000-0005-0000-0000-0000493E0000}"/>
    <cellStyle name="40% - Accent5 39 4" xfId="9351" xr:uid="{00000000-0005-0000-0000-00004A3E0000}"/>
    <cellStyle name="40% - Accent5 39 4 2" xfId="20639" xr:uid="{00000000-0005-0000-0000-00004B3E0000}"/>
    <cellStyle name="40% - Accent5 39 5" xfId="7357" xr:uid="{00000000-0005-0000-0000-00004C3E0000}"/>
    <cellStyle name="40% - Accent5 39 5 2" xfId="18645" xr:uid="{00000000-0005-0000-0000-00004D3E0000}"/>
    <cellStyle name="40% - Accent5 39 6" xfId="5363" xr:uid="{00000000-0005-0000-0000-00004E3E0000}"/>
    <cellStyle name="40% - Accent5 39 6 2" xfId="16651" xr:uid="{00000000-0005-0000-0000-00004F3E0000}"/>
    <cellStyle name="40% - Accent5 39 7" xfId="14657" xr:uid="{00000000-0005-0000-0000-0000503E0000}"/>
    <cellStyle name="40% - Accent5 39 8" xfId="13343" xr:uid="{00000000-0005-0000-0000-0000513E0000}"/>
    <cellStyle name="40% - Accent5 4" xfId="1408" xr:uid="{00000000-0005-0000-0000-0000523E0000}"/>
    <cellStyle name="40% - Accent5 4 10" xfId="24621" xr:uid="{00000000-0005-0000-0000-0000533E0000}"/>
    <cellStyle name="40% - Accent5 4 11" xfId="25011" xr:uid="{00000000-0005-0000-0000-0000543E0000}"/>
    <cellStyle name="40% - Accent5 4 2" xfId="4364" xr:uid="{00000000-0005-0000-0000-0000553E0000}"/>
    <cellStyle name="40% - Accent5 4 2 2" xfId="12343" xr:uid="{00000000-0005-0000-0000-0000563E0000}"/>
    <cellStyle name="40% - Accent5 4 2 2 2" xfId="23631" xr:uid="{00000000-0005-0000-0000-0000573E0000}"/>
    <cellStyle name="40% - Accent5 4 2 3" xfId="10349" xr:uid="{00000000-0005-0000-0000-0000583E0000}"/>
    <cellStyle name="40% - Accent5 4 2 3 2" xfId="21637" xr:uid="{00000000-0005-0000-0000-0000593E0000}"/>
    <cellStyle name="40% - Accent5 4 2 4" xfId="8355" xr:uid="{00000000-0005-0000-0000-00005A3E0000}"/>
    <cellStyle name="40% - Accent5 4 2 4 2" xfId="19643" xr:uid="{00000000-0005-0000-0000-00005B3E0000}"/>
    <cellStyle name="40% - Accent5 4 2 5" xfId="6361" xr:uid="{00000000-0005-0000-0000-00005C3E0000}"/>
    <cellStyle name="40% - Accent5 4 2 5 2" xfId="17649" xr:uid="{00000000-0005-0000-0000-00005D3E0000}"/>
    <cellStyle name="40% - Accent5 4 2 6" xfId="15655" xr:uid="{00000000-0005-0000-0000-00005E3E0000}"/>
    <cellStyle name="40% - Accent5 4 2 7" xfId="24382" xr:uid="{00000000-0005-0000-0000-00005F3E0000}"/>
    <cellStyle name="40% - Accent5 4 2 8" xfId="24846" xr:uid="{00000000-0005-0000-0000-0000603E0000}"/>
    <cellStyle name="40% - Accent5 4 2 9" xfId="25213" xr:uid="{00000000-0005-0000-0000-0000613E0000}"/>
    <cellStyle name="40% - Accent5 4 3" xfId="11346" xr:uid="{00000000-0005-0000-0000-0000623E0000}"/>
    <cellStyle name="40% - Accent5 4 3 2" xfId="22634" xr:uid="{00000000-0005-0000-0000-0000633E0000}"/>
    <cellStyle name="40% - Accent5 4 4" xfId="9352" xr:uid="{00000000-0005-0000-0000-0000643E0000}"/>
    <cellStyle name="40% - Accent5 4 4 2" xfId="20640" xr:uid="{00000000-0005-0000-0000-0000653E0000}"/>
    <cellStyle name="40% - Accent5 4 5" xfId="7358" xr:uid="{00000000-0005-0000-0000-0000663E0000}"/>
    <cellStyle name="40% - Accent5 4 5 2" xfId="18646" xr:uid="{00000000-0005-0000-0000-0000673E0000}"/>
    <cellStyle name="40% - Accent5 4 6" xfId="5364" xr:uid="{00000000-0005-0000-0000-0000683E0000}"/>
    <cellStyle name="40% - Accent5 4 6 2" xfId="16652" xr:uid="{00000000-0005-0000-0000-0000693E0000}"/>
    <cellStyle name="40% - Accent5 4 7" xfId="14658" xr:uid="{00000000-0005-0000-0000-00006A3E0000}"/>
    <cellStyle name="40% - Accent5 4 8" xfId="13344" xr:uid="{00000000-0005-0000-0000-00006B3E0000}"/>
    <cellStyle name="40% - Accent5 4 9" xfId="23994" xr:uid="{00000000-0005-0000-0000-00006C3E0000}"/>
    <cellStyle name="40% - Accent5 40" xfId="1409" xr:uid="{00000000-0005-0000-0000-00006D3E0000}"/>
    <cellStyle name="40% - Accent5 40 2" xfId="4365" xr:uid="{00000000-0005-0000-0000-00006E3E0000}"/>
    <cellStyle name="40% - Accent5 40 2 2" xfId="12344" xr:uid="{00000000-0005-0000-0000-00006F3E0000}"/>
    <cellStyle name="40% - Accent5 40 2 2 2" xfId="23632" xr:uid="{00000000-0005-0000-0000-0000703E0000}"/>
    <cellStyle name="40% - Accent5 40 2 3" xfId="10350" xr:uid="{00000000-0005-0000-0000-0000713E0000}"/>
    <cellStyle name="40% - Accent5 40 2 3 2" xfId="21638" xr:uid="{00000000-0005-0000-0000-0000723E0000}"/>
    <cellStyle name="40% - Accent5 40 2 4" xfId="8356" xr:uid="{00000000-0005-0000-0000-0000733E0000}"/>
    <cellStyle name="40% - Accent5 40 2 4 2" xfId="19644" xr:uid="{00000000-0005-0000-0000-0000743E0000}"/>
    <cellStyle name="40% - Accent5 40 2 5" xfId="6362" xr:uid="{00000000-0005-0000-0000-0000753E0000}"/>
    <cellStyle name="40% - Accent5 40 2 5 2" xfId="17650" xr:uid="{00000000-0005-0000-0000-0000763E0000}"/>
    <cellStyle name="40% - Accent5 40 2 6" xfId="15656" xr:uid="{00000000-0005-0000-0000-0000773E0000}"/>
    <cellStyle name="40% - Accent5 40 3" xfId="11347" xr:uid="{00000000-0005-0000-0000-0000783E0000}"/>
    <cellStyle name="40% - Accent5 40 3 2" xfId="22635" xr:uid="{00000000-0005-0000-0000-0000793E0000}"/>
    <cellStyle name="40% - Accent5 40 4" xfId="9353" xr:uid="{00000000-0005-0000-0000-00007A3E0000}"/>
    <cellStyle name="40% - Accent5 40 4 2" xfId="20641" xr:uid="{00000000-0005-0000-0000-00007B3E0000}"/>
    <cellStyle name="40% - Accent5 40 5" xfId="7359" xr:uid="{00000000-0005-0000-0000-00007C3E0000}"/>
    <cellStyle name="40% - Accent5 40 5 2" xfId="18647" xr:uid="{00000000-0005-0000-0000-00007D3E0000}"/>
    <cellStyle name="40% - Accent5 40 6" xfId="5365" xr:uid="{00000000-0005-0000-0000-00007E3E0000}"/>
    <cellStyle name="40% - Accent5 40 6 2" xfId="16653" xr:uid="{00000000-0005-0000-0000-00007F3E0000}"/>
    <cellStyle name="40% - Accent5 40 7" xfId="14659" xr:uid="{00000000-0005-0000-0000-0000803E0000}"/>
    <cellStyle name="40% - Accent5 40 8" xfId="13345" xr:uid="{00000000-0005-0000-0000-0000813E0000}"/>
    <cellStyle name="40% - Accent5 41" xfId="1410" xr:uid="{00000000-0005-0000-0000-0000823E0000}"/>
    <cellStyle name="40% - Accent5 41 2" xfId="4366" xr:uid="{00000000-0005-0000-0000-0000833E0000}"/>
    <cellStyle name="40% - Accent5 41 2 2" xfId="12345" xr:uid="{00000000-0005-0000-0000-0000843E0000}"/>
    <cellStyle name="40% - Accent5 41 2 2 2" xfId="23633" xr:uid="{00000000-0005-0000-0000-0000853E0000}"/>
    <cellStyle name="40% - Accent5 41 2 3" xfId="10351" xr:uid="{00000000-0005-0000-0000-0000863E0000}"/>
    <cellStyle name="40% - Accent5 41 2 3 2" xfId="21639" xr:uid="{00000000-0005-0000-0000-0000873E0000}"/>
    <cellStyle name="40% - Accent5 41 2 4" xfId="8357" xr:uid="{00000000-0005-0000-0000-0000883E0000}"/>
    <cellStyle name="40% - Accent5 41 2 4 2" xfId="19645" xr:uid="{00000000-0005-0000-0000-0000893E0000}"/>
    <cellStyle name="40% - Accent5 41 2 5" xfId="6363" xr:uid="{00000000-0005-0000-0000-00008A3E0000}"/>
    <cellStyle name="40% - Accent5 41 2 5 2" xfId="17651" xr:uid="{00000000-0005-0000-0000-00008B3E0000}"/>
    <cellStyle name="40% - Accent5 41 2 6" xfId="15657" xr:uid="{00000000-0005-0000-0000-00008C3E0000}"/>
    <cellStyle name="40% - Accent5 41 3" xfId="11348" xr:uid="{00000000-0005-0000-0000-00008D3E0000}"/>
    <cellStyle name="40% - Accent5 41 3 2" xfId="22636" xr:uid="{00000000-0005-0000-0000-00008E3E0000}"/>
    <cellStyle name="40% - Accent5 41 4" xfId="9354" xr:uid="{00000000-0005-0000-0000-00008F3E0000}"/>
    <cellStyle name="40% - Accent5 41 4 2" xfId="20642" xr:uid="{00000000-0005-0000-0000-0000903E0000}"/>
    <cellStyle name="40% - Accent5 41 5" xfId="7360" xr:uid="{00000000-0005-0000-0000-0000913E0000}"/>
    <cellStyle name="40% - Accent5 41 5 2" xfId="18648" xr:uid="{00000000-0005-0000-0000-0000923E0000}"/>
    <cellStyle name="40% - Accent5 41 6" xfId="5366" xr:uid="{00000000-0005-0000-0000-0000933E0000}"/>
    <cellStyle name="40% - Accent5 41 6 2" xfId="16654" xr:uid="{00000000-0005-0000-0000-0000943E0000}"/>
    <cellStyle name="40% - Accent5 41 7" xfId="14660" xr:uid="{00000000-0005-0000-0000-0000953E0000}"/>
    <cellStyle name="40% - Accent5 41 8" xfId="13346" xr:uid="{00000000-0005-0000-0000-0000963E0000}"/>
    <cellStyle name="40% - Accent5 42" xfId="1411" xr:uid="{00000000-0005-0000-0000-0000973E0000}"/>
    <cellStyle name="40% - Accent5 42 2" xfId="4367" xr:uid="{00000000-0005-0000-0000-0000983E0000}"/>
    <cellStyle name="40% - Accent5 42 2 2" xfId="12346" xr:uid="{00000000-0005-0000-0000-0000993E0000}"/>
    <cellStyle name="40% - Accent5 42 2 2 2" xfId="23634" xr:uid="{00000000-0005-0000-0000-00009A3E0000}"/>
    <cellStyle name="40% - Accent5 42 2 3" xfId="10352" xr:uid="{00000000-0005-0000-0000-00009B3E0000}"/>
    <cellStyle name="40% - Accent5 42 2 3 2" xfId="21640" xr:uid="{00000000-0005-0000-0000-00009C3E0000}"/>
    <cellStyle name="40% - Accent5 42 2 4" xfId="8358" xr:uid="{00000000-0005-0000-0000-00009D3E0000}"/>
    <cellStyle name="40% - Accent5 42 2 4 2" xfId="19646" xr:uid="{00000000-0005-0000-0000-00009E3E0000}"/>
    <cellStyle name="40% - Accent5 42 2 5" xfId="6364" xr:uid="{00000000-0005-0000-0000-00009F3E0000}"/>
    <cellStyle name="40% - Accent5 42 2 5 2" xfId="17652" xr:uid="{00000000-0005-0000-0000-0000A03E0000}"/>
    <cellStyle name="40% - Accent5 42 2 6" xfId="15658" xr:uid="{00000000-0005-0000-0000-0000A13E0000}"/>
    <cellStyle name="40% - Accent5 42 3" xfId="11349" xr:uid="{00000000-0005-0000-0000-0000A23E0000}"/>
    <cellStyle name="40% - Accent5 42 3 2" xfId="22637" xr:uid="{00000000-0005-0000-0000-0000A33E0000}"/>
    <cellStyle name="40% - Accent5 42 4" xfId="9355" xr:uid="{00000000-0005-0000-0000-0000A43E0000}"/>
    <cellStyle name="40% - Accent5 42 4 2" xfId="20643" xr:uid="{00000000-0005-0000-0000-0000A53E0000}"/>
    <cellStyle name="40% - Accent5 42 5" xfId="7361" xr:uid="{00000000-0005-0000-0000-0000A63E0000}"/>
    <cellStyle name="40% - Accent5 42 5 2" xfId="18649" xr:uid="{00000000-0005-0000-0000-0000A73E0000}"/>
    <cellStyle name="40% - Accent5 42 6" xfId="5367" xr:uid="{00000000-0005-0000-0000-0000A83E0000}"/>
    <cellStyle name="40% - Accent5 42 6 2" xfId="16655" xr:uid="{00000000-0005-0000-0000-0000A93E0000}"/>
    <cellStyle name="40% - Accent5 42 7" xfId="14661" xr:uid="{00000000-0005-0000-0000-0000AA3E0000}"/>
    <cellStyle name="40% - Accent5 42 8" xfId="13347" xr:uid="{00000000-0005-0000-0000-0000AB3E0000}"/>
    <cellStyle name="40% - Accent5 43" xfId="1412" xr:uid="{00000000-0005-0000-0000-0000AC3E0000}"/>
    <cellStyle name="40% - Accent5 43 2" xfId="4368" xr:uid="{00000000-0005-0000-0000-0000AD3E0000}"/>
    <cellStyle name="40% - Accent5 43 2 2" xfId="12347" xr:uid="{00000000-0005-0000-0000-0000AE3E0000}"/>
    <cellStyle name="40% - Accent5 43 2 2 2" xfId="23635" xr:uid="{00000000-0005-0000-0000-0000AF3E0000}"/>
    <cellStyle name="40% - Accent5 43 2 3" xfId="10353" xr:uid="{00000000-0005-0000-0000-0000B03E0000}"/>
    <cellStyle name="40% - Accent5 43 2 3 2" xfId="21641" xr:uid="{00000000-0005-0000-0000-0000B13E0000}"/>
    <cellStyle name="40% - Accent5 43 2 4" xfId="8359" xr:uid="{00000000-0005-0000-0000-0000B23E0000}"/>
    <cellStyle name="40% - Accent5 43 2 4 2" xfId="19647" xr:uid="{00000000-0005-0000-0000-0000B33E0000}"/>
    <cellStyle name="40% - Accent5 43 2 5" xfId="6365" xr:uid="{00000000-0005-0000-0000-0000B43E0000}"/>
    <cellStyle name="40% - Accent5 43 2 5 2" xfId="17653" xr:uid="{00000000-0005-0000-0000-0000B53E0000}"/>
    <cellStyle name="40% - Accent5 43 2 6" xfId="15659" xr:uid="{00000000-0005-0000-0000-0000B63E0000}"/>
    <cellStyle name="40% - Accent5 43 3" xfId="11350" xr:uid="{00000000-0005-0000-0000-0000B73E0000}"/>
    <cellStyle name="40% - Accent5 43 3 2" xfId="22638" xr:uid="{00000000-0005-0000-0000-0000B83E0000}"/>
    <cellStyle name="40% - Accent5 43 4" xfId="9356" xr:uid="{00000000-0005-0000-0000-0000B93E0000}"/>
    <cellStyle name="40% - Accent5 43 4 2" xfId="20644" xr:uid="{00000000-0005-0000-0000-0000BA3E0000}"/>
    <cellStyle name="40% - Accent5 43 5" xfId="7362" xr:uid="{00000000-0005-0000-0000-0000BB3E0000}"/>
    <cellStyle name="40% - Accent5 43 5 2" xfId="18650" xr:uid="{00000000-0005-0000-0000-0000BC3E0000}"/>
    <cellStyle name="40% - Accent5 43 6" xfId="5368" xr:uid="{00000000-0005-0000-0000-0000BD3E0000}"/>
    <cellStyle name="40% - Accent5 43 6 2" xfId="16656" xr:uid="{00000000-0005-0000-0000-0000BE3E0000}"/>
    <cellStyle name="40% - Accent5 43 7" xfId="14662" xr:uid="{00000000-0005-0000-0000-0000BF3E0000}"/>
    <cellStyle name="40% - Accent5 43 8" xfId="13348" xr:uid="{00000000-0005-0000-0000-0000C03E0000}"/>
    <cellStyle name="40% - Accent5 44" xfId="1413" xr:uid="{00000000-0005-0000-0000-0000C13E0000}"/>
    <cellStyle name="40% - Accent5 44 2" xfId="4369" xr:uid="{00000000-0005-0000-0000-0000C23E0000}"/>
    <cellStyle name="40% - Accent5 44 2 2" xfId="12348" xr:uid="{00000000-0005-0000-0000-0000C33E0000}"/>
    <cellStyle name="40% - Accent5 44 2 2 2" xfId="23636" xr:uid="{00000000-0005-0000-0000-0000C43E0000}"/>
    <cellStyle name="40% - Accent5 44 2 3" xfId="10354" xr:uid="{00000000-0005-0000-0000-0000C53E0000}"/>
    <cellStyle name="40% - Accent5 44 2 3 2" xfId="21642" xr:uid="{00000000-0005-0000-0000-0000C63E0000}"/>
    <cellStyle name="40% - Accent5 44 2 4" xfId="8360" xr:uid="{00000000-0005-0000-0000-0000C73E0000}"/>
    <cellStyle name="40% - Accent5 44 2 4 2" xfId="19648" xr:uid="{00000000-0005-0000-0000-0000C83E0000}"/>
    <cellStyle name="40% - Accent5 44 2 5" xfId="6366" xr:uid="{00000000-0005-0000-0000-0000C93E0000}"/>
    <cellStyle name="40% - Accent5 44 2 5 2" xfId="17654" xr:uid="{00000000-0005-0000-0000-0000CA3E0000}"/>
    <cellStyle name="40% - Accent5 44 2 6" xfId="15660" xr:uid="{00000000-0005-0000-0000-0000CB3E0000}"/>
    <cellStyle name="40% - Accent5 44 3" xfId="11351" xr:uid="{00000000-0005-0000-0000-0000CC3E0000}"/>
    <cellStyle name="40% - Accent5 44 3 2" xfId="22639" xr:uid="{00000000-0005-0000-0000-0000CD3E0000}"/>
    <cellStyle name="40% - Accent5 44 4" xfId="9357" xr:uid="{00000000-0005-0000-0000-0000CE3E0000}"/>
    <cellStyle name="40% - Accent5 44 4 2" xfId="20645" xr:uid="{00000000-0005-0000-0000-0000CF3E0000}"/>
    <cellStyle name="40% - Accent5 44 5" xfId="7363" xr:uid="{00000000-0005-0000-0000-0000D03E0000}"/>
    <cellStyle name="40% - Accent5 44 5 2" xfId="18651" xr:uid="{00000000-0005-0000-0000-0000D13E0000}"/>
    <cellStyle name="40% - Accent5 44 6" xfId="5369" xr:uid="{00000000-0005-0000-0000-0000D23E0000}"/>
    <cellStyle name="40% - Accent5 44 6 2" xfId="16657" xr:uid="{00000000-0005-0000-0000-0000D33E0000}"/>
    <cellStyle name="40% - Accent5 44 7" xfId="14663" xr:uid="{00000000-0005-0000-0000-0000D43E0000}"/>
    <cellStyle name="40% - Accent5 44 8" xfId="13349" xr:uid="{00000000-0005-0000-0000-0000D53E0000}"/>
    <cellStyle name="40% - Accent5 45" xfId="1414" xr:uid="{00000000-0005-0000-0000-0000D63E0000}"/>
    <cellStyle name="40% - Accent5 45 2" xfId="4370" xr:uid="{00000000-0005-0000-0000-0000D73E0000}"/>
    <cellStyle name="40% - Accent5 45 2 2" xfId="12349" xr:uid="{00000000-0005-0000-0000-0000D83E0000}"/>
    <cellStyle name="40% - Accent5 45 2 2 2" xfId="23637" xr:uid="{00000000-0005-0000-0000-0000D93E0000}"/>
    <cellStyle name="40% - Accent5 45 2 3" xfId="10355" xr:uid="{00000000-0005-0000-0000-0000DA3E0000}"/>
    <cellStyle name="40% - Accent5 45 2 3 2" xfId="21643" xr:uid="{00000000-0005-0000-0000-0000DB3E0000}"/>
    <cellStyle name="40% - Accent5 45 2 4" xfId="8361" xr:uid="{00000000-0005-0000-0000-0000DC3E0000}"/>
    <cellStyle name="40% - Accent5 45 2 4 2" xfId="19649" xr:uid="{00000000-0005-0000-0000-0000DD3E0000}"/>
    <cellStyle name="40% - Accent5 45 2 5" xfId="6367" xr:uid="{00000000-0005-0000-0000-0000DE3E0000}"/>
    <cellStyle name="40% - Accent5 45 2 5 2" xfId="17655" xr:uid="{00000000-0005-0000-0000-0000DF3E0000}"/>
    <cellStyle name="40% - Accent5 45 2 6" xfId="15661" xr:uid="{00000000-0005-0000-0000-0000E03E0000}"/>
    <cellStyle name="40% - Accent5 45 3" xfId="11352" xr:uid="{00000000-0005-0000-0000-0000E13E0000}"/>
    <cellStyle name="40% - Accent5 45 3 2" xfId="22640" xr:uid="{00000000-0005-0000-0000-0000E23E0000}"/>
    <cellStyle name="40% - Accent5 45 4" xfId="9358" xr:uid="{00000000-0005-0000-0000-0000E33E0000}"/>
    <cellStyle name="40% - Accent5 45 4 2" xfId="20646" xr:uid="{00000000-0005-0000-0000-0000E43E0000}"/>
    <cellStyle name="40% - Accent5 45 5" xfId="7364" xr:uid="{00000000-0005-0000-0000-0000E53E0000}"/>
    <cellStyle name="40% - Accent5 45 5 2" xfId="18652" xr:uid="{00000000-0005-0000-0000-0000E63E0000}"/>
    <cellStyle name="40% - Accent5 45 6" xfId="5370" xr:uid="{00000000-0005-0000-0000-0000E73E0000}"/>
    <cellStyle name="40% - Accent5 45 6 2" xfId="16658" xr:uid="{00000000-0005-0000-0000-0000E83E0000}"/>
    <cellStyle name="40% - Accent5 45 7" xfId="14664" xr:uid="{00000000-0005-0000-0000-0000E93E0000}"/>
    <cellStyle name="40% - Accent5 45 8" xfId="13350" xr:uid="{00000000-0005-0000-0000-0000EA3E0000}"/>
    <cellStyle name="40% - Accent5 46" xfId="1415" xr:uid="{00000000-0005-0000-0000-0000EB3E0000}"/>
    <cellStyle name="40% - Accent5 46 2" xfId="4371" xr:uid="{00000000-0005-0000-0000-0000EC3E0000}"/>
    <cellStyle name="40% - Accent5 46 2 2" xfId="12350" xr:uid="{00000000-0005-0000-0000-0000ED3E0000}"/>
    <cellStyle name="40% - Accent5 46 2 2 2" xfId="23638" xr:uid="{00000000-0005-0000-0000-0000EE3E0000}"/>
    <cellStyle name="40% - Accent5 46 2 3" xfId="10356" xr:uid="{00000000-0005-0000-0000-0000EF3E0000}"/>
    <cellStyle name="40% - Accent5 46 2 3 2" xfId="21644" xr:uid="{00000000-0005-0000-0000-0000F03E0000}"/>
    <cellStyle name="40% - Accent5 46 2 4" xfId="8362" xr:uid="{00000000-0005-0000-0000-0000F13E0000}"/>
    <cellStyle name="40% - Accent5 46 2 4 2" xfId="19650" xr:uid="{00000000-0005-0000-0000-0000F23E0000}"/>
    <cellStyle name="40% - Accent5 46 2 5" xfId="6368" xr:uid="{00000000-0005-0000-0000-0000F33E0000}"/>
    <cellStyle name="40% - Accent5 46 2 5 2" xfId="17656" xr:uid="{00000000-0005-0000-0000-0000F43E0000}"/>
    <cellStyle name="40% - Accent5 46 2 6" xfId="15662" xr:uid="{00000000-0005-0000-0000-0000F53E0000}"/>
    <cellStyle name="40% - Accent5 46 3" xfId="11353" xr:uid="{00000000-0005-0000-0000-0000F63E0000}"/>
    <cellStyle name="40% - Accent5 46 3 2" xfId="22641" xr:uid="{00000000-0005-0000-0000-0000F73E0000}"/>
    <cellStyle name="40% - Accent5 46 4" xfId="9359" xr:uid="{00000000-0005-0000-0000-0000F83E0000}"/>
    <cellStyle name="40% - Accent5 46 4 2" xfId="20647" xr:uid="{00000000-0005-0000-0000-0000F93E0000}"/>
    <cellStyle name="40% - Accent5 46 5" xfId="7365" xr:uid="{00000000-0005-0000-0000-0000FA3E0000}"/>
    <cellStyle name="40% - Accent5 46 5 2" xfId="18653" xr:uid="{00000000-0005-0000-0000-0000FB3E0000}"/>
    <cellStyle name="40% - Accent5 46 6" xfId="5371" xr:uid="{00000000-0005-0000-0000-0000FC3E0000}"/>
    <cellStyle name="40% - Accent5 46 6 2" xfId="16659" xr:uid="{00000000-0005-0000-0000-0000FD3E0000}"/>
    <cellStyle name="40% - Accent5 46 7" xfId="14665" xr:uid="{00000000-0005-0000-0000-0000FE3E0000}"/>
    <cellStyle name="40% - Accent5 46 8" xfId="13351" xr:uid="{00000000-0005-0000-0000-0000FF3E0000}"/>
    <cellStyle name="40% - Accent5 47" xfId="1416" xr:uid="{00000000-0005-0000-0000-0000003F0000}"/>
    <cellStyle name="40% - Accent5 47 2" xfId="4372" xr:uid="{00000000-0005-0000-0000-0000013F0000}"/>
    <cellStyle name="40% - Accent5 47 2 2" xfId="12351" xr:uid="{00000000-0005-0000-0000-0000023F0000}"/>
    <cellStyle name="40% - Accent5 47 2 2 2" xfId="23639" xr:uid="{00000000-0005-0000-0000-0000033F0000}"/>
    <cellStyle name="40% - Accent5 47 2 3" xfId="10357" xr:uid="{00000000-0005-0000-0000-0000043F0000}"/>
    <cellStyle name="40% - Accent5 47 2 3 2" xfId="21645" xr:uid="{00000000-0005-0000-0000-0000053F0000}"/>
    <cellStyle name="40% - Accent5 47 2 4" xfId="8363" xr:uid="{00000000-0005-0000-0000-0000063F0000}"/>
    <cellStyle name="40% - Accent5 47 2 4 2" xfId="19651" xr:uid="{00000000-0005-0000-0000-0000073F0000}"/>
    <cellStyle name="40% - Accent5 47 2 5" xfId="6369" xr:uid="{00000000-0005-0000-0000-0000083F0000}"/>
    <cellStyle name="40% - Accent5 47 2 5 2" xfId="17657" xr:uid="{00000000-0005-0000-0000-0000093F0000}"/>
    <cellStyle name="40% - Accent5 47 2 6" xfId="15663" xr:uid="{00000000-0005-0000-0000-00000A3F0000}"/>
    <cellStyle name="40% - Accent5 47 3" xfId="11354" xr:uid="{00000000-0005-0000-0000-00000B3F0000}"/>
    <cellStyle name="40% - Accent5 47 3 2" xfId="22642" xr:uid="{00000000-0005-0000-0000-00000C3F0000}"/>
    <cellStyle name="40% - Accent5 47 4" xfId="9360" xr:uid="{00000000-0005-0000-0000-00000D3F0000}"/>
    <cellStyle name="40% - Accent5 47 4 2" xfId="20648" xr:uid="{00000000-0005-0000-0000-00000E3F0000}"/>
    <cellStyle name="40% - Accent5 47 5" xfId="7366" xr:uid="{00000000-0005-0000-0000-00000F3F0000}"/>
    <cellStyle name="40% - Accent5 47 5 2" xfId="18654" xr:uid="{00000000-0005-0000-0000-0000103F0000}"/>
    <cellStyle name="40% - Accent5 47 6" xfId="5372" xr:uid="{00000000-0005-0000-0000-0000113F0000}"/>
    <cellStyle name="40% - Accent5 47 6 2" xfId="16660" xr:uid="{00000000-0005-0000-0000-0000123F0000}"/>
    <cellStyle name="40% - Accent5 47 7" xfId="14666" xr:uid="{00000000-0005-0000-0000-0000133F0000}"/>
    <cellStyle name="40% - Accent5 47 8" xfId="13352" xr:uid="{00000000-0005-0000-0000-0000143F0000}"/>
    <cellStyle name="40% - Accent5 48" xfId="1417" xr:uid="{00000000-0005-0000-0000-0000153F0000}"/>
    <cellStyle name="40% - Accent5 48 2" xfId="4373" xr:uid="{00000000-0005-0000-0000-0000163F0000}"/>
    <cellStyle name="40% - Accent5 48 2 2" xfId="12352" xr:uid="{00000000-0005-0000-0000-0000173F0000}"/>
    <cellStyle name="40% - Accent5 48 2 2 2" xfId="23640" xr:uid="{00000000-0005-0000-0000-0000183F0000}"/>
    <cellStyle name="40% - Accent5 48 2 3" xfId="10358" xr:uid="{00000000-0005-0000-0000-0000193F0000}"/>
    <cellStyle name="40% - Accent5 48 2 3 2" xfId="21646" xr:uid="{00000000-0005-0000-0000-00001A3F0000}"/>
    <cellStyle name="40% - Accent5 48 2 4" xfId="8364" xr:uid="{00000000-0005-0000-0000-00001B3F0000}"/>
    <cellStyle name="40% - Accent5 48 2 4 2" xfId="19652" xr:uid="{00000000-0005-0000-0000-00001C3F0000}"/>
    <cellStyle name="40% - Accent5 48 2 5" xfId="6370" xr:uid="{00000000-0005-0000-0000-00001D3F0000}"/>
    <cellStyle name="40% - Accent5 48 2 5 2" xfId="17658" xr:uid="{00000000-0005-0000-0000-00001E3F0000}"/>
    <cellStyle name="40% - Accent5 48 2 6" xfId="15664" xr:uid="{00000000-0005-0000-0000-00001F3F0000}"/>
    <cellStyle name="40% - Accent5 48 3" xfId="11355" xr:uid="{00000000-0005-0000-0000-0000203F0000}"/>
    <cellStyle name="40% - Accent5 48 3 2" xfId="22643" xr:uid="{00000000-0005-0000-0000-0000213F0000}"/>
    <cellStyle name="40% - Accent5 48 4" xfId="9361" xr:uid="{00000000-0005-0000-0000-0000223F0000}"/>
    <cellStyle name="40% - Accent5 48 4 2" xfId="20649" xr:uid="{00000000-0005-0000-0000-0000233F0000}"/>
    <cellStyle name="40% - Accent5 48 5" xfId="7367" xr:uid="{00000000-0005-0000-0000-0000243F0000}"/>
    <cellStyle name="40% - Accent5 48 5 2" xfId="18655" xr:uid="{00000000-0005-0000-0000-0000253F0000}"/>
    <cellStyle name="40% - Accent5 48 6" xfId="5373" xr:uid="{00000000-0005-0000-0000-0000263F0000}"/>
    <cellStyle name="40% - Accent5 48 6 2" xfId="16661" xr:uid="{00000000-0005-0000-0000-0000273F0000}"/>
    <cellStyle name="40% - Accent5 48 7" xfId="14667" xr:uid="{00000000-0005-0000-0000-0000283F0000}"/>
    <cellStyle name="40% - Accent5 48 8" xfId="13353" xr:uid="{00000000-0005-0000-0000-0000293F0000}"/>
    <cellStyle name="40% - Accent5 49" xfId="1418" xr:uid="{00000000-0005-0000-0000-00002A3F0000}"/>
    <cellStyle name="40% - Accent5 49 2" xfId="4374" xr:uid="{00000000-0005-0000-0000-00002B3F0000}"/>
    <cellStyle name="40% - Accent5 49 2 2" xfId="12353" xr:uid="{00000000-0005-0000-0000-00002C3F0000}"/>
    <cellStyle name="40% - Accent5 49 2 2 2" xfId="23641" xr:uid="{00000000-0005-0000-0000-00002D3F0000}"/>
    <cellStyle name="40% - Accent5 49 2 3" xfId="10359" xr:uid="{00000000-0005-0000-0000-00002E3F0000}"/>
    <cellStyle name="40% - Accent5 49 2 3 2" xfId="21647" xr:uid="{00000000-0005-0000-0000-00002F3F0000}"/>
    <cellStyle name="40% - Accent5 49 2 4" xfId="8365" xr:uid="{00000000-0005-0000-0000-0000303F0000}"/>
    <cellStyle name="40% - Accent5 49 2 4 2" xfId="19653" xr:uid="{00000000-0005-0000-0000-0000313F0000}"/>
    <cellStyle name="40% - Accent5 49 2 5" xfId="6371" xr:uid="{00000000-0005-0000-0000-0000323F0000}"/>
    <cellStyle name="40% - Accent5 49 2 5 2" xfId="17659" xr:uid="{00000000-0005-0000-0000-0000333F0000}"/>
    <cellStyle name="40% - Accent5 49 2 6" xfId="15665" xr:uid="{00000000-0005-0000-0000-0000343F0000}"/>
    <cellStyle name="40% - Accent5 49 3" xfId="11356" xr:uid="{00000000-0005-0000-0000-0000353F0000}"/>
    <cellStyle name="40% - Accent5 49 3 2" xfId="22644" xr:uid="{00000000-0005-0000-0000-0000363F0000}"/>
    <cellStyle name="40% - Accent5 49 4" xfId="9362" xr:uid="{00000000-0005-0000-0000-0000373F0000}"/>
    <cellStyle name="40% - Accent5 49 4 2" xfId="20650" xr:uid="{00000000-0005-0000-0000-0000383F0000}"/>
    <cellStyle name="40% - Accent5 49 5" xfId="7368" xr:uid="{00000000-0005-0000-0000-0000393F0000}"/>
    <cellStyle name="40% - Accent5 49 5 2" xfId="18656" xr:uid="{00000000-0005-0000-0000-00003A3F0000}"/>
    <cellStyle name="40% - Accent5 49 6" xfId="5374" xr:uid="{00000000-0005-0000-0000-00003B3F0000}"/>
    <cellStyle name="40% - Accent5 49 6 2" xfId="16662" xr:uid="{00000000-0005-0000-0000-00003C3F0000}"/>
    <cellStyle name="40% - Accent5 49 7" xfId="14668" xr:uid="{00000000-0005-0000-0000-00003D3F0000}"/>
    <cellStyle name="40% - Accent5 49 8" xfId="13354" xr:uid="{00000000-0005-0000-0000-00003E3F0000}"/>
    <cellStyle name="40% - Accent5 5" xfId="1419" xr:uid="{00000000-0005-0000-0000-00003F3F0000}"/>
    <cellStyle name="40% - Accent5 5 10" xfId="24622" xr:uid="{00000000-0005-0000-0000-0000403F0000}"/>
    <cellStyle name="40% - Accent5 5 11" xfId="25012" xr:uid="{00000000-0005-0000-0000-0000413F0000}"/>
    <cellStyle name="40% - Accent5 5 2" xfId="4375" xr:uid="{00000000-0005-0000-0000-0000423F0000}"/>
    <cellStyle name="40% - Accent5 5 2 2" xfId="12354" xr:uid="{00000000-0005-0000-0000-0000433F0000}"/>
    <cellStyle name="40% - Accent5 5 2 2 2" xfId="23642" xr:uid="{00000000-0005-0000-0000-0000443F0000}"/>
    <cellStyle name="40% - Accent5 5 2 3" xfId="10360" xr:uid="{00000000-0005-0000-0000-0000453F0000}"/>
    <cellStyle name="40% - Accent5 5 2 3 2" xfId="21648" xr:uid="{00000000-0005-0000-0000-0000463F0000}"/>
    <cellStyle name="40% - Accent5 5 2 4" xfId="8366" xr:uid="{00000000-0005-0000-0000-0000473F0000}"/>
    <cellStyle name="40% - Accent5 5 2 4 2" xfId="19654" xr:uid="{00000000-0005-0000-0000-0000483F0000}"/>
    <cellStyle name="40% - Accent5 5 2 5" xfId="6372" xr:uid="{00000000-0005-0000-0000-0000493F0000}"/>
    <cellStyle name="40% - Accent5 5 2 5 2" xfId="17660" xr:uid="{00000000-0005-0000-0000-00004A3F0000}"/>
    <cellStyle name="40% - Accent5 5 2 6" xfId="15666" xr:uid="{00000000-0005-0000-0000-00004B3F0000}"/>
    <cellStyle name="40% - Accent5 5 2 7" xfId="24383" xr:uid="{00000000-0005-0000-0000-00004C3F0000}"/>
    <cellStyle name="40% - Accent5 5 2 8" xfId="24847" xr:uid="{00000000-0005-0000-0000-00004D3F0000}"/>
    <cellStyle name="40% - Accent5 5 2 9" xfId="25214" xr:uid="{00000000-0005-0000-0000-00004E3F0000}"/>
    <cellStyle name="40% - Accent5 5 3" xfId="11357" xr:uid="{00000000-0005-0000-0000-00004F3F0000}"/>
    <cellStyle name="40% - Accent5 5 3 2" xfId="22645" xr:uid="{00000000-0005-0000-0000-0000503F0000}"/>
    <cellStyle name="40% - Accent5 5 4" xfId="9363" xr:uid="{00000000-0005-0000-0000-0000513F0000}"/>
    <cellStyle name="40% - Accent5 5 4 2" xfId="20651" xr:uid="{00000000-0005-0000-0000-0000523F0000}"/>
    <cellStyle name="40% - Accent5 5 5" xfId="7369" xr:uid="{00000000-0005-0000-0000-0000533F0000}"/>
    <cellStyle name="40% - Accent5 5 5 2" xfId="18657" xr:uid="{00000000-0005-0000-0000-0000543F0000}"/>
    <cellStyle name="40% - Accent5 5 6" xfId="5375" xr:uid="{00000000-0005-0000-0000-0000553F0000}"/>
    <cellStyle name="40% - Accent5 5 6 2" xfId="16663" xr:uid="{00000000-0005-0000-0000-0000563F0000}"/>
    <cellStyle name="40% - Accent5 5 7" xfId="14669" xr:uid="{00000000-0005-0000-0000-0000573F0000}"/>
    <cellStyle name="40% - Accent5 5 8" xfId="13355" xr:uid="{00000000-0005-0000-0000-0000583F0000}"/>
    <cellStyle name="40% - Accent5 5 9" xfId="23995" xr:uid="{00000000-0005-0000-0000-0000593F0000}"/>
    <cellStyle name="40% - Accent5 50" xfId="1420" xr:uid="{00000000-0005-0000-0000-00005A3F0000}"/>
    <cellStyle name="40% - Accent5 50 2" xfId="4376" xr:uid="{00000000-0005-0000-0000-00005B3F0000}"/>
    <cellStyle name="40% - Accent5 50 2 2" xfId="12355" xr:uid="{00000000-0005-0000-0000-00005C3F0000}"/>
    <cellStyle name="40% - Accent5 50 2 2 2" xfId="23643" xr:uid="{00000000-0005-0000-0000-00005D3F0000}"/>
    <cellStyle name="40% - Accent5 50 2 3" xfId="10361" xr:uid="{00000000-0005-0000-0000-00005E3F0000}"/>
    <cellStyle name="40% - Accent5 50 2 3 2" xfId="21649" xr:uid="{00000000-0005-0000-0000-00005F3F0000}"/>
    <cellStyle name="40% - Accent5 50 2 4" xfId="8367" xr:uid="{00000000-0005-0000-0000-0000603F0000}"/>
    <cellStyle name="40% - Accent5 50 2 4 2" xfId="19655" xr:uid="{00000000-0005-0000-0000-0000613F0000}"/>
    <cellStyle name="40% - Accent5 50 2 5" xfId="6373" xr:uid="{00000000-0005-0000-0000-0000623F0000}"/>
    <cellStyle name="40% - Accent5 50 2 5 2" xfId="17661" xr:uid="{00000000-0005-0000-0000-0000633F0000}"/>
    <cellStyle name="40% - Accent5 50 2 6" xfId="15667" xr:uid="{00000000-0005-0000-0000-0000643F0000}"/>
    <cellStyle name="40% - Accent5 50 3" xfId="11358" xr:uid="{00000000-0005-0000-0000-0000653F0000}"/>
    <cellStyle name="40% - Accent5 50 3 2" xfId="22646" xr:uid="{00000000-0005-0000-0000-0000663F0000}"/>
    <cellStyle name="40% - Accent5 50 4" xfId="9364" xr:uid="{00000000-0005-0000-0000-0000673F0000}"/>
    <cellStyle name="40% - Accent5 50 4 2" xfId="20652" xr:uid="{00000000-0005-0000-0000-0000683F0000}"/>
    <cellStyle name="40% - Accent5 50 5" xfId="7370" xr:uid="{00000000-0005-0000-0000-0000693F0000}"/>
    <cellStyle name="40% - Accent5 50 5 2" xfId="18658" xr:uid="{00000000-0005-0000-0000-00006A3F0000}"/>
    <cellStyle name="40% - Accent5 50 6" xfId="5376" xr:uid="{00000000-0005-0000-0000-00006B3F0000}"/>
    <cellStyle name="40% - Accent5 50 6 2" xfId="16664" xr:uid="{00000000-0005-0000-0000-00006C3F0000}"/>
    <cellStyle name="40% - Accent5 50 7" xfId="14670" xr:uid="{00000000-0005-0000-0000-00006D3F0000}"/>
    <cellStyle name="40% - Accent5 50 8" xfId="13356" xr:uid="{00000000-0005-0000-0000-00006E3F0000}"/>
    <cellStyle name="40% - Accent5 51" xfId="1421" xr:uid="{00000000-0005-0000-0000-00006F3F0000}"/>
    <cellStyle name="40% - Accent5 51 2" xfId="4377" xr:uid="{00000000-0005-0000-0000-0000703F0000}"/>
    <cellStyle name="40% - Accent5 51 2 2" xfId="12356" xr:uid="{00000000-0005-0000-0000-0000713F0000}"/>
    <cellStyle name="40% - Accent5 51 2 2 2" xfId="23644" xr:uid="{00000000-0005-0000-0000-0000723F0000}"/>
    <cellStyle name="40% - Accent5 51 2 3" xfId="10362" xr:uid="{00000000-0005-0000-0000-0000733F0000}"/>
    <cellStyle name="40% - Accent5 51 2 3 2" xfId="21650" xr:uid="{00000000-0005-0000-0000-0000743F0000}"/>
    <cellStyle name="40% - Accent5 51 2 4" xfId="8368" xr:uid="{00000000-0005-0000-0000-0000753F0000}"/>
    <cellStyle name="40% - Accent5 51 2 4 2" xfId="19656" xr:uid="{00000000-0005-0000-0000-0000763F0000}"/>
    <cellStyle name="40% - Accent5 51 2 5" xfId="6374" xr:uid="{00000000-0005-0000-0000-0000773F0000}"/>
    <cellStyle name="40% - Accent5 51 2 5 2" xfId="17662" xr:uid="{00000000-0005-0000-0000-0000783F0000}"/>
    <cellStyle name="40% - Accent5 51 2 6" xfId="15668" xr:uid="{00000000-0005-0000-0000-0000793F0000}"/>
    <cellStyle name="40% - Accent5 51 3" xfId="11359" xr:uid="{00000000-0005-0000-0000-00007A3F0000}"/>
    <cellStyle name="40% - Accent5 51 3 2" xfId="22647" xr:uid="{00000000-0005-0000-0000-00007B3F0000}"/>
    <cellStyle name="40% - Accent5 51 4" xfId="9365" xr:uid="{00000000-0005-0000-0000-00007C3F0000}"/>
    <cellStyle name="40% - Accent5 51 4 2" xfId="20653" xr:uid="{00000000-0005-0000-0000-00007D3F0000}"/>
    <cellStyle name="40% - Accent5 51 5" xfId="7371" xr:uid="{00000000-0005-0000-0000-00007E3F0000}"/>
    <cellStyle name="40% - Accent5 51 5 2" xfId="18659" xr:uid="{00000000-0005-0000-0000-00007F3F0000}"/>
    <cellStyle name="40% - Accent5 51 6" xfId="5377" xr:uid="{00000000-0005-0000-0000-0000803F0000}"/>
    <cellStyle name="40% - Accent5 51 6 2" xfId="16665" xr:uid="{00000000-0005-0000-0000-0000813F0000}"/>
    <cellStyle name="40% - Accent5 51 7" xfId="14671" xr:uid="{00000000-0005-0000-0000-0000823F0000}"/>
    <cellStyle name="40% - Accent5 51 8" xfId="13357" xr:uid="{00000000-0005-0000-0000-0000833F0000}"/>
    <cellStyle name="40% - Accent5 52" xfId="1422" xr:uid="{00000000-0005-0000-0000-0000843F0000}"/>
    <cellStyle name="40% - Accent5 52 2" xfId="4378" xr:uid="{00000000-0005-0000-0000-0000853F0000}"/>
    <cellStyle name="40% - Accent5 52 2 2" xfId="12357" xr:uid="{00000000-0005-0000-0000-0000863F0000}"/>
    <cellStyle name="40% - Accent5 52 2 2 2" xfId="23645" xr:uid="{00000000-0005-0000-0000-0000873F0000}"/>
    <cellStyle name="40% - Accent5 52 2 3" xfId="10363" xr:uid="{00000000-0005-0000-0000-0000883F0000}"/>
    <cellStyle name="40% - Accent5 52 2 3 2" xfId="21651" xr:uid="{00000000-0005-0000-0000-0000893F0000}"/>
    <cellStyle name="40% - Accent5 52 2 4" xfId="8369" xr:uid="{00000000-0005-0000-0000-00008A3F0000}"/>
    <cellStyle name="40% - Accent5 52 2 4 2" xfId="19657" xr:uid="{00000000-0005-0000-0000-00008B3F0000}"/>
    <cellStyle name="40% - Accent5 52 2 5" xfId="6375" xr:uid="{00000000-0005-0000-0000-00008C3F0000}"/>
    <cellStyle name="40% - Accent5 52 2 5 2" xfId="17663" xr:uid="{00000000-0005-0000-0000-00008D3F0000}"/>
    <cellStyle name="40% - Accent5 52 2 6" xfId="15669" xr:uid="{00000000-0005-0000-0000-00008E3F0000}"/>
    <cellStyle name="40% - Accent5 52 3" xfId="11360" xr:uid="{00000000-0005-0000-0000-00008F3F0000}"/>
    <cellStyle name="40% - Accent5 52 3 2" xfId="22648" xr:uid="{00000000-0005-0000-0000-0000903F0000}"/>
    <cellStyle name="40% - Accent5 52 4" xfId="9366" xr:uid="{00000000-0005-0000-0000-0000913F0000}"/>
    <cellStyle name="40% - Accent5 52 4 2" xfId="20654" xr:uid="{00000000-0005-0000-0000-0000923F0000}"/>
    <cellStyle name="40% - Accent5 52 5" xfId="7372" xr:uid="{00000000-0005-0000-0000-0000933F0000}"/>
    <cellStyle name="40% - Accent5 52 5 2" xfId="18660" xr:uid="{00000000-0005-0000-0000-0000943F0000}"/>
    <cellStyle name="40% - Accent5 52 6" xfId="5378" xr:uid="{00000000-0005-0000-0000-0000953F0000}"/>
    <cellStyle name="40% - Accent5 52 6 2" xfId="16666" xr:uid="{00000000-0005-0000-0000-0000963F0000}"/>
    <cellStyle name="40% - Accent5 52 7" xfId="14672" xr:uid="{00000000-0005-0000-0000-0000973F0000}"/>
    <cellStyle name="40% - Accent5 52 8" xfId="13358" xr:uid="{00000000-0005-0000-0000-0000983F0000}"/>
    <cellStyle name="40% - Accent5 53" xfId="1423" xr:uid="{00000000-0005-0000-0000-0000993F0000}"/>
    <cellStyle name="40% - Accent5 53 2" xfId="4379" xr:uid="{00000000-0005-0000-0000-00009A3F0000}"/>
    <cellStyle name="40% - Accent5 53 2 2" xfId="12358" xr:uid="{00000000-0005-0000-0000-00009B3F0000}"/>
    <cellStyle name="40% - Accent5 53 2 2 2" xfId="23646" xr:uid="{00000000-0005-0000-0000-00009C3F0000}"/>
    <cellStyle name="40% - Accent5 53 2 3" xfId="10364" xr:uid="{00000000-0005-0000-0000-00009D3F0000}"/>
    <cellStyle name="40% - Accent5 53 2 3 2" xfId="21652" xr:uid="{00000000-0005-0000-0000-00009E3F0000}"/>
    <cellStyle name="40% - Accent5 53 2 4" xfId="8370" xr:uid="{00000000-0005-0000-0000-00009F3F0000}"/>
    <cellStyle name="40% - Accent5 53 2 4 2" xfId="19658" xr:uid="{00000000-0005-0000-0000-0000A03F0000}"/>
    <cellStyle name="40% - Accent5 53 2 5" xfId="6376" xr:uid="{00000000-0005-0000-0000-0000A13F0000}"/>
    <cellStyle name="40% - Accent5 53 2 5 2" xfId="17664" xr:uid="{00000000-0005-0000-0000-0000A23F0000}"/>
    <cellStyle name="40% - Accent5 53 2 6" xfId="15670" xr:uid="{00000000-0005-0000-0000-0000A33F0000}"/>
    <cellStyle name="40% - Accent5 53 3" xfId="11361" xr:uid="{00000000-0005-0000-0000-0000A43F0000}"/>
    <cellStyle name="40% - Accent5 53 3 2" xfId="22649" xr:uid="{00000000-0005-0000-0000-0000A53F0000}"/>
    <cellStyle name="40% - Accent5 53 4" xfId="9367" xr:uid="{00000000-0005-0000-0000-0000A63F0000}"/>
    <cellStyle name="40% - Accent5 53 4 2" xfId="20655" xr:uid="{00000000-0005-0000-0000-0000A73F0000}"/>
    <cellStyle name="40% - Accent5 53 5" xfId="7373" xr:uid="{00000000-0005-0000-0000-0000A83F0000}"/>
    <cellStyle name="40% - Accent5 53 5 2" xfId="18661" xr:uid="{00000000-0005-0000-0000-0000A93F0000}"/>
    <cellStyle name="40% - Accent5 53 6" xfId="5379" xr:uid="{00000000-0005-0000-0000-0000AA3F0000}"/>
    <cellStyle name="40% - Accent5 53 6 2" xfId="16667" xr:uid="{00000000-0005-0000-0000-0000AB3F0000}"/>
    <cellStyle name="40% - Accent5 53 7" xfId="14673" xr:uid="{00000000-0005-0000-0000-0000AC3F0000}"/>
    <cellStyle name="40% - Accent5 53 8" xfId="13359" xr:uid="{00000000-0005-0000-0000-0000AD3F0000}"/>
    <cellStyle name="40% - Accent5 54" xfId="1424" xr:uid="{00000000-0005-0000-0000-0000AE3F0000}"/>
    <cellStyle name="40% - Accent5 54 2" xfId="4380" xr:uid="{00000000-0005-0000-0000-0000AF3F0000}"/>
    <cellStyle name="40% - Accent5 54 2 2" xfId="12359" xr:uid="{00000000-0005-0000-0000-0000B03F0000}"/>
    <cellStyle name="40% - Accent5 54 2 2 2" xfId="23647" xr:uid="{00000000-0005-0000-0000-0000B13F0000}"/>
    <cellStyle name="40% - Accent5 54 2 3" xfId="10365" xr:uid="{00000000-0005-0000-0000-0000B23F0000}"/>
    <cellStyle name="40% - Accent5 54 2 3 2" xfId="21653" xr:uid="{00000000-0005-0000-0000-0000B33F0000}"/>
    <cellStyle name="40% - Accent5 54 2 4" xfId="8371" xr:uid="{00000000-0005-0000-0000-0000B43F0000}"/>
    <cellStyle name="40% - Accent5 54 2 4 2" xfId="19659" xr:uid="{00000000-0005-0000-0000-0000B53F0000}"/>
    <cellStyle name="40% - Accent5 54 2 5" xfId="6377" xr:uid="{00000000-0005-0000-0000-0000B63F0000}"/>
    <cellStyle name="40% - Accent5 54 2 5 2" xfId="17665" xr:uid="{00000000-0005-0000-0000-0000B73F0000}"/>
    <cellStyle name="40% - Accent5 54 2 6" xfId="15671" xr:uid="{00000000-0005-0000-0000-0000B83F0000}"/>
    <cellStyle name="40% - Accent5 54 3" xfId="11362" xr:uid="{00000000-0005-0000-0000-0000B93F0000}"/>
    <cellStyle name="40% - Accent5 54 3 2" xfId="22650" xr:uid="{00000000-0005-0000-0000-0000BA3F0000}"/>
    <cellStyle name="40% - Accent5 54 4" xfId="9368" xr:uid="{00000000-0005-0000-0000-0000BB3F0000}"/>
    <cellStyle name="40% - Accent5 54 4 2" xfId="20656" xr:uid="{00000000-0005-0000-0000-0000BC3F0000}"/>
    <cellStyle name="40% - Accent5 54 5" xfId="7374" xr:uid="{00000000-0005-0000-0000-0000BD3F0000}"/>
    <cellStyle name="40% - Accent5 54 5 2" xfId="18662" xr:uid="{00000000-0005-0000-0000-0000BE3F0000}"/>
    <cellStyle name="40% - Accent5 54 6" xfId="5380" xr:uid="{00000000-0005-0000-0000-0000BF3F0000}"/>
    <cellStyle name="40% - Accent5 54 6 2" xfId="16668" xr:uid="{00000000-0005-0000-0000-0000C03F0000}"/>
    <cellStyle name="40% - Accent5 54 7" xfId="14674" xr:uid="{00000000-0005-0000-0000-0000C13F0000}"/>
    <cellStyle name="40% - Accent5 54 8" xfId="13360" xr:uid="{00000000-0005-0000-0000-0000C23F0000}"/>
    <cellStyle name="40% - Accent5 55" xfId="1425" xr:uid="{00000000-0005-0000-0000-0000C33F0000}"/>
    <cellStyle name="40% - Accent5 55 2" xfId="4381" xr:uid="{00000000-0005-0000-0000-0000C43F0000}"/>
    <cellStyle name="40% - Accent5 55 2 2" xfId="12360" xr:uid="{00000000-0005-0000-0000-0000C53F0000}"/>
    <cellStyle name="40% - Accent5 55 2 2 2" xfId="23648" xr:uid="{00000000-0005-0000-0000-0000C63F0000}"/>
    <cellStyle name="40% - Accent5 55 2 3" xfId="10366" xr:uid="{00000000-0005-0000-0000-0000C73F0000}"/>
    <cellStyle name="40% - Accent5 55 2 3 2" xfId="21654" xr:uid="{00000000-0005-0000-0000-0000C83F0000}"/>
    <cellStyle name="40% - Accent5 55 2 4" xfId="8372" xr:uid="{00000000-0005-0000-0000-0000C93F0000}"/>
    <cellStyle name="40% - Accent5 55 2 4 2" xfId="19660" xr:uid="{00000000-0005-0000-0000-0000CA3F0000}"/>
    <cellStyle name="40% - Accent5 55 2 5" xfId="6378" xr:uid="{00000000-0005-0000-0000-0000CB3F0000}"/>
    <cellStyle name="40% - Accent5 55 2 5 2" xfId="17666" xr:uid="{00000000-0005-0000-0000-0000CC3F0000}"/>
    <cellStyle name="40% - Accent5 55 2 6" xfId="15672" xr:uid="{00000000-0005-0000-0000-0000CD3F0000}"/>
    <cellStyle name="40% - Accent5 55 3" xfId="11363" xr:uid="{00000000-0005-0000-0000-0000CE3F0000}"/>
    <cellStyle name="40% - Accent5 55 3 2" xfId="22651" xr:uid="{00000000-0005-0000-0000-0000CF3F0000}"/>
    <cellStyle name="40% - Accent5 55 4" xfId="9369" xr:uid="{00000000-0005-0000-0000-0000D03F0000}"/>
    <cellStyle name="40% - Accent5 55 4 2" xfId="20657" xr:uid="{00000000-0005-0000-0000-0000D13F0000}"/>
    <cellStyle name="40% - Accent5 55 5" xfId="7375" xr:uid="{00000000-0005-0000-0000-0000D23F0000}"/>
    <cellStyle name="40% - Accent5 55 5 2" xfId="18663" xr:uid="{00000000-0005-0000-0000-0000D33F0000}"/>
    <cellStyle name="40% - Accent5 55 6" xfId="5381" xr:uid="{00000000-0005-0000-0000-0000D43F0000}"/>
    <cellStyle name="40% - Accent5 55 6 2" xfId="16669" xr:uid="{00000000-0005-0000-0000-0000D53F0000}"/>
    <cellStyle name="40% - Accent5 55 7" xfId="14675" xr:uid="{00000000-0005-0000-0000-0000D63F0000}"/>
    <cellStyle name="40% - Accent5 55 8" xfId="13361" xr:uid="{00000000-0005-0000-0000-0000D73F0000}"/>
    <cellStyle name="40% - Accent5 56" xfId="1426" xr:uid="{00000000-0005-0000-0000-0000D83F0000}"/>
    <cellStyle name="40% - Accent5 56 2" xfId="4382" xr:uid="{00000000-0005-0000-0000-0000D93F0000}"/>
    <cellStyle name="40% - Accent5 56 2 2" xfId="12361" xr:uid="{00000000-0005-0000-0000-0000DA3F0000}"/>
    <cellStyle name="40% - Accent5 56 2 2 2" xfId="23649" xr:uid="{00000000-0005-0000-0000-0000DB3F0000}"/>
    <cellStyle name="40% - Accent5 56 2 3" xfId="10367" xr:uid="{00000000-0005-0000-0000-0000DC3F0000}"/>
    <cellStyle name="40% - Accent5 56 2 3 2" xfId="21655" xr:uid="{00000000-0005-0000-0000-0000DD3F0000}"/>
    <cellStyle name="40% - Accent5 56 2 4" xfId="8373" xr:uid="{00000000-0005-0000-0000-0000DE3F0000}"/>
    <cellStyle name="40% - Accent5 56 2 4 2" xfId="19661" xr:uid="{00000000-0005-0000-0000-0000DF3F0000}"/>
    <cellStyle name="40% - Accent5 56 2 5" xfId="6379" xr:uid="{00000000-0005-0000-0000-0000E03F0000}"/>
    <cellStyle name="40% - Accent5 56 2 5 2" xfId="17667" xr:uid="{00000000-0005-0000-0000-0000E13F0000}"/>
    <cellStyle name="40% - Accent5 56 2 6" xfId="15673" xr:uid="{00000000-0005-0000-0000-0000E23F0000}"/>
    <cellStyle name="40% - Accent5 56 3" xfId="11364" xr:uid="{00000000-0005-0000-0000-0000E33F0000}"/>
    <cellStyle name="40% - Accent5 56 3 2" xfId="22652" xr:uid="{00000000-0005-0000-0000-0000E43F0000}"/>
    <cellStyle name="40% - Accent5 56 4" xfId="9370" xr:uid="{00000000-0005-0000-0000-0000E53F0000}"/>
    <cellStyle name="40% - Accent5 56 4 2" xfId="20658" xr:uid="{00000000-0005-0000-0000-0000E63F0000}"/>
    <cellStyle name="40% - Accent5 56 5" xfId="7376" xr:uid="{00000000-0005-0000-0000-0000E73F0000}"/>
    <cellStyle name="40% - Accent5 56 5 2" xfId="18664" xr:uid="{00000000-0005-0000-0000-0000E83F0000}"/>
    <cellStyle name="40% - Accent5 56 6" xfId="5382" xr:uid="{00000000-0005-0000-0000-0000E93F0000}"/>
    <cellStyle name="40% - Accent5 56 6 2" xfId="16670" xr:uid="{00000000-0005-0000-0000-0000EA3F0000}"/>
    <cellStyle name="40% - Accent5 56 7" xfId="14676" xr:uid="{00000000-0005-0000-0000-0000EB3F0000}"/>
    <cellStyle name="40% - Accent5 56 8" xfId="13362" xr:uid="{00000000-0005-0000-0000-0000EC3F0000}"/>
    <cellStyle name="40% - Accent5 57" xfId="1427" xr:uid="{00000000-0005-0000-0000-0000ED3F0000}"/>
    <cellStyle name="40% - Accent5 57 2" xfId="4383" xr:uid="{00000000-0005-0000-0000-0000EE3F0000}"/>
    <cellStyle name="40% - Accent5 57 2 2" xfId="12362" xr:uid="{00000000-0005-0000-0000-0000EF3F0000}"/>
    <cellStyle name="40% - Accent5 57 2 2 2" xfId="23650" xr:uid="{00000000-0005-0000-0000-0000F03F0000}"/>
    <cellStyle name="40% - Accent5 57 2 3" xfId="10368" xr:uid="{00000000-0005-0000-0000-0000F13F0000}"/>
    <cellStyle name="40% - Accent5 57 2 3 2" xfId="21656" xr:uid="{00000000-0005-0000-0000-0000F23F0000}"/>
    <cellStyle name="40% - Accent5 57 2 4" xfId="8374" xr:uid="{00000000-0005-0000-0000-0000F33F0000}"/>
    <cellStyle name="40% - Accent5 57 2 4 2" xfId="19662" xr:uid="{00000000-0005-0000-0000-0000F43F0000}"/>
    <cellStyle name="40% - Accent5 57 2 5" xfId="6380" xr:uid="{00000000-0005-0000-0000-0000F53F0000}"/>
    <cellStyle name="40% - Accent5 57 2 5 2" xfId="17668" xr:uid="{00000000-0005-0000-0000-0000F63F0000}"/>
    <cellStyle name="40% - Accent5 57 2 6" xfId="15674" xr:uid="{00000000-0005-0000-0000-0000F73F0000}"/>
    <cellStyle name="40% - Accent5 57 3" xfId="11365" xr:uid="{00000000-0005-0000-0000-0000F83F0000}"/>
    <cellStyle name="40% - Accent5 57 3 2" xfId="22653" xr:uid="{00000000-0005-0000-0000-0000F93F0000}"/>
    <cellStyle name="40% - Accent5 57 4" xfId="9371" xr:uid="{00000000-0005-0000-0000-0000FA3F0000}"/>
    <cellStyle name="40% - Accent5 57 4 2" xfId="20659" xr:uid="{00000000-0005-0000-0000-0000FB3F0000}"/>
    <cellStyle name="40% - Accent5 57 5" xfId="7377" xr:uid="{00000000-0005-0000-0000-0000FC3F0000}"/>
    <cellStyle name="40% - Accent5 57 5 2" xfId="18665" xr:uid="{00000000-0005-0000-0000-0000FD3F0000}"/>
    <cellStyle name="40% - Accent5 57 6" xfId="5383" xr:uid="{00000000-0005-0000-0000-0000FE3F0000}"/>
    <cellStyle name="40% - Accent5 57 6 2" xfId="16671" xr:uid="{00000000-0005-0000-0000-0000FF3F0000}"/>
    <cellStyle name="40% - Accent5 57 7" xfId="14677" xr:uid="{00000000-0005-0000-0000-000000400000}"/>
    <cellStyle name="40% - Accent5 57 8" xfId="13363" xr:uid="{00000000-0005-0000-0000-000001400000}"/>
    <cellStyle name="40% - Accent5 58" xfId="1428" xr:uid="{00000000-0005-0000-0000-000002400000}"/>
    <cellStyle name="40% - Accent5 58 2" xfId="4384" xr:uid="{00000000-0005-0000-0000-000003400000}"/>
    <cellStyle name="40% - Accent5 58 2 2" xfId="12363" xr:uid="{00000000-0005-0000-0000-000004400000}"/>
    <cellStyle name="40% - Accent5 58 2 2 2" xfId="23651" xr:uid="{00000000-0005-0000-0000-000005400000}"/>
    <cellStyle name="40% - Accent5 58 2 3" xfId="10369" xr:uid="{00000000-0005-0000-0000-000006400000}"/>
    <cellStyle name="40% - Accent5 58 2 3 2" xfId="21657" xr:uid="{00000000-0005-0000-0000-000007400000}"/>
    <cellStyle name="40% - Accent5 58 2 4" xfId="8375" xr:uid="{00000000-0005-0000-0000-000008400000}"/>
    <cellStyle name="40% - Accent5 58 2 4 2" xfId="19663" xr:uid="{00000000-0005-0000-0000-000009400000}"/>
    <cellStyle name="40% - Accent5 58 2 5" xfId="6381" xr:uid="{00000000-0005-0000-0000-00000A400000}"/>
    <cellStyle name="40% - Accent5 58 2 5 2" xfId="17669" xr:uid="{00000000-0005-0000-0000-00000B400000}"/>
    <cellStyle name="40% - Accent5 58 2 6" xfId="15675" xr:uid="{00000000-0005-0000-0000-00000C400000}"/>
    <cellStyle name="40% - Accent5 58 3" xfId="11366" xr:uid="{00000000-0005-0000-0000-00000D400000}"/>
    <cellStyle name="40% - Accent5 58 3 2" xfId="22654" xr:uid="{00000000-0005-0000-0000-00000E400000}"/>
    <cellStyle name="40% - Accent5 58 4" xfId="9372" xr:uid="{00000000-0005-0000-0000-00000F400000}"/>
    <cellStyle name="40% - Accent5 58 4 2" xfId="20660" xr:uid="{00000000-0005-0000-0000-000010400000}"/>
    <cellStyle name="40% - Accent5 58 5" xfId="7378" xr:uid="{00000000-0005-0000-0000-000011400000}"/>
    <cellStyle name="40% - Accent5 58 5 2" xfId="18666" xr:uid="{00000000-0005-0000-0000-000012400000}"/>
    <cellStyle name="40% - Accent5 58 6" xfId="5384" xr:uid="{00000000-0005-0000-0000-000013400000}"/>
    <cellStyle name="40% - Accent5 58 6 2" xfId="16672" xr:uid="{00000000-0005-0000-0000-000014400000}"/>
    <cellStyle name="40% - Accent5 58 7" xfId="14678" xr:uid="{00000000-0005-0000-0000-000015400000}"/>
    <cellStyle name="40% - Accent5 58 8" xfId="13364" xr:uid="{00000000-0005-0000-0000-000016400000}"/>
    <cellStyle name="40% - Accent5 59" xfId="1429" xr:uid="{00000000-0005-0000-0000-000017400000}"/>
    <cellStyle name="40% - Accent5 59 2" xfId="4385" xr:uid="{00000000-0005-0000-0000-000018400000}"/>
    <cellStyle name="40% - Accent5 59 2 2" xfId="12364" xr:uid="{00000000-0005-0000-0000-000019400000}"/>
    <cellStyle name="40% - Accent5 59 2 2 2" xfId="23652" xr:uid="{00000000-0005-0000-0000-00001A400000}"/>
    <cellStyle name="40% - Accent5 59 2 3" xfId="10370" xr:uid="{00000000-0005-0000-0000-00001B400000}"/>
    <cellStyle name="40% - Accent5 59 2 3 2" xfId="21658" xr:uid="{00000000-0005-0000-0000-00001C400000}"/>
    <cellStyle name="40% - Accent5 59 2 4" xfId="8376" xr:uid="{00000000-0005-0000-0000-00001D400000}"/>
    <cellStyle name="40% - Accent5 59 2 4 2" xfId="19664" xr:uid="{00000000-0005-0000-0000-00001E400000}"/>
    <cellStyle name="40% - Accent5 59 2 5" xfId="6382" xr:uid="{00000000-0005-0000-0000-00001F400000}"/>
    <cellStyle name="40% - Accent5 59 2 5 2" xfId="17670" xr:uid="{00000000-0005-0000-0000-000020400000}"/>
    <cellStyle name="40% - Accent5 59 2 6" xfId="15676" xr:uid="{00000000-0005-0000-0000-000021400000}"/>
    <cellStyle name="40% - Accent5 59 3" xfId="11367" xr:uid="{00000000-0005-0000-0000-000022400000}"/>
    <cellStyle name="40% - Accent5 59 3 2" xfId="22655" xr:uid="{00000000-0005-0000-0000-000023400000}"/>
    <cellStyle name="40% - Accent5 59 4" xfId="9373" xr:uid="{00000000-0005-0000-0000-000024400000}"/>
    <cellStyle name="40% - Accent5 59 4 2" xfId="20661" xr:uid="{00000000-0005-0000-0000-000025400000}"/>
    <cellStyle name="40% - Accent5 59 5" xfId="7379" xr:uid="{00000000-0005-0000-0000-000026400000}"/>
    <cellStyle name="40% - Accent5 59 5 2" xfId="18667" xr:uid="{00000000-0005-0000-0000-000027400000}"/>
    <cellStyle name="40% - Accent5 59 6" xfId="5385" xr:uid="{00000000-0005-0000-0000-000028400000}"/>
    <cellStyle name="40% - Accent5 59 6 2" xfId="16673" xr:uid="{00000000-0005-0000-0000-000029400000}"/>
    <cellStyle name="40% - Accent5 59 7" xfId="14679" xr:uid="{00000000-0005-0000-0000-00002A400000}"/>
    <cellStyle name="40% - Accent5 59 8" xfId="13365" xr:uid="{00000000-0005-0000-0000-00002B400000}"/>
    <cellStyle name="40% - Accent5 6" xfId="1430" xr:uid="{00000000-0005-0000-0000-00002C400000}"/>
    <cellStyle name="40% - Accent5 6 10" xfId="24623" xr:uid="{00000000-0005-0000-0000-00002D400000}"/>
    <cellStyle name="40% - Accent5 6 11" xfId="25013" xr:uid="{00000000-0005-0000-0000-00002E400000}"/>
    <cellStyle name="40% - Accent5 6 2" xfId="4386" xr:uid="{00000000-0005-0000-0000-00002F400000}"/>
    <cellStyle name="40% - Accent5 6 2 2" xfId="12365" xr:uid="{00000000-0005-0000-0000-000030400000}"/>
    <cellStyle name="40% - Accent5 6 2 2 2" xfId="23653" xr:uid="{00000000-0005-0000-0000-000031400000}"/>
    <cellStyle name="40% - Accent5 6 2 3" xfId="10371" xr:uid="{00000000-0005-0000-0000-000032400000}"/>
    <cellStyle name="40% - Accent5 6 2 3 2" xfId="21659" xr:uid="{00000000-0005-0000-0000-000033400000}"/>
    <cellStyle name="40% - Accent5 6 2 4" xfId="8377" xr:uid="{00000000-0005-0000-0000-000034400000}"/>
    <cellStyle name="40% - Accent5 6 2 4 2" xfId="19665" xr:uid="{00000000-0005-0000-0000-000035400000}"/>
    <cellStyle name="40% - Accent5 6 2 5" xfId="6383" xr:uid="{00000000-0005-0000-0000-000036400000}"/>
    <cellStyle name="40% - Accent5 6 2 5 2" xfId="17671" xr:uid="{00000000-0005-0000-0000-000037400000}"/>
    <cellStyle name="40% - Accent5 6 2 6" xfId="15677" xr:uid="{00000000-0005-0000-0000-000038400000}"/>
    <cellStyle name="40% - Accent5 6 2 7" xfId="24384" xr:uid="{00000000-0005-0000-0000-000039400000}"/>
    <cellStyle name="40% - Accent5 6 2 8" xfId="24848" xr:uid="{00000000-0005-0000-0000-00003A400000}"/>
    <cellStyle name="40% - Accent5 6 2 9" xfId="25215" xr:uid="{00000000-0005-0000-0000-00003B400000}"/>
    <cellStyle name="40% - Accent5 6 3" xfId="11368" xr:uid="{00000000-0005-0000-0000-00003C400000}"/>
    <cellStyle name="40% - Accent5 6 3 2" xfId="22656" xr:uid="{00000000-0005-0000-0000-00003D400000}"/>
    <cellStyle name="40% - Accent5 6 4" xfId="9374" xr:uid="{00000000-0005-0000-0000-00003E400000}"/>
    <cellStyle name="40% - Accent5 6 4 2" xfId="20662" xr:uid="{00000000-0005-0000-0000-00003F400000}"/>
    <cellStyle name="40% - Accent5 6 5" xfId="7380" xr:uid="{00000000-0005-0000-0000-000040400000}"/>
    <cellStyle name="40% - Accent5 6 5 2" xfId="18668" xr:uid="{00000000-0005-0000-0000-000041400000}"/>
    <cellStyle name="40% - Accent5 6 6" xfId="5386" xr:uid="{00000000-0005-0000-0000-000042400000}"/>
    <cellStyle name="40% - Accent5 6 6 2" xfId="16674" xr:uid="{00000000-0005-0000-0000-000043400000}"/>
    <cellStyle name="40% - Accent5 6 7" xfId="14680" xr:uid="{00000000-0005-0000-0000-000044400000}"/>
    <cellStyle name="40% - Accent5 6 8" xfId="13366" xr:uid="{00000000-0005-0000-0000-000045400000}"/>
    <cellStyle name="40% - Accent5 6 9" xfId="23996" xr:uid="{00000000-0005-0000-0000-000046400000}"/>
    <cellStyle name="40% - Accent5 60" xfId="1431" xr:uid="{00000000-0005-0000-0000-000047400000}"/>
    <cellStyle name="40% - Accent5 60 2" xfId="4387" xr:uid="{00000000-0005-0000-0000-000048400000}"/>
    <cellStyle name="40% - Accent5 60 2 2" xfId="12366" xr:uid="{00000000-0005-0000-0000-000049400000}"/>
    <cellStyle name="40% - Accent5 60 2 2 2" xfId="23654" xr:uid="{00000000-0005-0000-0000-00004A400000}"/>
    <cellStyle name="40% - Accent5 60 2 3" xfId="10372" xr:uid="{00000000-0005-0000-0000-00004B400000}"/>
    <cellStyle name="40% - Accent5 60 2 3 2" xfId="21660" xr:uid="{00000000-0005-0000-0000-00004C400000}"/>
    <cellStyle name="40% - Accent5 60 2 4" xfId="8378" xr:uid="{00000000-0005-0000-0000-00004D400000}"/>
    <cellStyle name="40% - Accent5 60 2 4 2" xfId="19666" xr:uid="{00000000-0005-0000-0000-00004E400000}"/>
    <cellStyle name="40% - Accent5 60 2 5" xfId="6384" xr:uid="{00000000-0005-0000-0000-00004F400000}"/>
    <cellStyle name="40% - Accent5 60 2 5 2" xfId="17672" xr:uid="{00000000-0005-0000-0000-000050400000}"/>
    <cellStyle name="40% - Accent5 60 2 6" xfId="15678" xr:uid="{00000000-0005-0000-0000-000051400000}"/>
    <cellStyle name="40% - Accent5 60 3" xfId="11369" xr:uid="{00000000-0005-0000-0000-000052400000}"/>
    <cellStyle name="40% - Accent5 60 3 2" xfId="22657" xr:uid="{00000000-0005-0000-0000-000053400000}"/>
    <cellStyle name="40% - Accent5 60 4" xfId="9375" xr:uid="{00000000-0005-0000-0000-000054400000}"/>
    <cellStyle name="40% - Accent5 60 4 2" xfId="20663" xr:uid="{00000000-0005-0000-0000-000055400000}"/>
    <cellStyle name="40% - Accent5 60 5" xfId="7381" xr:uid="{00000000-0005-0000-0000-000056400000}"/>
    <cellStyle name="40% - Accent5 60 5 2" xfId="18669" xr:uid="{00000000-0005-0000-0000-000057400000}"/>
    <cellStyle name="40% - Accent5 60 6" xfId="5387" xr:uid="{00000000-0005-0000-0000-000058400000}"/>
    <cellStyle name="40% - Accent5 60 6 2" xfId="16675" xr:uid="{00000000-0005-0000-0000-000059400000}"/>
    <cellStyle name="40% - Accent5 60 7" xfId="14681" xr:uid="{00000000-0005-0000-0000-00005A400000}"/>
    <cellStyle name="40% - Accent5 60 8" xfId="13367" xr:uid="{00000000-0005-0000-0000-00005B400000}"/>
    <cellStyle name="40% - Accent5 61" xfId="1432" xr:uid="{00000000-0005-0000-0000-00005C400000}"/>
    <cellStyle name="40% - Accent5 61 2" xfId="4388" xr:uid="{00000000-0005-0000-0000-00005D400000}"/>
    <cellStyle name="40% - Accent5 61 2 2" xfId="12367" xr:uid="{00000000-0005-0000-0000-00005E400000}"/>
    <cellStyle name="40% - Accent5 61 2 2 2" xfId="23655" xr:uid="{00000000-0005-0000-0000-00005F400000}"/>
    <cellStyle name="40% - Accent5 61 2 3" xfId="10373" xr:uid="{00000000-0005-0000-0000-000060400000}"/>
    <cellStyle name="40% - Accent5 61 2 3 2" xfId="21661" xr:uid="{00000000-0005-0000-0000-000061400000}"/>
    <cellStyle name="40% - Accent5 61 2 4" xfId="8379" xr:uid="{00000000-0005-0000-0000-000062400000}"/>
    <cellStyle name="40% - Accent5 61 2 4 2" xfId="19667" xr:uid="{00000000-0005-0000-0000-000063400000}"/>
    <cellStyle name="40% - Accent5 61 2 5" xfId="6385" xr:uid="{00000000-0005-0000-0000-000064400000}"/>
    <cellStyle name="40% - Accent5 61 2 5 2" xfId="17673" xr:uid="{00000000-0005-0000-0000-000065400000}"/>
    <cellStyle name="40% - Accent5 61 2 6" xfId="15679" xr:uid="{00000000-0005-0000-0000-000066400000}"/>
    <cellStyle name="40% - Accent5 61 3" xfId="11370" xr:uid="{00000000-0005-0000-0000-000067400000}"/>
    <cellStyle name="40% - Accent5 61 3 2" xfId="22658" xr:uid="{00000000-0005-0000-0000-000068400000}"/>
    <cellStyle name="40% - Accent5 61 4" xfId="9376" xr:uid="{00000000-0005-0000-0000-000069400000}"/>
    <cellStyle name="40% - Accent5 61 4 2" xfId="20664" xr:uid="{00000000-0005-0000-0000-00006A400000}"/>
    <cellStyle name="40% - Accent5 61 5" xfId="7382" xr:uid="{00000000-0005-0000-0000-00006B400000}"/>
    <cellStyle name="40% - Accent5 61 5 2" xfId="18670" xr:uid="{00000000-0005-0000-0000-00006C400000}"/>
    <cellStyle name="40% - Accent5 61 6" xfId="5388" xr:uid="{00000000-0005-0000-0000-00006D400000}"/>
    <cellStyle name="40% - Accent5 61 6 2" xfId="16676" xr:uid="{00000000-0005-0000-0000-00006E400000}"/>
    <cellStyle name="40% - Accent5 61 7" xfId="14682" xr:uid="{00000000-0005-0000-0000-00006F400000}"/>
    <cellStyle name="40% - Accent5 61 8" xfId="13368" xr:uid="{00000000-0005-0000-0000-000070400000}"/>
    <cellStyle name="40% - Accent5 62" xfId="1433" xr:uid="{00000000-0005-0000-0000-000071400000}"/>
    <cellStyle name="40% - Accent5 62 2" xfId="4389" xr:uid="{00000000-0005-0000-0000-000072400000}"/>
    <cellStyle name="40% - Accent5 62 2 2" xfId="12368" xr:uid="{00000000-0005-0000-0000-000073400000}"/>
    <cellStyle name="40% - Accent5 62 2 2 2" xfId="23656" xr:uid="{00000000-0005-0000-0000-000074400000}"/>
    <cellStyle name="40% - Accent5 62 2 3" xfId="10374" xr:uid="{00000000-0005-0000-0000-000075400000}"/>
    <cellStyle name="40% - Accent5 62 2 3 2" xfId="21662" xr:uid="{00000000-0005-0000-0000-000076400000}"/>
    <cellStyle name="40% - Accent5 62 2 4" xfId="8380" xr:uid="{00000000-0005-0000-0000-000077400000}"/>
    <cellStyle name="40% - Accent5 62 2 4 2" xfId="19668" xr:uid="{00000000-0005-0000-0000-000078400000}"/>
    <cellStyle name="40% - Accent5 62 2 5" xfId="6386" xr:uid="{00000000-0005-0000-0000-000079400000}"/>
    <cellStyle name="40% - Accent5 62 2 5 2" xfId="17674" xr:uid="{00000000-0005-0000-0000-00007A400000}"/>
    <cellStyle name="40% - Accent5 62 2 6" xfId="15680" xr:uid="{00000000-0005-0000-0000-00007B400000}"/>
    <cellStyle name="40% - Accent5 62 3" xfId="11371" xr:uid="{00000000-0005-0000-0000-00007C400000}"/>
    <cellStyle name="40% - Accent5 62 3 2" xfId="22659" xr:uid="{00000000-0005-0000-0000-00007D400000}"/>
    <cellStyle name="40% - Accent5 62 4" xfId="9377" xr:uid="{00000000-0005-0000-0000-00007E400000}"/>
    <cellStyle name="40% - Accent5 62 4 2" xfId="20665" xr:uid="{00000000-0005-0000-0000-00007F400000}"/>
    <cellStyle name="40% - Accent5 62 5" xfId="7383" xr:uid="{00000000-0005-0000-0000-000080400000}"/>
    <cellStyle name="40% - Accent5 62 5 2" xfId="18671" xr:uid="{00000000-0005-0000-0000-000081400000}"/>
    <cellStyle name="40% - Accent5 62 6" xfId="5389" xr:uid="{00000000-0005-0000-0000-000082400000}"/>
    <cellStyle name="40% - Accent5 62 6 2" xfId="16677" xr:uid="{00000000-0005-0000-0000-000083400000}"/>
    <cellStyle name="40% - Accent5 62 7" xfId="14683" xr:uid="{00000000-0005-0000-0000-000084400000}"/>
    <cellStyle name="40% - Accent5 62 8" xfId="13369" xr:uid="{00000000-0005-0000-0000-000085400000}"/>
    <cellStyle name="40% - Accent5 63" xfId="1434" xr:uid="{00000000-0005-0000-0000-000086400000}"/>
    <cellStyle name="40% - Accent5 63 2" xfId="4390" xr:uid="{00000000-0005-0000-0000-000087400000}"/>
    <cellStyle name="40% - Accent5 63 2 2" xfId="12369" xr:uid="{00000000-0005-0000-0000-000088400000}"/>
    <cellStyle name="40% - Accent5 63 2 2 2" xfId="23657" xr:uid="{00000000-0005-0000-0000-000089400000}"/>
    <cellStyle name="40% - Accent5 63 2 3" xfId="10375" xr:uid="{00000000-0005-0000-0000-00008A400000}"/>
    <cellStyle name="40% - Accent5 63 2 3 2" xfId="21663" xr:uid="{00000000-0005-0000-0000-00008B400000}"/>
    <cellStyle name="40% - Accent5 63 2 4" xfId="8381" xr:uid="{00000000-0005-0000-0000-00008C400000}"/>
    <cellStyle name="40% - Accent5 63 2 4 2" xfId="19669" xr:uid="{00000000-0005-0000-0000-00008D400000}"/>
    <cellStyle name="40% - Accent5 63 2 5" xfId="6387" xr:uid="{00000000-0005-0000-0000-00008E400000}"/>
    <cellStyle name="40% - Accent5 63 2 5 2" xfId="17675" xr:uid="{00000000-0005-0000-0000-00008F400000}"/>
    <cellStyle name="40% - Accent5 63 2 6" xfId="15681" xr:uid="{00000000-0005-0000-0000-000090400000}"/>
    <cellStyle name="40% - Accent5 63 3" xfId="11372" xr:uid="{00000000-0005-0000-0000-000091400000}"/>
    <cellStyle name="40% - Accent5 63 3 2" xfId="22660" xr:uid="{00000000-0005-0000-0000-000092400000}"/>
    <cellStyle name="40% - Accent5 63 4" xfId="9378" xr:uid="{00000000-0005-0000-0000-000093400000}"/>
    <cellStyle name="40% - Accent5 63 4 2" xfId="20666" xr:uid="{00000000-0005-0000-0000-000094400000}"/>
    <cellStyle name="40% - Accent5 63 5" xfId="7384" xr:uid="{00000000-0005-0000-0000-000095400000}"/>
    <cellStyle name="40% - Accent5 63 5 2" xfId="18672" xr:uid="{00000000-0005-0000-0000-000096400000}"/>
    <cellStyle name="40% - Accent5 63 6" xfId="5390" xr:uid="{00000000-0005-0000-0000-000097400000}"/>
    <cellStyle name="40% - Accent5 63 6 2" xfId="16678" xr:uid="{00000000-0005-0000-0000-000098400000}"/>
    <cellStyle name="40% - Accent5 63 7" xfId="14684" xr:uid="{00000000-0005-0000-0000-000099400000}"/>
    <cellStyle name="40% - Accent5 63 8" xfId="13370" xr:uid="{00000000-0005-0000-0000-00009A400000}"/>
    <cellStyle name="40% - Accent5 64" xfId="1435" xr:uid="{00000000-0005-0000-0000-00009B400000}"/>
    <cellStyle name="40% - Accent5 64 2" xfId="4391" xr:uid="{00000000-0005-0000-0000-00009C400000}"/>
    <cellStyle name="40% - Accent5 64 2 2" xfId="12370" xr:uid="{00000000-0005-0000-0000-00009D400000}"/>
    <cellStyle name="40% - Accent5 64 2 2 2" xfId="23658" xr:uid="{00000000-0005-0000-0000-00009E400000}"/>
    <cellStyle name="40% - Accent5 64 2 3" xfId="10376" xr:uid="{00000000-0005-0000-0000-00009F400000}"/>
    <cellStyle name="40% - Accent5 64 2 3 2" xfId="21664" xr:uid="{00000000-0005-0000-0000-0000A0400000}"/>
    <cellStyle name="40% - Accent5 64 2 4" xfId="8382" xr:uid="{00000000-0005-0000-0000-0000A1400000}"/>
    <cellStyle name="40% - Accent5 64 2 4 2" xfId="19670" xr:uid="{00000000-0005-0000-0000-0000A2400000}"/>
    <cellStyle name="40% - Accent5 64 2 5" xfId="6388" xr:uid="{00000000-0005-0000-0000-0000A3400000}"/>
    <cellStyle name="40% - Accent5 64 2 5 2" xfId="17676" xr:uid="{00000000-0005-0000-0000-0000A4400000}"/>
    <cellStyle name="40% - Accent5 64 2 6" xfId="15682" xr:uid="{00000000-0005-0000-0000-0000A5400000}"/>
    <cellStyle name="40% - Accent5 64 3" xfId="11373" xr:uid="{00000000-0005-0000-0000-0000A6400000}"/>
    <cellStyle name="40% - Accent5 64 3 2" xfId="22661" xr:uid="{00000000-0005-0000-0000-0000A7400000}"/>
    <cellStyle name="40% - Accent5 64 4" xfId="9379" xr:uid="{00000000-0005-0000-0000-0000A8400000}"/>
    <cellStyle name="40% - Accent5 64 4 2" xfId="20667" xr:uid="{00000000-0005-0000-0000-0000A9400000}"/>
    <cellStyle name="40% - Accent5 64 5" xfId="7385" xr:uid="{00000000-0005-0000-0000-0000AA400000}"/>
    <cellStyle name="40% - Accent5 64 5 2" xfId="18673" xr:uid="{00000000-0005-0000-0000-0000AB400000}"/>
    <cellStyle name="40% - Accent5 64 6" xfId="5391" xr:uid="{00000000-0005-0000-0000-0000AC400000}"/>
    <cellStyle name="40% - Accent5 64 6 2" xfId="16679" xr:uid="{00000000-0005-0000-0000-0000AD400000}"/>
    <cellStyle name="40% - Accent5 64 7" xfId="14685" xr:uid="{00000000-0005-0000-0000-0000AE400000}"/>
    <cellStyle name="40% - Accent5 64 8" xfId="13371" xr:uid="{00000000-0005-0000-0000-0000AF400000}"/>
    <cellStyle name="40% - Accent5 65" xfId="1436" xr:uid="{00000000-0005-0000-0000-0000B0400000}"/>
    <cellStyle name="40% - Accent5 65 2" xfId="4392" xr:uid="{00000000-0005-0000-0000-0000B1400000}"/>
    <cellStyle name="40% - Accent5 65 2 2" xfId="12371" xr:uid="{00000000-0005-0000-0000-0000B2400000}"/>
    <cellStyle name="40% - Accent5 65 2 2 2" xfId="23659" xr:uid="{00000000-0005-0000-0000-0000B3400000}"/>
    <cellStyle name="40% - Accent5 65 2 3" xfId="10377" xr:uid="{00000000-0005-0000-0000-0000B4400000}"/>
    <cellStyle name="40% - Accent5 65 2 3 2" xfId="21665" xr:uid="{00000000-0005-0000-0000-0000B5400000}"/>
    <cellStyle name="40% - Accent5 65 2 4" xfId="8383" xr:uid="{00000000-0005-0000-0000-0000B6400000}"/>
    <cellStyle name="40% - Accent5 65 2 4 2" xfId="19671" xr:uid="{00000000-0005-0000-0000-0000B7400000}"/>
    <cellStyle name="40% - Accent5 65 2 5" xfId="6389" xr:uid="{00000000-0005-0000-0000-0000B8400000}"/>
    <cellStyle name="40% - Accent5 65 2 5 2" xfId="17677" xr:uid="{00000000-0005-0000-0000-0000B9400000}"/>
    <cellStyle name="40% - Accent5 65 2 6" xfId="15683" xr:uid="{00000000-0005-0000-0000-0000BA400000}"/>
    <cellStyle name="40% - Accent5 65 3" xfId="11374" xr:uid="{00000000-0005-0000-0000-0000BB400000}"/>
    <cellStyle name="40% - Accent5 65 3 2" xfId="22662" xr:uid="{00000000-0005-0000-0000-0000BC400000}"/>
    <cellStyle name="40% - Accent5 65 4" xfId="9380" xr:uid="{00000000-0005-0000-0000-0000BD400000}"/>
    <cellStyle name="40% - Accent5 65 4 2" xfId="20668" xr:uid="{00000000-0005-0000-0000-0000BE400000}"/>
    <cellStyle name="40% - Accent5 65 5" xfId="7386" xr:uid="{00000000-0005-0000-0000-0000BF400000}"/>
    <cellStyle name="40% - Accent5 65 5 2" xfId="18674" xr:uid="{00000000-0005-0000-0000-0000C0400000}"/>
    <cellStyle name="40% - Accent5 65 6" xfId="5392" xr:uid="{00000000-0005-0000-0000-0000C1400000}"/>
    <cellStyle name="40% - Accent5 65 6 2" xfId="16680" xr:uid="{00000000-0005-0000-0000-0000C2400000}"/>
    <cellStyle name="40% - Accent5 65 7" xfId="14686" xr:uid="{00000000-0005-0000-0000-0000C3400000}"/>
    <cellStyle name="40% - Accent5 65 8" xfId="13372" xr:uid="{00000000-0005-0000-0000-0000C4400000}"/>
    <cellStyle name="40% - Accent5 66" xfId="1437" xr:uid="{00000000-0005-0000-0000-0000C5400000}"/>
    <cellStyle name="40% - Accent5 66 2" xfId="4393" xr:uid="{00000000-0005-0000-0000-0000C6400000}"/>
    <cellStyle name="40% - Accent5 66 2 2" xfId="12372" xr:uid="{00000000-0005-0000-0000-0000C7400000}"/>
    <cellStyle name="40% - Accent5 66 2 2 2" xfId="23660" xr:uid="{00000000-0005-0000-0000-0000C8400000}"/>
    <cellStyle name="40% - Accent5 66 2 3" xfId="10378" xr:uid="{00000000-0005-0000-0000-0000C9400000}"/>
    <cellStyle name="40% - Accent5 66 2 3 2" xfId="21666" xr:uid="{00000000-0005-0000-0000-0000CA400000}"/>
    <cellStyle name="40% - Accent5 66 2 4" xfId="8384" xr:uid="{00000000-0005-0000-0000-0000CB400000}"/>
    <cellStyle name="40% - Accent5 66 2 4 2" xfId="19672" xr:uid="{00000000-0005-0000-0000-0000CC400000}"/>
    <cellStyle name="40% - Accent5 66 2 5" xfId="6390" xr:uid="{00000000-0005-0000-0000-0000CD400000}"/>
    <cellStyle name="40% - Accent5 66 2 5 2" xfId="17678" xr:uid="{00000000-0005-0000-0000-0000CE400000}"/>
    <cellStyle name="40% - Accent5 66 2 6" xfId="15684" xr:uid="{00000000-0005-0000-0000-0000CF400000}"/>
    <cellStyle name="40% - Accent5 66 3" xfId="11375" xr:uid="{00000000-0005-0000-0000-0000D0400000}"/>
    <cellStyle name="40% - Accent5 66 3 2" xfId="22663" xr:uid="{00000000-0005-0000-0000-0000D1400000}"/>
    <cellStyle name="40% - Accent5 66 4" xfId="9381" xr:uid="{00000000-0005-0000-0000-0000D2400000}"/>
    <cellStyle name="40% - Accent5 66 4 2" xfId="20669" xr:uid="{00000000-0005-0000-0000-0000D3400000}"/>
    <cellStyle name="40% - Accent5 66 5" xfId="7387" xr:uid="{00000000-0005-0000-0000-0000D4400000}"/>
    <cellStyle name="40% - Accent5 66 5 2" xfId="18675" xr:uid="{00000000-0005-0000-0000-0000D5400000}"/>
    <cellStyle name="40% - Accent5 66 6" xfId="5393" xr:uid="{00000000-0005-0000-0000-0000D6400000}"/>
    <cellStyle name="40% - Accent5 66 6 2" xfId="16681" xr:uid="{00000000-0005-0000-0000-0000D7400000}"/>
    <cellStyle name="40% - Accent5 66 7" xfId="14687" xr:uid="{00000000-0005-0000-0000-0000D8400000}"/>
    <cellStyle name="40% - Accent5 66 8" xfId="13373" xr:uid="{00000000-0005-0000-0000-0000D9400000}"/>
    <cellStyle name="40% - Accent5 67" xfId="1438" xr:uid="{00000000-0005-0000-0000-0000DA400000}"/>
    <cellStyle name="40% - Accent5 67 2" xfId="4394" xr:uid="{00000000-0005-0000-0000-0000DB400000}"/>
    <cellStyle name="40% - Accent5 67 2 2" xfId="12373" xr:uid="{00000000-0005-0000-0000-0000DC400000}"/>
    <cellStyle name="40% - Accent5 67 2 2 2" xfId="23661" xr:uid="{00000000-0005-0000-0000-0000DD400000}"/>
    <cellStyle name="40% - Accent5 67 2 3" xfId="10379" xr:uid="{00000000-0005-0000-0000-0000DE400000}"/>
    <cellStyle name="40% - Accent5 67 2 3 2" xfId="21667" xr:uid="{00000000-0005-0000-0000-0000DF400000}"/>
    <cellStyle name="40% - Accent5 67 2 4" xfId="8385" xr:uid="{00000000-0005-0000-0000-0000E0400000}"/>
    <cellStyle name="40% - Accent5 67 2 4 2" xfId="19673" xr:uid="{00000000-0005-0000-0000-0000E1400000}"/>
    <cellStyle name="40% - Accent5 67 2 5" xfId="6391" xr:uid="{00000000-0005-0000-0000-0000E2400000}"/>
    <cellStyle name="40% - Accent5 67 2 5 2" xfId="17679" xr:uid="{00000000-0005-0000-0000-0000E3400000}"/>
    <cellStyle name="40% - Accent5 67 2 6" xfId="15685" xr:uid="{00000000-0005-0000-0000-0000E4400000}"/>
    <cellStyle name="40% - Accent5 67 3" xfId="11376" xr:uid="{00000000-0005-0000-0000-0000E5400000}"/>
    <cellStyle name="40% - Accent5 67 3 2" xfId="22664" xr:uid="{00000000-0005-0000-0000-0000E6400000}"/>
    <cellStyle name="40% - Accent5 67 4" xfId="9382" xr:uid="{00000000-0005-0000-0000-0000E7400000}"/>
    <cellStyle name="40% - Accent5 67 4 2" xfId="20670" xr:uid="{00000000-0005-0000-0000-0000E8400000}"/>
    <cellStyle name="40% - Accent5 67 5" xfId="7388" xr:uid="{00000000-0005-0000-0000-0000E9400000}"/>
    <cellStyle name="40% - Accent5 67 5 2" xfId="18676" xr:uid="{00000000-0005-0000-0000-0000EA400000}"/>
    <cellStyle name="40% - Accent5 67 6" xfId="5394" xr:uid="{00000000-0005-0000-0000-0000EB400000}"/>
    <cellStyle name="40% - Accent5 67 6 2" xfId="16682" xr:uid="{00000000-0005-0000-0000-0000EC400000}"/>
    <cellStyle name="40% - Accent5 67 7" xfId="14688" xr:uid="{00000000-0005-0000-0000-0000ED400000}"/>
    <cellStyle name="40% - Accent5 67 8" xfId="13374" xr:uid="{00000000-0005-0000-0000-0000EE400000}"/>
    <cellStyle name="40% - Accent5 68" xfId="1439" xr:uid="{00000000-0005-0000-0000-0000EF400000}"/>
    <cellStyle name="40% - Accent5 68 2" xfId="4395" xr:uid="{00000000-0005-0000-0000-0000F0400000}"/>
    <cellStyle name="40% - Accent5 68 2 2" xfId="12374" xr:uid="{00000000-0005-0000-0000-0000F1400000}"/>
    <cellStyle name="40% - Accent5 68 2 2 2" xfId="23662" xr:uid="{00000000-0005-0000-0000-0000F2400000}"/>
    <cellStyle name="40% - Accent5 68 2 3" xfId="10380" xr:uid="{00000000-0005-0000-0000-0000F3400000}"/>
    <cellStyle name="40% - Accent5 68 2 3 2" xfId="21668" xr:uid="{00000000-0005-0000-0000-0000F4400000}"/>
    <cellStyle name="40% - Accent5 68 2 4" xfId="8386" xr:uid="{00000000-0005-0000-0000-0000F5400000}"/>
    <cellStyle name="40% - Accent5 68 2 4 2" xfId="19674" xr:uid="{00000000-0005-0000-0000-0000F6400000}"/>
    <cellStyle name="40% - Accent5 68 2 5" xfId="6392" xr:uid="{00000000-0005-0000-0000-0000F7400000}"/>
    <cellStyle name="40% - Accent5 68 2 5 2" xfId="17680" xr:uid="{00000000-0005-0000-0000-0000F8400000}"/>
    <cellStyle name="40% - Accent5 68 2 6" xfId="15686" xr:uid="{00000000-0005-0000-0000-0000F9400000}"/>
    <cellStyle name="40% - Accent5 68 3" xfId="11377" xr:uid="{00000000-0005-0000-0000-0000FA400000}"/>
    <cellStyle name="40% - Accent5 68 3 2" xfId="22665" xr:uid="{00000000-0005-0000-0000-0000FB400000}"/>
    <cellStyle name="40% - Accent5 68 4" xfId="9383" xr:uid="{00000000-0005-0000-0000-0000FC400000}"/>
    <cellStyle name="40% - Accent5 68 4 2" xfId="20671" xr:uid="{00000000-0005-0000-0000-0000FD400000}"/>
    <cellStyle name="40% - Accent5 68 5" xfId="7389" xr:uid="{00000000-0005-0000-0000-0000FE400000}"/>
    <cellStyle name="40% - Accent5 68 5 2" xfId="18677" xr:uid="{00000000-0005-0000-0000-0000FF400000}"/>
    <cellStyle name="40% - Accent5 68 6" xfId="5395" xr:uid="{00000000-0005-0000-0000-000000410000}"/>
    <cellStyle name="40% - Accent5 68 6 2" xfId="16683" xr:uid="{00000000-0005-0000-0000-000001410000}"/>
    <cellStyle name="40% - Accent5 68 7" xfId="14689" xr:uid="{00000000-0005-0000-0000-000002410000}"/>
    <cellStyle name="40% - Accent5 68 8" xfId="13375" xr:uid="{00000000-0005-0000-0000-000003410000}"/>
    <cellStyle name="40% - Accent5 69" xfId="1440" xr:uid="{00000000-0005-0000-0000-000004410000}"/>
    <cellStyle name="40% - Accent5 69 2" xfId="4396" xr:uid="{00000000-0005-0000-0000-000005410000}"/>
    <cellStyle name="40% - Accent5 69 2 2" xfId="12375" xr:uid="{00000000-0005-0000-0000-000006410000}"/>
    <cellStyle name="40% - Accent5 69 2 2 2" xfId="23663" xr:uid="{00000000-0005-0000-0000-000007410000}"/>
    <cellStyle name="40% - Accent5 69 2 3" xfId="10381" xr:uid="{00000000-0005-0000-0000-000008410000}"/>
    <cellStyle name="40% - Accent5 69 2 3 2" xfId="21669" xr:uid="{00000000-0005-0000-0000-000009410000}"/>
    <cellStyle name="40% - Accent5 69 2 4" xfId="8387" xr:uid="{00000000-0005-0000-0000-00000A410000}"/>
    <cellStyle name="40% - Accent5 69 2 4 2" xfId="19675" xr:uid="{00000000-0005-0000-0000-00000B410000}"/>
    <cellStyle name="40% - Accent5 69 2 5" xfId="6393" xr:uid="{00000000-0005-0000-0000-00000C410000}"/>
    <cellStyle name="40% - Accent5 69 2 5 2" xfId="17681" xr:uid="{00000000-0005-0000-0000-00000D410000}"/>
    <cellStyle name="40% - Accent5 69 2 6" xfId="15687" xr:uid="{00000000-0005-0000-0000-00000E410000}"/>
    <cellStyle name="40% - Accent5 69 3" xfId="11378" xr:uid="{00000000-0005-0000-0000-00000F410000}"/>
    <cellStyle name="40% - Accent5 69 3 2" xfId="22666" xr:uid="{00000000-0005-0000-0000-000010410000}"/>
    <cellStyle name="40% - Accent5 69 4" xfId="9384" xr:uid="{00000000-0005-0000-0000-000011410000}"/>
    <cellStyle name="40% - Accent5 69 4 2" xfId="20672" xr:uid="{00000000-0005-0000-0000-000012410000}"/>
    <cellStyle name="40% - Accent5 69 5" xfId="7390" xr:uid="{00000000-0005-0000-0000-000013410000}"/>
    <cellStyle name="40% - Accent5 69 5 2" xfId="18678" xr:uid="{00000000-0005-0000-0000-000014410000}"/>
    <cellStyle name="40% - Accent5 69 6" xfId="5396" xr:uid="{00000000-0005-0000-0000-000015410000}"/>
    <cellStyle name="40% - Accent5 69 6 2" xfId="16684" xr:uid="{00000000-0005-0000-0000-000016410000}"/>
    <cellStyle name="40% - Accent5 69 7" xfId="14690" xr:uid="{00000000-0005-0000-0000-000017410000}"/>
    <cellStyle name="40% - Accent5 69 8" xfId="13376" xr:uid="{00000000-0005-0000-0000-000018410000}"/>
    <cellStyle name="40% - Accent5 7" xfId="1441" xr:uid="{00000000-0005-0000-0000-000019410000}"/>
    <cellStyle name="40% - Accent5 7 10" xfId="24624" xr:uid="{00000000-0005-0000-0000-00001A410000}"/>
    <cellStyle name="40% - Accent5 7 11" xfId="25014" xr:uid="{00000000-0005-0000-0000-00001B410000}"/>
    <cellStyle name="40% - Accent5 7 2" xfId="4397" xr:uid="{00000000-0005-0000-0000-00001C410000}"/>
    <cellStyle name="40% - Accent5 7 2 2" xfId="12376" xr:uid="{00000000-0005-0000-0000-00001D410000}"/>
    <cellStyle name="40% - Accent5 7 2 2 2" xfId="23664" xr:uid="{00000000-0005-0000-0000-00001E410000}"/>
    <cellStyle name="40% - Accent5 7 2 3" xfId="10382" xr:uid="{00000000-0005-0000-0000-00001F410000}"/>
    <cellStyle name="40% - Accent5 7 2 3 2" xfId="21670" xr:uid="{00000000-0005-0000-0000-000020410000}"/>
    <cellStyle name="40% - Accent5 7 2 4" xfId="8388" xr:uid="{00000000-0005-0000-0000-000021410000}"/>
    <cellStyle name="40% - Accent5 7 2 4 2" xfId="19676" xr:uid="{00000000-0005-0000-0000-000022410000}"/>
    <cellStyle name="40% - Accent5 7 2 5" xfId="6394" xr:uid="{00000000-0005-0000-0000-000023410000}"/>
    <cellStyle name="40% - Accent5 7 2 5 2" xfId="17682" xr:uid="{00000000-0005-0000-0000-000024410000}"/>
    <cellStyle name="40% - Accent5 7 2 6" xfId="15688" xr:uid="{00000000-0005-0000-0000-000025410000}"/>
    <cellStyle name="40% - Accent5 7 2 7" xfId="24385" xr:uid="{00000000-0005-0000-0000-000026410000}"/>
    <cellStyle name="40% - Accent5 7 2 8" xfId="24849" xr:uid="{00000000-0005-0000-0000-000027410000}"/>
    <cellStyle name="40% - Accent5 7 2 9" xfId="25216" xr:uid="{00000000-0005-0000-0000-000028410000}"/>
    <cellStyle name="40% - Accent5 7 3" xfId="11379" xr:uid="{00000000-0005-0000-0000-000029410000}"/>
    <cellStyle name="40% - Accent5 7 3 2" xfId="22667" xr:uid="{00000000-0005-0000-0000-00002A410000}"/>
    <cellStyle name="40% - Accent5 7 4" xfId="9385" xr:uid="{00000000-0005-0000-0000-00002B410000}"/>
    <cellStyle name="40% - Accent5 7 4 2" xfId="20673" xr:uid="{00000000-0005-0000-0000-00002C410000}"/>
    <cellStyle name="40% - Accent5 7 5" xfId="7391" xr:uid="{00000000-0005-0000-0000-00002D410000}"/>
    <cellStyle name="40% - Accent5 7 5 2" xfId="18679" xr:uid="{00000000-0005-0000-0000-00002E410000}"/>
    <cellStyle name="40% - Accent5 7 6" xfId="5397" xr:uid="{00000000-0005-0000-0000-00002F410000}"/>
    <cellStyle name="40% - Accent5 7 6 2" xfId="16685" xr:uid="{00000000-0005-0000-0000-000030410000}"/>
    <cellStyle name="40% - Accent5 7 7" xfId="14691" xr:uid="{00000000-0005-0000-0000-000031410000}"/>
    <cellStyle name="40% - Accent5 7 8" xfId="13377" xr:uid="{00000000-0005-0000-0000-000032410000}"/>
    <cellStyle name="40% - Accent5 7 9" xfId="23997" xr:uid="{00000000-0005-0000-0000-000033410000}"/>
    <cellStyle name="40% - Accent5 70" xfId="1442" xr:uid="{00000000-0005-0000-0000-000034410000}"/>
    <cellStyle name="40% - Accent5 70 2" xfId="4398" xr:uid="{00000000-0005-0000-0000-000035410000}"/>
    <cellStyle name="40% - Accent5 70 2 2" xfId="12377" xr:uid="{00000000-0005-0000-0000-000036410000}"/>
    <cellStyle name="40% - Accent5 70 2 2 2" xfId="23665" xr:uid="{00000000-0005-0000-0000-000037410000}"/>
    <cellStyle name="40% - Accent5 70 2 3" xfId="10383" xr:uid="{00000000-0005-0000-0000-000038410000}"/>
    <cellStyle name="40% - Accent5 70 2 3 2" xfId="21671" xr:uid="{00000000-0005-0000-0000-000039410000}"/>
    <cellStyle name="40% - Accent5 70 2 4" xfId="8389" xr:uid="{00000000-0005-0000-0000-00003A410000}"/>
    <cellStyle name="40% - Accent5 70 2 4 2" xfId="19677" xr:uid="{00000000-0005-0000-0000-00003B410000}"/>
    <cellStyle name="40% - Accent5 70 2 5" xfId="6395" xr:uid="{00000000-0005-0000-0000-00003C410000}"/>
    <cellStyle name="40% - Accent5 70 2 5 2" xfId="17683" xr:uid="{00000000-0005-0000-0000-00003D410000}"/>
    <cellStyle name="40% - Accent5 70 2 6" xfId="15689" xr:uid="{00000000-0005-0000-0000-00003E410000}"/>
    <cellStyle name="40% - Accent5 70 3" xfId="11380" xr:uid="{00000000-0005-0000-0000-00003F410000}"/>
    <cellStyle name="40% - Accent5 70 3 2" xfId="22668" xr:uid="{00000000-0005-0000-0000-000040410000}"/>
    <cellStyle name="40% - Accent5 70 4" xfId="9386" xr:uid="{00000000-0005-0000-0000-000041410000}"/>
    <cellStyle name="40% - Accent5 70 4 2" xfId="20674" xr:uid="{00000000-0005-0000-0000-000042410000}"/>
    <cellStyle name="40% - Accent5 70 5" xfId="7392" xr:uid="{00000000-0005-0000-0000-000043410000}"/>
    <cellStyle name="40% - Accent5 70 5 2" xfId="18680" xr:uid="{00000000-0005-0000-0000-000044410000}"/>
    <cellStyle name="40% - Accent5 70 6" xfId="5398" xr:uid="{00000000-0005-0000-0000-000045410000}"/>
    <cellStyle name="40% - Accent5 70 6 2" xfId="16686" xr:uid="{00000000-0005-0000-0000-000046410000}"/>
    <cellStyle name="40% - Accent5 70 7" xfId="14692" xr:uid="{00000000-0005-0000-0000-000047410000}"/>
    <cellStyle name="40% - Accent5 70 8" xfId="13378" xr:uid="{00000000-0005-0000-0000-000048410000}"/>
    <cellStyle name="40% - Accent5 71" xfId="1443" xr:uid="{00000000-0005-0000-0000-000049410000}"/>
    <cellStyle name="40% - Accent5 71 2" xfId="4399" xr:uid="{00000000-0005-0000-0000-00004A410000}"/>
    <cellStyle name="40% - Accent5 71 2 2" xfId="12378" xr:uid="{00000000-0005-0000-0000-00004B410000}"/>
    <cellStyle name="40% - Accent5 71 2 2 2" xfId="23666" xr:uid="{00000000-0005-0000-0000-00004C410000}"/>
    <cellStyle name="40% - Accent5 71 2 3" xfId="10384" xr:uid="{00000000-0005-0000-0000-00004D410000}"/>
    <cellStyle name="40% - Accent5 71 2 3 2" xfId="21672" xr:uid="{00000000-0005-0000-0000-00004E410000}"/>
    <cellStyle name="40% - Accent5 71 2 4" xfId="8390" xr:uid="{00000000-0005-0000-0000-00004F410000}"/>
    <cellStyle name="40% - Accent5 71 2 4 2" xfId="19678" xr:uid="{00000000-0005-0000-0000-000050410000}"/>
    <cellStyle name="40% - Accent5 71 2 5" xfId="6396" xr:uid="{00000000-0005-0000-0000-000051410000}"/>
    <cellStyle name="40% - Accent5 71 2 5 2" xfId="17684" xr:uid="{00000000-0005-0000-0000-000052410000}"/>
    <cellStyle name="40% - Accent5 71 2 6" xfId="15690" xr:uid="{00000000-0005-0000-0000-000053410000}"/>
    <cellStyle name="40% - Accent5 71 3" xfId="11381" xr:uid="{00000000-0005-0000-0000-000054410000}"/>
    <cellStyle name="40% - Accent5 71 3 2" xfId="22669" xr:uid="{00000000-0005-0000-0000-000055410000}"/>
    <cellStyle name="40% - Accent5 71 4" xfId="9387" xr:uid="{00000000-0005-0000-0000-000056410000}"/>
    <cellStyle name="40% - Accent5 71 4 2" xfId="20675" xr:uid="{00000000-0005-0000-0000-000057410000}"/>
    <cellStyle name="40% - Accent5 71 5" xfId="7393" xr:uid="{00000000-0005-0000-0000-000058410000}"/>
    <cellStyle name="40% - Accent5 71 5 2" xfId="18681" xr:uid="{00000000-0005-0000-0000-000059410000}"/>
    <cellStyle name="40% - Accent5 71 6" xfId="5399" xr:uid="{00000000-0005-0000-0000-00005A410000}"/>
    <cellStyle name="40% - Accent5 71 6 2" xfId="16687" xr:uid="{00000000-0005-0000-0000-00005B410000}"/>
    <cellStyle name="40% - Accent5 71 7" xfId="14693" xr:uid="{00000000-0005-0000-0000-00005C410000}"/>
    <cellStyle name="40% - Accent5 71 8" xfId="13379" xr:uid="{00000000-0005-0000-0000-00005D410000}"/>
    <cellStyle name="40% - Accent5 72" xfId="1444" xr:uid="{00000000-0005-0000-0000-00005E410000}"/>
    <cellStyle name="40% - Accent5 72 2" xfId="4400" xr:uid="{00000000-0005-0000-0000-00005F410000}"/>
    <cellStyle name="40% - Accent5 72 2 2" xfId="12379" xr:uid="{00000000-0005-0000-0000-000060410000}"/>
    <cellStyle name="40% - Accent5 72 2 2 2" xfId="23667" xr:uid="{00000000-0005-0000-0000-000061410000}"/>
    <cellStyle name="40% - Accent5 72 2 3" xfId="10385" xr:uid="{00000000-0005-0000-0000-000062410000}"/>
    <cellStyle name="40% - Accent5 72 2 3 2" xfId="21673" xr:uid="{00000000-0005-0000-0000-000063410000}"/>
    <cellStyle name="40% - Accent5 72 2 4" xfId="8391" xr:uid="{00000000-0005-0000-0000-000064410000}"/>
    <cellStyle name="40% - Accent5 72 2 4 2" xfId="19679" xr:uid="{00000000-0005-0000-0000-000065410000}"/>
    <cellStyle name="40% - Accent5 72 2 5" xfId="6397" xr:uid="{00000000-0005-0000-0000-000066410000}"/>
    <cellStyle name="40% - Accent5 72 2 5 2" xfId="17685" xr:uid="{00000000-0005-0000-0000-000067410000}"/>
    <cellStyle name="40% - Accent5 72 2 6" xfId="15691" xr:uid="{00000000-0005-0000-0000-000068410000}"/>
    <cellStyle name="40% - Accent5 72 3" xfId="11382" xr:uid="{00000000-0005-0000-0000-000069410000}"/>
    <cellStyle name="40% - Accent5 72 3 2" xfId="22670" xr:uid="{00000000-0005-0000-0000-00006A410000}"/>
    <cellStyle name="40% - Accent5 72 4" xfId="9388" xr:uid="{00000000-0005-0000-0000-00006B410000}"/>
    <cellStyle name="40% - Accent5 72 4 2" xfId="20676" xr:uid="{00000000-0005-0000-0000-00006C410000}"/>
    <cellStyle name="40% - Accent5 72 5" xfId="7394" xr:uid="{00000000-0005-0000-0000-00006D410000}"/>
    <cellStyle name="40% - Accent5 72 5 2" xfId="18682" xr:uid="{00000000-0005-0000-0000-00006E410000}"/>
    <cellStyle name="40% - Accent5 72 6" xfId="5400" xr:uid="{00000000-0005-0000-0000-00006F410000}"/>
    <cellStyle name="40% - Accent5 72 6 2" xfId="16688" xr:uid="{00000000-0005-0000-0000-000070410000}"/>
    <cellStyle name="40% - Accent5 72 7" xfId="14694" xr:uid="{00000000-0005-0000-0000-000071410000}"/>
    <cellStyle name="40% - Accent5 72 8" xfId="13380" xr:uid="{00000000-0005-0000-0000-000072410000}"/>
    <cellStyle name="40% - Accent5 8" xfId="1445" xr:uid="{00000000-0005-0000-0000-000073410000}"/>
    <cellStyle name="40% - Accent5 8 2" xfId="4401" xr:uid="{00000000-0005-0000-0000-000074410000}"/>
    <cellStyle name="40% - Accent5 8 2 2" xfId="12380" xr:uid="{00000000-0005-0000-0000-000075410000}"/>
    <cellStyle name="40% - Accent5 8 2 2 2" xfId="23668" xr:uid="{00000000-0005-0000-0000-000076410000}"/>
    <cellStyle name="40% - Accent5 8 2 3" xfId="10386" xr:uid="{00000000-0005-0000-0000-000077410000}"/>
    <cellStyle name="40% - Accent5 8 2 3 2" xfId="21674" xr:uid="{00000000-0005-0000-0000-000078410000}"/>
    <cellStyle name="40% - Accent5 8 2 4" xfId="8392" xr:uid="{00000000-0005-0000-0000-000079410000}"/>
    <cellStyle name="40% - Accent5 8 2 4 2" xfId="19680" xr:uid="{00000000-0005-0000-0000-00007A410000}"/>
    <cellStyle name="40% - Accent5 8 2 5" xfId="6398" xr:uid="{00000000-0005-0000-0000-00007B410000}"/>
    <cellStyle name="40% - Accent5 8 2 5 2" xfId="17686" xr:uid="{00000000-0005-0000-0000-00007C410000}"/>
    <cellStyle name="40% - Accent5 8 2 6" xfId="15692" xr:uid="{00000000-0005-0000-0000-00007D410000}"/>
    <cellStyle name="40% - Accent5 8 3" xfId="11383" xr:uid="{00000000-0005-0000-0000-00007E410000}"/>
    <cellStyle name="40% - Accent5 8 3 2" xfId="22671" xr:uid="{00000000-0005-0000-0000-00007F410000}"/>
    <cellStyle name="40% - Accent5 8 4" xfId="9389" xr:uid="{00000000-0005-0000-0000-000080410000}"/>
    <cellStyle name="40% - Accent5 8 4 2" xfId="20677" xr:uid="{00000000-0005-0000-0000-000081410000}"/>
    <cellStyle name="40% - Accent5 8 5" xfId="7395" xr:uid="{00000000-0005-0000-0000-000082410000}"/>
    <cellStyle name="40% - Accent5 8 5 2" xfId="18683" xr:uid="{00000000-0005-0000-0000-000083410000}"/>
    <cellStyle name="40% - Accent5 8 6" xfId="5401" xr:uid="{00000000-0005-0000-0000-000084410000}"/>
    <cellStyle name="40% - Accent5 8 6 2" xfId="16689" xr:uid="{00000000-0005-0000-0000-000085410000}"/>
    <cellStyle name="40% - Accent5 8 7" xfId="14695" xr:uid="{00000000-0005-0000-0000-000086410000}"/>
    <cellStyle name="40% - Accent5 8 8" xfId="13381" xr:uid="{00000000-0005-0000-0000-000087410000}"/>
    <cellStyle name="40% - Accent5 9" xfId="1446" xr:uid="{00000000-0005-0000-0000-000088410000}"/>
    <cellStyle name="40% - Accent5 9 2" xfId="4402" xr:uid="{00000000-0005-0000-0000-000089410000}"/>
    <cellStyle name="40% - Accent5 9 2 2" xfId="12381" xr:uid="{00000000-0005-0000-0000-00008A410000}"/>
    <cellStyle name="40% - Accent5 9 2 2 2" xfId="23669" xr:uid="{00000000-0005-0000-0000-00008B410000}"/>
    <cellStyle name="40% - Accent5 9 2 3" xfId="10387" xr:uid="{00000000-0005-0000-0000-00008C410000}"/>
    <cellStyle name="40% - Accent5 9 2 3 2" xfId="21675" xr:uid="{00000000-0005-0000-0000-00008D410000}"/>
    <cellStyle name="40% - Accent5 9 2 4" xfId="8393" xr:uid="{00000000-0005-0000-0000-00008E410000}"/>
    <cellStyle name="40% - Accent5 9 2 4 2" xfId="19681" xr:uid="{00000000-0005-0000-0000-00008F410000}"/>
    <cellStyle name="40% - Accent5 9 2 5" xfId="6399" xr:uid="{00000000-0005-0000-0000-000090410000}"/>
    <cellStyle name="40% - Accent5 9 2 5 2" xfId="17687" xr:uid="{00000000-0005-0000-0000-000091410000}"/>
    <cellStyle name="40% - Accent5 9 2 6" xfId="15693" xr:uid="{00000000-0005-0000-0000-000092410000}"/>
    <cellStyle name="40% - Accent5 9 3" xfId="11384" xr:uid="{00000000-0005-0000-0000-000093410000}"/>
    <cellStyle name="40% - Accent5 9 3 2" xfId="22672" xr:uid="{00000000-0005-0000-0000-000094410000}"/>
    <cellStyle name="40% - Accent5 9 4" xfId="9390" xr:uid="{00000000-0005-0000-0000-000095410000}"/>
    <cellStyle name="40% - Accent5 9 4 2" xfId="20678" xr:uid="{00000000-0005-0000-0000-000096410000}"/>
    <cellStyle name="40% - Accent5 9 5" xfId="7396" xr:uid="{00000000-0005-0000-0000-000097410000}"/>
    <cellStyle name="40% - Accent5 9 5 2" xfId="18684" xr:uid="{00000000-0005-0000-0000-000098410000}"/>
    <cellStyle name="40% - Accent5 9 6" xfId="5402" xr:uid="{00000000-0005-0000-0000-000099410000}"/>
    <cellStyle name="40% - Accent5 9 6 2" xfId="16690" xr:uid="{00000000-0005-0000-0000-00009A410000}"/>
    <cellStyle name="40% - Accent5 9 7" xfId="14696" xr:uid="{00000000-0005-0000-0000-00009B410000}"/>
    <cellStyle name="40% - Accent5 9 8" xfId="13382" xr:uid="{00000000-0005-0000-0000-00009C410000}"/>
    <cellStyle name="40% - Accent6 10" xfId="1447" xr:uid="{00000000-0005-0000-0000-00009D410000}"/>
    <cellStyle name="40% - Accent6 10 2" xfId="4403" xr:uid="{00000000-0005-0000-0000-00009E410000}"/>
    <cellStyle name="40% - Accent6 10 2 2" xfId="12382" xr:uid="{00000000-0005-0000-0000-00009F410000}"/>
    <cellStyle name="40% - Accent6 10 2 2 2" xfId="23670" xr:uid="{00000000-0005-0000-0000-0000A0410000}"/>
    <cellStyle name="40% - Accent6 10 2 3" xfId="10388" xr:uid="{00000000-0005-0000-0000-0000A1410000}"/>
    <cellStyle name="40% - Accent6 10 2 3 2" xfId="21676" xr:uid="{00000000-0005-0000-0000-0000A2410000}"/>
    <cellStyle name="40% - Accent6 10 2 4" xfId="8394" xr:uid="{00000000-0005-0000-0000-0000A3410000}"/>
    <cellStyle name="40% - Accent6 10 2 4 2" xfId="19682" xr:uid="{00000000-0005-0000-0000-0000A4410000}"/>
    <cellStyle name="40% - Accent6 10 2 5" xfId="6400" xr:uid="{00000000-0005-0000-0000-0000A5410000}"/>
    <cellStyle name="40% - Accent6 10 2 5 2" xfId="17688" xr:uid="{00000000-0005-0000-0000-0000A6410000}"/>
    <cellStyle name="40% - Accent6 10 2 6" xfId="15694" xr:uid="{00000000-0005-0000-0000-0000A7410000}"/>
    <cellStyle name="40% - Accent6 10 3" xfId="11385" xr:uid="{00000000-0005-0000-0000-0000A8410000}"/>
    <cellStyle name="40% - Accent6 10 3 2" xfId="22673" xr:uid="{00000000-0005-0000-0000-0000A9410000}"/>
    <cellStyle name="40% - Accent6 10 4" xfId="9391" xr:uid="{00000000-0005-0000-0000-0000AA410000}"/>
    <cellStyle name="40% - Accent6 10 4 2" xfId="20679" xr:uid="{00000000-0005-0000-0000-0000AB410000}"/>
    <cellStyle name="40% - Accent6 10 5" xfId="7397" xr:uid="{00000000-0005-0000-0000-0000AC410000}"/>
    <cellStyle name="40% - Accent6 10 5 2" xfId="18685" xr:uid="{00000000-0005-0000-0000-0000AD410000}"/>
    <cellStyle name="40% - Accent6 10 6" xfId="5403" xr:uid="{00000000-0005-0000-0000-0000AE410000}"/>
    <cellStyle name="40% - Accent6 10 6 2" xfId="16691" xr:uid="{00000000-0005-0000-0000-0000AF410000}"/>
    <cellStyle name="40% - Accent6 10 7" xfId="14697" xr:uid="{00000000-0005-0000-0000-0000B0410000}"/>
    <cellStyle name="40% - Accent6 10 8" xfId="13383" xr:uid="{00000000-0005-0000-0000-0000B1410000}"/>
    <cellStyle name="40% - Accent6 11" xfId="1448" xr:uid="{00000000-0005-0000-0000-0000B2410000}"/>
    <cellStyle name="40% - Accent6 11 2" xfId="4404" xr:uid="{00000000-0005-0000-0000-0000B3410000}"/>
    <cellStyle name="40% - Accent6 11 2 2" xfId="12383" xr:uid="{00000000-0005-0000-0000-0000B4410000}"/>
    <cellStyle name="40% - Accent6 11 2 2 2" xfId="23671" xr:uid="{00000000-0005-0000-0000-0000B5410000}"/>
    <cellStyle name="40% - Accent6 11 2 3" xfId="10389" xr:uid="{00000000-0005-0000-0000-0000B6410000}"/>
    <cellStyle name="40% - Accent6 11 2 3 2" xfId="21677" xr:uid="{00000000-0005-0000-0000-0000B7410000}"/>
    <cellStyle name="40% - Accent6 11 2 4" xfId="8395" xr:uid="{00000000-0005-0000-0000-0000B8410000}"/>
    <cellStyle name="40% - Accent6 11 2 4 2" xfId="19683" xr:uid="{00000000-0005-0000-0000-0000B9410000}"/>
    <cellStyle name="40% - Accent6 11 2 5" xfId="6401" xr:uid="{00000000-0005-0000-0000-0000BA410000}"/>
    <cellStyle name="40% - Accent6 11 2 5 2" xfId="17689" xr:uid="{00000000-0005-0000-0000-0000BB410000}"/>
    <cellStyle name="40% - Accent6 11 2 6" xfId="15695" xr:uid="{00000000-0005-0000-0000-0000BC410000}"/>
    <cellStyle name="40% - Accent6 11 3" xfId="11386" xr:uid="{00000000-0005-0000-0000-0000BD410000}"/>
    <cellStyle name="40% - Accent6 11 3 2" xfId="22674" xr:uid="{00000000-0005-0000-0000-0000BE410000}"/>
    <cellStyle name="40% - Accent6 11 4" xfId="9392" xr:uid="{00000000-0005-0000-0000-0000BF410000}"/>
    <cellStyle name="40% - Accent6 11 4 2" xfId="20680" xr:uid="{00000000-0005-0000-0000-0000C0410000}"/>
    <cellStyle name="40% - Accent6 11 5" xfId="7398" xr:uid="{00000000-0005-0000-0000-0000C1410000}"/>
    <cellStyle name="40% - Accent6 11 5 2" xfId="18686" xr:uid="{00000000-0005-0000-0000-0000C2410000}"/>
    <cellStyle name="40% - Accent6 11 6" xfId="5404" xr:uid="{00000000-0005-0000-0000-0000C3410000}"/>
    <cellStyle name="40% - Accent6 11 6 2" xfId="16692" xr:uid="{00000000-0005-0000-0000-0000C4410000}"/>
    <cellStyle name="40% - Accent6 11 7" xfId="14698" xr:uid="{00000000-0005-0000-0000-0000C5410000}"/>
    <cellStyle name="40% - Accent6 11 8" xfId="13384" xr:uid="{00000000-0005-0000-0000-0000C6410000}"/>
    <cellStyle name="40% - Accent6 12" xfId="1449" xr:uid="{00000000-0005-0000-0000-0000C7410000}"/>
    <cellStyle name="40% - Accent6 12 2" xfId="4405" xr:uid="{00000000-0005-0000-0000-0000C8410000}"/>
    <cellStyle name="40% - Accent6 12 2 2" xfId="12384" xr:uid="{00000000-0005-0000-0000-0000C9410000}"/>
    <cellStyle name="40% - Accent6 12 2 2 2" xfId="23672" xr:uid="{00000000-0005-0000-0000-0000CA410000}"/>
    <cellStyle name="40% - Accent6 12 2 3" xfId="10390" xr:uid="{00000000-0005-0000-0000-0000CB410000}"/>
    <cellStyle name="40% - Accent6 12 2 3 2" xfId="21678" xr:uid="{00000000-0005-0000-0000-0000CC410000}"/>
    <cellStyle name="40% - Accent6 12 2 4" xfId="8396" xr:uid="{00000000-0005-0000-0000-0000CD410000}"/>
    <cellStyle name="40% - Accent6 12 2 4 2" xfId="19684" xr:uid="{00000000-0005-0000-0000-0000CE410000}"/>
    <cellStyle name="40% - Accent6 12 2 5" xfId="6402" xr:uid="{00000000-0005-0000-0000-0000CF410000}"/>
    <cellStyle name="40% - Accent6 12 2 5 2" xfId="17690" xr:uid="{00000000-0005-0000-0000-0000D0410000}"/>
    <cellStyle name="40% - Accent6 12 2 6" xfId="15696" xr:uid="{00000000-0005-0000-0000-0000D1410000}"/>
    <cellStyle name="40% - Accent6 12 3" xfId="11387" xr:uid="{00000000-0005-0000-0000-0000D2410000}"/>
    <cellStyle name="40% - Accent6 12 3 2" xfId="22675" xr:uid="{00000000-0005-0000-0000-0000D3410000}"/>
    <cellStyle name="40% - Accent6 12 4" xfId="9393" xr:uid="{00000000-0005-0000-0000-0000D4410000}"/>
    <cellStyle name="40% - Accent6 12 4 2" xfId="20681" xr:uid="{00000000-0005-0000-0000-0000D5410000}"/>
    <cellStyle name="40% - Accent6 12 5" xfId="7399" xr:uid="{00000000-0005-0000-0000-0000D6410000}"/>
    <cellStyle name="40% - Accent6 12 5 2" xfId="18687" xr:uid="{00000000-0005-0000-0000-0000D7410000}"/>
    <cellStyle name="40% - Accent6 12 6" xfId="5405" xr:uid="{00000000-0005-0000-0000-0000D8410000}"/>
    <cellStyle name="40% - Accent6 12 6 2" xfId="16693" xr:uid="{00000000-0005-0000-0000-0000D9410000}"/>
    <cellStyle name="40% - Accent6 12 7" xfId="14699" xr:uid="{00000000-0005-0000-0000-0000DA410000}"/>
    <cellStyle name="40% - Accent6 12 8" xfId="13385" xr:uid="{00000000-0005-0000-0000-0000DB410000}"/>
    <cellStyle name="40% - Accent6 13" xfId="1450" xr:uid="{00000000-0005-0000-0000-0000DC410000}"/>
    <cellStyle name="40% - Accent6 13 2" xfId="4406" xr:uid="{00000000-0005-0000-0000-0000DD410000}"/>
    <cellStyle name="40% - Accent6 13 2 2" xfId="12385" xr:uid="{00000000-0005-0000-0000-0000DE410000}"/>
    <cellStyle name="40% - Accent6 13 2 2 2" xfId="23673" xr:uid="{00000000-0005-0000-0000-0000DF410000}"/>
    <cellStyle name="40% - Accent6 13 2 3" xfId="10391" xr:uid="{00000000-0005-0000-0000-0000E0410000}"/>
    <cellStyle name="40% - Accent6 13 2 3 2" xfId="21679" xr:uid="{00000000-0005-0000-0000-0000E1410000}"/>
    <cellStyle name="40% - Accent6 13 2 4" xfId="8397" xr:uid="{00000000-0005-0000-0000-0000E2410000}"/>
    <cellStyle name="40% - Accent6 13 2 4 2" xfId="19685" xr:uid="{00000000-0005-0000-0000-0000E3410000}"/>
    <cellStyle name="40% - Accent6 13 2 5" xfId="6403" xr:uid="{00000000-0005-0000-0000-0000E4410000}"/>
    <cellStyle name="40% - Accent6 13 2 5 2" xfId="17691" xr:uid="{00000000-0005-0000-0000-0000E5410000}"/>
    <cellStyle name="40% - Accent6 13 2 6" xfId="15697" xr:uid="{00000000-0005-0000-0000-0000E6410000}"/>
    <cellStyle name="40% - Accent6 13 3" xfId="11388" xr:uid="{00000000-0005-0000-0000-0000E7410000}"/>
    <cellStyle name="40% - Accent6 13 3 2" xfId="22676" xr:uid="{00000000-0005-0000-0000-0000E8410000}"/>
    <cellStyle name="40% - Accent6 13 4" xfId="9394" xr:uid="{00000000-0005-0000-0000-0000E9410000}"/>
    <cellStyle name="40% - Accent6 13 4 2" xfId="20682" xr:uid="{00000000-0005-0000-0000-0000EA410000}"/>
    <cellStyle name="40% - Accent6 13 5" xfId="7400" xr:uid="{00000000-0005-0000-0000-0000EB410000}"/>
    <cellStyle name="40% - Accent6 13 5 2" xfId="18688" xr:uid="{00000000-0005-0000-0000-0000EC410000}"/>
    <cellStyle name="40% - Accent6 13 6" xfId="5406" xr:uid="{00000000-0005-0000-0000-0000ED410000}"/>
    <cellStyle name="40% - Accent6 13 6 2" xfId="16694" xr:uid="{00000000-0005-0000-0000-0000EE410000}"/>
    <cellStyle name="40% - Accent6 13 7" xfId="14700" xr:uid="{00000000-0005-0000-0000-0000EF410000}"/>
    <cellStyle name="40% - Accent6 13 8" xfId="13386" xr:uid="{00000000-0005-0000-0000-0000F0410000}"/>
    <cellStyle name="40% - Accent6 14" xfId="1451" xr:uid="{00000000-0005-0000-0000-0000F1410000}"/>
    <cellStyle name="40% - Accent6 14 2" xfId="4407" xr:uid="{00000000-0005-0000-0000-0000F2410000}"/>
    <cellStyle name="40% - Accent6 14 2 2" xfId="12386" xr:uid="{00000000-0005-0000-0000-0000F3410000}"/>
    <cellStyle name="40% - Accent6 14 2 2 2" xfId="23674" xr:uid="{00000000-0005-0000-0000-0000F4410000}"/>
    <cellStyle name="40% - Accent6 14 2 3" xfId="10392" xr:uid="{00000000-0005-0000-0000-0000F5410000}"/>
    <cellStyle name="40% - Accent6 14 2 3 2" xfId="21680" xr:uid="{00000000-0005-0000-0000-0000F6410000}"/>
    <cellStyle name="40% - Accent6 14 2 4" xfId="8398" xr:uid="{00000000-0005-0000-0000-0000F7410000}"/>
    <cellStyle name="40% - Accent6 14 2 4 2" xfId="19686" xr:uid="{00000000-0005-0000-0000-0000F8410000}"/>
    <cellStyle name="40% - Accent6 14 2 5" xfId="6404" xr:uid="{00000000-0005-0000-0000-0000F9410000}"/>
    <cellStyle name="40% - Accent6 14 2 5 2" xfId="17692" xr:uid="{00000000-0005-0000-0000-0000FA410000}"/>
    <cellStyle name="40% - Accent6 14 2 6" xfId="15698" xr:uid="{00000000-0005-0000-0000-0000FB410000}"/>
    <cellStyle name="40% - Accent6 14 3" xfId="11389" xr:uid="{00000000-0005-0000-0000-0000FC410000}"/>
    <cellStyle name="40% - Accent6 14 3 2" xfId="22677" xr:uid="{00000000-0005-0000-0000-0000FD410000}"/>
    <cellStyle name="40% - Accent6 14 4" xfId="9395" xr:uid="{00000000-0005-0000-0000-0000FE410000}"/>
    <cellStyle name="40% - Accent6 14 4 2" xfId="20683" xr:uid="{00000000-0005-0000-0000-0000FF410000}"/>
    <cellStyle name="40% - Accent6 14 5" xfId="7401" xr:uid="{00000000-0005-0000-0000-000000420000}"/>
    <cellStyle name="40% - Accent6 14 5 2" xfId="18689" xr:uid="{00000000-0005-0000-0000-000001420000}"/>
    <cellStyle name="40% - Accent6 14 6" xfId="5407" xr:uid="{00000000-0005-0000-0000-000002420000}"/>
    <cellStyle name="40% - Accent6 14 6 2" xfId="16695" xr:uid="{00000000-0005-0000-0000-000003420000}"/>
    <cellStyle name="40% - Accent6 14 7" xfId="14701" xr:uid="{00000000-0005-0000-0000-000004420000}"/>
    <cellStyle name="40% - Accent6 14 8" xfId="13387" xr:uid="{00000000-0005-0000-0000-000005420000}"/>
    <cellStyle name="40% - Accent6 15" xfId="1452" xr:uid="{00000000-0005-0000-0000-000006420000}"/>
    <cellStyle name="40% - Accent6 15 2" xfId="4408" xr:uid="{00000000-0005-0000-0000-000007420000}"/>
    <cellStyle name="40% - Accent6 15 2 2" xfId="12387" xr:uid="{00000000-0005-0000-0000-000008420000}"/>
    <cellStyle name="40% - Accent6 15 2 2 2" xfId="23675" xr:uid="{00000000-0005-0000-0000-000009420000}"/>
    <cellStyle name="40% - Accent6 15 2 3" xfId="10393" xr:uid="{00000000-0005-0000-0000-00000A420000}"/>
    <cellStyle name="40% - Accent6 15 2 3 2" xfId="21681" xr:uid="{00000000-0005-0000-0000-00000B420000}"/>
    <cellStyle name="40% - Accent6 15 2 4" xfId="8399" xr:uid="{00000000-0005-0000-0000-00000C420000}"/>
    <cellStyle name="40% - Accent6 15 2 4 2" xfId="19687" xr:uid="{00000000-0005-0000-0000-00000D420000}"/>
    <cellStyle name="40% - Accent6 15 2 5" xfId="6405" xr:uid="{00000000-0005-0000-0000-00000E420000}"/>
    <cellStyle name="40% - Accent6 15 2 5 2" xfId="17693" xr:uid="{00000000-0005-0000-0000-00000F420000}"/>
    <cellStyle name="40% - Accent6 15 2 6" xfId="15699" xr:uid="{00000000-0005-0000-0000-000010420000}"/>
    <cellStyle name="40% - Accent6 15 3" xfId="11390" xr:uid="{00000000-0005-0000-0000-000011420000}"/>
    <cellStyle name="40% - Accent6 15 3 2" xfId="22678" xr:uid="{00000000-0005-0000-0000-000012420000}"/>
    <cellStyle name="40% - Accent6 15 4" xfId="9396" xr:uid="{00000000-0005-0000-0000-000013420000}"/>
    <cellStyle name="40% - Accent6 15 4 2" xfId="20684" xr:uid="{00000000-0005-0000-0000-000014420000}"/>
    <cellStyle name="40% - Accent6 15 5" xfId="7402" xr:uid="{00000000-0005-0000-0000-000015420000}"/>
    <cellStyle name="40% - Accent6 15 5 2" xfId="18690" xr:uid="{00000000-0005-0000-0000-000016420000}"/>
    <cellStyle name="40% - Accent6 15 6" xfId="5408" xr:uid="{00000000-0005-0000-0000-000017420000}"/>
    <cellStyle name="40% - Accent6 15 6 2" xfId="16696" xr:uid="{00000000-0005-0000-0000-000018420000}"/>
    <cellStyle name="40% - Accent6 15 7" xfId="14702" xr:uid="{00000000-0005-0000-0000-000019420000}"/>
    <cellStyle name="40% - Accent6 15 8" xfId="13388" xr:uid="{00000000-0005-0000-0000-00001A420000}"/>
    <cellStyle name="40% - Accent6 16" xfId="1453" xr:uid="{00000000-0005-0000-0000-00001B420000}"/>
    <cellStyle name="40% - Accent6 16 2" xfId="4409" xr:uid="{00000000-0005-0000-0000-00001C420000}"/>
    <cellStyle name="40% - Accent6 16 2 2" xfId="12388" xr:uid="{00000000-0005-0000-0000-00001D420000}"/>
    <cellStyle name="40% - Accent6 16 2 2 2" xfId="23676" xr:uid="{00000000-0005-0000-0000-00001E420000}"/>
    <cellStyle name="40% - Accent6 16 2 3" xfId="10394" xr:uid="{00000000-0005-0000-0000-00001F420000}"/>
    <cellStyle name="40% - Accent6 16 2 3 2" xfId="21682" xr:uid="{00000000-0005-0000-0000-000020420000}"/>
    <cellStyle name="40% - Accent6 16 2 4" xfId="8400" xr:uid="{00000000-0005-0000-0000-000021420000}"/>
    <cellStyle name="40% - Accent6 16 2 4 2" xfId="19688" xr:uid="{00000000-0005-0000-0000-000022420000}"/>
    <cellStyle name="40% - Accent6 16 2 5" xfId="6406" xr:uid="{00000000-0005-0000-0000-000023420000}"/>
    <cellStyle name="40% - Accent6 16 2 5 2" xfId="17694" xr:uid="{00000000-0005-0000-0000-000024420000}"/>
    <cellStyle name="40% - Accent6 16 2 6" xfId="15700" xr:uid="{00000000-0005-0000-0000-000025420000}"/>
    <cellStyle name="40% - Accent6 16 3" xfId="11391" xr:uid="{00000000-0005-0000-0000-000026420000}"/>
    <cellStyle name="40% - Accent6 16 3 2" xfId="22679" xr:uid="{00000000-0005-0000-0000-000027420000}"/>
    <cellStyle name="40% - Accent6 16 4" xfId="9397" xr:uid="{00000000-0005-0000-0000-000028420000}"/>
    <cellStyle name="40% - Accent6 16 4 2" xfId="20685" xr:uid="{00000000-0005-0000-0000-000029420000}"/>
    <cellStyle name="40% - Accent6 16 5" xfId="7403" xr:uid="{00000000-0005-0000-0000-00002A420000}"/>
    <cellStyle name="40% - Accent6 16 5 2" xfId="18691" xr:uid="{00000000-0005-0000-0000-00002B420000}"/>
    <cellStyle name="40% - Accent6 16 6" xfId="5409" xr:uid="{00000000-0005-0000-0000-00002C420000}"/>
    <cellStyle name="40% - Accent6 16 6 2" xfId="16697" xr:uid="{00000000-0005-0000-0000-00002D420000}"/>
    <cellStyle name="40% - Accent6 16 7" xfId="14703" xr:uid="{00000000-0005-0000-0000-00002E420000}"/>
    <cellStyle name="40% - Accent6 16 8" xfId="13389" xr:uid="{00000000-0005-0000-0000-00002F420000}"/>
    <cellStyle name="40% - Accent6 17" xfId="1454" xr:uid="{00000000-0005-0000-0000-000030420000}"/>
    <cellStyle name="40% - Accent6 17 2" xfId="4410" xr:uid="{00000000-0005-0000-0000-000031420000}"/>
    <cellStyle name="40% - Accent6 17 2 2" xfId="12389" xr:uid="{00000000-0005-0000-0000-000032420000}"/>
    <cellStyle name="40% - Accent6 17 2 2 2" xfId="23677" xr:uid="{00000000-0005-0000-0000-000033420000}"/>
    <cellStyle name="40% - Accent6 17 2 3" xfId="10395" xr:uid="{00000000-0005-0000-0000-000034420000}"/>
    <cellStyle name="40% - Accent6 17 2 3 2" xfId="21683" xr:uid="{00000000-0005-0000-0000-000035420000}"/>
    <cellStyle name="40% - Accent6 17 2 4" xfId="8401" xr:uid="{00000000-0005-0000-0000-000036420000}"/>
    <cellStyle name="40% - Accent6 17 2 4 2" xfId="19689" xr:uid="{00000000-0005-0000-0000-000037420000}"/>
    <cellStyle name="40% - Accent6 17 2 5" xfId="6407" xr:uid="{00000000-0005-0000-0000-000038420000}"/>
    <cellStyle name="40% - Accent6 17 2 5 2" xfId="17695" xr:uid="{00000000-0005-0000-0000-000039420000}"/>
    <cellStyle name="40% - Accent6 17 2 6" xfId="15701" xr:uid="{00000000-0005-0000-0000-00003A420000}"/>
    <cellStyle name="40% - Accent6 17 3" xfId="11392" xr:uid="{00000000-0005-0000-0000-00003B420000}"/>
    <cellStyle name="40% - Accent6 17 3 2" xfId="22680" xr:uid="{00000000-0005-0000-0000-00003C420000}"/>
    <cellStyle name="40% - Accent6 17 4" xfId="9398" xr:uid="{00000000-0005-0000-0000-00003D420000}"/>
    <cellStyle name="40% - Accent6 17 4 2" xfId="20686" xr:uid="{00000000-0005-0000-0000-00003E420000}"/>
    <cellStyle name="40% - Accent6 17 5" xfId="7404" xr:uid="{00000000-0005-0000-0000-00003F420000}"/>
    <cellStyle name="40% - Accent6 17 5 2" xfId="18692" xr:uid="{00000000-0005-0000-0000-000040420000}"/>
    <cellStyle name="40% - Accent6 17 6" xfId="5410" xr:uid="{00000000-0005-0000-0000-000041420000}"/>
    <cellStyle name="40% - Accent6 17 6 2" xfId="16698" xr:uid="{00000000-0005-0000-0000-000042420000}"/>
    <cellStyle name="40% - Accent6 17 7" xfId="14704" xr:uid="{00000000-0005-0000-0000-000043420000}"/>
    <cellStyle name="40% - Accent6 17 8" xfId="13390" xr:uid="{00000000-0005-0000-0000-000044420000}"/>
    <cellStyle name="40% - Accent6 18" xfId="1455" xr:uid="{00000000-0005-0000-0000-000045420000}"/>
    <cellStyle name="40% - Accent6 18 2" xfId="4411" xr:uid="{00000000-0005-0000-0000-000046420000}"/>
    <cellStyle name="40% - Accent6 18 2 2" xfId="12390" xr:uid="{00000000-0005-0000-0000-000047420000}"/>
    <cellStyle name="40% - Accent6 18 2 2 2" xfId="23678" xr:uid="{00000000-0005-0000-0000-000048420000}"/>
    <cellStyle name="40% - Accent6 18 2 3" xfId="10396" xr:uid="{00000000-0005-0000-0000-000049420000}"/>
    <cellStyle name="40% - Accent6 18 2 3 2" xfId="21684" xr:uid="{00000000-0005-0000-0000-00004A420000}"/>
    <cellStyle name="40% - Accent6 18 2 4" xfId="8402" xr:uid="{00000000-0005-0000-0000-00004B420000}"/>
    <cellStyle name="40% - Accent6 18 2 4 2" xfId="19690" xr:uid="{00000000-0005-0000-0000-00004C420000}"/>
    <cellStyle name="40% - Accent6 18 2 5" xfId="6408" xr:uid="{00000000-0005-0000-0000-00004D420000}"/>
    <cellStyle name="40% - Accent6 18 2 5 2" xfId="17696" xr:uid="{00000000-0005-0000-0000-00004E420000}"/>
    <cellStyle name="40% - Accent6 18 2 6" xfId="15702" xr:uid="{00000000-0005-0000-0000-00004F420000}"/>
    <cellStyle name="40% - Accent6 18 3" xfId="11393" xr:uid="{00000000-0005-0000-0000-000050420000}"/>
    <cellStyle name="40% - Accent6 18 3 2" xfId="22681" xr:uid="{00000000-0005-0000-0000-000051420000}"/>
    <cellStyle name="40% - Accent6 18 4" xfId="9399" xr:uid="{00000000-0005-0000-0000-000052420000}"/>
    <cellStyle name="40% - Accent6 18 4 2" xfId="20687" xr:uid="{00000000-0005-0000-0000-000053420000}"/>
    <cellStyle name="40% - Accent6 18 5" xfId="7405" xr:uid="{00000000-0005-0000-0000-000054420000}"/>
    <cellStyle name="40% - Accent6 18 5 2" xfId="18693" xr:uid="{00000000-0005-0000-0000-000055420000}"/>
    <cellStyle name="40% - Accent6 18 6" xfId="5411" xr:uid="{00000000-0005-0000-0000-000056420000}"/>
    <cellStyle name="40% - Accent6 18 6 2" xfId="16699" xr:uid="{00000000-0005-0000-0000-000057420000}"/>
    <cellStyle name="40% - Accent6 18 7" xfId="14705" xr:uid="{00000000-0005-0000-0000-000058420000}"/>
    <cellStyle name="40% - Accent6 18 8" xfId="13391" xr:uid="{00000000-0005-0000-0000-000059420000}"/>
    <cellStyle name="40% - Accent6 19" xfId="1456" xr:uid="{00000000-0005-0000-0000-00005A420000}"/>
    <cellStyle name="40% - Accent6 19 2" xfId="4412" xr:uid="{00000000-0005-0000-0000-00005B420000}"/>
    <cellStyle name="40% - Accent6 19 2 2" xfId="12391" xr:uid="{00000000-0005-0000-0000-00005C420000}"/>
    <cellStyle name="40% - Accent6 19 2 2 2" xfId="23679" xr:uid="{00000000-0005-0000-0000-00005D420000}"/>
    <cellStyle name="40% - Accent6 19 2 3" xfId="10397" xr:uid="{00000000-0005-0000-0000-00005E420000}"/>
    <cellStyle name="40% - Accent6 19 2 3 2" xfId="21685" xr:uid="{00000000-0005-0000-0000-00005F420000}"/>
    <cellStyle name="40% - Accent6 19 2 4" xfId="8403" xr:uid="{00000000-0005-0000-0000-000060420000}"/>
    <cellStyle name="40% - Accent6 19 2 4 2" xfId="19691" xr:uid="{00000000-0005-0000-0000-000061420000}"/>
    <cellStyle name="40% - Accent6 19 2 5" xfId="6409" xr:uid="{00000000-0005-0000-0000-000062420000}"/>
    <cellStyle name="40% - Accent6 19 2 5 2" xfId="17697" xr:uid="{00000000-0005-0000-0000-000063420000}"/>
    <cellStyle name="40% - Accent6 19 2 6" xfId="15703" xr:uid="{00000000-0005-0000-0000-000064420000}"/>
    <cellStyle name="40% - Accent6 19 3" xfId="11394" xr:uid="{00000000-0005-0000-0000-000065420000}"/>
    <cellStyle name="40% - Accent6 19 3 2" xfId="22682" xr:uid="{00000000-0005-0000-0000-000066420000}"/>
    <cellStyle name="40% - Accent6 19 4" xfId="9400" xr:uid="{00000000-0005-0000-0000-000067420000}"/>
    <cellStyle name="40% - Accent6 19 4 2" xfId="20688" xr:uid="{00000000-0005-0000-0000-000068420000}"/>
    <cellStyle name="40% - Accent6 19 5" xfId="7406" xr:uid="{00000000-0005-0000-0000-000069420000}"/>
    <cellStyle name="40% - Accent6 19 5 2" xfId="18694" xr:uid="{00000000-0005-0000-0000-00006A420000}"/>
    <cellStyle name="40% - Accent6 19 6" xfId="5412" xr:uid="{00000000-0005-0000-0000-00006B420000}"/>
    <cellStyle name="40% - Accent6 19 6 2" xfId="16700" xr:uid="{00000000-0005-0000-0000-00006C420000}"/>
    <cellStyle name="40% - Accent6 19 7" xfId="14706" xr:uid="{00000000-0005-0000-0000-00006D420000}"/>
    <cellStyle name="40% - Accent6 19 8" xfId="13392" xr:uid="{00000000-0005-0000-0000-00006E420000}"/>
    <cellStyle name="40% - Accent6 2" xfId="1457" xr:uid="{00000000-0005-0000-0000-00006F420000}"/>
    <cellStyle name="40% - Accent6 2 10" xfId="24625" xr:uid="{00000000-0005-0000-0000-000070420000}"/>
    <cellStyle name="40% - Accent6 2 11" xfId="25015" xr:uid="{00000000-0005-0000-0000-000071420000}"/>
    <cellStyle name="40% - Accent6 2 2" xfId="4413" xr:uid="{00000000-0005-0000-0000-000072420000}"/>
    <cellStyle name="40% - Accent6 2 2 2" xfId="12392" xr:uid="{00000000-0005-0000-0000-000073420000}"/>
    <cellStyle name="40% - Accent6 2 2 2 2" xfId="23680" xr:uid="{00000000-0005-0000-0000-000074420000}"/>
    <cellStyle name="40% - Accent6 2 2 3" xfId="10398" xr:uid="{00000000-0005-0000-0000-000075420000}"/>
    <cellStyle name="40% - Accent6 2 2 3 2" xfId="21686" xr:uid="{00000000-0005-0000-0000-000076420000}"/>
    <cellStyle name="40% - Accent6 2 2 4" xfId="8404" xr:uid="{00000000-0005-0000-0000-000077420000}"/>
    <cellStyle name="40% - Accent6 2 2 4 2" xfId="19692" xr:uid="{00000000-0005-0000-0000-000078420000}"/>
    <cellStyle name="40% - Accent6 2 2 5" xfId="6410" xr:uid="{00000000-0005-0000-0000-000079420000}"/>
    <cellStyle name="40% - Accent6 2 2 5 2" xfId="17698" xr:uid="{00000000-0005-0000-0000-00007A420000}"/>
    <cellStyle name="40% - Accent6 2 2 6" xfId="15704" xr:uid="{00000000-0005-0000-0000-00007B420000}"/>
    <cellStyle name="40% - Accent6 2 2 7" xfId="24386" xr:uid="{00000000-0005-0000-0000-00007C420000}"/>
    <cellStyle name="40% - Accent6 2 2 8" xfId="24850" xr:uid="{00000000-0005-0000-0000-00007D420000}"/>
    <cellStyle name="40% - Accent6 2 2 9" xfId="25217" xr:uid="{00000000-0005-0000-0000-00007E420000}"/>
    <cellStyle name="40% - Accent6 2 3" xfId="11395" xr:uid="{00000000-0005-0000-0000-00007F420000}"/>
    <cellStyle name="40% - Accent6 2 3 2" xfId="22683" xr:uid="{00000000-0005-0000-0000-000080420000}"/>
    <cellStyle name="40% - Accent6 2 4" xfId="9401" xr:uid="{00000000-0005-0000-0000-000081420000}"/>
    <cellStyle name="40% - Accent6 2 4 2" xfId="20689" xr:uid="{00000000-0005-0000-0000-000082420000}"/>
    <cellStyle name="40% - Accent6 2 5" xfId="7407" xr:uid="{00000000-0005-0000-0000-000083420000}"/>
    <cellStyle name="40% - Accent6 2 5 2" xfId="18695" xr:uid="{00000000-0005-0000-0000-000084420000}"/>
    <cellStyle name="40% - Accent6 2 6" xfId="5413" xr:uid="{00000000-0005-0000-0000-000085420000}"/>
    <cellStyle name="40% - Accent6 2 6 2" xfId="16701" xr:uid="{00000000-0005-0000-0000-000086420000}"/>
    <cellStyle name="40% - Accent6 2 7" xfId="14707" xr:uid="{00000000-0005-0000-0000-000087420000}"/>
    <cellStyle name="40% - Accent6 2 8" xfId="13393" xr:uid="{00000000-0005-0000-0000-000088420000}"/>
    <cellStyle name="40% - Accent6 2 9" xfId="23998" xr:uid="{00000000-0005-0000-0000-000089420000}"/>
    <cellStyle name="40% - Accent6 20" xfId="1458" xr:uid="{00000000-0005-0000-0000-00008A420000}"/>
    <cellStyle name="40% - Accent6 20 2" xfId="4414" xr:uid="{00000000-0005-0000-0000-00008B420000}"/>
    <cellStyle name="40% - Accent6 20 2 2" xfId="12393" xr:uid="{00000000-0005-0000-0000-00008C420000}"/>
    <cellStyle name="40% - Accent6 20 2 2 2" xfId="23681" xr:uid="{00000000-0005-0000-0000-00008D420000}"/>
    <cellStyle name="40% - Accent6 20 2 3" xfId="10399" xr:uid="{00000000-0005-0000-0000-00008E420000}"/>
    <cellStyle name="40% - Accent6 20 2 3 2" xfId="21687" xr:uid="{00000000-0005-0000-0000-00008F420000}"/>
    <cellStyle name="40% - Accent6 20 2 4" xfId="8405" xr:uid="{00000000-0005-0000-0000-000090420000}"/>
    <cellStyle name="40% - Accent6 20 2 4 2" xfId="19693" xr:uid="{00000000-0005-0000-0000-000091420000}"/>
    <cellStyle name="40% - Accent6 20 2 5" xfId="6411" xr:uid="{00000000-0005-0000-0000-000092420000}"/>
    <cellStyle name="40% - Accent6 20 2 5 2" xfId="17699" xr:uid="{00000000-0005-0000-0000-000093420000}"/>
    <cellStyle name="40% - Accent6 20 2 6" xfId="15705" xr:uid="{00000000-0005-0000-0000-000094420000}"/>
    <cellStyle name="40% - Accent6 20 3" xfId="11396" xr:uid="{00000000-0005-0000-0000-000095420000}"/>
    <cellStyle name="40% - Accent6 20 3 2" xfId="22684" xr:uid="{00000000-0005-0000-0000-000096420000}"/>
    <cellStyle name="40% - Accent6 20 4" xfId="9402" xr:uid="{00000000-0005-0000-0000-000097420000}"/>
    <cellStyle name="40% - Accent6 20 4 2" xfId="20690" xr:uid="{00000000-0005-0000-0000-000098420000}"/>
    <cellStyle name="40% - Accent6 20 5" xfId="7408" xr:uid="{00000000-0005-0000-0000-000099420000}"/>
    <cellStyle name="40% - Accent6 20 5 2" xfId="18696" xr:uid="{00000000-0005-0000-0000-00009A420000}"/>
    <cellStyle name="40% - Accent6 20 6" xfId="5414" xr:uid="{00000000-0005-0000-0000-00009B420000}"/>
    <cellStyle name="40% - Accent6 20 6 2" xfId="16702" xr:uid="{00000000-0005-0000-0000-00009C420000}"/>
    <cellStyle name="40% - Accent6 20 7" xfId="14708" xr:uid="{00000000-0005-0000-0000-00009D420000}"/>
    <cellStyle name="40% - Accent6 20 8" xfId="13394" xr:uid="{00000000-0005-0000-0000-00009E420000}"/>
    <cellStyle name="40% - Accent6 21" xfId="1459" xr:uid="{00000000-0005-0000-0000-00009F420000}"/>
    <cellStyle name="40% - Accent6 21 2" xfId="4415" xr:uid="{00000000-0005-0000-0000-0000A0420000}"/>
    <cellStyle name="40% - Accent6 21 2 2" xfId="12394" xr:uid="{00000000-0005-0000-0000-0000A1420000}"/>
    <cellStyle name="40% - Accent6 21 2 2 2" xfId="23682" xr:uid="{00000000-0005-0000-0000-0000A2420000}"/>
    <cellStyle name="40% - Accent6 21 2 3" xfId="10400" xr:uid="{00000000-0005-0000-0000-0000A3420000}"/>
    <cellStyle name="40% - Accent6 21 2 3 2" xfId="21688" xr:uid="{00000000-0005-0000-0000-0000A4420000}"/>
    <cellStyle name="40% - Accent6 21 2 4" xfId="8406" xr:uid="{00000000-0005-0000-0000-0000A5420000}"/>
    <cellStyle name="40% - Accent6 21 2 4 2" xfId="19694" xr:uid="{00000000-0005-0000-0000-0000A6420000}"/>
    <cellStyle name="40% - Accent6 21 2 5" xfId="6412" xr:uid="{00000000-0005-0000-0000-0000A7420000}"/>
    <cellStyle name="40% - Accent6 21 2 5 2" xfId="17700" xr:uid="{00000000-0005-0000-0000-0000A8420000}"/>
    <cellStyle name="40% - Accent6 21 2 6" xfId="15706" xr:uid="{00000000-0005-0000-0000-0000A9420000}"/>
    <cellStyle name="40% - Accent6 21 3" xfId="11397" xr:uid="{00000000-0005-0000-0000-0000AA420000}"/>
    <cellStyle name="40% - Accent6 21 3 2" xfId="22685" xr:uid="{00000000-0005-0000-0000-0000AB420000}"/>
    <cellStyle name="40% - Accent6 21 4" xfId="9403" xr:uid="{00000000-0005-0000-0000-0000AC420000}"/>
    <cellStyle name="40% - Accent6 21 4 2" xfId="20691" xr:uid="{00000000-0005-0000-0000-0000AD420000}"/>
    <cellStyle name="40% - Accent6 21 5" xfId="7409" xr:uid="{00000000-0005-0000-0000-0000AE420000}"/>
    <cellStyle name="40% - Accent6 21 5 2" xfId="18697" xr:uid="{00000000-0005-0000-0000-0000AF420000}"/>
    <cellStyle name="40% - Accent6 21 6" xfId="5415" xr:uid="{00000000-0005-0000-0000-0000B0420000}"/>
    <cellStyle name="40% - Accent6 21 6 2" xfId="16703" xr:uid="{00000000-0005-0000-0000-0000B1420000}"/>
    <cellStyle name="40% - Accent6 21 7" xfId="14709" xr:uid="{00000000-0005-0000-0000-0000B2420000}"/>
    <cellStyle name="40% - Accent6 21 8" xfId="13395" xr:uid="{00000000-0005-0000-0000-0000B3420000}"/>
    <cellStyle name="40% - Accent6 22" xfId="1460" xr:uid="{00000000-0005-0000-0000-0000B4420000}"/>
    <cellStyle name="40% - Accent6 22 2" xfId="4416" xr:uid="{00000000-0005-0000-0000-0000B5420000}"/>
    <cellStyle name="40% - Accent6 22 2 2" xfId="12395" xr:uid="{00000000-0005-0000-0000-0000B6420000}"/>
    <cellStyle name="40% - Accent6 22 2 2 2" xfId="23683" xr:uid="{00000000-0005-0000-0000-0000B7420000}"/>
    <cellStyle name="40% - Accent6 22 2 3" xfId="10401" xr:uid="{00000000-0005-0000-0000-0000B8420000}"/>
    <cellStyle name="40% - Accent6 22 2 3 2" xfId="21689" xr:uid="{00000000-0005-0000-0000-0000B9420000}"/>
    <cellStyle name="40% - Accent6 22 2 4" xfId="8407" xr:uid="{00000000-0005-0000-0000-0000BA420000}"/>
    <cellStyle name="40% - Accent6 22 2 4 2" xfId="19695" xr:uid="{00000000-0005-0000-0000-0000BB420000}"/>
    <cellStyle name="40% - Accent6 22 2 5" xfId="6413" xr:uid="{00000000-0005-0000-0000-0000BC420000}"/>
    <cellStyle name="40% - Accent6 22 2 5 2" xfId="17701" xr:uid="{00000000-0005-0000-0000-0000BD420000}"/>
    <cellStyle name="40% - Accent6 22 2 6" xfId="15707" xr:uid="{00000000-0005-0000-0000-0000BE420000}"/>
    <cellStyle name="40% - Accent6 22 3" xfId="11398" xr:uid="{00000000-0005-0000-0000-0000BF420000}"/>
    <cellStyle name="40% - Accent6 22 3 2" xfId="22686" xr:uid="{00000000-0005-0000-0000-0000C0420000}"/>
    <cellStyle name="40% - Accent6 22 4" xfId="9404" xr:uid="{00000000-0005-0000-0000-0000C1420000}"/>
    <cellStyle name="40% - Accent6 22 4 2" xfId="20692" xr:uid="{00000000-0005-0000-0000-0000C2420000}"/>
    <cellStyle name="40% - Accent6 22 5" xfId="7410" xr:uid="{00000000-0005-0000-0000-0000C3420000}"/>
    <cellStyle name="40% - Accent6 22 5 2" xfId="18698" xr:uid="{00000000-0005-0000-0000-0000C4420000}"/>
    <cellStyle name="40% - Accent6 22 6" xfId="5416" xr:uid="{00000000-0005-0000-0000-0000C5420000}"/>
    <cellStyle name="40% - Accent6 22 6 2" xfId="16704" xr:uid="{00000000-0005-0000-0000-0000C6420000}"/>
    <cellStyle name="40% - Accent6 22 7" xfId="14710" xr:uid="{00000000-0005-0000-0000-0000C7420000}"/>
    <cellStyle name="40% - Accent6 22 8" xfId="13396" xr:uid="{00000000-0005-0000-0000-0000C8420000}"/>
    <cellStyle name="40% - Accent6 23" xfId="1461" xr:uid="{00000000-0005-0000-0000-0000C9420000}"/>
    <cellStyle name="40% - Accent6 23 2" xfId="4417" xr:uid="{00000000-0005-0000-0000-0000CA420000}"/>
    <cellStyle name="40% - Accent6 23 2 2" xfId="12396" xr:uid="{00000000-0005-0000-0000-0000CB420000}"/>
    <cellStyle name="40% - Accent6 23 2 2 2" xfId="23684" xr:uid="{00000000-0005-0000-0000-0000CC420000}"/>
    <cellStyle name="40% - Accent6 23 2 3" xfId="10402" xr:uid="{00000000-0005-0000-0000-0000CD420000}"/>
    <cellStyle name="40% - Accent6 23 2 3 2" xfId="21690" xr:uid="{00000000-0005-0000-0000-0000CE420000}"/>
    <cellStyle name="40% - Accent6 23 2 4" xfId="8408" xr:uid="{00000000-0005-0000-0000-0000CF420000}"/>
    <cellStyle name="40% - Accent6 23 2 4 2" xfId="19696" xr:uid="{00000000-0005-0000-0000-0000D0420000}"/>
    <cellStyle name="40% - Accent6 23 2 5" xfId="6414" xr:uid="{00000000-0005-0000-0000-0000D1420000}"/>
    <cellStyle name="40% - Accent6 23 2 5 2" xfId="17702" xr:uid="{00000000-0005-0000-0000-0000D2420000}"/>
    <cellStyle name="40% - Accent6 23 2 6" xfId="15708" xr:uid="{00000000-0005-0000-0000-0000D3420000}"/>
    <cellStyle name="40% - Accent6 23 3" xfId="11399" xr:uid="{00000000-0005-0000-0000-0000D4420000}"/>
    <cellStyle name="40% - Accent6 23 3 2" xfId="22687" xr:uid="{00000000-0005-0000-0000-0000D5420000}"/>
    <cellStyle name="40% - Accent6 23 4" xfId="9405" xr:uid="{00000000-0005-0000-0000-0000D6420000}"/>
    <cellStyle name="40% - Accent6 23 4 2" xfId="20693" xr:uid="{00000000-0005-0000-0000-0000D7420000}"/>
    <cellStyle name="40% - Accent6 23 5" xfId="7411" xr:uid="{00000000-0005-0000-0000-0000D8420000}"/>
    <cellStyle name="40% - Accent6 23 5 2" xfId="18699" xr:uid="{00000000-0005-0000-0000-0000D9420000}"/>
    <cellStyle name="40% - Accent6 23 6" xfId="5417" xr:uid="{00000000-0005-0000-0000-0000DA420000}"/>
    <cellStyle name="40% - Accent6 23 6 2" xfId="16705" xr:uid="{00000000-0005-0000-0000-0000DB420000}"/>
    <cellStyle name="40% - Accent6 23 7" xfId="14711" xr:uid="{00000000-0005-0000-0000-0000DC420000}"/>
    <cellStyle name="40% - Accent6 23 8" xfId="13397" xr:uid="{00000000-0005-0000-0000-0000DD420000}"/>
    <cellStyle name="40% - Accent6 24" xfId="1462" xr:uid="{00000000-0005-0000-0000-0000DE420000}"/>
    <cellStyle name="40% - Accent6 24 2" xfId="4418" xr:uid="{00000000-0005-0000-0000-0000DF420000}"/>
    <cellStyle name="40% - Accent6 24 2 2" xfId="12397" xr:uid="{00000000-0005-0000-0000-0000E0420000}"/>
    <cellStyle name="40% - Accent6 24 2 2 2" xfId="23685" xr:uid="{00000000-0005-0000-0000-0000E1420000}"/>
    <cellStyle name="40% - Accent6 24 2 3" xfId="10403" xr:uid="{00000000-0005-0000-0000-0000E2420000}"/>
    <cellStyle name="40% - Accent6 24 2 3 2" xfId="21691" xr:uid="{00000000-0005-0000-0000-0000E3420000}"/>
    <cellStyle name="40% - Accent6 24 2 4" xfId="8409" xr:uid="{00000000-0005-0000-0000-0000E4420000}"/>
    <cellStyle name="40% - Accent6 24 2 4 2" xfId="19697" xr:uid="{00000000-0005-0000-0000-0000E5420000}"/>
    <cellStyle name="40% - Accent6 24 2 5" xfId="6415" xr:uid="{00000000-0005-0000-0000-0000E6420000}"/>
    <cellStyle name="40% - Accent6 24 2 5 2" xfId="17703" xr:uid="{00000000-0005-0000-0000-0000E7420000}"/>
    <cellStyle name="40% - Accent6 24 2 6" xfId="15709" xr:uid="{00000000-0005-0000-0000-0000E8420000}"/>
    <cellStyle name="40% - Accent6 24 3" xfId="11400" xr:uid="{00000000-0005-0000-0000-0000E9420000}"/>
    <cellStyle name="40% - Accent6 24 3 2" xfId="22688" xr:uid="{00000000-0005-0000-0000-0000EA420000}"/>
    <cellStyle name="40% - Accent6 24 4" xfId="9406" xr:uid="{00000000-0005-0000-0000-0000EB420000}"/>
    <cellStyle name="40% - Accent6 24 4 2" xfId="20694" xr:uid="{00000000-0005-0000-0000-0000EC420000}"/>
    <cellStyle name="40% - Accent6 24 5" xfId="7412" xr:uid="{00000000-0005-0000-0000-0000ED420000}"/>
    <cellStyle name="40% - Accent6 24 5 2" xfId="18700" xr:uid="{00000000-0005-0000-0000-0000EE420000}"/>
    <cellStyle name="40% - Accent6 24 6" xfId="5418" xr:uid="{00000000-0005-0000-0000-0000EF420000}"/>
    <cellStyle name="40% - Accent6 24 6 2" xfId="16706" xr:uid="{00000000-0005-0000-0000-0000F0420000}"/>
    <cellStyle name="40% - Accent6 24 7" xfId="14712" xr:uid="{00000000-0005-0000-0000-0000F1420000}"/>
    <cellStyle name="40% - Accent6 24 8" xfId="13398" xr:uid="{00000000-0005-0000-0000-0000F2420000}"/>
    <cellStyle name="40% - Accent6 25" xfId="1463" xr:uid="{00000000-0005-0000-0000-0000F3420000}"/>
    <cellStyle name="40% - Accent6 25 2" xfId="4419" xr:uid="{00000000-0005-0000-0000-0000F4420000}"/>
    <cellStyle name="40% - Accent6 25 2 2" xfId="12398" xr:uid="{00000000-0005-0000-0000-0000F5420000}"/>
    <cellStyle name="40% - Accent6 25 2 2 2" xfId="23686" xr:uid="{00000000-0005-0000-0000-0000F6420000}"/>
    <cellStyle name="40% - Accent6 25 2 3" xfId="10404" xr:uid="{00000000-0005-0000-0000-0000F7420000}"/>
    <cellStyle name="40% - Accent6 25 2 3 2" xfId="21692" xr:uid="{00000000-0005-0000-0000-0000F8420000}"/>
    <cellStyle name="40% - Accent6 25 2 4" xfId="8410" xr:uid="{00000000-0005-0000-0000-0000F9420000}"/>
    <cellStyle name="40% - Accent6 25 2 4 2" xfId="19698" xr:uid="{00000000-0005-0000-0000-0000FA420000}"/>
    <cellStyle name="40% - Accent6 25 2 5" xfId="6416" xr:uid="{00000000-0005-0000-0000-0000FB420000}"/>
    <cellStyle name="40% - Accent6 25 2 5 2" xfId="17704" xr:uid="{00000000-0005-0000-0000-0000FC420000}"/>
    <cellStyle name="40% - Accent6 25 2 6" xfId="15710" xr:uid="{00000000-0005-0000-0000-0000FD420000}"/>
    <cellStyle name="40% - Accent6 25 3" xfId="11401" xr:uid="{00000000-0005-0000-0000-0000FE420000}"/>
    <cellStyle name="40% - Accent6 25 3 2" xfId="22689" xr:uid="{00000000-0005-0000-0000-0000FF420000}"/>
    <cellStyle name="40% - Accent6 25 4" xfId="9407" xr:uid="{00000000-0005-0000-0000-000000430000}"/>
    <cellStyle name="40% - Accent6 25 4 2" xfId="20695" xr:uid="{00000000-0005-0000-0000-000001430000}"/>
    <cellStyle name="40% - Accent6 25 5" xfId="7413" xr:uid="{00000000-0005-0000-0000-000002430000}"/>
    <cellStyle name="40% - Accent6 25 5 2" xfId="18701" xr:uid="{00000000-0005-0000-0000-000003430000}"/>
    <cellStyle name="40% - Accent6 25 6" xfId="5419" xr:uid="{00000000-0005-0000-0000-000004430000}"/>
    <cellStyle name="40% - Accent6 25 6 2" xfId="16707" xr:uid="{00000000-0005-0000-0000-000005430000}"/>
    <cellStyle name="40% - Accent6 25 7" xfId="14713" xr:uid="{00000000-0005-0000-0000-000006430000}"/>
    <cellStyle name="40% - Accent6 25 8" xfId="13399" xr:uid="{00000000-0005-0000-0000-000007430000}"/>
    <cellStyle name="40% - Accent6 26" xfId="1464" xr:uid="{00000000-0005-0000-0000-000008430000}"/>
    <cellStyle name="40% - Accent6 26 2" xfId="4420" xr:uid="{00000000-0005-0000-0000-000009430000}"/>
    <cellStyle name="40% - Accent6 26 2 2" xfId="12399" xr:uid="{00000000-0005-0000-0000-00000A430000}"/>
    <cellStyle name="40% - Accent6 26 2 2 2" xfId="23687" xr:uid="{00000000-0005-0000-0000-00000B430000}"/>
    <cellStyle name="40% - Accent6 26 2 3" xfId="10405" xr:uid="{00000000-0005-0000-0000-00000C430000}"/>
    <cellStyle name="40% - Accent6 26 2 3 2" xfId="21693" xr:uid="{00000000-0005-0000-0000-00000D430000}"/>
    <cellStyle name="40% - Accent6 26 2 4" xfId="8411" xr:uid="{00000000-0005-0000-0000-00000E430000}"/>
    <cellStyle name="40% - Accent6 26 2 4 2" xfId="19699" xr:uid="{00000000-0005-0000-0000-00000F430000}"/>
    <cellStyle name="40% - Accent6 26 2 5" xfId="6417" xr:uid="{00000000-0005-0000-0000-000010430000}"/>
    <cellStyle name="40% - Accent6 26 2 5 2" xfId="17705" xr:uid="{00000000-0005-0000-0000-000011430000}"/>
    <cellStyle name="40% - Accent6 26 2 6" xfId="15711" xr:uid="{00000000-0005-0000-0000-000012430000}"/>
    <cellStyle name="40% - Accent6 26 3" xfId="11402" xr:uid="{00000000-0005-0000-0000-000013430000}"/>
    <cellStyle name="40% - Accent6 26 3 2" xfId="22690" xr:uid="{00000000-0005-0000-0000-000014430000}"/>
    <cellStyle name="40% - Accent6 26 4" xfId="9408" xr:uid="{00000000-0005-0000-0000-000015430000}"/>
    <cellStyle name="40% - Accent6 26 4 2" xfId="20696" xr:uid="{00000000-0005-0000-0000-000016430000}"/>
    <cellStyle name="40% - Accent6 26 5" xfId="7414" xr:uid="{00000000-0005-0000-0000-000017430000}"/>
    <cellStyle name="40% - Accent6 26 5 2" xfId="18702" xr:uid="{00000000-0005-0000-0000-000018430000}"/>
    <cellStyle name="40% - Accent6 26 6" xfId="5420" xr:uid="{00000000-0005-0000-0000-000019430000}"/>
    <cellStyle name="40% - Accent6 26 6 2" xfId="16708" xr:uid="{00000000-0005-0000-0000-00001A430000}"/>
    <cellStyle name="40% - Accent6 26 7" xfId="14714" xr:uid="{00000000-0005-0000-0000-00001B430000}"/>
    <cellStyle name="40% - Accent6 26 8" xfId="13400" xr:uid="{00000000-0005-0000-0000-00001C430000}"/>
    <cellStyle name="40% - Accent6 27" xfId="1465" xr:uid="{00000000-0005-0000-0000-00001D430000}"/>
    <cellStyle name="40% - Accent6 27 2" xfId="4421" xr:uid="{00000000-0005-0000-0000-00001E430000}"/>
    <cellStyle name="40% - Accent6 27 2 2" xfId="12400" xr:uid="{00000000-0005-0000-0000-00001F430000}"/>
    <cellStyle name="40% - Accent6 27 2 2 2" xfId="23688" xr:uid="{00000000-0005-0000-0000-000020430000}"/>
    <cellStyle name="40% - Accent6 27 2 3" xfId="10406" xr:uid="{00000000-0005-0000-0000-000021430000}"/>
    <cellStyle name="40% - Accent6 27 2 3 2" xfId="21694" xr:uid="{00000000-0005-0000-0000-000022430000}"/>
    <cellStyle name="40% - Accent6 27 2 4" xfId="8412" xr:uid="{00000000-0005-0000-0000-000023430000}"/>
    <cellStyle name="40% - Accent6 27 2 4 2" xfId="19700" xr:uid="{00000000-0005-0000-0000-000024430000}"/>
    <cellStyle name="40% - Accent6 27 2 5" xfId="6418" xr:uid="{00000000-0005-0000-0000-000025430000}"/>
    <cellStyle name="40% - Accent6 27 2 5 2" xfId="17706" xr:uid="{00000000-0005-0000-0000-000026430000}"/>
    <cellStyle name="40% - Accent6 27 2 6" xfId="15712" xr:uid="{00000000-0005-0000-0000-000027430000}"/>
    <cellStyle name="40% - Accent6 27 3" xfId="11403" xr:uid="{00000000-0005-0000-0000-000028430000}"/>
    <cellStyle name="40% - Accent6 27 3 2" xfId="22691" xr:uid="{00000000-0005-0000-0000-000029430000}"/>
    <cellStyle name="40% - Accent6 27 4" xfId="9409" xr:uid="{00000000-0005-0000-0000-00002A430000}"/>
    <cellStyle name="40% - Accent6 27 4 2" xfId="20697" xr:uid="{00000000-0005-0000-0000-00002B430000}"/>
    <cellStyle name="40% - Accent6 27 5" xfId="7415" xr:uid="{00000000-0005-0000-0000-00002C430000}"/>
    <cellStyle name="40% - Accent6 27 5 2" xfId="18703" xr:uid="{00000000-0005-0000-0000-00002D430000}"/>
    <cellStyle name="40% - Accent6 27 6" xfId="5421" xr:uid="{00000000-0005-0000-0000-00002E430000}"/>
    <cellStyle name="40% - Accent6 27 6 2" xfId="16709" xr:uid="{00000000-0005-0000-0000-00002F430000}"/>
    <cellStyle name="40% - Accent6 27 7" xfId="14715" xr:uid="{00000000-0005-0000-0000-000030430000}"/>
    <cellStyle name="40% - Accent6 27 8" xfId="13401" xr:uid="{00000000-0005-0000-0000-000031430000}"/>
    <cellStyle name="40% - Accent6 28" xfId="1466" xr:uid="{00000000-0005-0000-0000-000032430000}"/>
    <cellStyle name="40% - Accent6 28 2" xfId="4422" xr:uid="{00000000-0005-0000-0000-000033430000}"/>
    <cellStyle name="40% - Accent6 28 2 2" xfId="12401" xr:uid="{00000000-0005-0000-0000-000034430000}"/>
    <cellStyle name="40% - Accent6 28 2 2 2" xfId="23689" xr:uid="{00000000-0005-0000-0000-000035430000}"/>
    <cellStyle name="40% - Accent6 28 2 3" xfId="10407" xr:uid="{00000000-0005-0000-0000-000036430000}"/>
    <cellStyle name="40% - Accent6 28 2 3 2" xfId="21695" xr:uid="{00000000-0005-0000-0000-000037430000}"/>
    <cellStyle name="40% - Accent6 28 2 4" xfId="8413" xr:uid="{00000000-0005-0000-0000-000038430000}"/>
    <cellStyle name="40% - Accent6 28 2 4 2" xfId="19701" xr:uid="{00000000-0005-0000-0000-000039430000}"/>
    <cellStyle name="40% - Accent6 28 2 5" xfId="6419" xr:uid="{00000000-0005-0000-0000-00003A430000}"/>
    <cellStyle name="40% - Accent6 28 2 5 2" xfId="17707" xr:uid="{00000000-0005-0000-0000-00003B430000}"/>
    <cellStyle name="40% - Accent6 28 2 6" xfId="15713" xr:uid="{00000000-0005-0000-0000-00003C430000}"/>
    <cellStyle name="40% - Accent6 28 3" xfId="11404" xr:uid="{00000000-0005-0000-0000-00003D430000}"/>
    <cellStyle name="40% - Accent6 28 3 2" xfId="22692" xr:uid="{00000000-0005-0000-0000-00003E430000}"/>
    <cellStyle name="40% - Accent6 28 4" xfId="9410" xr:uid="{00000000-0005-0000-0000-00003F430000}"/>
    <cellStyle name="40% - Accent6 28 4 2" xfId="20698" xr:uid="{00000000-0005-0000-0000-000040430000}"/>
    <cellStyle name="40% - Accent6 28 5" xfId="7416" xr:uid="{00000000-0005-0000-0000-000041430000}"/>
    <cellStyle name="40% - Accent6 28 5 2" xfId="18704" xr:uid="{00000000-0005-0000-0000-000042430000}"/>
    <cellStyle name="40% - Accent6 28 6" xfId="5422" xr:uid="{00000000-0005-0000-0000-000043430000}"/>
    <cellStyle name="40% - Accent6 28 6 2" xfId="16710" xr:uid="{00000000-0005-0000-0000-000044430000}"/>
    <cellStyle name="40% - Accent6 28 7" xfId="14716" xr:uid="{00000000-0005-0000-0000-000045430000}"/>
    <cellStyle name="40% - Accent6 28 8" xfId="13402" xr:uid="{00000000-0005-0000-0000-000046430000}"/>
    <cellStyle name="40% - Accent6 29" xfId="1467" xr:uid="{00000000-0005-0000-0000-000047430000}"/>
    <cellStyle name="40% - Accent6 29 2" xfId="4423" xr:uid="{00000000-0005-0000-0000-000048430000}"/>
    <cellStyle name="40% - Accent6 29 2 2" xfId="12402" xr:uid="{00000000-0005-0000-0000-000049430000}"/>
    <cellStyle name="40% - Accent6 29 2 2 2" xfId="23690" xr:uid="{00000000-0005-0000-0000-00004A430000}"/>
    <cellStyle name="40% - Accent6 29 2 3" xfId="10408" xr:uid="{00000000-0005-0000-0000-00004B430000}"/>
    <cellStyle name="40% - Accent6 29 2 3 2" xfId="21696" xr:uid="{00000000-0005-0000-0000-00004C430000}"/>
    <cellStyle name="40% - Accent6 29 2 4" xfId="8414" xr:uid="{00000000-0005-0000-0000-00004D430000}"/>
    <cellStyle name="40% - Accent6 29 2 4 2" xfId="19702" xr:uid="{00000000-0005-0000-0000-00004E430000}"/>
    <cellStyle name="40% - Accent6 29 2 5" xfId="6420" xr:uid="{00000000-0005-0000-0000-00004F430000}"/>
    <cellStyle name="40% - Accent6 29 2 5 2" xfId="17708" xr:uid="{00000000-0005-0000-0000-000050430000}"/>
    <cellStyle name="40% - Accent6 29 2 6" xfId="15714" xr:uid="{00000000-0005-0000-0000-000051430000}"/>
    <cellStyle name="40% - Accent6 29 3" xfId="11405" xr:uid="{00000000-0005-0000-0000-000052430000}"/>
    <cellStyle name="40% - Accent6 29 3 2" xfId="22693" xr:uid="{00000000-0005-0000-0000-000053430000}"/>
    <cellStyle name="40% - Accent6 29 4" xfId="9411" xr:uid="{00000000-0005-0000-0000-000054430000}"/>
    <cellStyle name="40% - Accent6 29 4 2" xfId="20699" xr:uid="{00000000-0005-0000-0000-000055430000}"/>
    <cellStyle name="40% - Accent6 29 5" xfId="7417" xr:uid="{00000000-0005-0000-0000-000056430000}"/>
    <cellStyle name="40% - Accent6 29 5 2" xfId="18705" xr:uid="{00000000-0005-0000-0000-000057430000}"/>
    <cellStyle name="40% - Accent6 29 6" xfId="5423" xr:uid="{00000000-0005-0000-0000-000058430000}"/>
    <cellStyle name="40% - Accent6 29 6 2" xfId="16711" xr:uid="{00000000-0005-0000-0000-000059430000}"/>
    <cellStyle name="40% - Accent6 29 7" xfId="14717" xr:uid="{00000000-0005-0000-0000-00005A430000}"/>
    <cellStyle name="40% - Accent6 29 8" xfId="13403" xr:uid="{00000000-0005-0000-0000-00005B430000}"/>
    <cellStyle name="40% - Accent6 3" xfId="1468" xr:uid="{00000000-0005-0000-0000-00005C430000}"/>
    <cellStyle name="40% - Accent6 3 10" xfId="24626" xr:uid="{00000000-0005-0000-0000-00005D430000}"/>
    <cellStyle name="40% - Accent6 3 11" xfId="25016" xr:uid="{00000000-0005-0000-0000-00005E430000}"/>
    <cellStyle name="40% - Accent6 3 2" xfId="4424" xr:uid="{00000000-0005-0000-0000-00005F430000}"/>
    <cellStyle name="40% - Accent6 3 2 2" xfId="12403" xr:uid="{00000000-0005-0000-0000-000060430000}"/>
    <cellStyle name="40% - Accent6 3 2 2 2" xfId="23691" xr:uid="{00000000-0005-0000-0000-000061430000}"/>
    <cellStyle name="40% - Accent6 3 2 3" xfId="10409" xr:uid="{00000000-0005-0000-0000-000062430000}"/>
    <cellStyle name="40% - Accent6 3 2 3 2" xfId="21697" xr:uid="{00000000-0005-0000-0000-000063430000}"/>
    <cellStyle name="40% - Accent6 3 2 4" xfId="8415" xr:uid="{00000000-0005-0000-0000-000064430000}"/>
    <cellStyle name="40% - Accent6 3 2 4 2" xfId="19703" xr:uid="{00000000-0005-0000-0000-000065430000}"/>
    <cellStyle name="40% - Accent6 3 2 5" xfId="6421" xr:uid="{00000000-0005-0000-0000-000066430000}"/>
    <cellStyle name="40% - Accent6 3 2 5 2" xfId="17709" xr:uid="{00000000-0005-0000-0000-000067430000}"/>
    <cellStyle name="40% - Accent6 3 2 6" xfId="15715" xr:uid="{00000000-0005-0000-0000-000068430000}"/>
    <cellStyle name="40% - Accent6 3 2 7" xfId="24387" xr:uid="{00000000-0005-0000-0000-000069430000}"/>
    <cellStyle name="40% - Accent6 3 2 8" xfId="24851" xr:uid="{00000000-0005-0000-0000-00006A430000}"/>
    <cellStyle name="40% - Accent6 3 2 9" xfId="25218" xr:uid="{00000000-0005-0000-0000-00006B430000}"/>
    <cellStyle name="40% - Accent6 3 3" xfId="11406" xr:uid="{00000000-0005-0000-0000-00006C430000}"/>
    <cellStyle name="40% - Accent6 3 3 2" xfId="22694" xr:uid="{00000000-0005-0000-0000-00006D430000}"/>
    <cellStyle name="40% - Accent6 3 4" xfId="9412" xr:uid="{00000000-0005-0000-0000-00006E430000}"/>
    <cellStyle name="40% - Accent6 3 4 2" xfId="20700" xr:uid="{00000000-0005-0000-0000-00006F430000}"/>
    <cellStyle name="40% - Accent6 3 5" xfId="7418" xr:uid="{00000000-0005-0000-0000-000070430000}"/>
    <cellStyle name="40% - Accent6 3 5 2" xfId="18706" xr:uid="{00000000-0005-0000-0000-000071430000}"/>
    <cellStyle name="40% - Accent6 3 6" xfId="5424" xr:uid="{00000000-0005-0000-0000-000072430000}"/>
    <cellStyle name="40% - Accent6 3 6 2" xfId="16712" xr:uid="{00000000-0005-0000-0000-000073430000}"/>
    <cellStyle name="40% - Accent6 3 7" xfId="14718" xr:uid="{00000000-0005-0000-0000-000074430000}"/>
    <cellStyle name="40% - Accent6 3 8" xfId="13404" xr:uid="{00000000-0005-0000-0000-000075430000}"/>
    <cellStyle name="40% - Accent6 3 9" xfId="23999" xr:uid="{00000000-0005-0000-0000-000076430000}"/>
    <cellStyle name="40% - Accent6 30" xfId="1469" xr:uid="{00000000-0005-0000-0000-000077430000}"/>
    <cellStyle name="40% - Accent6 30 2" xfId="4425" xr:uid="{00000000-0005-0000-0000-000078430000}"/>
    <cellStyle name="40% - Accent6 30 2 2" xfId="12404" xr:uid="{00000000-0005-0000-0000-000079430000}"/>
    <cellStyle name="40% - Accent6 30 2 2 2" xfId="23692" xr:uid="{00000000-0005-0000-0000-00007A430000}"/>
    <cellStyle name="40% - Accent6 30 2 3" xfId="10410" xr:uid="{00000000-0005-0000-0000-00007B430000}"/>
    <cellStyle name="40% - Accent6 30 2 3 2" xfId="21698" xr:uid="{00000000-0005-0000-0000-00007C430000}"/>
    <cellStyle name="40% - Accent6 30 2 4" xfId="8416" xr:uid="{00000000-0005-0000-0000-00007D430000}"/>
    <cellStyle name="40% - Accent6 30 2 4 2" xfId="19704" xr:uid="{00000000-0005-0000-0000-00007E430000}"/>
    <cellStyle name="40% - Accent6 30 2 5" xfId="6422" xr:uid="{00000000-0005-0000-0000-00007F430000}"/>
    <cellStyle name="40% - Accent6 30 2 5 2" xfId="17710" xr:uid="{00000000-0005-0000-0000-000080430000}"/>
    <cellStyle name="40% - Accent6 30 2 6" xfId="15716" xr:uid="{00000000-0005-0000-0000-000081430000}"/>
    <cellStyle name="40% - Accent6 30 3" xfId="11407" xr:uid="{00000000-0005-0000-0000-000082430000}"/>
    <cellStyle name="40% - Accent6 30 3 2" xfId="22695" xr:uid="{00000000-0005-0000-0000-000083430000}"/>
    <cellStyle name="40% - Accent6 30 4" xfId="9413" xr:uid="{00000000-0005-0000-0000-000084430000}"/>
    <cellStyle name="40% - Accent6 30 4 2" xfId="20701" xr:uid="{00000000-0005-0000-0000-000085430000}"/>
    <cellStyle name="40% - Accent6 30 5" xfId="7419" xr:uid="{00000000-0005-0000-0000-000086430000}"/>
    <cellStyle name="40% - Accent6 30 5 2" xfId="18707" xr:uid="{00000000-0005-0000-0000-000087430000}"/>
    <cellStyle name="40% - Accent6 30 6" xfId="5425" xr:uid="{00000000-0005-0000-0000-000088430000}"/>
    <cellStyle name="40% - Accent6 30 6 2" xfId="16713" xr:uid="{00000000-0005-0000-0000-000089430000}"/>
    <cellStyle name="40% - Accent6 30 7" xfId="14719" xr:uid="{00000000-0005-0000-0000-00008A430000}"/>
    <cellStyle name="40% - Accent6 30 8" xfId="13405" xr:uid="{00000000-0005-0000-0000-00008B430000}"/>
    <cellStyle name="40% - Accent6 31" xfId="1470" xr:uid="{00000000-0005-0000-0000-00008C430000}"/>
    <cellStyle name="40% - Accent6 31 2" xfId="4426" xr:uid="{00000000-0005-0000-0000-00008D430000}"/>
    <cellStyle name="40% - Accent6 31 2 2" xfId="12405" xr:uid="{00000000-0005-0000-0000-00008E430000}"/>
    <cellStyle name="40% - Accent6 31 2 2 2" xfId="23693" xr:uid="{00000000-0005-0000-0000-00008F430000}"/>
    <cellStyle name="40% - Accent6 31 2 3" xfId="10411" xr:uid="{00000000-0005-0000-0000-000090430000}"/>
    <cellStyle name="40% - Accent6 31 2 3 2" xfId="21699" xr:uid="{00000000-0005-0000-0000-000091430000}"/>
    <cellStyle name="40% - Accent6 31 2 4" xfId="8417" xr:uid="{00000000-0005-0000-0000-000092430000}"/>
    <cellStyle name="40% - Accent6 31 2 4 2" xfId="19705" xr:uid="{00000000-0005-0000-0000-000093430000}"/>
    <cellStyle name="40% - Accent6 31 2 5" xfId="6423" xr:uid="{00000000-0005-0000-0000-000094430000}"/>
    <cellStyle name="40% - Accent6 31 2 5 2" xfId="17711" xr:uid="{00000000-0005-0000-0000-000095430000}"/>
    <cellStyle name="40% - Accent6 31 2 6" xfId="15717" xr:uid="{00000000-0005-0000-0000-000096430000}"/>
    <cellStyle name="40% - Accent6 31 3" xfId="11408" xr:uid="{00000000-0005-0000-0000-000097430000}"/>
    <cellStyle name="40% - Accent6 31 3 2" xfId="22696" xr:uid="{00000000-0005-0000-0000-000098430000}"/>
    <cellStyle name="40% - Accent6 31 4" xfId="9414" xr:uid="{00000000-0005-0000-0000-000099430000}"/>
    <cellStyle name="40% - Accent6 31 4 2" xfId="20702" xr:uid="{00000000-0005-0000-0000-00009A430000}"/>
    <cellStyle name="40% - Accent6 31 5" xfId="7420" xr:uid="{00000000-0005-0000-0000-00009B430000}"/>
    <cellStyle name="40% - Accent6 31 5 2" xfId="18708" xr:uid="{00000000-0005-0000-0000-00009C430000}"/>
    <cellStyle name="40% - Accent6 31 6" xfId="5426" xr:uid="{00000000-0005-0000-0000-00009D430000}"/>
    <cellStyle name="40% - Accent6 31 6 2" xfId="16714" xr:uid="{00000000-0005-0000-0000-00009E430000}"/>
    <cellStyle name="40% - Accent6 31 7" xfId="14720" xr:uid="{00000000-0005-0000-0000-00009F430000}"/>
    <cellStyle name="40% - Accent6 31 8" xfId="13406" xr:uid="{00000000-0005-0000-0000-0000A0430000}"/>
    <cellStyle name="40% - Accent6 32" xfId="1471" xr:uid="{00000000-0005-0000-0000-0000A1430000}"/>
    <cellStyle name="40% - Accent6 32 2" xfId="4427" xr:uid="{00000000-0005-0000-0000-0000A2430000}"/>
    <cellStyle name="40% - Accent6 32 2 2" xfId="12406" xr:uid="{00000000-0005-0000-0000-0000A3430000}"/>
    <cellStyle name="40% - Accent6 32 2 2 2" xfId="23694" xr:uid="{00000000-0005-0000-0000-0000A4430000}"/>
    <cellStyle name="40% - Accent6 32 2 3" xfId="10412" xr:uid="{00000000-0005-0000-0000-0000A5430000}"/>
    <cellStyle name="40% - Accent6 32 2 3 2" xfId="21700" xr:uid="{00000000-0005-0000-0000-0000A6430000}"/>
    <cellStyle name="40% - Accent6 32 2 4" xfId="8418" xr:uid="{00000000-0005-0000-0000-0000A7430000}"/>
    <cellStyle name="40% - Accent6 32 2 4 2" xfId="19706" xr:uid="{00000000-0005-0000-0000-0000A8430000}"/>
    <cellStyle name="40% - Accent6 32 2 5" xfId="6424" xr:uid="{00000000-0005-0000-0000-0000A9430000}"/>
    <cellStyle name="40% - Accent6 32 2 5 2" xfId="17712" xr:uid="{00000000-0005-0000-0000-0000AA430000}"/>
    <cellStyle name="40% - Accent6 32 2 6" xfId="15718" xr:uid="{00000000-0005-0000-0000-0000AB430000}"/>
    <cellStyle name="40% - Accent6 32 3" xfId="11409" xr:uid="{00000000-0005-0000-0000-0000AC430000}"/>
    <cellStyle name="40% - Accent6 32 3 2" xfId="22697" xr:uid="{00000000-0005-0000-0000-0000AD430000}"/>
    <cellStyle name="40% - Accent6 32 4" xfId="9415" xr:uid="{00000000-0005-0000-0000-0000AE430000}"/>
    <cellStyle name="40% - Accent6 32 4 2" xfId="20703" xr:uid="{00000000-0005-0000-0000-0000AF430000}"/>
    <cellStyle name="40% - Accent6 32 5" xfId="7421" xr:uid="{00000000-0005-0000-0000-0000B0430000}"/>
    <cellStyle name="40% - Accent6 32 5 2" xfId="18709" xr:uid="{00000000-0005-0000-0000-0000B1430000}"/>
    <cellStyle name="40% - Accent6 32 6" xfId="5427" xr:uid="{00000000-0005-0000-0000-0000B2430000}"/>
    <cellStyle name="40% - Accent6 32 6 2" xfId="16715" xr:uid="{00000000-0005-0000-0000-0000B3430000}"/>
    <cellStyle name="40% - Accent6 32 7" xfId="14721" xr:uid="{00000000-0005-0000-0000-0000B4430000}"/>
    <cellStyle name="40% - Accent6 32 8" xfId="13407" xr:uid="{00000000-0005-0000-0000-0000B5430000}"/>
    <cellStyle name="40% - Accent6 33" xfId="1472" xr:uid="{00000000-0005-0000-0000-0000B6430000}"/>
    <cellStyle name="40% - Accent6 33 2" xfId="4428" xr:uid="{00000000-0005-0000-0000-0000B7430000}"/>
    <cellStyle name="40% - Accent6 33 2 2" xfId="12407" xr:uid="{00000000-0005-0000-0000-0000B8430000}"/>
    <cellStyle name="40% - Accent6 33 2 2 2" xfId="23695" xr:uid="{00000000-0005-0000-0000-0000B9430000}"/>
    <cellStyle name="40% - Accent6 33 2 3" xfId="10413" xr:uid="{00000000-0005-0000-0000-0000BA430000}"/>
    <cellStyle name="40% - Accent6 33 2 3 2" xfId="21701" xr:uid="{00000000-0005-0000-0000-0000BB430000}"/>
    <cellStyle name="40% - Accent6 33 2 4" xfId="8419" xr:uid="{00000000-0005-0000-0000-0000BC430000}"/>
    <cellStyle name="40% - Accent6 33 2 4 2" xfId="19707" xr:uid="{00000000-0005-0000-0000-0000BD430000}"/>
    <cellStyle name="40% - Accent6 33 2 5" xfId="6425" xr:uid="{00000000-0005-0000-0000-0000BE430000}"/>
    <cellStyle name="40% - Accent6 33 2 5 2" xfId="17713" xr:uid="{00000000-0005-0000-0000-0000BF430000}"/>
    <cellStyle name="40% - Accent6 33 2 6" xfId="15719" xr:uid="{00000000-0005-0000-0000-0000C0430000}"/>
    <cellStyle name="40% - Accent6 33 3" xfId="11410" xr:uid="{00000000-0005-0000-0000-0000C1430000}"/>
    <cellStyle name="40% - Accent6 33 3 2" xfId="22698" xr:uid="{00000000-0005-0000-0000-0000C2430000}"/>
    <cellStyle name="40% - Accent6 33 4" xfId="9416" xr:uid="{00000000-0005-0000-0000-0000C3430000}"/>
    <cellStyle name="40% - Accent6 33 4 2" xfId="20704" xr:uid="{00000000-0005-0000-0000-0000C4430000}"/>
    <cellStyle name="40% - Accent6 33 5" xfId="7422" xr:uid="{00000000-0005-0000-0000-0000C5430000}"/>
    <cellStyle name="40% - Accent6 33 5 2" xfId="18710" xr:uid="{00000000-0005-0000-0000-0000C6430000}"/>
    <cellStyle name="40% - Accent6 33 6" xfId="5428" xr:uid="{00000000-0005-0000-0000-0000C7430000}"/>
    <cellStyle name="40% - Accent6 33 6 2" xfId="16716" xr:uid="{00000000-0005-0000-0000-0000C8430000}"/>
    <cellStyle name="40% - Accent6 33 7" xfId="14722" xr:uid="{00000000-0005-0000-0000-0000C9430000}"/>
    <cellStyle name="40% - Accent6 33 8" xfId="13408" xr:uid="{00000000-0005-0000-0000-0000CA430000}"/>
    <cellStyle name="40% - Accent6 34" xfId="1473" xr:uid="{00000000-0005-0000-0000-0000CB430000}"/>
    <cellStyle name="40% - Accent6 34 2" xfId="4429" xr:uid="{00000000-0005-0000-0000-0000CC430000}"/>
    <cellStyle name="40% - Accent6 34 2 2" xfId="12408" xr:uid="{00000000-0005-0000-0000-0000CD430000}"/>
    <cellStyle name="40% - Accent6 34 2 2 2" xfId="23696" xr:uid="{00000000-0005-0000-0000-0000CE430000}"/>
    <cellStyle name="40% - Accent6 34 2 3" xfId="10414" xr:uid="{00000000-0005-0000-0000-0000CF430000}"/>
    <cellStyle name="40% - Accent6 34 2 3 2" xfId="21702" xr:uid="{00000000-0005-0000-0000-0000D0430000}"/>
    <cellStyle name="40% - Accent6 34 2 4" xfId="8420" xr:uid="{00000000-0005-0000-0000-0000D1430000}"/>
    <cellStyle name="40% - Accent6 34 2 4 2" xfId="19708" xr:uid="{00000000-0005-0000-0000-0000D2430000}"/>
    <cellStyle name="40% - Accent6 34 2 5" xfId="6426" xr:uid="{00000000-0005-0000-0000-0000D3430000}"/>
    <cellStyle name="40% - Accent6 34 2 5 2" xfId="17714" xr:uid="{00000000-0005-0000-0000-0000D4430000}"/>
    <cellStyle name="40% - Accent6 34 2 6" xfId="15720" xr:uid="{00000000-0005-0000-0000-0000D5430000}"/>
    <cellStyle name="40% - Accent6 34 3" xfId="11411" xr:uid="{00000000-0005-0000-0000-0000D6430000}"/>
    <cellStyle name="40% - Accent6 34 3 2" xfId="22699" xr:uid="{00000000-0005-0000-0000-0000D7430000}"/>
    <cellStyle name="40% - Accent6 34 4" xfId="9417" xr:uid="{00000000-0005-0000-0000-0000D8430000}"/>
    <cellStyle name="40% - Accent6 34 4 2" xfId="20705" xr:uid="{00000000-0005-0000-0000-0000D9430000}"/>
    <cellStyle name="40% - Accent6 34 5" xfId="7423" xr:uid="{00000000-0005-0000-0000-0000DA430000}"/>
    <cellStyle name="40% - Accent6 34 5 2" xfId="18711" xr:uid="{00000000-0005-0000-0000-0000DB430000}"/>
    <cellStyle name="40% - Accent6 34 6" xfId="5429" xr:uid="{00000000-0005-0000-0000-0000DC430000}"/>
    <cellStyle name="40% - Accent6 34 6 2" xfId="16717" xr:uid="{00000000-0005-0000-0000-0000DD430000}"/>
    <cellStyle name="40% - Accent6 34 7" xfId="14723" xr:uid="{00000000-0005-0000-0000-0000DE430000}"/>
    <cellStyle name="40% - Accent6 34 8" xfId="13409" xr:uid="{00000000-0005-0000-0000-0000DF430000}"/>
    <cellStyle name="40% - Accent6 35" xfId="1474" xr:uid="{00000000-0005-0000-0000-0000E0430000}"/>
    <cellStyle name="40% - Accent6 35 2" xfId="4430" xr:uid="{00000000-0005-0000-0000-0000E1430000}"/>
    <cellStyle name="40% - Accent6 35 2 2" xfId="12409" xr:uid="{00000000-0005-0000-0000-0000E2430000}"/>
    <cellStyle name="40% - Accent6 35 2 2 2" xfId="23697" xr:uid="{00000000-0005-0000-0000-0000E3430000}"/>
    <cellStyle name="40% - Accent6 35 2 3" xfId="10415" xr:uid="{00000000-0005-0000-0000-0000E4430000}"/>
    <cellStyle name="40% - Accent6 35 2 3 2" xfId="21703" xr:uid="{00000000-0005-0000-0000-0000E5430000}"/>
    <cellStyle name="40% - Accent6 35 2 4" xfId="8421" xr:uid="{00000000-0005-0000-0000-0000E6430000}"/>
    <cellStyle name="40% - Accent6 35 2 4 2" xfId="19709" xr:uid="{00000000-0005-0000-0000-0000E7430000}"/>
    <cellStyle name="40% - Accent6 35 2 5" xfId="6427" xr:uid="{00000000-0005-0000-0000-0000E8430000}"/>
    <cellStyle name="40% - Accent6 35 2 5 2" xfId="17715" xr:uid="{00000000-0005-0000-0000-0000E9430000}"/>
    <cellStyle name="40% - Accent6 35 2 6" xfId="15721" xr:uid="{00000000-0005-0000-0000-0000EA430000}"/>
    <cellStyle name="40% - Accent6 35 3" xfId="11412" xr:uid="{00000000-0005-0000-0000-0000EB430000}"/>
    <cellStyle name="40% - Accent6 35 3 2" xfId="22700" xr:uid="{00000000-0005-0000-0000-0000EC430000}"/>
    <cellStyle name="40% - Accent6 35 4" xfId="9418" xr:uid="{00000000-0005-0000-0000-0000ED430000}"/>
    <cellStyle name="40% - Accent6 35 4 2" xfId="20706" xr:uid="{00000000-0005-0000-0000-0000EE430000}"/>
    <cellStyle name="40% - Accent6 35 5" xfId="7424" xr:uid="{00000000-0005-0000-0000-0000EF430000}"/>
    <cellStyle name="40% - Accent6 35 5 2" xfId="18712" xr:uid="{00000000-0005-0000-0000-0000F0430000}"/>
    <cellStyle name="40% - Accent6 35 6" xfId="5430" xr:uid="{00000000-0005-0000-0000-0000F1430000}"/>
    <cellStyle name="40% - Accent6 35 6 2" xfId="16718" xr:uid="{00000000-0005-0000-0000-0000F2430000}"/>
    <cellStyle name="40% - Accent6 35 7" xfId="14724" xr:uid="{00000000-0005-0000-0000-0000F3430000}"/>
    <cellStyle name="40% - Accent6 35 8" xfId="13410" xr:uid="{00000000-0005-0000-0000-0000F4430000}"/>
    <cellStyle name="40% - Accent6 36" xfId="1475" xr:uid="{00000000-0005-0000-0000-0000F5430000}"/>
    <cellStyle name="40% - Accent6 36 2" xfId="4431" xr:uid="{00000000-0005-0000-0000-0000F6430000}"/>
    <cellStyle name="40% - Accent6 36 2 2" xfId="12410" xr:uid="{00000000-0005-0000-0000-0000F7430000}"/>
    <cellStyle name="40% - Accent6 36 2 2 2" xfId="23698" xr:uid="{00000000-0005-0000-0000-0000F8430000}"/>
    <cellStyle name="40% - Accent6 36 2 3" xfId="10416" xr:uid="{00000000-0005-0000-0000-0000F9430000}"/>
    <cellStyle name="40% - Accent6 36 2 3 2" xfId="21704" xr:uid="{00000000-0005-0000-0000-0000FA430000}"/>
    <cellStyle name="40% - Accent6 36 2 4" xfId="8422" xr:uid="{00000000-0005-0000-0000-0000FB430000}"/>
    <cellStyle name="40% - Accent6 36 2 4 2" xfId="19710" xr:uid="{00000000-0005-0000-0000-0000FC430000}"/>
    <cellStyle name="40% - Accent6 36 2 5" xfId="6428" xr:uid="{00000000-0005-0000-0000-0000FD430000}"/>
    <cellStyle name="40% - Accent6 36 2 5 2" xfId="17716" xr:uid="{00000000-0005-0000-0000-0000FE430000}"/>
    <cellStyle name="40% - Accent6 36 2 6" xfId="15722" xr:uid="{00000000-0005-0000-0000-0000FF430000}"/>
    <cellStyle name="40% - Accent6 36 3" xfId="11413" xr:uid="{00000000-0005-0000-0000-000000440000}"/>
    <cellStyle name="40% - Accent6 36 3 2" xfId="22701" xr:uid="{00000000-0005-0000-0000-000001440000}"/>
    <cellStyle name="40% - Accent6 36 4" xfId="9419" xr:uid="{00000000-0005-0000-0000-000002440000}"/>
    <cellStyle name="40% - Accent6 36 4 2" xfId="20707" xr:uid="{00000000-0005-0000-0000-000003440000}"/>
    <cellStyle name="40% - Accent6 36 5" xfId="7425" xr:uid="{00000000-0005-0000-0000-000004440000}"/>
    <cellStyle name="40% - Accent6 36 5 2" xfId="18713" xr:uid="{00000000-0005-0000-0000-000005440000}"/>
    <cellStyle name="40% - Accent6 36 6" xfId="5431" xr:uid="{00000000-0005-0000-0000-000006440000}"/>
    <cellStyle name="40% - Accent6 36 6 2" xfId="16719" xr:uid="{00000000-0005-0000-0000-000007440000}"/>
    <cellStyle name="40% - Accent6 36 7" xfId="14725" xr:uid="{00000000-0005-0000-0000-000008440000}"/>
    <cellStyle name="40% - Accent6 36 8" xfId="13411" xr:uid="{00000000-0005-0000-0000-000009440000}"/>
    <cellStyle name="40% - Accent6 37" xfId="1476" xr:uid="{00000000-0005-0000-0000-00000A440000}"/>
    <cellStyle name="40% - Accent6 37 2" xfId="4432" xr:uid="{00000000-0005-0000-0000-00000B440000}"/>
    <cellStyle name="40% - Accent6 37 2 2" xfId="12411" xr:uid="{00000000-0005-0000-0000-00000C440000}"/>
    <cellStyle name="40% - Accent6 37 2 2 2" xfId="23699" xr:uid="{00000000-0005-0000-0000-00000D440000}"/>
    <cellStyle name="40% - Accent6 37 2 3" xfId="10417" xr:uid="{00000000-0005-0000-0000-00000E440000}"/>
    <cellStyle name="40% - Accent6 37 2 3 2" xfId="21705" xr:uid="{00000000-0005-0000-0000-00000F440000}"/>
    <cellStyle name="40% - Accent6 37 2 4" xfId="8423" xr:uid="{00000000-0005-0000-0000-000010440000}"/>
    <cellStyle name="40% - Accent6 37 2 4 2" xfId="19711" xr:uid="{00000000-0005-0000-0000-000011440000}"/>
    <cellStyle name="40% - Accent6 37 2 5" xfId="6429" xr:uid="{00000000-0005-0000-0000-000012440000}"/>
    <cellStyle name="40% - Accent6 37 2 5 2" xfId="17717" xr:uid="{00000000-0005-0000-0000-000013440000}"/>
    <cellStyle name="40% - Accent6 37 2 6" xfId="15723" xr:uid="{00000000-0005-0000-0000-000014440000}"/>
    <cellStyle name="40% - Accent6 37 3" xfId="11414" xr:uid="{00000000-0005-0000-0000-000015440000}"/>
    <cellStyle name="40% - Accent6 37 3 2" xfId="22702" xr:uid="{00000000-0005-0000-0000-000016440000}"/>
    <cellStyle name="40% - Accent6 37 4" xfId="9420" xr:uid="{00000000-0005-0000-0000-000017440000}"/>
    <cellStyle name="40% - Accent6 37 4 2" xfId="20708" xr:uid="{00000000-0005-0000-0000-000018440000}"/>
    <cellStyle name="40% - Accent6 37 5" xfId="7426" xr:uid="{00000000-0005-0000-0000-000019440000}"/>
    <cellStyle name="40% - Accent6 37 5 2" xfId="18714" xr:uid="{00000000-0005-0000-0000-00001A440000}"/>
    <cellStyle name="40% - Accent6 37 6" xfId="5432" xr:uid="{00000000-0005-0000-0000-00001B440000}"/>
    <cellStyle name="40% - Accent6 37 6 2" xfId="16720" xr:uid="{00000000-0005-0000-0000-00001C440000}"/>
    <cellStyle name="40% - Accent6 37 7" xfId="14726" xr:uid="{00000000-0005-0000-0000-00001D440000}"/>
    <cellStyle name="40% - Accent6 37 8" xfId="13412" xr:uid="{00000000-0005-0000-0000-00001E440000}"/>
    <cellStyle name="40% - Accent6 38" xfId="1477" xr:uid="{00000000-0005-0000-0000-00001F440000}"/>
    <cellStyle name="40% - Accent6 38 2" xfId="4433" xr:uid="{00000000-0005-0000-0000-000020440000}"/>
    <cellStyle name="40% - Accent6 38 2 2" xfId="12412" xr:uid="{00000000-0005-0000-0000-000021440000}"/>
    <cellStyle name="40% - Accent6 38 2 2 2" xfId="23700" xr:uid="{00000000-0005-0000-0000-000022440000}"/>
    <cellStyle name="40% - Accent6 38 2 3" xfId="10418" xr:uid="{00000000-0005-0000-0000-000023440000}"/>
    <cellStyle name="40% - Accent6 38 2 3 2" xfId="21706" xr:uid="{00000000-0005-0000-0000-000024440000}"/>
    <cellStyle name="40% - Accent6 38 2 4" xfId="8424" xr:uid="{00000000-0005-0000-0000-000025440000}"/>
    <cellStyle name="40% - Accent6 38 2 4 2" xfId="19712" xr:uid="{00000000-0005-0000-0000-000026440000}"/>
    <cellStyle name="40% - Accent6 38 2 5" xfId="6430" xr:uid="{00000000-0005-0000-0000-000027440000}"/>
    <cellStyle name="40% - Accent6 38 2 5 2" xfId="17718" xr:uid="{00000000-0005-0000-0000-000028440000}"/>
    <cellStyle name="40% - Accent6 38 2 6" xfId="15724" xr:uid="{00000000-0005-0000-0000-000029440000}"/>
    <cellStyle name="40% - Accent6 38 3" xfId="11415" xr:uid="{00000000-0005-0000-0000-00002A440000}"/>
    <cellStyle name="40% - Accent6 38 3 2" xfId="22703" xr:uid="{00000000-0005-0000-0000-00002B440000}"/>
    <cellStyle name="40% - Accent6 38 4" xfId="9421" xr:uid="{00000000-0005-0000-0000-00002C440000}"/>
    <cellStyle name="40% - Accent6 38 4 2" xfId="20709" xr:uid="{00000000-0005-0000-0000-00002D440000}"/>
    <cellStyle name="40% - Accent6 38 5" xfId="7427" xr:uid="{00000000-0005-0000-0000-00002E440000}"/>
    <cellStyle name="40% - Accent6 38 5 2" xfId="18715" xr:uid="{00000000-0005-0000-0000-00002F440000}"/>
    <cellStyle name="40% - Accent6 38 6" xfId="5433" xr:uid="{00000000-0005-0000-0000-000030440000}"/>
    <cellStyle name="40% - Accent6 38 6 2" xfId="16721" xr:uid="{00000000-0005-0000-0000-000031440000}"/>
    <cellStyle name="40% - Accent6 38 7" xfId="14727" xr:uid="{00000000-0005-0000-0000-000032440000}"/>
    <cellStyle name="40% - Accent6 38 8" xfId="13413" xr:uid="{00000000-0005-0000-0000-000033440000}"/>
    <cellStyle name="40% - Accent6 39" xfId="1478" xr:uid="{00000000-0005-0000-0000-000034440000}"/>
    <cellStyle name="40% - Accent6 39 2" xfId="4434" xr:uid="{00000000-0005-0000-0000-000035440000}"/>
    <cellStyle name="40% - Accent6 39 2 2" xfId="12413" xr:uid="{00000000-0005-0000-0000-000036440000}"/>
    <cellStyle name="40% - Accent6 39 2 2 2" xfId="23701" xr:uid="{00000000-0005-0000-0000-000037440000}"/>
    <cellStyle name="40% - Accent6 39 2 3" xfId="10419" xr:uid="{00000000-0005-0000-0000-000038440000}"/>
    <cellStyle name="40% - Accent6 39 2 3 2" xfId="21707" xr:uid="{00000000-0005-0000-0000-000039440000}"/>
    <cellStyle name="40% - Accent6 39 2 4" xfId="8425" xr:uid="{00000000-0005-0000-0000-00003A440000}"/>
    <cellStyle name="40% - Accent6 39 2 4 2" xfId="19713" xr:uid="{00000000-0005-0000-0000-00003B440000}"/>
    <cellStyle name="40% - Accent6 39 2 5" xfId="6431" xr:uid="{00000000-0005-0000-0000-00003C440000}"/>
    <cellStyle name="40% - Accent6 39 2 5 2" xfId="17719" xr:uid="{00000000-0005-0000-0000-00003D440000}"/>
    <cellStyle name="40% - Accent6 39 2 6" xfId="15725" xr:uid="{00000000-0005-0000-0000-00003E440000}"/>
    <cellStyle name="40% - Accent6 39 3" xfId="11416" xr:uid="{00000000-0005-0000-0000-00003F440000}"/>
    <cellStyle name="40% - Accent6 39 3 2" xfId="22704" xr:uid="{00000000-0005-0000-0000-000040440000}"/>
    <cellStyle name="40% - Accent6 39 4" xfId="9422" xr:uid="{00000000-0005-0000-0000-000041440000}"/>
    <cellStyle name="40% - Accent6 39 4 2" xfId="20710" xr:uid="{00000000-0005-0000-0000-000042440000}"/>
    <cellStyle name="40% - Accent6 39 5" xfId="7428" xr:uid="{00000000-0005-0000-0000-000043440000}"/>
    <cellStyle name="40% - Accent6 39 5 2" xfId="18716" xr:uid="{00000000-0005-0000-0000-000044440000}"/>
    <cellStyle name="40% - Accent6 39 6" xfId="5434" xr:uid="{00000000-0005-0000-0000-000045440000}"/>
    <cellStyle name="40% - Accent6 39 6 2" xfId="16722" xr:uid="{00000000-0005-0000-0000-000046440000}"/>
    <cellStyle name="40% - Accent6 39 7" xfId="14728" xr:uid="{00000000-0005-0000-0000-000047440000}"/>
    <cellStyle name="40% - Accent6 39 8" xfId="13414" xr:uid="{00000000-0005-0000-0000-000048440000}"/>
    <cellStyle name="40% - Accent6 4" xfId="1479" xr:uid="{00000000-0005-0000-0000-000049440000}"/>
    <cellStyle name="40% - Accent6 4 10" xfId="24627" xr:uid="{00000000-0005-0000-0000-00004A440000}"/>
    <cellStyle name="40% - Accent6 4 11" xfId="25017" xr:uid="{00000000-0005-0000-0000-00004B440000}"/>
    <cellStyle name="40% - Accent6 4 2" xfId="4435" xr:uid="{00000000-0005-0000-0000-00004C440000}"/>
    <cellStyle name="40% - Accent6 4 2 2" xfId="12414" xr:uid="{00000000-0005-0000-0000-00004D440000}"/>
    <cellStyle name="40% - Accent6 4 2 2 2" xfId="23702" xr:uid="{00000000-0005-0000-0000-00004E440000}"/>
    <cellStyle name="40% - Accent6 4 2 3" xfId="10420" xr:uid="{00000000-0005-0000-0000-00004F440000}"/>
    <cellStyle name="40% - Accent6 4 2 3 2" xfId="21708" xr:uid="{00000000-0005-0000-0000-000050440000}"/>
    <cellStyle name="40% - Accent6 4 2 4" xfId="8426" xr:uid="{00000000-0005-0000-0000-000051440000}"/>
    <cellStyle name="40% - Accent6 4 2 4 2" xfId="19714" xr:uid="{00000000-0005-0000-0000-000052440000}"/>
    <cellStyle name="40% - Accent6 4 2 5" xfId="6432" xr:uid="{00000000-0005-0000-0000-000053440000}"/>
    <cellStyle name="40% - Accent6 4 2 5 2" xfId="17720" xr:uid="{00000000-0005-0000-0000-000054440000}"/>
    <cellStyle name="40% - Accent6 4 2 6" xfId="15726" xr:uid="{00000000-0005-0000-0000-000055440000}"/>
    <cellStyle name="40% - Accent6 4 2 7" xfId="24388" xr:uid="{00000000-0005-0000-0000-000056440000}"/>
    <cellStyle name="40% - Accent6 4 2 8" xfId="24852" xr:uid="{00000000-0005-0000-0000-000057440000}"/>
    <cellStyle name="40% - Accent6 4 2 9" xfId="25219" xr:uid="{00000000-0005-0000-0000-000058440000}"/>
    <cellStyle name="40% - Accent6 4 3" xfId="11417" xr:uid="{00000000-0005-0000-0000-000059440000}"/>
    <cellStyle name="40% - Accent6 4 3 2" xfId="22705" xr:uid="{00000000-0005-0000-0000-00005A440000}"/>
    <cellStyle name="40% - Accent6 4 4" xfId="9423" xr:uid="{00000000-0005-0000-0000-00005B440000}"/>
    <cellStyle name="40% - Accent6 4 4 2" xfId="20711" xr:uid="{00000000-0005-0000-0000-00005C440000}"/>
    <cellStyle name="40% - Accent6 4 5" xfId="7429" xr:uid="{00000000-0005-0000-0000-00005D440000}"/>
    <cellStyle name="40% - Accent6 4 5 2" xfId="18717" xr:uid="{00000000-0005-0000-0000-00005E440000}"/>
    <cellStyle name="40% - Accent6 4 6" xfId="5435" xr:uid="{00000000-0005-0000-0000-00005F440000}"/>
    <cellStyle name="40% - Accent6 4 6 2" xfId="16723" xr:uid="{00000000-0005-0000-0000-000060440000}"/>
    <cellStyle name="40% - Accent6 4 7" xfId="14729" xr:uid="{00000000-0005-0000-0000-000061440000}"/>
    <cellStyle name="40% - Accent6 4 8" xfId="13415" xr:uid="{00000000-0005-0000-0000-000062440000}"/>
    <cellStyle name="40% - Accent6 4 9" xfId="24000" xr:uid="{00000000-0005-0000-0000-000063440000}"/>
    <cellStyle name="40% - Accent6 40" xfId="1480" xr:uid="{00000000-0005-0000-0000-000064440000}"/>
    <cellStyle name="40% - Accent6 40 2" xfId="4436" xr:uid="{00000000-0005-0000-0000-000065440000}"/>
    <cellStyle name="40% - Accent6 40 2 2" xfId="12415" xr:uid="{00000000-0005-0000-0000-000066440000}"/>
    <cellStyle name="40% - Accent6 40 2 2 2" xfId="23703" xr:uid="{00000000-0005-0000-0000-000067440000}"/>
    <cellStyle name="40% - Accent6 40 2 3" xfId="10421" xr:uid="{00000000-0005-0000-0000-000068440000}"/>
    <cellStyle name="40% - Accent6 40 2 3 2" xfId="21709" xr:uid="{00000000-0005-0000-0000-000069440000}"/>
    <cellStyle name="40% - Accent6 40 2 4" xfId="8427" xr:uid="{00000000-0005-0000-0000-00006A440000}"/>
    <cellStyle name="40% - Accent6 40 2 4 2" xfId="19715" xr:uid="{00000000-0005-0000-0000-00006B440000}"/>
    <cellStyle name="40% - Accent6 40 2 5" xfId="6433" xr:uid="{00000000-0005-0000-0000-00006C440000}"/>
    <cellStyle name="40% - Accent6 40 2 5 2" xfId="17721" xr:uid="{00000000-0005-0000-0000-00006D440000}"/>
    <cellStyle name="40% - Accent6 40 2 6" xfId="15727" xr:uid="{00000000-0005-0000-0000-00006E440000}"/>
    <cellStyle name="40% - Accent6 40 3" xfId="11418" xr:uid="{00000000-0005-0000-0000-00006F440000}"/>
    <cellStyle name="40% - Accent6 40 3 2" xfId="22706" xr:uid="{00000000-0005-0000-0000-000070440000}"/>
    <cellStyle name="40% - Accent6 40 4" xfId="9424" xr:uid="{00000000-0005-0000-0000-000071440000}"/>
    <cellStyle name="40% - Accent6 40 4 2" xfId="20712" xr:uid="{00000000-0005-0000-0000-000072440000}"/>
    <cellStyle name="40% - Accent6 40 5" xfId="7430" xr:uid="{00000000-0005-0000-0000-000073440000}"/>
    <cellStyle name="40% - Accent6 40 5 2" xfId="18718" xr:uid="{00000000-0005-0000-0000-000074440000}"/>
    <cellStyle name="40% - Accent6 40 6" xfId="5436" xr:uid="{00000000-0005-0000-0000-000075440000}"/>
    <cellStyle name="40% - Accent6 40 6 2" xfId="16724" xr:uid="{00000000-0005-0000-0000-000076440000}"/>
    <cellStyle name="40% - Accent6 40 7" xfId="14730" xr:uid="{00000000-0005-0000-0000-000077440000}"/>
    <cellStyle name="40% - Accent6 40 8" xfId="13416" xr:uid="{00000000-0005-0000-0000-000078440000}"/>
    <cellStyle name="40% - Accent6 41" xfId="1481" xr:uid="{00000000-0005-0000-0000-000079440000}"/>
    <cellStyle name="40% - Accent6 41 2" xfId="4437" xr:uid="{00000000-0005-0000-0000-00007A440000}"/>
    <cellStyle name="40% - Accent6 41 2 2" xfId="12416" xr:uid="{00000000-0005-0000-0000-00007B440000}"/>
    <cellStyle name="40% - Accent6 41 2 2 2" xfId="23704" xr:uid="{00000000-0005-0000-0000-00007C440000}"/>
    <cellStyle name="40% - Accent6 41 2 3" xfId="10422" xr:uid="{00000000-0005-0000-0000-00007D440000}"/>
    <cellStyle name="40% - Accent6 41 2 3 2" xfId="21710" xr:uid="{00000000-0005-0000-0000-00007E440000}"/>
    <cellStyle name="40% - Accent6 41 2 4" xfId="8428" xr:uid="{00000000-0005-0000-0000-00007F440000}"/>
    <cellStyle name="40% - Accent6 41 2 4 2" xfId="19716" xr:uid="{00000000-0005-0000-0000-000080440000}"/>
    <cellStyle name="40% - Accent6 41 2 5" xfId="6434" xr:uid="{00000000-0005-0000-0000-000081440000}"/>
    <cellStyle name="40% - Accent6 41 2 5 2" xfId="17722" xr:uid="{00000000-0005-0000-0000-000082440000}"/>
    <cellStyle name="40% - Accent6 41 2 6" xfId="15728" xr:uid="{00000000-0005-0000-0000-000083440000}"/>
    <cellStyle name="40% - Accent6 41 3" xfId="11419" xr:uid="{00000000-0005-0000-0000-000084440000}"/>
    <cellStyle name="40% - Accent6 41 3 2" xfId="22707" xr:uid="{00000000-0005-0000-0000-000085440000}"/>
    <cellStyle name="40% - Accent6 41 4" xfId="9425" xr:uid="{00000000-0005-0000-0000-000086440000}"/>
    <cellStyle name="40% - Accent6 41 4 2" xfId="20713" xr:uid="{00000000-0005-0000-0000-000087440000}"/>
    <cellStyle name="40% - Accent6 41 5" xfId="7431" xr:uid="{00000000-0005-0000-0000-000088440000}"/>
    <cellStyle name="40% - Accent6 41 5 2" xfId="18719" xr:uid="{00000000-0005-0000-0000-000089440000}"/>
    <cellStyle name="40% - Accent6 41 6" xfId="5437" xr:uid="{00000000-0005-0000-0000-00008A440000}"/>
    <cellStyle name="40% - Accent6 41 6 2" xfId="16725" xr:uid="{00000000-0005-0000-0000-00008B440000}"/>
    <cellStyle name="40% - Accent6 41 7" xfId="14731" xr:uid="{00000000-0005-0000-0000-00008C440000}"/>
    <cellStyle name="40% - Accent6 41 8" xfId="13417" xr:uid="{00000000-0005-0000-0000-00008D440000}"/>
    <cellStyle name="40% - Accent6 42" xfId="1482" xr:uid="{00000000-0005-0000-0000-00008E440000}"/>
    <cellStyle name="40% - Accent6 42 2" xfId="4438" xr:uid="{00000000-0005-0000-0000-00008F440000}"/>
    <cellStyle name="40% - Accent6 42 2 2" xfId="12417" xr:uid="{00000000-0005-0000-0000-000090440000}"/>
    <cellStyle name="40% - Accent6 42 2 2 2" xfId="23705" xr:uid="{00000000-0005-0000-0000-000091440000}"/>
    <cellStyle name="40% - Accent6 42 2 3" xfId="10423" xr:uid="{00000000-0005-0000-0000-000092440000}"/>
    <cellStyle name="40% - Accent6 42 2 3 2" xfId="21711" xr:uid="{00000000-0005-0000-0000-000093440000}"/>
    <cellStyle name="40% - Accent6 42 2 4" xfId="8429" xr:uid="{00000000-0005-0000-0000-000094440000}"/>
    <cellStyle name="40% - Accent6 42 2 4 2" xfId="19717" xr:uid="{00000000-0005-0000-0000-000095440000}"/>
    <cellStyle name="40% - Accent6 42 2 5" xfId="6435" xr:uid="{00000000-0005-0000-0000-000096440000}"/>
    <cellStyle name="40% - Accent6 42 2 5 2" xfId="17723" xr:uid="{00000000-0005-0000-0000-000097440000}"/>
    <cellStyle name="40% - Accent6 42 2 6" xfId="15729" xr:uid="{00000000-0005-0000-0000-000098440000}"/>
    <cellStyle name="40% - Accent6 42 3" xfId="11420" xr:uid="{00000000-0005-0000-0000-000099440000}"/>
    <cellStyle name="40% - Accent6 42 3 2" xfId="22708" xr:uid="{00000000-0005-0000-0000-00009A440000}"/>
    <cellStyle name="40% - Accent6 42 4" xfId="9426" xr:uid="{00000000-0005-0000-0000-00009B440000}"/>
    <cellStyle name="40% - Accent6 42 4 2" xfId="20714" xr:uid="{00000000-0005-0000-0000-00009C440000}"/>
    <cellStyle name="40% - Accent6 42 5" xfId="7432" xr:uid="{00000000-0005-0000-0000-00009D440000}"/>
    <cellStyle name="40% - Accent6 42 5 2" xfId="18720" xr:uid="{00000000-0005-0000-0000-00009E440000}"/>
    <cellStyle name="40% - Accent6 42 6" xfId="5438" xr:uid="{00000000-0005-0000-0000-00009F440000}"/>
    <cellStyle name="40% - Accent6 42 6 2" xfId="16726" xr:uid="{00000000-0005-0000-0000-0000A0440000}"/>
    <cellStyle name="40% - Accent6 42 7" xfId="14732" xr:uid="{00000000-0005-0000-0000-0000A1440000}"/>
    <cellStyle name="40% - Accent6 42 8" xfId="13418" xr:uid="{00000000-0005-0000-0000-0000A2440000}"/>
    <cellStyle name="40% - Accent6 43" xfId="1483" xr:uid="{00000000-0005-0000-0000-0000A3440000}"/>
    <cellStyle name="40% - Accent6 43 2" xfId="4439" xr:uid="{00000000-0005-0000-0000-0000A4440000}"/>
    <cellStyle name="40% - Accent6 43 2 2" xfId="12418" xr:uid="{00000000-0005-0000-0000-0000A5440000}"/>
    <cellStyle name="40% - Accent6 43 2 2 2" xfId="23706" xr:uid="{00000000-0005-0000-0000-0000A6440000}"/>
    <cellStyle name="40% - Accent6 43 2 3" xfId="10424" xr:uid="{00000000-0005-0000-0000-0000A7440000}"/>
    <cellStyle name="40% - Accent6 43 2 3 2" xfId="21712" xr:uid="{00000000-0005-0000-0000-0000A8440000}"/>
    <cellStyle name="40% - Accent6 43 2 4" xfId="8430" xr:uid="{00000000-0005-0000-0000-0000A9440000}"/>
    <cellStyle name="40% - Accent6 43 2 4 2" xfId="19718" xr:uid="{00000000-0005-0000-0000-0000AA440000}"/>
    <cellStyle name="40% - Accent6 43 2 5" xfId="6436" xr:uid="{00000000-0005-0000-0000-0000AB440000}"/>
    <cellStyle name="40% - Accent6 43 2 5 2" xfId="17724" xr:uid="{00000000-0005-0000-0000-0000AC440000}"/>
    <cellStyle name="40% - Accent6 43 2 6" xfId="15730" xr:uid="{00000000-0005-0000-0000-0000AD440000}"/>
    <cellStyle name="40% - Accent6 43 3" xfId="11421" xr:uid="{00000000-0005-0000-0000-0000AE440000}"/>
    <cellStyle name="40% - Accent6 43 3 2" xfId="22709" xr:uid="{00000000-0005-0000-0000-0000AF440000}"/>
    <cellStyle name="40% - Accent6 43 4" xfId="9427" xr:uid="{00000000-0005-0000-0000-0000B0440000}"/>
    <cellStyle name="40% - Accent6 43 4 2" xfId="20715" xr:uid="{00000000-0005-0000-0000-0000B1440000}"/>
    <cellStyle name="40% - Accent6 43 5" xfId="7433" xr:uid="{00000000-0005-0000-0000-0000B2440000}"/>
    <cellStyle name="40% - Accent6 43 5 2" xfId="18721" xr:uid="{00000000-0005-0000-0000-0000B3440000}"/>
    <cellStyle name="40% - Accent6 43 6" xfId="5439" xr:uid="{00000000-0005-0000-0000-0000B4440000}"/>
    <cellStyle name="40% - Accent6 43 6 2" xfId="16727" xr:uid="{00000000-0005-0000-0000-0000B5440000}"/>
    <cellStyle name="40% - Accent6 43 7" xfId="14733" xr:uid="{00000000-0005-0000-0000-0000B6440000}"/>
    <cellStyle name="40% - Accent6 43 8" xfId="13419" xr:uid="{00000000-0005-0000-0000-0000B7440000}"/>
    <cellStyle name="40% - Accent6 44" xfId="1484" xr:uid="{00000000-0005-0000-0000-0000B8440000}"/>
    <cellStyle name="40% - Accent6 44 2" xfId="4440" xr:uid="{00000000-0005-0000-0000-0000B9440000}"/>
    <cellStyle name="40% - Accent6 44 2 2" xfId="12419" xr:uid="{00000000-0005-0000-0000-0000BA440000}"/>
    <cellStyle name="40% - Accent6 44 2 2 2" xfId="23707" xr:uid="{00000000-0005-0000-0000-0000BB440000}"/>
    <cellStyle name="40% - Accent6 44 2 3" xfId="10425" xr:uid="{00000000-0005-0000-0000-0000BC440000}"/>
    <cellStyle name="40% - Accent6 44 2 3 2" xfId="21713" xr:uid="{00000000-0005-0000-0000-0000BD440000}"/>
    <cellStyle name="40% - Accent6 44 2 4" xfId="8431" xr:uid="{00000000-0005-0000-0000-0000BE440000}"/>
    <cellStyle name="40% - Accent6 44 2 4 2" xfId="19719" xr:uid="{00000000-0005-0000-0000-0000BF440000}"/>
    <cellStyle name="40% - Accent6 44 2 5" xfId="6437" xr:uid="{00000000-0005-0000-0000-0000C0440000}"/>
    <cellStyle name="40% - Accent6 44 2 5 2" xfId="17725" xr:uid="{00000000-0005-0000-0000-0000C1440000}"/>
    <cellStyle name="40% - Accent6 44 2 6" xfId="15731" xr:uid="{00000000-0005-0000-0000-0000C2440000}"/>
    <cellStyle name="40% - Accent6 44 3" xfId="11422" xr:uid="{00000000-0005-0000-0000-0000C3440000}"/>
    <cellStyle name="40% - Accent6 44 3 2" xfId="22710" xr:uid="{00000000-0005-0000-0000-0000C4440000}"/>
    <cellStyle name="40% - Accent6 44 4" xfId="9428" xr:uid="{00000000-0005-0000-0000-0000C5440000}"/>
    <cellStyle name="40% - Accent6 44 4 2" xfId="20716" xr:uid="{00000000-0005-0000-0000-0000C6440000}"/>
    <cellStyle name="40% - Accent6 44 5" xfId="7434" xr:uid="{00000000-0005-0000-0000-0000C7440000}"/>
    <cellStyle name="40% - Accent6 44 5 2" xfId="18722" xr:uid="{00000000-0005-0000-0000-0000C8440000}"/>
    <cellStyle name="40% - Accent6 44 6" xfId="5440" xr:uid="{00000000-0005-0000-0000-0000C9440000}"/>
    <cellStyle name="40% - Accent6 44 6 2" xfId="16728" xr:uid="{00000000-0005-0000-0000-0000CA440000}"/>
    <cellStyle name="40% - Accent6 44 7" xfId="14734" xr:uid="{00000000-0005-0000-0000-0000CB440000}"/>
    <cellStyle name="40% - Accent6 44 8" xfId="13420" xr:uid="{00000000-0005-0000-0000-0000CC440000}"/>
    <cellStyle name="40% - Accent6 45" xfId="1485" xr:uid="{00000000-0005-0000-0000-0000CD440000}"/>
    <cellStyle name="40% - Accent6 45 2" xfId="4441" xr:uid="{00000000-0005-0000-0000-0000CE440000}"/>
    <cellStyle name="40% - Accent6 45 2 2" xfId="12420" xr:uid="{00000000-0005-0000-0000-0000CF440000}"/>
    <cellStyle name="40% - Accent6 45 2 2 2" xfId="23708" xr:uid="{00000000-0005-0000-0000-0000D0440000}"/>
    <cellStyle name="40% - Accent6 45 2 3" xfId="10426" xr:uid="{00000000-0005-0000-0000-0000D1440000}"/>
    <cellStyle name="40% - Accent6 45 2 3 2" xfId="21714" xr:uid="{00000000-0005-0000-0000-0000D2440000}"/>
    <cellStyle name="40% - Accent6 45 2 4" xfId="8432" xr:uid="{00000000-0005-0000-0000-0000D3440000}"/>
    <cellStyle name="40% - Accent6 45 2 4 2" xfId="19720" xr:uid="{00000000-0005-0000-0000-0000D4440000}"/>
    <cellStyle name="40% - Accent6 45 2 5" xfId="6438" xr:uid="{00000000-0005-0000-0000-0000D5440000}"/>
    <cellStyle name="40% - Accent6 45 2 5 2" xfId="17726" xr:uid="{00000000-0005-0000-0000-0000D6440000}"/>
    <cellStyle name="40% - Accent6 45 2 6" xfId="15732" xr:uid="{00000000-0005-0000-0000-0000D7440000}"/>
    <cellStyle name="40% - Accent6 45 3" xfId="11423" xr:uid="{00000000-0005-0000-0000-0000D8440000}"/>
    <cellStyle name="40% - Accent6 45 3 2" xfId="22711" xr:uid="{00000000-0005-0000-0000-0000D9440000}"/>
    <cellStyle name="40% - Accent6 45 4" xfId="9429" xr:uid="{00000000-0005-0000-0000-0000DA440000}"/>
    <cellStyle name="40% - Accent6 45 4 2" xfId="20717" xr:uid="{00000000-0005-0000-0000-0000DB440000}"/>
    <cellStyle name="40% - Accent6 45 5" xfId="7435" xr:uid="{00000000-0005-0000-0000-0000DC440000}"/>
    <cellStyle name="40% - Accent6 45 5 2" xfId="18723" xr:uid="{00000000-0005-0000-0000-0000DD440000}"/>
    <cellStyle name="40% - Accent6 45 6" xfId="5441" xr:uid="{00000000-0005-0000-0000-0000DE440000}"/>
    <cellStyle name="40% - Accent6 45 6 2" xfId="16729" xr:uid="{00000000-0005-0000-0000-0000DF440000}"/>
    <cellStyle name="40% - Accent6 45 7" xfId="14735" xr:uid="{00000000-0005-0000-0000-0000E0440000}"/>
    <cellStyle name="40% - Accent6 45 8" xfId="13421" xr:uid="{00000000-0005-0000-0000-0000E1440000}"/>
    <cellStyle name="40% - Accent6 46" xfId="1486" xr:uid="{00000000-0005-0000-0000-0000E2440000}"/>
    <cellStyle name="40% - Accent6 46 2" xfId="4442" xr:uid="{00000000-0005-0000-0000-0000E3440000}"/>
    <cellStyle name="40% - Accent6 46 2 2" xfId="12421" xr:uid="{00000000-0005-0000-0000-0000E4440000}"/>
    <cellStyle name="40% - Accent6 46 2 2 2" xfId="23709" xr:uid="{00000000-0005-0000-0000-0000E5440000}"/>
    <cellStyle name="40% - Accent6 46 2 3" xfId="10427" xr:uid="{00000000-0005-0000-0000-0000E6440000}"/>
    <cellStyle name="40% - Accent6 46 2 3 2" xfId="21715" xr:uid="{00000000-0005-0000-0000-0000E7440000}"/>
    <cellStyle name="40% - Accent6 46 2 4" xfId="8433" xr:uid="{00000000-0005-0000-0000-0000E8440000}"/>
    <cellStyle name="40% - Accent6 46 2 4 2" xfId="19721" xr:uid="{00000000-0005-0000-0000-0000E9440000}"/>
    <cellStyle name="40% - Accent6 46 2 5" xfId="6439" xr:uid="{00000000-0005-0000-0000-0000EA440000}"/>
    <cellStyle name="40% - Accent6 46 2 5 2" xfId="17727" xr:uid="{00000000-0005-0000-0000-0000EB440000}"/>
    <cellStyle name="40% - Accent6 46 2 6" xfId="15733" xr:uid="{00000000-0005-0000-0000-0000EC440000}"/>
    <cellStyle name="40% - Accent6 46 3" xfId="11424" xr:uid="{00000000-0005-0000-0000-0000ED440000}"/>
    <cellStyle name="40% - Accent6 46 3 2" xfId="22712" xr:uid="{00000000-0005-0000-0000-0000EE440000}"/>
    <cellStyle name="40% - Accent6 46 4" xfId="9430" xr:uid="{00000000-0005-0000-0000-0000EF440000}"/>
    <cellStyle name="40% - Accent6 46 4 2" xfId="20718" xr:uid="{00000000-0005-0000-0000-0000F0440000}"/>
    <cellStyle name="40% - Accent6 46 5" xfId="7436" xr:uid="{00000000-0005-0000-0000-0000F1440000}"/>
    <cellStyle name="40% - Accent6 46 5 2" xfId="18724" xr:uid="{00000000-0005-0000-0000-0000F2440000}"/>
    <cellStyle name="40% - Accent6 46 6" xfId="5442" xr:uid="{00000000-0005-0000-0000-0000F3440000}"/>
    <cellStyle name="40% - Accent6 46 6 2" xfId="16730" xr:uid="{00000000-0005-0000-0000-0000F4440000}"/>
    <cellStyle name="40% - Accent6 46 7" xfId="14736" xr:uid="{00000000-0005-0000-0000-0000F5440000}"/>
    <cellStyle name="40% - Accent6 46 8" xfId="13422" xr:uid="{00000000-0005-0000-0000-0000F6440000}"/>
    <cellStyle name="40% - Accent6 47" xfId="1487" xr:uid="{00000000-0005-0000-0000-0000F7440000}"/>
    <cellStyle name="40% - Accent6 47 2" xfId="4443" xr:uid="{00000000-0005-0000-0000-0000F8440000}"/>
    <cellStyle name="40% - Accent6 47 2 2" xfId="12422" xr:uid="{00000000-0005-0000-0000-0000F9440000}"/>
    <cellStyle name="40% - Accent6 47 2 2 2" xfId="23710" xr:uid="{00000000-0005-0000-0000-0000FA440000}"/>
    <cellStyle name="40% - Accent6 47 2 3" xfId="10428" xr:uid="{00000000-0005-0000-0000-0000FB440000}"/>
    <cellStyle name="40% - Accent6 47 2 3 2" xfId="21716" xr:uid="{00000000-0005-0000-0000-0000FC440000}"/>
    <cellStyle name="40% - Accent6 47 2 4" xfId="8434" xr:uid="{00000000-0005-0000-0000-0000FD440000}"/>
    <cellStyle name="40% - Accent6 47 2 4 2" xfId="19722" xr:uid="{00000000-0005-0000-0000-0000FE440000}"/>
    <cellStyle name="40% - Accent6 47 2 5" xfId="6440" xr:uid="{00000000-0005-0000-0000-0000FF440000}"/>
    <cellStyle name="40% - Accent6 47 2 5 2" xfId="17728" xr:uid="{00000000-0005-0000-0000-000000450000}"/>
    <cellStyle name="40% - Accent6 47 2 6" xfId="15734" xr:uid="{00000000-0005-0000-0000-000001450000}"/>
    <cellStyle name="40% - Accent6 47 3" xfId="11425" xr:uid="{00000000-0005-0000-0000-000002450000}"/>
    <cellStyle name="40% - Accent6 47 3 2" xfId="22713" xr:uid="{00000000-0005-0000-0000-000003450000}"/>
    <cellStyle name="40% - Accent6 47 4" xfId="9431" xr:uid="{00000000-0005-0000-0000-000004450000}"/>
    <cellStyle name="40% - Accent6 47 4 2" xfId="20719" xr:uid="{00000000-0005-0000-0000-000005450000}"/>
    <cellStyle name="40% - Accent6 47 5" xfId="7437" xr:uid="{00000000-0005-0000-0000-000006450000}"/>
    <cellStyle name="40% - Accent6 47 5 2" xfId="18725" xr:uid="{00000000-0005-0000-0000-000007450000}"/>
    <cellStyle name="40% - Accent6 47 6" xfId="5443" xr:uid="{00000000-0005-0000-0000-000008450000}"/>
    <cellStyle name="40% - Accent6 47 6 2" xfId="16731" xr:uid="{00000000-0005-0000-0000-000009450000}"/>
    <cellStyle name="40% - Accent6 47 7" xfId="14737" xr:uid="{00000000-0005-0000-0000-00000A450000}"/>
    <cellStyle name="40% - Accent6 47 8" xfId="13423" xr:uid="{00000000-0005-0000-0000-00000B450000}"/>
    <cellStyle name="40% - Accent6 48" xfId="1488" xr:uid="{00000000-0005-0000-0000-00000C450000}"/>
    <cellStyle name="40% - Accent6 48 2" xfId="4444" xr:uid="{00000000-0005-0000-0000-00000D450000}"/>
    <cellStyle name="40% - Accent6 48 2 2" xfId="12423" xr:uid="{00000000-0005-0000-0000-00000E450000}"/>
    <cellStyle name="40% - Accent6 48 2 2 2" xfId="23711" xr:uid="{00000000-0005-0000-0000-00000F450000}"/>
    <cellStyle name="40% - Accent6 48 2 3" xfId="10429" xr:uid="{00000000-0005-0000-0000-000010450000}"/>
    <cellStyle name="40% - Accent6 48 2 3 2" xfId="21717" xr:uid="{00000000-0005-0000-0000-000011450000}"/>
    <cellStyle name="40% - Accent6 48 2 4" xfId="8435" xr:uid="{00000000-0005-0000-0000-000012450000}"/>
    <cellStyle name="40% - Accent6 48 2 4 2" xfId="19723" xr:uid="{00000000-0005-0000-0000-000013450000}"/>
    <cellStyle name="40% - Accent6 48 2 5" xfId="6441" xr:uid="{00000000-0005-0000-0000-000014450000}"/>
    <cellStyle name="40% - Accent6 48 2 5 2" xfId="17729" xr:uid="{00000000-0005-0000-0000-000015450000}"/>
    <cellStyle name="40% - Accent6 48 2 6" xfId="15735" xr:uid="{00000000-0005-0000-0000-000016450000}"/>
    <cellStyle name="40% - Accent6 48 3" xfId="11426" xr:uid="{00000000-0005-0000-0000-000017450000}"/>
    <cellStyle name="40% - Accent6 48 3 2" xfId="22714" xr:uid="{00000000-0005-0000-0000-000018450000}"/>
    <cellStyle name="40% - Accent6 48 4" xfId="9432" xr:uid="{00000000-0005-0000-0000-000019450000}"/>
    <cellStyle name="40% - Accent6 48 4 2" xfId="20720" xr:uid="{00000000-0005-0000-0000-00001A450000}"/>
    <cellStyle name="40% - Accent6 48 5" xfId="7438" xr:uid="{00000000-0005-0000-0000-00001B450000}"/>
    <cellStyle name="40% - Accent6 48 5 2" xfId="18726" xr:uid="{00000000-0005-0000-0000-00001C450000}"/>
    <cellStyle name="40% - Accent6 48 6" xfId="5444" xr:uid="{00000000-0005-0000-0000-00001D450000}"/>
    <cellStyle name="40% - Accent6 48 6 2" xfId="16732" xr:uid="{00000000-0005-0000-0000-00001E450000}"/>
    <cellStyle name="40% - Accent6 48 7" xfId="14738" xr:uid="{00000000-0005-0000-0000-00001F450000}"/>
    <cellStyle name="40% - Accent6 48 8" xfId="13424" xr:uid="{00000000-0005-0000-0000-000020450000}"/>
    <cellStyle name="40% - Accent6 49" xfId="1489" xr:uid="{00000000-0005-0000-0000-000021450000}"/>
    <cellStyle name="40% - Accent6 49 2" xfId="4445" xr:uid="{00000000-0005-0000-0000-000022450000}"/>
    <cellStyle name="40% - Accent6 49 2 2" xfId="12424" xr:uid="{00000000-0005-0000-0000-000023450000}"/>
    <cellStyle name="40% - Accent6 49 2 2 2" xfId="23712" xr:uid="{00000000-0005-0000-0000-000024450000}"/>
    <cellStyle name="40% - Accent6 49 2 3" xfId="10430" xr:uid="{00000000-0005-0000-0000-000025450000}"/>
    <cellStyle name="40% - Accent6 49 2 3 2" xfId="21718" xr:uid="{00000000-0005-0000-0000-000026450000}"/>
    <cellStyle name="40% - Accent6 49 2 4" xfId="8436" xr:uid="{00000000-0005-0000-0000-000027450000}"/>
    <cellStyle name="40% - Accent6 49 2 4 2" xfId="19724" xr:uid="{00000000-0005-0000-0000-000028450000}"/>
    <cellStyle name="40% - Accent6 49 2 5" xfId="6442" xr:uid="{00000000-0005-0000-0000-000029450000}"/>
    <cellStyle name="40% - Accent6 49 2 5 2" xfId="17730" xr:uid="{00000000-0005-0000-0000-00002A450000}"/>
    <cellStyle name="40% - Accent6 49 2 6" xfId="15736" xr:uid="{00000000-0005-0000-0000-00002B450000}"/>
    <cellStyle name="40% - Accent6 49 3" xfId="11427" xr:uid="{00000000-0005-0000-0000-00002C450000}"/>
    <cellStyle name="40% - Accent6 49 3 2" xfId="22715" xr:uid="{00000000-0005-0000-0000-00002D450000}"/>
    <cellStyle name="40% - Accent6 49 4" xfId="9433" xr:uid="{00000000-0005-0000-0000-00002E450000}"/>
    <cellStyle name="40% - Accent6 49 4 2" xfId="20721" xr:uid="{00000000-0005-0000-0000-00002F450000}"/>
    <cellStyle name="40% - Accent6 49 5" xfId="7439" xr:uid="{00000000-0005-0000-0000-000030450000}"/>
    <cellStyle name="40% - Accent6 49 5 2" xfId="18727" xr:uid="{00000000-0005-0000-0000-000031450000}"/>
    <cellStyle name="40% - Accent6 49 6" xfId="5445" xr:uid="{00000000-0005-0000-0000-000032450000}"/>
    <cellStyle name="40% - Accent6 49 6 2" xfId="16733" xr:uid="{00000000-0005-0000-0000-000033450000}"/>
    <cellStyle name="40% - Accent6 49 7" xfId="14739" xr:uid="{00000000-0005-0000-0000-000034450000}"/>
    <cellStyle name="40% - Accent6 49 8" xfId="13425" xr:uid="{00000000-0005-0000-0000-000035450000}"/>
    <cellStyle name="40% - Accent6 5" xfId="1490" xr:uid="{00000000-0005-0000-0000-000036450000}"/>
    <cellStyle name="40% - Accent6 5 10" xfId="24628" xr:uid="{00000000-0005-0000-0000-000037450000}"/>
    <cellStyle name="40% - Accent6 5 11" xfId="25018" xr:uid="{00000000-0005-0000-0000-000038450000}"/>
    <cellStyle name="40% - Accent6 5 2" xfId="4446" xr:uid="{00000000-0005-0000-0000-000039450000}"/>
    <cellStyle name="40% - Accent6 5 2 2" xfId="12425" xr:uid="{00000000-0005-0000-0000-00003A450000}"/>
    <cellStyle name="40% - Accent6 5 2 2 2" xfId="23713" xr:uid="{00000000-0005-0000-0000-00003B450000}"/>
    <cellStyle name="40% - Accent6 5 2 3" xfId="10431" xr:uid="{00000000-0005-0000-0000-00003C450000}"/>
    <cellStyle name="40% - Accent6 5 2 3 2" xfId="21719" xr:uid="{00000000-0005-0000-0000-00003D450000}"/>
    <cellStyle name="40% - Accent6 5 2 4" xfId="8437" xr:uid="{00000000-0005-0000-0000-00003E450000}"/>
    <cellStyle name="40% - Accent6 5 2 4 2" xfId="19725" xr:uid="{00000000-0005-0000-0000-00003F450000}"/>
    <cellStyle name="40% - Accent6 5 2 5" xfId="6443" xr:uid="{00000000-0005-0000-0000-000040450000}"/>
    <cellStyle name="40% - Accent6 5 2 5 2" xfId="17731" xr:uid="{00000000-0005-0000-0000-000041450000}"/>
    <cellStyle name="40% - Accent6 5 2 6" xfId="15737" xr:uid="{00000000-0005-0000-0000-000042450000}"/>
    <cellStyle name="40% - Accent6 5 2 7" xfId="24389" xr:uid="{00000000-0005-0000-0000-000043450000}"/>
    <cellStyle name="40% - Accent6 5 2 8" xfId="24853" xr:uid="{00000000-0005-0000-0000-000044450000}"/>
    <cellStyle name="40% - Accent6 5 2 9" xfId="25220" xr:uid="{00000000-0005-0000-0000-000045450000}"/>
    <cellStyle name="40% - Accent6 5 3" xfId="11428" xr:uid="{00000000-0005-0000-0000-000046450000}"/>
    <cellStyle name="40% - Accent6 5 3 2" xfId="22716" xr:uid="{00000000-0005-0000-0000-000047450000}"/>
    <cellStyle name="40% - Accent6 5 4" xfId="9434" xr:uid="{00000000-0005-0000-0000-000048450000}"/>
    <cellStyle name="40% - Accent6 5 4 2" xfId="20722" xr:uid="{00000000-0005-0000-0000-000049450000}"/>
    <cellStyle name="40% - Accent6 5 5" xfId="7440" xr:uid="{00000000-0005-0000-0000-00004A450000}"/>
    <cellStyle name="40% - Accent6 5 5 2" xfId="18728" xr:uid="{00000000-0005-0000-0000-00004B450000}"/>
    <cellStyle name="40% - Accent6 5 6" xfId="5446" xr:uid="{00000000-0005-0000-0000-00004C450000}"/>
    <cellStyle name="40% - Accent6 5 6 2" xfId="16734" xr:uid="{00000000-0005-0000-0000-00004D450000}"/>
    <cellStyle name="40% - Accent6 5 7" xfId="14740" xr:uid="{00000000-0005-0000-0000-00004E450000}"/>
    <cellStyle name="40% - Accent6 5 8" xfId="13426" xr:uid="{00000000-0005-0000-0000-00004F450000}"/>
    <cellStyle name="40% - Accent6 5 9" xfId="24001" xr:uid="{00000000-0005-0000-0000-000050450000}"/>
    <cellStyle name="40% - Accent6 50" xfId="1491" xr:uid="{00000000-0005-0000-0000-000051450000}"/>
    <cellStyle name="40% - Accent6 50 2" xfId="4447" xr:uid="{00000000-0005-0000-0000-000052450000}"/>
    <cellStyle name="40% - Accent6 50 2 2" xfId="12426" xr:uid="{00000000-0005-0000-0000-000053450000}"/>
    <cellStyle name="40% - Accent6 50 2 2 2" xfId="23714" xr:uid="{00000000-0005-0000-0000-000054450000}"/>
    <cellStyle name="40% - Accent6 50 2 3" xfId="10432" xr:uid="{00000000-0005-0000-0000-000055450000}"/>
    <cellStyle name="40% - Accent6 50 2 3 2" xfId="21720" xr:uid="{00000000-0005-0000-0000-000056450000}"/>
    <cellStyle name="40% - Accent6 50 2 4" xfId="8438" xr:uid="{00000000-0005-0000-0000-000057450000}"/>
    <cellStyle name="40% - Accent6 50 2 4 2" xfId="19726" xr:uid="{00000000-0005-0000-0000-000058450000}"/>
    <cellStyle name="40% - Accent6 50 2 5" xfId="6444" xr:uid="{00000000-0005-0000-0000-000059450000}"/>
    <cellStyle name="40% - Accent6 50 2 5 2" xfId="17732" xr:uid="{00000000-0005-0000-0000-00005A450000}"/>
    <cellStyle name="40% - Accent6 50 2 6" xfId="15738" xr:uid="{00000000-0005-0000-0000-00005B450000}"/>
    <cellStyle name="40% - Accent6 50 3" xfId="11429" xr:uid="{00000000-0005-0000-0000-00005C450000}"/>
    <cellStyle name="40% - Accent6 50 3 2" xfId="22717" xr:uid="{00000000-0005-0000-0000-00005D450000}"/>
    <cellStyle name="40% - Accent6 50 4" xfId="9435" xr:uid="{00000000-0005-0000-0000-00005E450000}"/>
    <cellStyle name="40% - Accent6 50 4 2" xfId="20723" xr:uid="{00000000-0005-0000-0000-00005F450000}"/>
    <cellStyle name="40% - Accent6 50 5" xfId="7441" xr:uid="{00000000-0005-0000-0000-000060450000}"/>
    <cellStyle name="40% - Accent6 50 5 2" xfId="18729" xr:uid="{00000000-0005-0000-0000-000061450000}"/>
    <cellStyle name="40% - Accent6 50 6" xfId="5447" xr:uid="{00000000-0005-0000-0000-000062450000}"/>
    <cellStyle name="40% - Accent6 50 6 2" xfId="16735" xr:uid="{00000000-0005-0000-0000-000063450000}"/>
    <cellStyle name="40% - Accent6 50 7" xfId="14741" xr:uid="{00000000-0005-0000-0000-000064450000}"/>
    <cellStyle name="40% - Accent6 50 8" xfId="13427" xr:uid="{00000000-0005-0000-0000-000065450000}"/>
    <cellStyle name="40% - Accent6 51" xfId="1492" xr:uid="{00000000-0005-0000-0000-000066450000}"/>
    <cellStyle name="40% - Accent6 51 2" xfId="4448" xr:uid="{00000000-0005-0000-0000-000067450000}"/>
    <cellStyle name="40% - Accent6 51 2 2" xfId="12427" xr:uid="{00000000-0005-0000-0000-000068450000}"/>
    <cellStyle name="40% - Accent6 51 2 2 2" xfId="23715" xr:uid="{00000000-0005-0000-0000-000069450000}"/>
    <cellStyle name="40% - Accent6 51 2 3" xfId="10433" xr:uid="{00000000-0005-0000-0000-00006A450000}"/>
    <cellStyle name="40% - Accent6 51 2 3 2" xfId="21721" xr:uid="{00000000-0005-0000-0000-00006B450000}"/>
    <cellStyle name="40% - Accent6 51 2 4" xfId="8439" xr:uid="{00000000-0005-0000-0000-00006C450000}"/>
    <cellStyle name="40% - Accent6 51 2 4 2" xfId="19727" xr:uid="{00000000-0005-0000-0000-00006D450000}"/>
    <cellStyle name="40% - Accent6 51 2 5" xfId="6445" xr:uid="{00000000-0005-0000-0000-00006E450000}"/>
    <cellStyle name="40% - Accent6 51 2 5 2" xfId="17733" xr:uid="{00000000-0005-0000-0000-00006F450000}"/>
    <cellStyle name="40% - Accent6 51 2 6" xfId="15739" xr:uid="{00000000-0005-0000-0000-000070450000}"/>
    <cellStyle name="40% - Accent6 51 3" xfId="11430" xr:uid="{00000000-0005-0000-0000-000071450000}"/>
    <cellStyle name="40% - Accent6 51 3 2" xfId="22718" xr:uid="{00000000-0005-0000-0000-000072450000}"/>
    <cellStyle name="40% - Accent6 51 4" xfId="9436" xr:uid="{00000000-0005-0000-0000-000073450000}"/>
    <cellStyle name="40% - Accent6 51 4 2" xfId="20724" xr:uid="{00000000-0005-0000-0000-000074450000}"/>
    <cellStyle name="40% - Accent6 51 5" xfId="7442" xr:uid="{00000000-0005-0000-0000-000075450000}"/>
    <cellStyle name="40% - Accent6 51 5 2" xfId="18730" xr:uid="{00000000-0005-0000-0000-000076450000}"/>
    <cellStyle name="40% - Accent6 51 6" xfId="5448" xr:uid="{00000000-0005-0000-0000-000077450000}"/>
    <cellStyle name="40% - Accent6 51 6 2" xfId="16736" xr:uid="{00000000-0005-0000-0000-000078450000}"/>
    <cellStyle name="40% - Accent6 51 7" xfId="14742" xr:uid="{00000000-0005-0000-0000-000079450000}"/>
    <cellStyle name="40% - Accent6 51 8" xfId="13428" xr:uid="{00000000-0005-0000-0000-00007A450000}"/>
    <cellStyle name="40% - Accent6 52" xfId="1493" xr:uid="{00000000-0005-0000-0000-00007B450000}"/>
    <cellStyle name="40% - Accent6 52 2" xfId="4449" xr:uid="{00000000-0005-0000-0000-00007C450000}"/>
    <cellStyle name="40% - Accent6 52 2 2" xfId="12428" xr:uid="{00000000-0005-0000-0000-00007D450000}"/>
    <cellStyle name="40% - Accent6 52 2 2 2" xfId="23716" xr:uid="{00000000-0005-0000-0000-00007E450000}"/>
    <cellStyle name="40% - Accent6 52 2 3" xfId="10434" xr:uid="{00000000-0005-0000-0000-00007F450000}"/>
    <cellStyle name="40% - Accent6 52 2 3 2" xfId="21722" xr:uid="{00000000-0005-0000-0000-000080450000}"/>
    <cellStyle name="40% - Accent6 52 2 4" xfId="8440" xr:uid="{00000000-0005-0000-0000-000081450000}"/>
    <cellStyle name="40% - Accent6 52 2 4 2" xfId="19728" xr:uid="{00000000-0005-0000-0000-000082450000}"/>
    <cellStyle name="40% - Accent6 52 2 5" xfId="6446" xr:uid="{00000000-0005-0000-0000-000083450000}"/>
    <cellStyle name="40% - Accent6 52 2 5 2" xfId="17734" xr:uid="{00000000-0005-0000-0000-000084450000}"/>
    <cellStyle name="40% - Accent6 52 2 6" xfId="15740" xr:uid="{00000000-0005-0000-0000-000085450000}"/>
    <cellStyle name="40% - Accent6 52 3" xfId="11431" xr:uid="{00000000-0005-0000-0000-000086450000}"/>
    <cellStyle name="40% - Accent6 52 3 2" xfId="22719" xr:uid="{00000000-0005-0000-0000-000087450000}"/>
    <cellStyle name="40% - Accent6 52 4" xfId="9437" xr:uid="{00000000-0005-0000-0000-000088450000}"/>
    <cellStyle name="40% - Accent6 52 4 2" xfId="20725" xr:uid="{00000000-0005-0000-0000-000089450000}"/>
    <cellStyle name="40% - Accent6 52 5" xfId="7443" xr:uid="{00000000-0005-0000-0000-00008A450000}"/>
    <cellStyle name="40% - Accent6 52 5 2" xfId="18731" xr:uid="{00000000-0005-0000-0000-00008B450000}"/>
    <cellStyle name="40% - Accent6 52 6" xfId="5449" xr:uid="{00000000-0005-0000-0000-00008C450000}"/>
    <cellStyle name="40% - Accent6 52 6 2" xfId="16737" xr:uid="{00000000-0005-0000-0000-00008D450000}"/>
    <cellStyle name="40% - Accent6 52 7" xfId="14743" xr:uid="{00000000-0005-0000-0000-00008E450000}"/>
    <cellStyle name="40% - Accent6 52 8" xfId="13429" xr:uid="{00000000-0005-0000-0000-00008F450000}"/>
    <cellStyle name="40% - Accent6 53" xfId="1494" xr:uid="{00000000-0005-0000-0000-000090450000}"/>
    <cellStyle name="40% - Accent6 53 2" xfId="4450" xr:uid="{00000000-0005-0000-0000-000091450000}"/>
    <cellStyle name="40% - Accent6 53 2 2" xfId="12429" xr:uid="{00000000-0005-0000-0000-000092450000}"/>
    <cellStyle name="40% - Accent6 53 2 2 2" xfId="23717" xr:uid="{00000000-0005-0000-0000-000093450000}"/>
    <cellStyle name="40% - Accent6 53 2 3" xfId="10435" xr:uid="{00000000-0005-0000-0000-000094450000}"/>
    <cellStyle name="40% - Accent6 53 2 3 2" xfId="21723" xr:uid="{00000000-0005-0000-0000-000095450000}"/>
    <cellStyle name="40% - Accent6 53 2 4" xfId="8441" xr:uid="{00000000-0005-0000-0000-000096450000}"/>
    <cellStyle name="40% - Accent6 53 2 4 2" xfId="19729" xr:uid="{00000000-0005-0000-0000-000097450000}"/>
    <cellStyle name="40% - Accent6 53 2 5" xfId="6447" xr:uid="{00000000-0005-0000-0000-000098450000}"/>
    <cellStyle name="40% - Accent6 53 2 5 2" xfId="17735" xr:uid="{00000000-0005-0000-0000-000099450000}"/>
    <cellStyle name="40% - Accent6 53 2 6" xfId="15741" xr:uid="{00000000-0005-0000-0000-00009A450000}"/>
    <cellStyle name="40% - Accent6 53 3" xfId="11432" xr:uid="{00000000-0005-0000-0000-00009B450000}"/>
    <cellStyle name="40% - Accent6 53 3 2" xfId="22720" xr:uid="{00000000-0005-0000-0000-00009C450000}"/>
    <cellStyle name="40% - Accent6 53 4" xfId="9438" xr:uid="{00000000-0005-0000-0000-00009D450000}"/>
    <cellStyle name="40% - Accent6 53 4 2" xfId="20726" xr:uid="{00000000-0005-0000-0000-00009E450000}"/>
    <cellStyle name="40% - Accent6 53 5" xfId="7444" xr:uid="{00000000-0005-0000-0000-00009F450000}"/>
    <cellStyle name="40% - Accent6 53 5 2" xfId="18732" xr:uid="{00000000-0005-0000-0000-0000A0450000}"/>
    <cellStyle name="40% - Accent6 53 6" xfId="5450" xr:uid="{00000000-0005-0000-0000-0000A1450000}"/>
    <cellStyle name="40% - Accent6 53 6 2" xfId="16738" xr:uid="{00000000-0005-0000-0000-0000A2450000}"/>
    <cellStyle name="40% - Accent6 53 7" xfId="14744" xr:uid="{00000000-0005-0000-0000-0000A3450000}"/>
    <cellStyle name="40% - Accent6 53 8" xfId="13430" xr:uid="{00000000-0005-0000-0000-0000A4450000}"/>
    <cellStyle name="40% - Accent6 54" xfId="1495" xr:uid="{00000000-0005-0000-0000-0000A5450000}"/>
    <cellStyle name="40% - Accent6 54 2" xfId="4451" xr:uid="{00000000-0005-0000-0000-0000A6450000}"/>
    <cellStyle name="40% - Accent6 54 2 2" xfId="12430" xr:uid="{00000000-0005-0000-0000-0000A7450000}"/>
    <cellStyle name="40% - Accent6 54 2 2 2" xfId="23718" xr:uid="{00000000-0005-0000-0000-0000A8450000}"/>
    <cellStyle name="40% - Accent6 54 2 3" xfId="10436" xr:uid="{00000000-0005-0000-0000-0000A9450000}"/>
    <cellStyle name="40% - Accent6 54 2 3 2" xfId="21724" xr:uid="{00000000-0005-0000-0000-0000AA450000}"/>
    <cellStyle name="40% - Accent6 54 2 4" xfId="8442" xr:uid="{00000000-0005-0000-0000-0000AB450000}"/>
    <cellStyle name="40% - Accent6 54 2 4 2" xfId="19730" xr:uid="{00000000-0005-0000-0000-0000AC450000}"/>
    <cellStyle name="40% - Accent6 54 2 5" xfId="6448" xr:uid="{00000000-0005-0000-0000-0000AD450000}"/>
    <cellStyle name="40% - Accent6 54 2 5 2" xfId="17736" xr:uid="{00000000-0005-0000-0000-0000AE450000}"/>
    <cellStyle name="40% - Accent6 54 2 6" xfId="15742" xr:uid="{00000000-0005-0000-0000-0000AF450000}"/>
    <cellStyle name="40% - Accent6 54 3" xfId="11433" xr:uid="{00000000-0005-0000-0000-0000B0450000}"/>
    <cellStyle name="40% - Accent6 54 3 2" xfId="22721" xr:uid="{00000000-0005-0000-0000-0000B1450000}"/>
    <cellStyle name="40% - Accent6 54 4" xfId="9439" xr:uid="{00000000-0005-0000-0000-0000B2450000}"/>
    <cellStyle name="40% - Accent6 54 4 2" xfId="20727" xr:uid="{00000000-0005-0000-0000-0000B3450000}"/>
    <cellStyle name="40% - Accent6 54 5" xfId="7445" xr:uid="{00000000-0005-0000-0000-0000B4450000}"/>
    <cellStyle name="40% - Accent6 54 5 2" xfId="18733" xr:uid="{00000000-0005-0000-0000-0000B5450000}"/>
    <cellStyle name="40% - Accent6 54 6" xfId="5451" xr:uid="{00000000-0005-0000-0000-0000B6450000}"/>
    <cellStyle name="40% - Accent6 54 6 2" xfId="16739" xr:uid="{00000000-0005-0000-0000-0000B7450000}"/>
    <cellStyle name="40% - Accent6 54 7" xfId="14745" xr:uid="{00000000-0005-0000-0000-0000B8450000}"/>
    <cellStyle name="40% - Accent6 54 8" xfId="13431" xr:uid="{00000000-0005-0000-0000-0000B9450000}"/>
    <cellStyle name="40% - Accent6 55" xfId="1496" xr:uid="{00000000-0005-0000-0000-0000BA450000}"/>
    <cellStyle name="40% - Accent6 55 2" xfId="4452" xr:uid="{00000000-0005-0000-0000-0000BB450000}"/>
    <cellStyle name="40% - Accent6 55 2 2" xfId="12431" xr:uid="{00000000-0005-0000-0000-0000BC450000}"/>
    <cellStyle name="40% - Accent6 55 2 2 2" xfId="23719" xr:uid="{00000000-0005-0000-0000-0000BD450000}"/>
    <cellStyle name="40% - Accent6 55 2 3" xfId="10437" xr:uid="{00000000-0005-0000-0000-0000BE450000}"/>
    <cellStyle name="40% - Accent6 55 2 3 2" xfId="21725" xr:uid="{00000000-0005-0000-0000-0000BF450000}"/>
    <cellStyle name="40% - Accent6 55 2 4" xfId="8443" xr:uid="{00000000-0005-0000-0000-0000C0450000}"/>
    <cellStyle name="40% - Accent6 55 2 4 2" xfId="19731" xr:uid="{00000000-0005-0000-0000-0000C1450000}"/>
    <cellStyle name="40% - Accent6 55 2 5" xfId="6449" xr:uid="{00000000-0005-0000-0000-0000C2450000}"/>
    <cellStyle name="40% - Accent6 55 2 5 2" xfId="17737" xr:uid="{00000000-0005-0000-0000-0000C3450000}"/>
    <cellStyle name="40% - Accent6 55 2 6" xfId="15743" xr:uid="{00000000-0005-0000-0000-0000C4450000}"/>
    <cellStyle name="40% - Accent6 55 3" xfId="11434" xr:uid="{00000000-0005-0000-0000-0000C5450000}"/>
    <cellStyle name="40% - Accent6 55 3 2" xfId="22722" xr:uid="{00000000-0005-0000-0000-0000C6450000}"/>
    <cellStyle name="40% - Accent6 55 4" xfId="9440" xr:uid="{00000000-0005-0000-0000-0000C7450000}"/>
    <cellStyle name="40% - Accent6 55 4 2" xfId="20728" xr:uid="{00000000-0005-0000-0000-0000C8450000}"/>
    <cellStyle name="40% - Accent6 55 5" xfId="7446" xr:uid="{00000000-0005-0000-0000-0000C9450000}"/>
    <cellStyle name="40% - Accent6 55 5 2" xfId="18734" xr:uid="{00000000-0005-0000-0000-0000CA450000}"/>
    <cellStyle name="40% - Accent6 55 6" xfId="5452" xr:uid="{00000000-0005-0000-0000-0000CB450000}"/>
    <cellStyle name="40% - Accent6 55 6 2" xfId="16740" xr:uid="{00000000-0005-0000-0000-0000CC450000}"/>
    <cellStyle name="40% - Accent6 55 7" xfId="14746" xr:uid="{00000000-0005-0000-0000-0000CD450000}"/>
    <cellStyle name="40% - Accent6 55 8" xfId="13432" xr:uid="{00000000-0005-0000-0000-0000CE450000}"/>
    <cellStyle name="40% - Accent6 56" xfId="1497" xr:uid="{00000000-0005-0000-0000-0000CF450000}"/>
    <cellStyle name="40% - Accent6 56 2" xfId="4453" xr:uid="{00000000-0005-0000-0000-0000D0450000}"/>
    <cellStyle name="40% - Accent6 56 2 2" xfId="12432" xr:uid="{00000000-0005-0000-0000-0000D1450000}"/>
    <cellStyle name="40% - Accent6 56 2 2 2" xfId="23720" xr:uid="{00000000-0005-0000-0000-0000D2450000}"/>
    <cellStyle name="40% - Accent6 56 2 3" xfId="10438" xr:uid="{00000000-0005-0000-0000-0000D3450000}"/>
    <cellStyle name="40% - Accent6 56 2 3 2" xfId="21726" xr:uid="{00000000-0005-0000-0000-0000D4450000}"/>
    <cellStyle name="40% - Accent6 56 2 4" xfId="8444" xr:uid="{00000000-0005-0000-0000-0000D5450000}"/>
    <cellStyle name="40% - Accent6 56 2 4 2" xfId="19732" xr:uid="{00000000-0005-0000-0000-0000D6450000}"/>
    <cellStyle name="40% - Accent6 56 2 5" xfId="6450" xr:uid="{00000000-0005-0000-0000-0000D7450000}"/>
    <cellStyle name="40% - Accent6 56 2 5 2" xfId="17738" xr:uid="{00000000-0005-0000-0000-0000D8450000}"/>
    <cellStyle name="40% - Accent6 56 2 6" xfId="15744" xr:uid="{00000000-0005-0000-0000-0000D9450000}"/>
    <cellStyle name="40% - Accent6 56 3" xfId="11435" xr:uid="{00000000-0005-0000-0000-0000DA450000}"/>
    <cellStyle name="40% - Accent6 56 3 2" xfId="22723" xr:uid="{00000000-0005-0000-0000-0000DB450000}"/>
    <cellStyle name="40% - Accent6 56 4" xfId="9441" xr:uid="{00000000-0005-0000-0000-0000DC450000}"/>
    <cellStyle name="40% - Accent6 56 4 2" xfId="20729" xr:uid="{00000000-0005-0000-0000-0000DD450000}"/>
    <cellStyle name="40% - Accent6 56 5" xfId="7447" xr:uid="{00000000-0005-0000-0000-0000DE450000}"/>
    <cellStyle name="40% - Accent6 56 5 2" xfId="18735" xr:uid="{00000000-0005-0000-0000-0000DF450000}"/>
    <cellStyle name="40% - Accent6 56 6" xfId="5453" xr:uid="{00000000-0005-0000-0000-0000E0450000}"/>
    <cellStyle name="40% - Accent6 56 6 2" xfId="16741" xr:uid="{00000000-0005-0000-0000-0000E1450000}"/>
    <cellStyle name="40% - Accent6 56 7" xfId="14747" xr:uid="{00000000-0005-0000-0000-0000E2450000}"/>
    <cellStyle name="40% - Accent6 56 8" xfId="13433" xr:uid="{00000000-0005-0000-0000-0000E3450000}"/>
    <cellStyle name="40% - Accent6 57" xfId="1498" xr:uid="{00000000-0005-0000-0000-0000E4450000}"/>
    <cellStyle name="40% - Accent6 57 2" xfId="4454" xr:uid="{00000000-0005-0000-0000-0000E5450000}"/>
    <cellStyle name="40% - Accent6 57 2 2" xfId="12433" xr:uid="{00000000-0005-0000-0000-0000E6450000}"/>
    <cellStyle name="40% - Accent6 57 2 2 2" xfId="23721" xr:uid="{00000000-0005-0000-0000-0000E7450000}"/>
    <cellStyle name="40% - Accent6 57 2 3" xfId="10439" xr:uid="{00000000-0005-0000-0000-0000E8450000}"/>
    <cellStyle name="40% - Accent6 57 2 3 2" xfId="21727" xr:uid="{00000000-0005-0000-0000-0000E9450000}"/>
    <cellStyle name="40% - Accent6 57 2 4" xfId="8445" xr:uid="{00000000-0005-0000-0000-0000EA450000}"/>
    <cellStyle name="40% - Accent6 57 2 4 2" xfId="19733" xr:uid="{00000000-0005-0000-0000-0000EB450000}"/>
    <cellStyle name="40% - Accent6 57 2 5" xfId="6451" xr:uid="{00000000-0005-0000-0000-0000EC450000}"/>
    <cellStyle name="40% - Accent6 57 2 5 2" xfId="17739" xr:uid="{00000000-0005-0000-0000-0000ED450000}"/>
    <cellStyle name="40% - Accent6 57 2 6" xfId="15745" xr:uid="{00000000-0005-0000-0000-0000EE450000}"/>
    <cellStyle name="40% - Accent6 57 3" xfId="11436" xr:uid="{00000000-0005-0000-0000-0000EF450000}"/>
    <cellStyle name="40% - Accent6 57 3 2" xfId="22724" xr:uid="{00000000-0005-0000-0000-0000F0450000}"/>
    <cellStyle name="40% - Accent6 57 4" xfId="9442" xr:uid="{00000000-0005-0000-0000-0000F1450000}"/>
    <cellStyle name="40% - Accent6 57 4 2" xfId="20730" xr:uid="{00000000-0005-0000-0000-0000F2450000}"/>
    <cellStyle name="40% - Accent6 57 5" xfId="7448" xr:uid="{00000000-0005-0000-0000-0000F3450000}"/>
    <cellStyle name="40% - Accent6 57 5 2" xfId="18736" xr:uid="{00000000-0005-0000-0000-0000F4450000}"/>
    <cellStyle name="40% - Accent6 57 6" xfId="5454" xr:uid="{00000000-0005-0000-0000-0000F5450000}"/>
    <cellStyle name="40% - Accent6 57 6 2" xfId="16742" xr:uid="{00000000-0005-0000-0000-0000F6450000}"/>
    <cellStyle name="40% - Accent6 57 7" xfId="14748" xr:uid="{00000000-0005-0000-0000-0000F7450000}"/>
    <cellStyle name="40% - Accent6 57 8" xfId="13434" xr:uid="{00000000-0005-0000-0000-0000F8450000}"/>
    <cellStyle name="40% - Accent6 58" xfId="1499" xr:uid="{00000000-0005-0000-0000-0000F9450000}"/>
    <cellStyle name="40% - Accent6 58 2" xfId="4455" xr:uid="{00000000-0005-0000-0000-0000FA450000}"/>
    <cellStyle name="40% - Accent6 58 2 2" xfId="12434" xr:uid="{00000000-0005-0000-0000-0000FB450000}"/>
    <cellStyle name="40% - Accent6 58 2 2 2" xfId="23722" xr:uid="{00000000-0005-0000-0000-0000FC450000}"/>
    <cellStyle name="40% - Accent6 58 2 3" xfId="10440" xr:uid="{00000000-0005-0000-0000-0000FD450000}"/>
    <cellStyle name="40% - Accent6 58 2 3 2" xfId="21728" xr:uid="{00000000-0005-0000-0000-0000FE450000}"/>
    <cellStyle name="40% - Accent6 58 2 4" xfId="8446" xr:uid="{00000000-0005-0000-0000-0000FF450000}"/>
    <cellStyle name="40% - Accent6 58 2 4 2" xfId="19734" xr:uid="{00000000-0005-0000-0000-000000460000}"/>
    <cellStyle name="40% - Accent6 58 2 5" xfId="6452" xr:uid="{00000000-0005-0000-0000-000001460000}"/>
    <cellStyle name="40% - Accent6 58 2 5 2" xfId="17740" xr:uid="{00000000-0005-0000-0000-000002460000}"/>
    <cellStyle name="40% - Accent6 58 2 6" xfId="15746" xr:uid="{00000000-0005-0000-0000-000003460000}"/>
    <cellStyle name="40% - Accent6 58 3" xfId="11437" xr:uid="{00000000-0005-0000-0000-000004460000}"/>
    <cellStyle name="40% - Accent6 58 3 2" xfId="22725" xr:uid="{00000000-0005-0000-0000-000005460000}"/>
    <cellStyle name="40% - Accent6 58 4" xfId="9443" xr:uid="{00000000-0005-0000-0000-000006460000}"/>
    <cellStyle name="40% - Accent6 58 4 2" xfId="20731" xr:uid="{00000000-0005-0000-0000-000007460000}"/>
    <cellStyle name="40% - Accent6 58 5" xfId="7449" xr:uid="{00000000-0005-0000-0000-000008460000}"/>
    <cellStyle name="40% - Accent6 58 5 2" xfId="18737" xr:uid="{00000000-0005-0000-0000-000009460000}"/>
    <cellStyle name="40% - Accent6 58 6" xfId="5455" xr:uid="{00000000-0005-0000-0000-00000A460000}"/>
    <cellStyle name="40% - Accent6 58 6 2" xfId="16743" xr:uid="{00000000-0005-0000-0000-00000B460000}"/>
    <cellStyle name="40% - Accent6 58 7" xfId="14749" xr:uid="{00000000-0005-0000-0000-00000C460000}"/>
    <cellStyle name="40% - Accent6 58 8" xfId="13435" xr:uid="{00000000-0005-0000-0000-00000D460000}"/>
    <cellStyle name="40% - Accent6 59" xfId="1500" xr:uid="{00000000-0005-0000-0000-00000E460000}"/>
    <cellStyle name="40% - Accent6 59 2" xfId="4456" xr:uid="{00000000-0005-0000-0000-00000F460000}"/>
    <cellStyle name="40% - Accent6 59 2 2" xfId="12435" xr:uid="{00000000-0005-0000-0000-000010460000}"/>
    <cellStyle name="40% - Accent6 59 2 2 2" xfId="23723" xr:uid="{00000000-0005-0000-0000-000011460000}"/>
    <cellStyle name="40% - Accent6 59 2 3" xfId="10441" xr:uid="{00000000-0005-0000-0000-000012460000}"/>
    <cellStyle name="40% - Accent6 59 2 3 2" xfId="21729" xr:uid="{00000000-0005-0000-0000-000013460000}"/>
    <cellStyle name="40% - Accent6 59 2 4" xfId="8447" xr:uid="{00000000-0005-0000-0000-000014460000}"/>
    <cellStyle name="40% - Accent6 59 2 4 2" xfId="19735" xr:uid="{00000000-0005-0000-0000-000015460000}"/>
    <cellStyle name="40% - Accent6 59 2 5" xfId="6453" xr:uid="{00000000-0005-0000-0000-000016460000}"/>
    <cellStyle name="40% - Accent6 59 2 5 2" xfId="17741" xr:uid="{00000000-0005-0000-0000-000017460000}"/>
    <cellStyle name="40% - Accent6 59 2 6" xfId="15747" xr:uid="{00000000-0005-0000-0000-000018460000}"/>
    <cellStyle name="40% - Accent6 59 3" xfId="11438" xr:uid="{00000000-0005-0000-0000-000019460000}"/>
    <cellStyle name="40% - Accent6 59 3 2" xfId="22726" xr:uid="{00000000-0005-0000-0000-00001A460000}"/>
    <cellStyle name="40% - Accent6 59 4" xfId="9444" xr:uid="{00000000-0005-0000-0000-00001B460000}"/>
    <cellStyle name="40% - Accent6 59 4 2" xfId="20732" xr:uid="{00000000-0005-0000-0000-00001C460000}"/>
    <cellStyle name="40% - Accent6 59 5" xfId="7450" xr:uid="{00000000-0005-0000-0000-00001D460000}"/>
    <cellStyle name="40% - Accent6 59 5 2" xfId="18738" xr:uid="{00000000-0005-0000-0000-00001E460000}"/>
    <cellStyle name="40% - Accent6 59 6" xfId="5456" xr:uid="{00000000-0005-0000-0000-00001F460000}"/>
    <cellStyle name="40% - Accent6 59 6 2" xfId="16744" xr:uid="{00000000-0005-0000-0000-000020460000}"/>
    <cellStyle name="40% - Accent6 59 7" xfId="14750" xr:uid="{00000000-0005-0000-0000-000021460000}"/>
    <cellStyle name="40% - Accent6 59 8" xfId="13436" xr:uid="{00000000-0005-0000-0000-000022460000}"/>
    <cellStyle name="40% - Accent6 6" xfId="1501" xr:uid="{00000000-0005-0000-0000-000023460000}"/>
    <cellStyle name="40% - Accent6 6 10" xfId="24629" xr:uid="{00000000-0005-0000-0000-000024460000}"/>
    <cellStyle name="40% - Accent6 6 11" xfId="25019" xr:uid="{00000000-0005-0000-0000-000025460000}"/>
    <cellStyle name="40% - Accent6 6 2" xfId="4457" xr:uid="{00000000-0005-0000-0000-000026460000}"/>
    <cellStyle name="40% - Accent6 6 2 2" xfId="12436" xr:uid="{00000000-0005-0000-0000-000027460000}"/>
    <cellStyle name="40% - Accent6 6 2 2 2" xfId="23724" xr:uid="{00000000-0005-0000-0000-000028460000}"/>
    <cellStyle name="40% - Accent6 6 2 3" xfId="10442" xr:uid="{00000000-0005-0000-0000-000029460000}"/>
    <cellStyle name="40% - Accent6 6 2 3 2" xfId="21730" xr:uid="{00000000-0005-0000-0000-00002A460000}"/>
    <cellStyle name="40% - Accent6 6 2 4" xfId="8448" xr:uid="{00000000-0005-0000-0000-00002B460000}"/>
    <cellStyle name="40% - Accent6 6 2 4 2" xfId="19736" xr:uid="{00000000-0005-0000-0000-00002C460000}"/>
    <cellStyle name="40% - Accent6 6 2 5" xfId="6454" xr:uid="{00000000-0005-0000-0000-00002D460000}"/>
    <cellStyle name="40% - Accent6 6 2 5 2" xfId="17742" xr:uid="{00000000-0005-0000-0000-00002E460000}"/>
    <cellStyle name="40% - Accent6 6 2 6" xfId="15748" xr:uid="{00000000-0005-0000-0000-00002F460000}"/>
    <cellStyle name="40% - Accent6 6 2 7" xfId="24390" xr:uid="{00000000-0005-0000-0000-000030460000}"/>
    <cellStyle name="40% - Accent6 6 2 8" xfId="24854" xr:uid="{00000000-0005-0000-0000-000031460000}"/>
    <cellStyle name="40% - Accent6 6 2 9" xfId="25221" xr:uid="{00000000-0005-0000-0000-000032460000}"/>
    <cellStyle name="40% - Accent6 6 3" xfId="11439" xr:uid="{00000000-0005-0000-0000-000033460000}"/>
    <cellStyle name="40% - Accent6 6 3 2" xfId="22727" xr:uid="{00000000-0005-0000-0000-000034460000}"/>
    <cellStyle name="40% - Accent6 6 4" xfId="9445" xr:uid="{00000000-0005-0000-0000-000035460000}"/>
    <cellStyle name="40% - Accent6 6 4 2" xfId="20733" xr:uid="{00000000-0005-0000-0000-000036460000}"/>
    <cellStyle name="40% - Accent6 6 5" xfId="7451" xr:uid="{00000000-0005-0000-0000-000037460000}"/>
    <cellStyle name="40% - Accent6 6 5 2" xfId="18739" xr:uid="{00000000-0005-0000-0000-000038460000}"/>
    <cellStyle name="40% - Accent6 6 6" xfId="5457" xr:uid="{00000000-0005-0000-0000-000039460000}"/>
    <cellStyle name="40% - Accent6 6 6 2" xfId="16745" xr:uid="{00000000-0005-0000-0000-00003A460000}"/>
    <cellStyle name="40% - Accent6 6 7" xfId="14751" xr:uid="{00000000-0005-0000-0000-00003B460000}"/>
    <cellStyle name="40% - Accent6 6 8" xfId="13437" xr:uid="{00000000-0005-0000-0000-00003C460000}"/>
    <cellStyle name="40% - Accent6 6 9" xfId="24002" xr:uid="{00000000-0005-0000-0000-00003D460000}"/>
    <cellStyle name="40% - Accent6 60" xfId="1502" xr:uid="{00000000-0005-0000-0000-00003E460000}"/>
    <cellStyle name="40% - Accent6 60 2" xfId="4458" xr:uid="{00000000-0005-0000-0000-00003F460000}"/>
    <cellStyle name="40% - Accent6 60 2 2" xfId="12437" xr:uid="{00000000-0005-0000-0000-000040460000}"/>
    <cellStyle name="40% - Accent6 60 2 2 2" xfId="23725" xr:uid="{00000000-0005-0000-0000-000041460000}"/>
    <cellStyle name="40% - Accent6 60 2 3" xfId="10443" xr:uid="{00000000-0005-0000-0000-000042460000}"/>
    <cellStyle name="40% - Accent6 60 2 3 2" xfId="21731" xr:uid="{00000000-0005-0000-0000-000043460000}"/>
    <cellStyle name="40% - Accent6 60 2 4" xfId="8449" xr:uid="{00000000-0005-0000-0000-000044460000}"/>
    <cellStyle name="40% - Accent6 60 2 4 2" xfId="19737" xr:uid="{00000000-0005-0000-0000-000045460000}"/>
    <cellStyle name="40% - Accent6 60 2 5" xfId="6455" xr:uid="{00000000-0005-0000-0000-000046460000}"/>
    <cellStyle name="40% - Accent6 60 2 5 2" xfId="17743" xr:uid="{00000000-0005-0000-0000-000047460000}"/>
    <cellStyle name="40% - Accent6 60 2 6" xfId="15749" xr:uid="{00000000-0005-0000-0000-000048460000}"/>
    <cellStyle name="40% - Accent6 60 3" xfId="11440" xr:uid="{00000000-0005-0000-0000-000049460000}"/>
    <cellStyle name="40% - Accent6 60 3 2" xfId="22728" xr:uid="{00000000-0005-0000-0000-00004A460000}"/>
    <cellStyle name="40% - Accent6 60 4" xfId="9446" xr:uid="{00000000-0005-0000-0000-00004B460000}"/>
    <cellStyle name="40% - Accent6 60 4 2" xfId="20734" xr:uid="{00000000-0005-0000-0000-00004C460000}"/>
    <cellStyle name="40% - Accent6 60 5" xfId="7452" xr:uid="{00000000-0005-0000-0000-00004D460000}"/>
    <cellStyle name="40% - Accent6 60 5 2" xfId="18740" xr:uid="{00000000-0005-0000-0000-00004E460000}"/>
    <cellStyle name="40% - Accent6 60 6" xfId="5458" xr:uid="{00000000-0005-0000-0000-00004F460000}"/>
    <cellStyle name="40% - Accent6 60 6 2" xfId="16746" xr:uid="{00000000-0005-0000-0000-000050460000}"/>
    <cellStyle name="40% - Accent6 60 7" xfId="14752" xr:uid="{00000000-0005-0000-0000-000051460000}"/>
    <cellStyle name="40% - Accent6 60 8" xfId="13438" xr:uid="{00000000-0005-0000-0000-000052460000}"/>
    <cellStyle name="40% - Accent6 61" xfId="1503" xr:uid="{00000000-0005-0000-0000-000053460000}"/>
    <cellStyle name="40% - Accent6 61 2" xfId="4459" xr:uid="{00000000-0005-0000-0000-000054460000}"/>
    <cellStyle name="40% - Accent6 61 2 2" xfId="12438" xr:uid="{00000000-0005-0000-0000-000055460000}"/>
    <cellStyle name="40% - Accent6 61 2 2 2" xfId="23726" xr:uid="{00000000-0005-0000-0000-000056460000}"/>
    <cellStyle name="40% - Accent6 61 2 3" xfId="10444" xr:uid="{00000000-0005-0000-0000-000057460000}"/>
    <cellStyle name="40% - Accent6 61 2 3 2" xfId="21732" xr:uid="{00000000-0005-0000-0000-000058460000}"/>
    <cellStyle name="40% - Accent6 61 2 4" xfId="8450" xr:uid="{00000000-0005-0000-0000-000059460000}"/>
    <cellStyle name="40% - Accent6 61 2 4 2" xfId="19738" xr:uid="{00000000-0005-0000-0000-00005A460000}"/>
    <cellStyle name="40% - Accent6 61 2 5" xfId="6456" xr:uid="{00000000-0005-0000-0000-00005B460000}"/>
    <cellStyle name="40% - Accent6 61 2 5 2" xfId="17744" xr:uid="{00000000-0005-0000-0000-00005C460000}"/>
    <cellStyle name="40% - Accent6 61 2 6" xfId="15750" xr:uid="{00000000-0005-0000-0000-00005D460000}"/>
    <cellStyle name="40% - Accent6 61 3" xfId="11441" xr:uid="{00000000-0005-0000-0000-00005E460000}"/>
    <cellStyle name="40% - Accent6 61 3 2" xfId="22729" xr:uid="{00000000-0005-0000-0000-00005F460000}"/>
    <cellStyle name="40% - Accent6 61 4" xfId="9447" xr:uid="{00000000-0005-0000-0000-000060460000}"/>
    <cellStyle name="40% - Accent6 61 4 2" xfId="20735" xr:uid="{00000000-0005-0000-0000-000061460000}"/>
    <cellStyle name="40% - Accent6 61 5" xfId="7453" xr:uid="{00000000-0005-0000-0000-000062460000}"/>
    <cellStyle name="40% - Accent6 61 5 2" xfId="18741" xr:uid="{00000000-0005-0000-0000-000063460000}"/>
    <cellStyle name="40% - Accent6 61 6" xfId="5459" xr:uid="{00000000-0005-0000-0000-000064460000}"/>
    <cellStyle name="40% - Accent6 61 6 2" xfId="16747" xr:uid="{00000000-0005-0000-0000-000065460000}"/>
    <cellStyle name="40% - Accent6 61 7" xfId="14753" xr:uid="{00000000-0005-0000-0000-000066460000}"/>
    <cellStyle name="40% - Accent6 61 8" xfId="13439" xr:uid="{00000000-0005-0000-0000-000067460000}"/>
    <cellStyle name="40% - Accent6 62" xfId="1504" xr:uid="{00000000-0005-0000-0000-000068460000}"/>
    <cellStyle name="40% - Accent6 62 2" xfId="4460" xr:uid="{00000000-0005-0000-0000-000069460000}"/>
    <cellStyle name="40% - Accent6 62 2 2" xfId="12439" xr:uid="{00000000-0005-0000-0000-00006A460000}"/>
    <cellStyle name="40% - Accent6 62 2 2 2" xfId="23727" xr:uid="{00000000-0005-0000-0000-00006B460000}"/>
    <cellStyle name="40% - Accent6 62 2 3" xfId="10445" xr:uid="{00000000-0005-0000-0000-00006C460000}"/>
    <cellStyle name="40% - Accent6 62 2 3 2" xfId="21733" xr:uid="{00000000-0005-0000-0000-00006D460000}"/>
    <cellStyle name="40% - Accent6 62 2 4" xfId="8451" xr:uid="{00000000-0005-0000-0000-00006E460000}"/>
    <cellStyle name="40% - Accent6 62 2 4 2" xfId="19739" xr:uid="{00000000-0005-0000-0000-00006F460000}"/>
    <cellStyle name="40% - Accent6 62 2 5" xfId="6457" xr:uid="{00000000-0005-0000-0000-000070460000}"/>
    <cellStyle name="40% - Accent6 62 2 5 2" xfId="17745" xr:uid="{00000000-0005-0000-0000-000071460000}"/>
    <cellStyle name="40% - Accent6 62 2 6" xfId="15751" xr:uid="{00000000-0005-0000-0000-000072460000}"/>
    <cellStyle name="40% - Accent6 62 3" xfId="11442" xr:uid="{00000000-0005-0000-0000-000073460000}"/>
    <cellStyle name="40% - Accent6 62 3 2" xfId="22730" xr:uid="{00000000-0005-0000-0000-000074460000}"/>
    <cellStyle name="40% - Accent6 62 4" xfId="9448" xr:uid="{00000000-0005-0000-0000-000075460000}"/>
    <cellStyle name="40% - Accent6 62 4 2" xfId="20736" xr:uid="{00000000-0005-0000-0000-000076460000}"/>
    <cellStyle name="40% - Accent6 62 5" xfId="7454" xr:uid="{00000000-0005-0000-0000-000077460000}"/>
    <cellStyle name="40% - Accent6 62 5 2" xfId="18742" xr:uid="{00000000-0005-0000-0000-000078460000}"/>
    <cellStyle name="40% - Accent6 62 6" xfId="5460" xr:uid="{00000000-0005-0000-0000-000079460000}"/>
    <cellStyle name="40% - Accent6 62 6 2" xfId="16748" xr:uid="{00000000-0005-0000-0000-00007A460000}"/>
    <cellStyle name="40% - Accent6 62 7" xfId="14754" xr:uid="{00000000-0005-0000-0000-00007B460000}"/>
    <cellStyle name="40% - Accent6 62 8" xfId="13440" xr:uid="{00000000-0005-0000-0000-00007C460000}"/>
    <cellStyle name="40% - Accent6 63" xfId="1505" xr:uid="{00000000-0005-0000-0000-00007D460000}"/>
    <cellStyle name="40% - Accent6 63 2" xfId="4461" xr:uid="{00000000-0005-0000-0000-00007E460000}"/>
    <cellStyle name="40% - Accent6 63 2 2" xfId="12440" xr:uid="{00000000-0005-0000-0000-00007F460000}"/>
    <cellStyle name="40% - Accent6 63 2 2 2" xfId="23728" xr:uid="{00000000-0005-0000-0000-000080460000}"/>
    <cellStyle name="40% - Accent6 63 2 3" xfId="10446" xr:uid="{00000000-0005-0000-0000-000081460000}"/>
    <cellStyle name="40% - Accent6 63 2 3 2" xfId="21734" xr:uid="{00000000-0005-0000-0000-000082460000}"/>
    <cellStyle name="40% - Accent6 63 2 4" xfId="8452" xr:uid="{00000000-0005-0000-0000-000083460000}"/>
    <cellStyle name="40% - Accent6 63 2 4 2" xfId="19740" xr:uid="{00000000-0005-0000-0000-000084460000}"/>
    <cellStyle name="40% - Accent6 63 2 5" xfId="6458" xr:uid="{00000000-0005-0000-0000-000085460000}"/>
    <cellStyle name="40% - Accent6 63 2 5 2" xfId="17746" xr:uid="{00000000-0005-0000-0000-000086460000}"/>
    <cellStyle name="40% - Accent6 63 2 6" xfId="15752" xr:uid="{00000000-0005-0000-0000-000087460000}"/>
    <cellStyle name="40% - Accent6 63 3" xfId="11443" xr:uid="{00000000-0005-0000-0000-000088460000}"/>
    <cellStyle name="40% - Accent6 63 3 2" xfId="22731" xr:uid="{00000000-0005-0000-0000-000089460000}"/>
    <cellStyle name="40% - Accent6 63 4" xfId="9449" xr:uid="{00000000-0005-0000-0000-00008A460000}"/>
    <cellStyle name="40% - Accent6 63 4 2" xfId="20737" xr:uid="{00000000-0005-0000-0000-00008B460000}"/>
    <cellStyle name="40% - Accent6 63 5" xfId="7455" xr:uid="{00000000-0005-0000-0000-00008C460000}"/>
    <cellStyle name="40% - Accent6 63 5 2" xfId="18743" xr:uid="{00000000-0005-0000-0000-00008D460000}"/>
    <cellStyle name="40% - Accent6 63 6" xfId="5461" xr:uid="{00000000-0005-0000-0000-00008E460000}"/>
    <cellStyle name="40% - Accent6 63 6 2" xfId="16749" xr:uid="{00000000-0005-0000-0000-00008F460000}"/>
    <cellStyle name="40% - Accent6 63 7" xfId="14755" xr:uid="{00000000-0005-0000-0000-000090460000}"/>
    <cellStyle name="40% - Accent6 63 8" xfId="13441" xr:uid="{00000000-0005-0000-0000-000091460000}"/>
    <cellStyle name="40% - Accent6 64" xfId="1506" xr:uid="{00000000-0005-0000-0000-000092460000}"/>
    <cellStyle name="40% - Accent6 64 2" xfId="4462" xr:uid="{00000000-0005-0000-0000-000093460000}"/>
    <cellStyle name="40% - Accent6 64 2 2" xfId="12441" xr:uid="{00000000-0005-0000-0000-000094460000}"/>
    <cellStyle name="40% - Accent6 64 2 2 2" xfId="23729" xr:uid="{00000000-0005-0000-0000-000095460000}"/>
    <cellStyle name="40% - Accent6 64 2 3" xfId="10447" xr:uid="{00000000-0005-0000-0000-000096460000}"/>
    <cellStyle name="40% - Accent6 64 2 3 2" xfId="21735" xr:uid="{00000000-0005-0000-0000-000097460000}"/>
    <cellStyle name="40% - Accent6 64 2 4" xfId="8453" xr:uid="{00000000-0005-0000-0000-000098460000}"/>
    <cellStyle name="40% - Accent6 64 2 4 2" xfId="19741" xr:uid="{00000000-0005-0000-0000-000099460000}"/>
    <cellStyle name="40% - Accent6 64 2 5" xfId="6459" xr:uid="{00000000-0005-0000-0000-00009A460000}"/>
    <cellStyle name="40% - Accent6 64 2 5 2" xfId="17747" xr:uid="{00000000-0005-0000-0000-00009B460000}"/>
    <cellStyle name="40% - Accent6 64 2 6" xfId="15753" xr:uid="{00000000-0005-0000-0000-00009C460000}"/>
    <cellStyle name="40% - Accent6 64 3" xfId="11444" xr:uid="{00000000-0005-0000-0000-00009D460000}"/>
    <cellStyle name="40% - Accent6 64 3 2" xfId="22732" xr:uid="{00000000-0005-0000-0000-00009E460000}"/>
    <cellStyle name="40% - Accent6 64 4" xfId="9450" xr:uid="{00000000-0005-0000-0000-00009F460000}"/>
    <cellStyle name="40% - Accent6 64 4 2" xfId="20738" xr:uid="{00000000-0005-0000-0000-0000A0460000}"/>
    <cellStyle name="40% - Accent6 64 5" xfId="7456" xr:uid="{00000000-0005-0000-0000-0000A1460000}"/>
    <cellStyle name="40% - Accent6 64 5 2" xfId="18744" xr:uid="{00000000-0005-0000-0000-0000A2460000}"/>
    <cellStyle name="40% - Accent6 64 6" xfId="5462" xr:uid="{00000000-0005-0000-0000-0000A3460000}"/>
    <cellStyle name="40% - Accent6 64 6 2" xfId="16750" xr:uid="{00000000-0005-0000-0000-0000A4460000}"/>
    <cellStyle name="40% - Accent6 64 7" xfId="14756" xr:uid="{00000000-0005-0000-0000-0000A5460000}"/>
    <cellStyle name="40% - Accent6 64 8" xfId="13442" xr:uid="{00000000-0005-0000-0000-0000A6460000}"/>
    <cellStyle name="40% - Accent6 65" xfId="1507" xr:uid="{00000000-0005-0000-0000-0000A7460000}"/>
    <cellStyle name="40% - Accent6 65 2" xfId="4463" xr:uid="{00000000-0005-0000-0000-0000A8460000}"/>
    <cellStyle name="40% - Accent6 65 2 2" xfId="12442" xr:uid="{00000000-0005-0000-0000-0000A9460000}"/>
    <cellStyle name="40% - Accent6 65 2 2 2" xfId="23730" xr:uid="{00000000-0005-0000-0000-0000AA460000}"/>
    <cellStyle name="40% - Accent6 65 2 3" xfId="10448" xr:uid="{00000000-0005-0000-0000-0000AB460000}"/>
    <cellStyle name="40% - Accent6 65 2 3 2" xfId="21736" xr:uid="{00000000-0005-0000-0000-0000AC460000}"/>
    <cellStyle name="40% - Accent6 65 2 4" xfId="8454" xr:uid="{00000000-0005-0000-0000-0000AD460000}"/>
    <cellStyle name="40% - Accent6 65 2 4 2" xfId="19742" xr:uid="{00000000-0005-0000-0000-0000AE460000}"/>
    <cellStyle name="40% - Accent6 65 2 5" xfId="6460" xr:uid="{00000000-0005-0000-0000-0000AF460000}"/>
    <cellStyle name="40% - Accent6 65 2 5 2" xfId="17748" xr:uid="{00000000-0005-0000-0000-0000B0460000}"/>
    <cellStyle name="40% - Accent6 65 2 6" xfId="15754" xr:uid="{00000000-0005-0000-0000-0000B1460000}"/>
    <cellStyle name="40% - Accent6 65 3" xfId="11445" xr:uid="{00000000-0005-0000-0000-0000B2460000}"/>
    <cellStyle name="40% - Accent6 65 3 2" xfId="22733" xr:uid="{00000000-0005-0000-0000-0000B3460000}"/>
    <cellStyle name="40% - Accent6 65 4" xfId="9451" xr:uid="{00000000-0005-0000-0000-0000B4460000}"/>
    <cellStyle name="40% - Accent6 65 4 2" xfId="20739" xr:uid="{00000000-0005-0000-0000-0000B5460000}"/>
    <cellStyle name="40% - Accent6 65 5" xfId="7457" xr:uid="{00000000-0005-0000-0000-0000B6460000}"/>
    <cellStyle name="40% - Accent6 65 5 2" xfId="18745" xr:uid="{00000000-0005-0000-0000-0000B7460000}"/>
    <cellStyle name="40% - Accent6 65 6" xfId="5463" xr:uid="{00000000-0005-0000-0000-0000B8460000}"/>
    <cellStyle name="40% - Accent6 65 6 2" xfId="16751" xr:uid="{00000000-0005-0000-0000-0000B9460000}"/>
    <cellStyle name="40% - Accent6 65 7" xfId="14757" xr:uid="{00000000-0005-0000-0000-0000BA460000}"/>
    <cellStyle name="40% - Accent6 65 8" xfId="13443" xr:uid="{00000000-0005-0000-0000-0000BB460000}"/>
    <cellStyle name="40% - Accent6 66" xfId="1508" xr:uid="{00000000-0005-0000-0000-0000BC460000}"/>
    <cellStyle name="40% - Accent6 66 2" xfId="4464" xr:uid="{00000000-0005-0000-0000-0000BD460000}"/>
    <cellStyle name="40% - Accent6 66 2 2" xfId="12443" xr:uid="{00000000-0005-0000-0000-0000BE460000}"/>
    <cellStyle name="40% - Accent6 66 2 2 2" xfId="23731" xr:uid="{00000000-0005-0000-0000-0000BF460000}"/>
    <cellStyle name="40% - Accent6 66 2 3" xfId="10449" xr:uid="{00000000-0005-0000-0000-0000C0460000}"/>
    <cellStyle name="40% - Accent6 66 2 3 2" xfId="21737" xr:uid="{00000000-0005-0000-0000-0000C1460000}"/>
    <cellStyle name="40% - Accent6 66 2 4" xfId="8455" xr:uid="{00000000-0005-0000-0000-0000C2460000}"/>
    <cellStyle name="40% - Accent6 66 2 4 2" xfId="19743" xr:uid="{00000000-0005-0000-0000-0000C3460000}"/>
    <cellStyle name="40% - Accent6 66 2 5" xfId="6461" xr:uid="{00000000-0005-0000-0000-0000C4460000}"/>
    <cellStyle name="40% - Accent6 66 2 5 2" xfId="17749" xr:uid="{00000000-0005-0000-0000-0000C5460000}"/>
    <cellStyle name="40% - Accent6 66 2 6" xfId="15755" xr:uid="{00000000-0005-0000-0000-0000C6460000}"/>
    <cellStyle name="40% - Accent6 66 3" xfId="11446" xr:uid="{00000000-0005-0000-0000-0000C7460000}"/>
    <cellStyle name="40% - Accent6 66 3 2" xfId="22734" xr:uid="{00000000-0005-0000-0000-0000C8460000}"/>
    <cellStyle name="40% - Accent6 66 4" xfId="9452" xr:uid="{00000000-0005-0000-0000-0000C9460000}"/>
    <cellStyle name="40% - Accent6 66 4 2" xfId="20740" xr:uid="{00000000-0005-0000-0000-0000CA460000}"/>
    <cellStyle name="40% - Accent6 66 5" xfId="7458" xr:uid="{00000000-0005-0000-0000-0000CB460000}"/>
    <cellStyle name="40% - Accent6 66 5 2" xfId="18746" xr:uid="{00000000-0005-0000-0000-0000CC460000}"/>
    <cellStyle name="40% - Accent6 66 6" xfId="5464" xr:uid="{00000000-0005-0000-0000-0000CD460000}"/>
    <cellStyle name="40% - Accent6 66 6 2" xfId="16752" xr:uid="{00000000-0005-0000-0000-0000CE460000}"/>
    <cellStyle name="40% - Accent6 66 7" xfId="14758" xr:uid="{00000000-0005-0000-0000-0000CF460000}"/>
    <cellStyle name="40% - Accent6 66 8" xfId="13444" xr:uid="{00000000-0005-0000-0000-0000D0460000}"/>
    <cellStyle name="40% - Accent6 67" xfId="1509" xr:uid="{00000000-0005-0000-0000-0000D1460000}"/>
    <cellStyle name="40% - Accent6 67 2" xfId="4465" xr:uid="{00000000-0005-0000-0000-0000D2460000}"/>
    <cellStyle name="40% - Accent6 67 2 2" xfId="12444" xr:uid="{00000000-0005-0000-0000-0000D3460000}"/>
    <cellStyle name="40% - Accent6 67 2 2 2" xfId="23732" xr:uid="{00000000-0005-0000-0000-0000D4460000}"/>
    <cellStyle name="40% - Accent6 67 2 3" xfId="10450" xr:uid="{00000000-0005-0000-0000-0000D5460000}"/>
    <cellStyle name="40% - Accent6 67 2 3 2" xfId="21738" xr:uid="{00000000-0005-0000-0000-0000D6460000}"/>
    <cellStyle name="40% - Accent6 67 2 4" xfId="8456" xr:uid="{00000000-0005-0000-0000-0000D7460000}"/>
    <cellStyle name="40% - Accent6 67 2 4 2" xfId="19744" xr:uid="{00000000-0005-0000-0000-0000D8460000}"/>
    <cellStyle name="40% - Accent6 67 2 5" xfId="6462" xr:uid="{00000000-0005-0000-0000-0000D9460000}"/>
    <cellStyle name="40% - Accent6 67 2 5 2" xfId="17750" xr:uid="{00000000-0005-0000-0000-0000DA460000}"/>
    <cellStyle name="40% - Accent6 67 2 6" xfId="15756" xr:uid="{00000000-0005-0000-0000-0000DB460000}"/>
    <cellStyle name="40% - Accent6 67 3" xfId="11447" xr:uid="{00000000-0005-0000-0000-0000DC460000}"/>
    <cellStyle name="40% - Accent6 67 3 2" xfId="22735" xr:uid="{00000000-0005-0000-0000-0000DD460000}"/>
    <cellStyle name="40% - Accent6 67 4" xfId="9453" xr:uid="{00000000-0005-0000-0000-0000DE460000}"/>
    <cellStyle name="40% - Accent6 67 4 2" xfId="20741" xr:uid="{00000000-0005-0000-0000-0000DF460000}"/>
    <cellStyle name="40% - Accent6 67 5" xfId="7459" xr:uid="{00000000-0005-0000-0000-0000E0460000}"/>
    <cellStyle name="40% - Accent6 67 5 2" xfId="18747" xr:uid="{00000000-0005-0000-0000-0000E1460000}"/>
    <cellStyle name="40% - Accent6 67 6" xfId="5465" xr:uid="{00000000-0005-0000-0000-0000E2460000}"/>
    <cellStyle name="40% - Accent6 67 6 2" xfId="16753" xr:uid="{00000000-0005-0000-0000-0000E3460000}"/>
    <cellStyle name="40% - Accent6 67 7" xfId="14759" xr:uid="{00000000-0005-0000-0000-0000E4460000}"/>
    <cellStyle name="40% - Accent6 67 8" xfId="13445" xr:uid="{00000000-0005-0000-0000-0000E5460000}"/>
    <cellStyle name="40% - Accent6 68" xfId="1510" xr:uid="{00000000-0005-0000-0000-0000E6460000}"/>
    <cellStyle name="40% - Accent6 68 2" xfId="4466" xr:uid="{00000000-0005-0000-0000-0000E7460000}"/>
    <cellStyle name="40% - Accent6 68 2 2" xfId="12445" xr:uid="{00000000-0005-0000-0000-0000E8460000}"/>
    <cellStyle name="40% - Accent6 68 2 2 2" xfId="23733" xr:uid="{00000000-0005-0000-0000-0000E9460000}"/>
    <cellStyle name="40% - Accent6 68 2 3" xfId="10451" xr:uid="{00000000-0005-0000-0000-0000EA460000}"/>
    <cellStyle name="40% - Accent6 68 2 3 2" xfId="21739" xr:uid="{00000000-0005-0000-0000-0000EB460000}"/>
    <cellStyle name="40% - Accent6 68 2 4" xfId="8457" xr:uid="{00000000-0005-0000-0000-0000EC460000}"/>
    <cellStyle name="40% - Accent6 68 2 4 2" xfId="19745" xr:uid="{00000000-0005-0000-0000-0000ED460000}"/>
    <cellStyle name="40% - Accent6 68 2 5" xfId="6463" xr:uid="{00000000-0005-0000-0000-0000EE460000}"/>
    <cellStyle name="40% - Accent6 68 2 5 2" xfId="17751" xr:uid="{00000000-0005-0000-0000-0000EF460000}"/>
    <cellStyle name="40% - Accent6 68 2 6" xfId="15757" xr:uid="{00000000-0005-0000-0000-0000F0460000}"/>
    <cellStyle name="40% - Accent6 68 3" xfId="11448" xr:uid="{00000000-0005-0000-0000-0000F1460000}"/>
    <cellStyle name="40% - Accent6 68 3 2" xfId="22736" xr:uid="{00000000-0005-0000-0000-0000F2460000}"/>
    <cellStyle name="40% - Accent6 68 4" xfId="9454" xr:uid="{00000000-0005-0000-0000-0000F3460000}"/>
    <cellStyle name="40% - Accent6 68 4 2" xfId="20742" xr:uid="{00000000-0005-0000-0000-0000F4460000}"/>
    <cellStyle name="40% - Accent6 68 5" xfId="7460" xr:uid="{00000000-0005-0000-0000-0000F5460000}"/>
    <cellStyle name="40% - Accent6 68 5 2" xfId="18748" xr:uid="{00000000-0005-0000-0000-0000F6460000}"/>
    <cellStyle name="40% - Accent6 68 6" xfId="5466" xr:uid="{00000000-0005-0000-0000-0000F7460000}"/>
    <cellStyle name="40% - Accent6 68 6 2" xfId="16754" xr:uid="{00000000-0005-0000-0000-0000F8460000}"/>
    <cellStyle name="40% - Accent6 68 7" xfId="14760" xr:uid="{00000000-0005-0000-0000-0000F9460000}"/>
    <cellStyle name="40% - Accent6 68 8" xfId="13446" xr:uid="{00000000-0005-0000-0000-0000FA460000}"/>
    <cellStyle name="40% - Accent6 69" xfId="1511" xr:uid="{00000000-0005-0000-0000-0000FB460000}"/>
    <cellStyle name="40% - Accent6 69 2" xfId="4467" xr:uid="{00000000-0005-0000-0000-0000FC460000}"/>
    <cellStyle name="40% - Accent6 69 2 2" xfId="12446" xr:uid="{00000000-0005-0000-0000-0000FD460000}"/>
    <cellStyle name="40% - Accent6 69 2 2 2" xfId="23734" xr:uid="{00000000-0005-0000-0000-0000FE460000}"/>
    <cellStyle name="40% - Accent6 69 2 3" xfId="10452" xr:uid="{00000000-0005-0000-0000-0000FF460000}"/>
    <cellStyle name="40% - Accent6 69 2 3 2" xfId="21740" xr:uid="{00000000-0005-0000-0000-000000470000}"/>
    <cellStyle name="40% - Accent6 69 2 4" xfId="8458" xr:uid="{00000000-0005-0000-0000-000001470000}"/>
    <cellStyle name="40% - Accent6 69 2 4 2" xfId="19746" xr:uid="{00000000-0005-0000-0000-000002470000}"/>
    <cellStyle name="40% - Accent6 69 2 5" xfId="6464" xr:uid="{00000000-0005-0000-0000-000003470000}"/>
    <cellStyle name="40% - Accent6 69 2 5 2" xfId="17752" xr:uid="{00000000-0005-0000-0000-000004470000}"/>
    <cellStyle name="40% - Accent6 69 2 6" xfId="15758" xr:uid="{00000000-0005-0000-0000-000005470000}"/>
    <cellStyle name="40% - Accent6 69 3" xfId="11449" xr:uid="{00000000-0005-0000-0000-000006470000}"/>
    <cellStyle name="40% - Accent6 69 3 2" xfId="22737" xr:uid="{00000000-0005-0000-0000-000007470000}"/>
    <cellStyle name="40% - Accent6 69 4" xfId="9455" xr:uid="{00000000-0005-0000-0000-000008470000}"/>
    <cellStyle name="40% - Accent6 69 4 2" xfId="20743" xr:uid="{00000000-0005-0000-0000-000009470000}"/>
    <cellStyle name="40% - Accent6 69 5" xfId="7461" xr:uid="{00000000-0005-0000-0000-00000A470000}"/>
    <cellStyle name="40% - Accent6 69 5 2" xfId="18749" xr:uid="{00000000-0005-0000-0000-00000B470000}"/>
    <cellStyle name="40% - Accent6 69 6" xfId="5467" xr:uid="{00000000-0005-0000-0000-00000C470000}"/>
    <cellStyle name="40% - Accent6 69 6 2" xfId="16755" xr:uid="{00000000-0005-0000-0000-00000D470000}"/>
    <cellStyle name="40% - Accent6 69 7" xfId="14761" xr:uid="{00000000-0005-0000-0000-00000E470000}"/>
    <cellStyle name="40% - Accent6 69 8" xfId="13447" xr:uid="{00000000-0005-0000-0000-00000F470000}"/>
    <cellStyle name="40% - Accent6 7" xfId="1512" xr:uid="{00000000-0005-0000-0000-000010470000}"/>
    <cellStyle name="40% - Accent6 7 10" xfId="24630" xr:uid="{00000000-0005-0000-0000-000011470000}"/>
    <cellStyle name="40% - Accent6 7 11" xfId="25020" xr:uid="{00000000-0005-0000-0000-000012470000}"/>
    <cellStyle name="40% - Accent6 7 2" xfId="4468" xr:uid="{00000000-0005-0000-0000-000013470000}"/>
    <cellStyle name="40% - Accent6 7 2 2" xfId="12447" xr:uid="{00000000-0005-0000-0000-000014470000}"/>
    <cellStyle name="40% - Accent6 7 2 2 2" xfId="23735" xr:uid="{00000000-0005-0000-0000-000015470000}"/>
    <cellStyle name="40% - Accent6 7 2 3" xfId="10453" xr:uid="{00000000-0005-0000-0000-000016470000}"/>
    <cellStyle name="40% - Accent6 7 2 3 2" xfId="21741" xr:uid="{00000000-0005-0000-0000-000017470000}"/>
    <cellStyle name="40% - Accent6 7 2 4" xfId="8459" xr:uid="{00000000-0005-0000-0000-000018470000}"/>
    <cellStyle name="40% - Accent6 7 2 4 2" xfId="19747" xr:uid="{00000000-0005-0000-0000-000019470000}"/>
    <cellStyle name="40% - Accent6 7 2 5" xfId="6465" xr:uid="{00000000-0005-0000-0000-00001A470000}"/>
    <cellStyle name="40% - Accent6 7 2 5 2" xfId="17753" xr:uid="{00000000-0005-0000-0000-00001B470000}"/>
    <cellStyle name="40% - Accent6 7 2 6" xfId="15759" xr:uid="{00000000-0005-0000-0000-00001C470000}"/>
    <cellStyle name="40% - Accent6 7 2 7" xfId="24391" xr:uid="{00000000-0005-0000-0000-00001D470000}"/>
    <cellStyle name="40% - Accent6 7 2 8" xfId="24855" xr:uid="{00000000-0005-0000-0000-00001E470000}"/>
    <cellStyle name="40% - Accent6 7 2 9" xfId="25222" xr:uid="{00000000-0005-0000-0000-00001F470000}"/>
    <cellStyle name="40% - Accent6 7 3" xfId="11450" xr:uid="{00000000-0005-0000-0000-000020470000}"/>
    <cellStyle name="40% - Accent6 7 3 2" xfId="22738" xr:uid="{00000000-0005-0000-0000-000021470000}"/>
    <cellStyle name="40% - Accent6 7 4" xfId="9456" xr:uid="{00000000-0005-0000-0000-000022470000}"/>
    <cellStyle name="40% - Accent6 7 4 2" xfId="20744" xr:uid="{00000000-0005-0000-0000-000023470000}"/>
    <cellStyle name="40% - Accent6 7 5" xfId="7462" xr:uid="{00000000-0005-0000-0000-000024470000}"/>
    <cellStyle name="40% - Accent6 7 5 2" xfId="18750" xr:uid="{00000000-0005-0000-0000-000025470000}"/>
    <cellStyle name="40% - Accent6 7 6" xfId="5468" xr:uid="{00000000-0005-0000-0000-000026470000}"/>
    <cellStyle name="40% - Accent6 7 6 2" xfId="16756" xr:uid="{00000000-0005-0000-0000-000027470000}"/>
    <cellStyle name="40% - Accent6 7 7" xfId="14762" xr:uid="{00000000-0005-0000-0000-000028470000}"/>
    <cellStyle name="40% - Accent6 7 8" xfId="13448" xr:uid="{00000000-0005-0000-0000-000029470000}"/>
    <cellStyle name="40% - Accent6 7 9" xfId="24003" xr:uid="{00000000-0005-0000-0000-00002A470000}"/>
    <cellStyle name="40% - Accent6 70" xfId="1513" xr:uid="{00000000-0005-0000-0000-00002B470000}"/>
    <cellStyle name="40% - Accent6 70 2" xfId="4469" xr:uid="{00000000-0005-0000-0000-00002C470000}"/>
    <cellStyle name="40% - Accent6 70 2 2" xfId="12448" xr:uid="{00000000-0005-0000-0000-00002D470000}"/>
    <cellStyle name="40% - Accent6 70 2 2 2" xfId="23736" xr:uid="{00000000-0005-0000-0000-00002E470000}"/>
    <cellStyle name="40% - Accent6 70 2 3" xfId="10454" xr:uid="{00000000-0005-0000-0000-00002F470000}"/>
    <cellStyle name="40% - Accent6 70 2 3 2" xfId="21742" xr:uid="{00000000-0005-0000-0000-000030470000}"/>
    <cellStyle name="40% - Accent6 70 2 4" xfId="8460" xr:uid="{00000000-0005-0000-0000-000031470000}"/>
    <cellStyle name="40% - Accent6 70 2 4 2" xfId="19748" xr:uid="{00000000-0005-0000-0000-000032470000}"/>
    <cellStyle name="40% - Accent6 70 2 5" xfId="6466" xr:uid="{00000000-0005-0000-0000-000033470000}"/>
    <cellStyle name="40% - Accent6 70 2 5 2" xfId="17754" xr:uid="{00000000-0005-0000-0000-000034470000}"/>
    <cellStyle name="40% - Accent6 70 2 6" xfId="15760" xr:uid="{00000000-0005-0000-0000-000035470000}"/>
    <cellStyle name="40% - Accent6 70 3" xfId="11451" xr:uid="{00000000-0005-0000-0000-000036470000}"/>
    <cellStyle name="40% - Accent6 70 3 2" xfId="22739" xr:uid="{00000000-0005-0000-0000-000037470000}"/>
    <cellStyle name="40% - Accent6 70 4" xfId="9457" xr:uid="{00000000-0005-0000-0000-000038470000}"/>
    <cellStyle name="40% - Accent6 70 4 2" xfId="20745" xr:uid="{00000000-0005-0000-0000-000039470000}"/>
    <cellStyle name="40% - Accent6 70 5" xfId="7463" xr:uid="{00000000-0005-0000-0000-00003A470000}"/>
    <cellStyle name="40% - Accent6 70 5 2" xfId="18751" xr:uid="{00000000-0005-0000-0000-00003B470000}"/>
    <cellStyle name="40% - Accent6 70 6" xfId="5469" xr:uid="{00000000-0005-0000-0000-00003C470000}"/>
    <cellStyle name="40% - Accent6 70 6 2" xfId="16757" xr:uid="{00000000-0005-0000-0000-00003D470000}"/>
    <cellStyle name="40% - Accent6 70 7" xfId="14763" xr:uid="{00000000-0005-0000-0000-00003E470000}"/>
    <cellStyle name="40% - Accent6 70 8" xfId="13449" xr:uid="{00000000-0005-0000-0000-00003F470000}"/>
    <cellStyle name="40% - Accent6 71" xfId="1514" xr:uid="{00000000-0005-0000-0000-000040470000}"/>
    <cellStyle name="40% - Accent6 71 2" xfId="4470" xr:uid="{00000000-0005-0000-0000-000041470000}"/>
    <cellStyle name="40% - Accent6 71 2 2" xfId="12449" xr:uid="{00000000-0005-0000-0000-000042470000}"/>
    <cellStyle name="40% - Accent6 71 2 2 2" xfId="23737" xr:uid="{00000000-0005-0000-0000-000043470000}"/>
    <cellStyle name="40% - Accent6 71 2 3" xfId="10455" xr:uid="{00000000-0005-0000-0000-000044470000}"/>
    <cellStyle name="40% - Accent6 71 2 3 2" xfId="21743" xr:uid="{00000000-0005-0000-0000-000045470000}"/>
    <cellStyle name="40% - Accent6 71 2 4" xfId="8461" xr:uid="{00000000-0005-0000-0000-000046470000}"/>
    <cellStyle name="40% - Accent6 71 2 4 2" xfId="19749" xr:uid="{00000000-0005-0000-0000-000047470000}"/>
    <cellStyle name="40% - Accent6 71 2 5" xfId="6467" xr:uid="{00000000-0005-0000-0000-000048470000}"/>
    <cellStyle name="40% - Accent6 71 2 5 2" xfId="17755" xr:uid="{00000000-0005-0000-0000-000049470000}"/>
    <cellStyle name="40% - Accent6 71 2 6" xfId="15761" xr:uid="{00000000-0005-0000-0000-00004A470000}"/>
    <cellStyle name="40% - Accent6 71 3" xfId="11452" xr:uid="{00000000-0005-0000-0000-00004B470000}"/>
    <cellStyle name="40% - Accent6 71 3 2" xfId="22740" xr:uid="{00000000-0005-0000-0000-00004C470000}"/>
    <cellStyle name="40% - Accent6 71 4" xfId="9458" xr:uid="{00000000-0005-0000-0000-00004D470000}"/>
    <cellStyle name="40% - Accent6 71 4 2" xfId="20746" xr:uid="{00000000-0005-0000-0000-00004E470000}"/>
    <cellStyle name="40% - Accent6 71 5" xfId="7464" xr:uid="{00000000-0005-0000-0000-00004F470000}"/>
    <cellStyle name="40% - Accent6 71 5 2" xfId="18752" xr:uid="{00000000-0005-0000-0000-000050470000}"/>
    <cellStyle name="40% - Accent6 71 6" xfId="5470" xr:uid="{00000000-0005-0000-0000-000051470000}"/>
    <cellStyle name="40% - Accent6 71 6 2" xfId="16758" xr:uid="{00000000-0005-0000-0000-000052470000}"/>
    <cellStyle name="40% - Accent6 71 7" xfId="14764" xr:uid="{00000000-0005-0000-0000-000053470000}"/>
    <cellStyle name="40% - Accent6 71 8" xfId="13450" xr:uid="{00000000-0005-0000-0000-000054470000}"/>
    <cellStyle name="40% - Accent6 72" xfId="1515" xr:uid="{00000000-0005-0000-0000-000055470000}"/>
    <cellStyle name="40% - Accent6 72 2" xfId="4471" xr:uid="{00000000-0005-0000-0000-000056470000}"/>
    <cellStyle name="40% - Accent6 72 2 2" xfId="12450" xr:uid="{00000000-0005-0000-0000-000057470000}"/>
    <cellStyle name="40% - Accent6 72 2 2 2" xfId="23738" xr:uid="{00000000-0005-0000-0000-000058470000}"/>
    <cellStyle name="40% - Accent6 72 2 3" xfId="10456" xr:uid="{00000000-0005-0000-0000-000059470000}"/>
    <cellStyle name="40% - Accent6 72 2 3 2" xfId="21744" xr:uid="{00000000-0005-0000-0000-00005A470000}"/>
    <cellStyle name="40% - Accent6 72 2 4" xfId="8462" xr:uid="{00000000-0005-0000-0000-00005B470000}"/>
    <cellStyle name="40% - Accent6 72 2 4 2" xfId="19750" xr:uid="{00000000-0005-0000-0000-00005C470000}"/>
    <cellStyle name="40% - Accent6 72 2 5" xfId="6468" xr:uid="{00000000-0005-0000-0000-00005D470000}"/>
    <cellStyle name="40% - Accent6 72 2 5 2" xfId="17756" xr:uid="{00000000-0005-0000-0000-00005E470000}"/>
    <cellStyle name="40% - Accent6 72 2 6" xfId="15762" xr:uid="{00000000-0005-0000-0000-00005F470000}"/>
    <cellStyle name="40% - Accent6 72 3" xfId="11453" xr:uid="{00000000-0005-0000-0000-000060470000}"/>
    <cellStyle name="40% - Accent6 72 3 2" xfId="22741" xr:uid="{00000000-0005-0000-0000-000061470000}"/>
    <cellStyle name="40% - Accent6 72 4" xfId="9459" xr:uid="{00000000-0005-0000-0000-000062470000}"/>
    <cellStyle name="40% - Accent6 72 4 2" xfId="20747" xr:uid="{00000000-0005-0000-0000-000063470000}"/>
    <cellStyle name="40% - Accent6 72 5" xfId="7465" xr:uid="{00000000-0005-0000-0000-000064470000}"/>
    <cellStyle name="40% - Accent6 72 5 2" xfId="18753" xr:uid="{00000000-0005-0000-0000-000065470000}"/>
    <cellStyle name="40% - Accent6 72 6" xfId="5471" xr:uid="{00000000-0005-0000-0000-000066470000}"/>
    <cellStyle name="40% - Accent6 72 6 2" xfId="16759" xr:uid="{00000000-0005-0000-0000-000067470000}"/>
    <cellStyle name="40% - Accent6 72 7" xfId="14765" xr:uid="{00000000-0005-0000-0000-000068470000}"/>
    <cellStyle name="40% - Accent6 72 8" xfId="13451" xr:uid="{00000000-0005-0000-0000-000069470000}"/>
    <cellStyle name="40% - Accent6 8" xfId="1516" xr:uid="{00000000-0005-0000-0000-00006A470000}"/>
    <cellStyle name="40% - Accent6 8 2" xfId="4472" xr:uid="{00000000-0005-0000-0000-00006B470000}"/>
    <cellStyle name="40% - Accent6 8 2 2" xfId="12451" xr:uid="{00000000-0005-0000-0000-00006C470000}"/>
    <cellStyle name="40% - Accent6 8 2 2 2" xfId="23739" xr:uid="{00000000-0005-0000-0000-00006D470000}"/>
    <cellStyle name="40% - Accent6 8 2 3" xfId="10457" xr:uid="{00000000-0005-0000-0000-00006E470000}"/>
    <cellStyle name="40% - Accent6 8 2 3 2" xfId="21745" xr:uid="{00000000-0005-0000-0000-00006F470000}"/>
    <cellStyle name="40% - Accent6 8 2 4" xfId="8463" xr:uid="{00000000-0005-0000-0000-000070470000}"/>
    <cellStyle name="40% - Accent6 8 2 4 2" xfId="19751" xr:uid="{00000000-0005-0000-0000-000071470000}"/>
    <cellStyle name="40% - Accent6 8 2 5" xfId="6469" xr:uid="{00000000-0005-0000-0000-000072470000}"/>
    <cellStyle name="40% - Accent6 8 2 5 2" xfId="17757" xr:uid="{00000000-0005-0000-0000-000073470000}"/>
    <cellStyle name="40% - Accent6 8 2 6" xfId="15763" xr:uid="{00000000-0005-0000-0000-000074470000}"/>
    <cellStyle name="40% - Accent6 8 3" xfId="11454" xr:uid="{00000000-0005-0000-0000-000075470000}"/>
    <cellStyle name="40% - Accent6 8 3 2" xfId="22742" xr:uid="{00000000-0005-0000-0000-000076470000}"/>
    <cellStyle name="40% - Accent6 8 4" xfId="9460" xr:uid="{00000000-0005-0000-0000-000077470000}"/>
    <cellStyle name="40% - Accent6 8 4 2" xfId="20748" xr:uid="{00000000-0005-0000-0000-000078470000}"/>
    <cellStyle name="40% - Accent6 8 5" xfId="7466" xr:uid="{00000000-0005-0000-0000-000079470000}"/>
    <cellStyle name="40% - Accent6 8 5 2" xfId="18754" xr:uid="{00000000-0005-0000-0000-00007A470000}"/>
    <cellStyle name="40% - Accent6 8 6" xfId="5472" xr:uid="{00000000-0005-0000-0000-00007B470000}"/>
    <cellStyle name="40% - Accent6 8 6 2" xfId="16760" xr:uid="{00000000-0005-0000-0000-00007C470000}"/>
    <cellStyle name="40% - Accent6 8 7" xfId="14766" xr:uid="{00000000-0005-0000-0000-00007D470000}"/>
    <cellStyle name="40% - Accent6 8 8" xfId="13452" xr:uid="{00000000-0005-0000-0000-00007E470000}"/>
    <cellStyle name="40% - Accent6 9" xfId="1517" xr:uid="{00000000-0005-0000-0000-00007F470000}"/>
    <cellStyle name="40% - Accent6 9 2" xfId="4473" xr:uid="{00000000-0005-0000-0000-000080470000}"/>
    <cellStyle name="40% - Accent6 9 2 2" xfId="12452" xr:uid="{00000000-0005-0000-0000-000081470000}"/>
    <cellStyle name="40% - Accent6 9 2 2 2" xfId="23740" xr:uid="{00000000-0005-0000-0000-000082470000}"/>
    <cellStyle name="40% - Accent6 9 2 3" xfId="10458" xr:uid="{00000000-0005-0000-0000-000083470000}"/>
    <cellStyle name="40% - Accent6 9 2 3 2" xfId="21746" xr:uid="{00000000-0005-0000-0000-000084470000}"/>
    <cellStyle name="40% - Accent6 9 2 4" xfId="8464" xr:uid="{00000000-0005-0000-0000-000085470000}"/>
    <cellStyle name="40% - Accent6 9 2 4 2" xfId="19752" xr:uid="{00000000-0005-0000-0000-000086470000}"/>
    <cellStyle name="40% - Accent6 9 2 5" xfId="6470" xr:uid="{00000000-0005-0000-0000-000087470000}"/>
    <cellStyle name="40% - Accent6 9 2 5 2" xfId="17758" xr:uid="{00000000-0005-0000-0000-000088470000}"/>
    <cellStyle name="40% - Accent6 9 2 6" xfId="15764" xr:uid="{00000000-0005-0000-0000-000089470000}"/>
    <cellStyle name="40% - Accent6 9 3" xfId="11455" xr:uid="{00000000-0005-0000-0000-00008A470000}"/>
    <cellStyle name="40% - Accent6 9 3 2" xfId="22743" xr:uid="{00000000-0005-0000-0000-00008B470000}"/>
    <cellStyle name="40% - Accent6 9 4" xfId="9461" xr:uid="{00000000-0005-0000-0000-00008C470000}"/>
    <cellStyle name="40% - Accent6 9 4 2" xfId="20749" xr:uid="{00000000-0005-0000-0000-00008D470000}"/>
    <cellStyle name="40% - Accent6 9 5" xfId="7467" xr:uid="{00000000-0005-0000-0000-00008E470000}"/>
    <cellStyle name="40% - Accent6 9 5 2" xfId="18755" xr:uid="{00000000-0005-0000-0000-00008F470000}"/>
    <cellStyle name="40% - Accent6 9 6" xfId="5473" xr:uid="{00000000-0005-0000-0000-000090470000}"/>
    <cellStyle name="40% - Accent6 9 6 2" xfId="16761" xr:uid="{00000000-0005-0000-0000-000091470000}"/>
    <cellStyle name="40% - Accent6 9 7" xfId="14767" xr:uid="{00000000-0005-0000-0000-000092470000}"/>
    <cellStyle name="40% - Accent6 9 8" xfId="13453" xr:uid="{00000000-0005-0000-0000-000093470000}"/>
    <cellStyle name="60% - Accent1 10" xfId="1518" xr:uid="{00000000-0005-0000-0000-000094470000}"/>
    <cellStyle name="60% - Accent1 11" xfId="1519" xr:uid="{00000000-0005-0000-0000-000095470000}"/>
    <cellStyle name="60% - Accent1 12" xfId="1520" xr:uid="{00000000-0005-0000-0000-000096470000}"/>
    <cellStyle name="60% - Accent1 13" xfId="1521" xr:uid="{00000000-0005-0000-0000-000097470000}"/>
    <cellStyle name="60% - Accent1 14" xfId="1522" xr:uid="{00000000-0005-0000-0000-000098470000}"/>
    <cellStyle name="60% - Accent1 15" xfId="1523" xr:uid="{00000000-0005-0000-0000-000099470000}"/>
    <cellStyle name="60% - Accent1 16" xfId="1524" xr:uid="{00000000-0005-0000-0000-00009A470000}"/>
    <cellStyle name="60% - Accent1 17" xfId="1525" xr:uid="{00000000-0005-0000-0000-00009B470000}"/>
    <cellStyle name="60% - Accent1 18" xfId="1526" xr:uid="{00000000-0005-0000-0000-00009C470000}"/>
    <cellStyle name="60% - Accent1 19" xfId="1527" xr:uid="{00000000-0005-0000-0000-00009D470000}"/>
    <cellStyle name="60% - Accent1 2" xfId="1528" xr:uid="{00000000-0005-0000-0000-00009E470000}"/>
    <cellStyle name="60% - Accent1 20" xfId="1529" xr:uid="{00000000-0005-0000-0000-00009F470000}"/>
    <cellStyle name="60% - Accent1 21" xfId="1530" xr:uid="{00000000-0005-0000-0000-0000A0470000}"/>
    <cellStyle name="60% - Accent1 22" xfId="1531" xr:uid="{00000000-0005-0000-0000-0000A1470000}"/>
    <cellStyle name="60% - Accent1 23" xfId="1532" xr:uid="{00000000-0005-0000-0000-0000A2470000}"/>
    <cellStyle name="60% - Accent1 24" xfId="1533" xr:uid="{00000000-0005-0000-0000-0000A3470000}"/>
    <cellStyle name="60% - Accent1 25" xfId="1534" xr:uid="{00000000-0005-0000-0000-0000A4470000}"/>
    <cellStyle name="60% - Accent1 26" xfId="1535" xr:uid="{00000000-0005-0000-0000-0000A5470000}"/>
    <cellStyle name="60% - Accent1 27" xfId="1536" xr:uid="{00000000-0005-0000-0000-0000A6470000}"/>
    <cellStyle name="60% - Accent1 28" xfId="1537" xr:uid="{00000000-0005-0000-0000-0000A7470000}"/>
    <cellStyle name="60% - Accent1 29" xfId="1538" xr:uid="{00000000-0005-0000-0000-0000A8470000}"/>
    <cellStyle name="60% - Accent1 3" xfId="1539" xr:uid="{00000000-0005-0000-0000-0000A9470000}"/>
    <cellStyle name="60% - Accent1 30" xfId="1540" xr:uid="{00000000-0005-0000-0000-0000AA470000}"/>
    <cellStyle name="60% - Accent1 31" xfId="1541" xr:uid="{00000000-0005-0000-0000-0000AB470000}"/>
    <cellStyle name="60% - Accent1 32" xfId="1542" xr:uid="{00000000-0005-0000-0000-0000AC470000}"/>
    <cellStyle name="60% - Accent1 33" xfId="1543" xr:uid="{00000000-0005-0000-0000-0000AD470000}"/>
    <cellStyle name="60% - Accent1 34" xfId="1544" xr:uid="{00000000-0005-0000-0000-0000AE470000}"/>
    <cellStyle name="60% - Accent1 35" xfId="1545" xr:uid="{00000000-0005-0000-0000-0000AF470000}"/>
    <cellStyle name="60% - Accent1 36" xfId="1546" xr:uid="{00000000-0005-0000-0000-0000B0470000}"/>
    <cellStyle name="60% - Accent1 37" xfId="1547" xr:uid="{00000000-0005-0000-0000-0000B1470000}"/>
    <cellStyle name="60% - Accent1 38" xfId="1548" xr:uid="{00000000-0005-0000-0000-0000B2470000}"/>
    <cellStyle name="60% - Accent1 39" xfId="1549" xr:uid="{00000000-0005-0000-0000-0000B3470000}"/>
    <cellStyle name="60% - Accent1 4" xfId="1550" xr:uid="{00000000-0005-0000-0000-0000B4470000}"/>
    <cellStyle name="60% - Accent1 40" xfId="1551" xr:uid="{00000000-0005-0000-0000-0000B5470000}"/>
    <cellStyle name="60% - Accent1 41" xfId="1552" xr:uid="{00000000-0005-0000-0000-0000B6470000}"/>
    <cellStyle name="60% - Accent1 42" xfId="1553" xr:uid="{00000000-0005-0000-0000-0000B7470000}"/>
    <cellStyle name="60% - Accent1 43" xfId="1554" xr:uid="{00000000-0005-0000-0000-0000B8470000}"/>
    <cellStyle name="60% - Accent1 44" xfId="1555" xr:uid="{00000000-0005-0000-0000-0000B9470000}"/>
    <cellStyle name="60% - Accent1 45" xfId="1556" xr:uid="{00000000-0005-0000-0000-0000BA470000}"/>
    <cellStyle name="60% - Accent1 46" xfId="1557" xr:uid="{00000000-0005-0000-0000-0000BB470000}"/>
    <cellStyle name="60% - Accent1 47" xfId="1558" xr:uid="{00000000-0005-0000-0000-0000BC470000}"/>
    <cellStyle name="60% - Accent1 48" xfId="1559" xr:uid="{00000000-0005-0000-0000-0000BD470000}"/>
    <cellStyle name="60% - Accent1 49" xfId="1560" xr:uid="{00000000-0005-0000-0000-0000BE470000}"/>
    <cellStyle name="60% - Accent1 5" xfId="1561" xr:uid="{00000000-0005-0000-0000-0000BF470000}"/>
    <cellStyle name="60% - Accent1 50" xfId="1562" xr:uid="{00000000-0005-0000-0000-0000C0470000}"/>
    <cellStyle name="60% - Accent1 51" xfId="1563" xr:uid="{00000000-0005-0000-0000-0000C1470000}"/>
    <cellStyle name="60% - Accent1 52" xfId="1564" xr:uid="{00000000-0005-0000-0000-0000C2470000}"/>
    <cellStyle name="60% - Accent1 53" xfId="1565" xr:uid="{00000000-0005-0000-0000-0000C3470000}"/>
    <cellStyle name="60% - Accent1 54" xfId="1566" xr:uid="{00000000-0005-0000-0000-0000C4470000}"/>
    <cellStyle name="60% - Accent1 55" xfId="1567" xr:uid="{00000000-0005-0000-0000-0000C5470000}"/>
    <cellStyle name="60% - Accent1 56" xfId="1568" xr:uid="{00000000-0005-0000-0000-0000C6470000}"/>
    <cellStyle name="60% - Accent1 57" xfId="1569" xr:uid="{00000000-0005-0000-0000-0000C7470000}"/>
    <cellStyle name="60% - Accent1 58" xfId="1570" xr:uid="{00000000-0005-0000-0000-0000C8470000}"/>
    <cellStyle name="60% - Accent1 59" xfId="1571" xr:uid="{00000000-0005-0000-0000-0000C9470000}"/>
    <cellStyle name="60% - Accent1 6" xfId="1572" xr:uid="{00000000-0005-0000-0000-0000CA470000}"/>
    <cellStyle name="60% - Accent1 60" xfId="1573" xr:uid="{00000000-0005-0000-0000-0000CB470000}"/>
    <cellStyle name="60% - Accent1 61" xfId="1574" xr:uid="{00000000-0005-0000-0000-0000CC470000}"/>
    <cellStyle name="60% - Accent1 62" xfId="1575" xr:uid="{00000000-0005-0000-0000-0000CD470000}"/>
    <cellStyle name="60% - Accent1 63" xfId="1576" xr:uid="{00000000-0005-0000-0000-0000CE470000}"/>
    <cellStyle name="60% - Accent1 64" xfId="1577" xr:uid="{00000000-0005-0000-0000-0000CF470000}"/>
    <cellStyle name="60% - Accent1 65" xfId="1578" xr:uid="{00000000-0005-0000-0000-0000D0470000}"/>
    <cellStyle name="60% - Accent1 66" xfId="1579" xr:uid="{00000000-0005-0000-0000-0000D1470000}"/>
    <cellStyle name="60% - Accent1 67" xfId="1580" xr:uid="{00000000-0005-0000-0000-0000D2470000}"/>
    <cellStyle name="60% - Accent1 68" xfId="1581" xr:uid="{00000000-0005-0000-0000-0000D3470000}"/>
    <cellStyle name="60% - Accent1 69" xfId="1582" xr:uid="{00000000-0005-0000-0000-0000D4470000}"/>
    <cellStyle name="60% - Accent1 7" xfId="1583" xr:uid="{00000000-0005-0000-0000-0000D5470000}"/>
    <cellStyle name="60% - Accent1 70" xfId="1584" xr:uid="{00000000-0005-0000-0000-0000D6470000}"/>
    <cellStyle name="60% - Accent1 71" xfId="1585" xr:uid="{00000000-0005-0000-0000-0000D7470000}"/>
    <cellStyle name="60% - Accent1 72" xfId="1586" xr:uid="{00000000-0005-0000-0000-0000D8470000}"/>
    <cellStyle name="60% - Accent1 8" xfId="1587" xr:uid="{00000000-0005-0000-0000-0000D9470000}"/>
    <cellStyle name="60% - Accent1 9" xfId="1588" xr:uid="{00000000-0005-0000-0000-0000DA470000}"/>
    <cellStyle name="60% - Accent2 10" xfId="1589" xr:uid="{00000000-0005-0000-0000-0000DB470000}"/>
    <cellStyle name="60% - Accent2 11" xfId="1590" xr:uid="{00000000-0005-0000-0000-0000DC470000}"/>
    <cellStyle name="60% - Accent2 12" xfId="1591" xr:uid="{00000000-0005-0000-0000-0000DD470000}"/>
    <cellStyle name="60% - Accent2 13" xfId="1592" xr:uid="{00000000-0005-0000-0000-0000DE470000}"/>
    <cellStyle name="60% - Accent2 14" xfId="1593" xr:uid="{00000000-0005-0000-0000-0000DF470000}"/>
    <cellStyle name="60% - Accent2 15" xfId="1594" xr:uid="{00000000-0005-0000-0000-0000E0470000}"/>
    <cellStyle name="60% - Accent2 16" xfId="1595" xr:uid="{00000000-0005-0000-0000-0000E1470000}"/>
    <cellStyle name="60% - Accent2 17" xfId="1596" xr:uid="{00000000-0005-0000-0000-0000E2470000}"/>
    <cellStyle name="60% - Accent2 18" xfId="1597" xr:uid="{00000000-0005-0000-0000-0000E3470000}"/>
    <cellStyle name="60% - Accent2 19" xfId="1598" xr:uid="{00000000-0005-0000-0000-0000E4470000}"/>
    <cellStyle name="60% - Accent2 2" xfId="1599" xr:uid="{00000000-0005-0000-0000-0000E5470000}"/>
    <cellStyle name="60% - Accent2 20" xfId="1600" xr:uid="{00000000-0005-0000-0000-0000E6470000}"/>
    <cellStyle name="60% - Accent2 21" xfId="1601" xr:uid="{00000000-0005-0000-0000-0000E7470000}"/>
    <cellStyle name="60% - Accent2 22" xfId="1602" xr:uid="{00000000-0005-0000-0000-0000E8470000}"/>
    <cellStyle name="60% - Accent2 23" xfId="1603" xr:uid="{00000000-0005-0000-0000-0000E9470000}"/>
    <cellStyle name="60% - Accent2 24" xfId="1604" xr:uid="{00000000-0005-0000-0000-0000EA470000}"/>
    <cellStyle name="60% - Accent2 25" xfId="1605" xr:uid="{00000000-0005-0000-0000-0000EB470000}"/>
    <cellStyle name="60% - Accent2 26" xfId="1606" xr:uid="{00000000-0005-0000-0000-0000EC470000}"/>
    <cellStyle name="60% - Accent2 27" xfId="1607" xr:uid="{00000000-0005-0000-0000-0000ED470000}"/>
    <cellStyle name="60% - Accent2 28" xfId="1608" xr:uid="{00000000-0005-0000-0000-0000EE470000}"/>
    <cellStyle name="60% - Accent2 29" xfId="1609" xr:uid="{00000000-0005-0000-0000-0000EF470000}"/>
    <cellStyle name="60% - Accent2 3" xfId="1610" xr:uid="{00000000-0005-0000-0000-0000F0470000}"/>
    <cellStyle name="60% - Accent2 30" xfId="1611" xr:uid="{00000000-0005-0000-0000-0000F1470000}"/>
    <cellStyle name="60% - Accent2 31" xfId="1612" xr:uid="{00000000-0005-0000-0000-0000F2470000}"/>
    <cellStyle name="60% - Accent2 32" xfId="1613" xr:uid="{00000000-0005-0000-0000-0000F3470000}"/>
    <cellStyle name="60% - Accent2 33" xfId="1614" xr:uid="{00000000-0005-0000-0000-0000F4470000}"/>
    <cellStyle name="60% - Accent2 34" xfId="1615" xr:uid="{00000000-0005-0000-0000-0000F5470000}"/>
    <cellStyle name="60% - Accent2 35" xfId="1616" xr:uid="{00000000-0005-0000-0000-0000F6470000}"/>
    <cellStyle name="60% - Accent2 36" xfId="1617" xr:uid="{00000000-0005-0000-0000-0000F7470000}"/>
    <cellStyle name="60% - Accent2 37" xfId="1618" xr:uid="{00000000-0005-0000-0000-0000F8470000}"/>
    <cellStyle name="60% - Accent2 38" xfId="1619" xr:uid="{00000000-0005-0000-0000-0000F9470000}"/>
    <cellStyle name="60% - Accent2 39" xfId="1620" xr:uid="{00000000-0005-0000-0000-0000FA470000}"/>
    <cellStyle name="60% - Accent2 4" xfId="1621" xr:uid="{00000000-0005-0000-0000-0000FB470000}"/>
    <cellStyle name="60% - Accent2 40" xfId="1622" xr:uid="{00000000-0005-0000-0000-0000FC470000}"/>
    <cellStyle name="60% - Accent2 41" xfId="1623" xr:uid="{00000000-0005-0000-0000-0000FD470000}"/>
    <cellStyle name="60% - Accent2 42" xfId="1624" xr:uid="{00000000-0005-0000-0000-0000FE470000}"/>
    <cellStyle name="60% - Accent2 43" xfId="1625" xr:uid="{00000000-0005-0000-0000-0000FF470000}"/>
    <cellStyle name="60% - Accent2 44" xfId="1626" xr:uid="{00000000-0005-0000-0000-000000480000}"/>
    <cellStyle name="60% - Accent2 45" xfId="1627" xr:uid="{00000000-0005-0000-0000-000001480000}"/>
    <cellStyle name="60% - Accent2 46" xfId="1628" xr:uid="{00000000-0005-0000-0000-000002480000}"/>
    <cellStyle name="60% - Accent2 47" xfId="1629" xr:uid="{00000000-0005-0000-0000-000003480000}"/>
    <cellStyle name="60% - Accent2 48" xfId="1630" xr:uid="{00000000-0005-0000-0000-000004480000}"/>
    <cellStyle name="60% - Accent2 49" xfId="1631" xr:uid="{00000000-0005-0000-0000-000005480000}"/>
    <cellStyle name="60% - Accent2 5" xfId="1632" xr:uid="{00000000-0005-0000-0000-000006480000}"/>
    <cellStyle name="60% - Accent2 50" xfId="1633" xr:uid="{00000000-0005-0000-0000-000007480000}"/>
    <cellStyle name="60% - Accent2 51" xfId="1634" xr:uid="{00000000-0005-0000-0000-000008480000}"/>
    <cellStyle name="60% - Accent2 52" xfId="1635" xr:uid="{00000000-0005-0000-0000-000009480000}"/>
    <cellStyle name="60% - Accent2 53" xfId="1636" xr:uid="{00000000-0005-0000-0000-00000A480000}"/>
    <cellStyle name="60% - Accent2 54" xfId="1637" xr:uid="{00000000-0005-0000-0000-00000B480000}"/>
    <cellStyle name="60% - Accent2 55" xfId="1638" xr:uid="{00000000-0005-0000-0000-00000C480000}"/>
    <cellStyle name="60% - Accent2 56" xfId="1639" xr:uid="{00000000-0005-0000-0000-00000D480000}"/>
    <cellStyle name="60% - Accent2 57" xfId="1640" xr:uid="{00000000-0005-0000-0000-00000E480000}"/>
    <cellStyle name="60% - Accent2 58" xfId="1641" xr:uid="{00000000-0005-0000-0000-00000F480000}"/>
    <cellStyle name="60% - Accent2 59" xfId="1642" xr:uid="{00000000-0005-0000-0000-000010480000}"/>
    <cellStyle name="60% - Accent2 6" xfId="1643" xr:uid="{00000000-0005-0000-0000-000011480000}"/>
    <cellStyle name="60% - Accent2 60" xfId="1644" xr:uid="{00000000-0005-0000-0000-000012480000}"/>
    <cellStyle name="60% - Accent2 61" xfId="1645" xr:uid="{00000000-0005-0000-0000-000013480000}"/>
    <cellStyle name="60% - Accent2 62" xfId="1646" xr:uid="{00000000-0005-0000-0000-000014480000}"/>
    <cellStyle name="60% - Accent2 63" xfId="1647" xr:uid="{00000000-0005-0000-0000-000015480000}"/>
    <cellStyle name="60% - Accent2 64" xfId="1648" xr:uid="{00000000-0005-0000-0000-000016480000}"/>
    <cellStyle name="60% - Accent2 65" xfId="1649" xr:uid="{00000000-0005-0000-0000-000017480000}"/>
    <cellStyle name="60% - Accent2 66" xfId="1650" xr:uid="{00000000-0005-0000-0000-000018480000}"/>
    <cellStyle name="60% - Accent2 67" xfId="1651" xr:uid="{00000000-0005-0000-0000-000019480000}"/>
    <cellStyle name="60% - Accent2 68" xfId="1652" xr:uid="{00000000-0005-0000-0000-00001A480000}"/>
    <cellStyle name="60% - Accent2 69" xfId="1653" xr:uid="{00000000-0005-0000-0000-00001B480000}"/>
    <cellStyle name="60% - Accent2 7" xfId="1654" xr:uid="{00000000-0005-0000-0000-00001C480000}"/>
    <cellStyle name="60% - Accent2 70" xfId="1655" xr:uid="{00000000-0005-0000-0000-00001D480000}"/>
    <cellStyle name="60% - Accent2 71" xfId="1656" xr:uid="{00000000-0005-0000-0000-00001E480000}"/>
    <cellStyle name="60% - Accent2 72" xfId="1657" xr:uid="{00000000-0005-0000-0000-00001F480000}"/>
    <cellStyle name="60% - Accent2 8" xfId="1658" xr:uid="{00000000-0005-0000-0000-000020480000}"/>
    <cellStyle name="60% - Accent2 9" xfId="1659" xr:uid="{00000000-0005-0000-0000-000021480000}"/>
    <cellStyle name="60% - Accent3 10" xfId="1660" xr:uid="{00000000-0005-0000-0000-000022480000}"/>
    <cellStyle name="60% - Accent3 11" xfId="1661" xr:uid="{00000000-0005-0000-0000-000023480000}"/>
    <cellStyle name="60% - Accent3 12" xfId="1662" xr:uid="{00000000-0005-0000-0000-000024480000}"/>
    <cellStyle name="60% - Accent3 13" xfId="1663" xr:uid="{00000000-0005-0000-0000-000025480000}"/>
    <cellStyle name="60% - Accent3 14" xfId="1664" xr:uid="{00000000-0005-0000-0000-000026480000}"/>
    <cellStyle name="60% - Accent3 15" xfId="1665" xr:uid="{00000000-0005-0000-0000-000027480000}"/>
    <cellStyle name="60% - Accent3 16" xfId="1666" xr:uid="{00000000-0005-0000-0000-000028480000}"/>
    <cellStyle name="60% - Accent3 17" xfId="1667" xr:uid="{00000000-0005-0000-0000-000029480000}"/>
    <cellStyle name="60% - Accent3 18" xfId="1668" xr:uid="{00000000-0005-0000-0000-00002A480000}"/>
    <cellStyle name="60% - Accent3 19" xfId="1669" xr:uid="{00000000-0005-0000-0000-00002B480000}"/>
    <cellStyle name="60% - Accent3 2" xfId="1670" xr:uid="{00000000-0005-0000-0000-00002C480000}"/>
    <cellStyle name="60% - Accent3 20" xfId="1671" xr:uid="{00000000-0005-0000-0000-00002D480000}"/>
    <cellStyle name="60% - Accent3 21" xfId="1672" xr:uid="{00000000-0005-0000-0000-00002E480000}"/>
    <cellStyle name="60% - Accent3 22" xfId="1673" xr:uid="{00000000-0005-0000-0000-00002F480000}"/>
    <cellStyle name="60% - Accent3 23" xfId="1674" xr:uid="{00000000-0005-0000-0000-000030480000}"/>
    <cellStyle name="60% - Accent3 24" xfId="1675" xr:uid="{00000000-0005-0000-0000-000031480000}"/>
    <cellStyle name="60% - Accent3 25" xfId="1676" xr:uid="{00000000-0005-0000-0000-000032480000}"/>
    <cellStyle name="60% - Accent3 26" xfId="1677" xr:uid="{00000000-0005-0000-0000-000033480000}"/>
    <cellStyle name="60% - Accent3 27" xfId="1678" xr:uid="{00000000-0005-0000-0000-000034480000}"/>
    <cellStyle name="60% - Accent3 28" xfId="1679" xr:uid="{00000000-0005-0000-0000-000035480000}"/>
    <cellStyle name="60% - Accent3 29" xfId="1680" xr:uid="{00000000-0005-0000-0000-000036480000}"/>
    <cellStyle name="60% - Accent3 3" xfId="1681" xr:uid="{00000000-0005-0000-0000-000037480000}"/>
    <cellStyle name="60% - Accent3 30" xfId="1682" xr:uid="{00000000-0005-0000-0000-000038480000}"/>
    <cellStyle name="60% - Accent3 31" xfId="1683" xr:uid="{00000000-0005-0000-0000-000039480000}"/>
    <cellStyle name="60% - Accent3 32" xfId="1684" xr:uid="{00000000-0005-0000-0000-00003A480000}"/>
    <cellStyle name="60% - Accent3 33" xfId="1685" xr:uid="{00000000-0005-0000-0000-00003B480000}"/>
    <cellStyle name="60% - Accent3 34" xfId="1686" xr:uid="{00000000-0005-0000-0000-00003C480000}"/>
    <cellStyle name="60% - Accent3 35" xfId="1687" xr:uid="{00000000-0005-0000-0000-00003D480000}"/>
    <cellStyle name="60% - Accent3 36" xfId="1688" xr:uid="{00000000-0005-0000-0000-00003E480000}"/>
    <cellStyle name="60% - Accent3 37" xfId="1689" xr:uid="{00000000-0005-0000-0000-00003F480000}"/>
    <cellStyle name="60% - Accent3 38" xfId="1690" xr:uid="{00000000-0005-0000-0000-000040480000}"/>
    <cellStyle name="60% - Accent3 39" xfId="1691" xr:uid="{00000000-0005-0000-0000-000041480000}"/>
    <cellStyle name="60% - Accent3 4" xfId="1692" xr:uid="{00000000-0005-0000-0000-000042480000}"/>
    <cellStyle name="60% - Accent3 40" xfId="1693" xr:uid="{00000000-0005-0000-0000-000043480000}"/>
    <cellStyle name="60% - Accent3 41" xfId="1694" xr:uid="{00000000-0005-0000-0000-000044480000}"/>
    <cellStyle name="60% - Accent3 42" xfId="1695" xr:uid="{00000000-0005-0000-0000-000045480000}"/>
    <cellStyle name="60% - Accent3 43" xfId="1696" xr:uid="{00000000-0005-0000-0000-000046480000}"/>
    <cellStyle name="60% - Accent3 44" xfId="1697" xr:uid="{00000000-0005-0000-0000-000047480000}"/>
    <cellStyle name="60% - Accent3 45" xfId="1698" xr:uid="{00000000-0005-0000-0000-000048480000}"/>
    <cellStyle name="60% - Accent3 46" xfId="1699" xr:uid="{00000000-0005-0000-0000-000049480000}"/>
    <cellStyle name="60% - Accent3 47" xfId="1700" xr:uid="{00000000-0005-0000-0000-00004A480000}"/>
    <cellStyle name="60% - Accent3 48" xfId="1701" xr:uid="{00000000-0005-0000-0000-00004B480000}"/>
    <cellStyle name="60% - Accent3 49" xfId="1702" xr:uid="{00000000-0005-0000-0000-00004C480000}"/>
    <cellStyle name="60% - Accent3 5" xfId="1703" xr:uid="{00000000-0005-0000-0000-00004D480000}"/>
    <cellStyle name="60% - Accent3 50" xfId="1704" xr:uid="{00000000-0005-0000-0000-00004E480000}"/>
    <cellStyle name="60% - Accent3 51" xfId="1705" xr:uid="{00000000-0005-0000-0000-00004F480000}"/>
    <cellStyle name="60% - Accent3 52" xfId="1706" xr:uid="{00000000-0005-0000-0000-000050480000}"/>
    <cellStyle name="60% - Accent3 53" xfId="1707" xr:uid="{00000000-0005-0000-0000-000051480000}"/>
    <cellStyle name="60% - Accent3 54" xfId="1708" xr:uid="{00000000-0005-0000-0000-000052480000}"/>
    <cellStyle name="60% - Accent3 55" xfId="1709" xr:uid="{00000000-0005-0000-0000-000053480000}"/>
    <cellStyle name="60% - Accent3 56" xfId="1710" xr:uid="{00000000-0005-0000-0000-000054480000}"/>
    <cellStyle name="60% - Accent3 57" xfId="1711" xr:uid="{00000000-0005-0000-0000-000055480000}"/>
    <cellStyle name="60% - Accent3 58" xfId="1712" xr:uid="{00000000-0005-0000-0000-000056480000}"/>
    <cellStyle name="60% - Accent3 59" xfId="1713" xr:uid="{00000000-0005-0000-0000-000057480000}"/>
    <cellStyle name="60% - Accent3 6" xfId="1714" xr:uid="{00000000-0005-0000-0000-000058480000}"/>
    <cellStyle name="60% - Accent3 60" xfId="1715" xr:uid="{00000000-0005-0000-0000-000059480000}"/>
    <cellStyle name="60% - Accent3 61" xfId="1716" xr:uid="{00000000-0005-0000-0000-00005A480000}"/>
    <cellStyle name="60% - Accent3 62" xfId="1717" xr:uid="{00000000-0005-0000-0000-00005B480000}"/>
    <cellStyle name="60% - Accent3 63" xfId="1718" xr:uid="{00000000-0005-0000-0000-00005C480000}"/>
    <cellStyle name="60% - Accent3 64" xfId="1719" xr:uid="{00000000-0005-0000-0000-00005D480000}"/>
    <cellStyle name="60% - Accent3 65" xfId="1720" xr:uid="{00000000-0005-0000-0000-00005E480000}"/>
    <cellStyle name="60% - Accent3 66" xfId="1721" xr:uid="{00000000-0005-0000-0000-00005F480000}"/>
    <cellStyle name="60% - Accent3 67" xfId="1722" xr:uid="{00000000-0005-0000-0000-000060480000}"/>
    <cellStyle name="60% - Accent3 68" xfId="1723" xr:uid="{00000000-0005-0000-0000-000061480000}"/>
    <cellStyle name="60% - Accent3 69" xfId="1724" xr:uid="{00000000-0005-0000-0000-000062480000}"/>
    <cellStyle name="60% - Accent3 7" xfId="1725" xr:uid="{00000000-0005-0000-0000-000063480000}"/>
    <cellStyle name="60% - Accent3 70" xfId="1726" xr:uid="{00000000-0005-0000-0000-000064480000}"/>
    <cellStyle name="60% - Accent3 71" xfId="1727" xr:uid="{00000000-0005-0000-0000-000065480000}"/>
    <cellStyle name="60% - Accent3 72" xfId="1728" xr:uid="{00000000-0005-0000-0000-000066480000}"/>
    <cellStyle name="60% - Accent3 8" xfId="1729" xr:uid="{00000000-0005-0000-0000-000067480000}"/>
    <cellStyle name="60% - Accent3 9" xfId="1730" xr:uid="{00000000-0005-0000-0000-000068480000}"/>
    <cellStyle name="60% - Accent4 10" xfId="1731" xr:uid="{00000000-0005-0000-0000-000069480000}"/>
    <cellStyle name="60% - Accent4 11" xfId="1732" xr:uid="{00000000-0005-0000-0000-00006A480000}"/>
    <cellStyle name="60% - Accent4 12" xfId="1733" xr:uid="{00000000-0005-0000-0000-00006B480000}"/>
    <cellStyle name="60% - Accent4 13" xfId="1734" xr:uid="{00000000-0005-0000-0000-00006C480000}"/>
    <cellStyle name="60% - Accent4 14" xfId="1735" xr:uid="{00000000-0005-0000-0000-00006D480000}"/>
    <cellStyle name="60% - Accent4 15" xfId="1736" xr:uid="{00000000-0005-0000-0000-00006E480000}"/>
    <cellStyle name="60% - Accent4 16" xfId="1737" xr:uid="{00000000-0005-0000-0000-00006F480000}"/>
    <cellStyle name="60% - Accent4 17" xfId="1738" xr:uid="{00000000-0005-0000-0000-000070480000}"/>
    <cellStyle name="60% - Accent4 18" xfId="1739" xr:uid="{00000000-0005-0000-0000-000071480000}"/>
    <cellStyle name="60% - Accent4 19" xfId="1740" xr:uid="{00000000-0005-0000-0000-000072480000}"/>
    <cellStyle name="60% - Accent4 2" xfId="1741" xr:uid="{00000000-0005-0000-0000-000073480000}"/>
    <cellStyle name="60% - Accent4 20" xfId="1742" xr:uid="{00000000-0005-0000-0000-000074480000}"/>
    <cellStyle name="60% - Accent4 21" xfId="1743" xr:uid="{00000000-0005-0000-0000-000075480000}"/>
    <cellStyle name="60% - Accent4 22" xfId="1744" xr:uid="{00000000-0005-0000-0000-000076480000}"/>
    <cellStyle name="60% - Accent4 23" xfId="1745" xr:uid="{00000000-0005-0000-0000-000077480000}"/>
    <cellStyle name="60% - Accent4 24" xfId="1746" xr:uid="{00000000-0005-0000-0000-000078480000}"/>
    <cellStyle name="60% - Accent4 25" xfId="1747" xr:uid="{00000000-0005-0000-0000-000079480000}"/>
    <cellStyle name="60% - Accent4 26" xfId="1748" xr:uid="{00000000-0005-0000-0000-00007A480000}"/>
    <cellStyle name="60% - Accent4 27" xfId="1749" xr:uid="{00000000-0005-0000-0000-00007B480000}"/>
    <cellStyle name="60% - Accent4 28" xfId="1750" xr:uid="{00000000-0005-0000-0000-00007C480000}"/>
    <cellStyle name="60% - Accent4 29" xfId="1751" xr:uid="{00000000-0005-0000-0000-00007D480000}"/>
    <cellStyle name="60% - Accent4 3" xfId="1752" xr:uid="{00000000-0005-0000-0000-00007E480000}"/>
    <cellStyle name="60% - Accent4 30" xfId="1753" xr:uid="{00000000-0005-0000-0000-00007F480000}"/>
    <cellStyle name="60% - Accent4 31" xfId="1754" xr:uid="{00000000-0005-0000-0000-000080480000}"/>
    <cellStyle name="60% - Accent4 32" xfId="1755" xr:uid="{00000000-0005-0000-0000-000081480000}"/>
    <cellStyle name="60% - Accent4 33" xfId="1756" xr:uid="{00000000-0005-0000-0000-000082480000}"/>
    <cellStyle name="60% - Accent4 34" xfId="1757" xr:uid="{00000000-0005-0000-0000-000083480000}"/>
    <cellStyle name="60% - Accent4 35" xfId="1758" xr:uid="{00000000-0005-0000-0000-000084480000}"/>
    <cellStyle name="60% - Accent4 36" xfId="1759" xr:uid="{00000000-0005-0000-0000-000085480000}"/>
    <cellStyle name="60% - Accent4 37" xfId="1760" xr:uid="{00000000-0005-0000-0000-000086480000}"/>
    <cellStyle name="60% - Accent4 38" xfId="1761" xr:uid="{00000000-0005-0000-0000-000087480000}"/>
    <cellStyle name="60% - Accent4 39" xfId="1762" xr:uid="{00000000-0005-0000-0000-000088480000}"/>
    <cellStyle name="60% - Accent4 4" xfId="1763" xr:uid="{00000000-0005-0000-0000-000089480000}"/>
    <cellStyle name="60% - Accent4 40" xfId="1764" xr:uid="{00000000-0005-0000-0000-00008A480000}"/>
    <cellStyle name="60% - Accent4 41" xfId="1765" xr:uid="{00000000-0005-0000-0000-00008B480000}"/>
    <cellStyle name="60% - Accent4 42" xfId="1766" xr:uid="{00000000-0005-0000-0000-00008C480000}"/>
    <cellStyle name="60% - Accent4 43" xfId="1767" xr:uid="{00000000-0005-0000-0000-00008D480000}"/>
    <cellStyle name="60% - Accent4 44" xfId="1768" xr:uid="{00000000-0005-0000-0000-00008E480000}"/>
    <cellStyle name="60% - Accent4 45" xfId="1769" xr:uid="{00000000-0005-0000-0000-00008F480000}"/>
    <cellStyle name="60% - Accent4 46" xfId="1770" xr:uid="{00000000-0005-0000-0000-000090480000}"/>
    <cellStyle name="60% - Accent4 47" xfId="1771" xr:uid="{00000000-0005-0000-0000-000091480000}"/>
    <cellStyle name="60% - Accent4 48" xfId="1772" xr:uid="{00000000-0005-0000-0000-000092480000}"/>
    <cellStyle name="60% - Accent4 49" xfId="1773" xr:uid="{00000000-0005-0000-0000-000093480000}"/>
    <cellStyle name="60% - Accent4 5" xfId="1774" xr:uid="{00000000-0005-0000-0000-000094480000}"/>
    <cellStyle name="60% - Accent4 50" xfId="1775" xr:uid="{00000000-0005-0000-0000-000095480000}"/>
    <cellStyle name="60% - Accent4 51" xfId="1776" xr:uid="{00000000-0005-0000-0000-000096480000}"/>
    <cellStyle name="60% - Accent4 52" xfId="1777" xr:uid="{00000000-0005-0000-0000-000097480000}"/>
    <cellStyle name="60% - Accent4 53" xfId="1778" xr:uid="{00000000-0005-0000-0000-000098480000}"/>
    <cellStyle name="60% - Accent4 54" xfId="1779" xr:uid="{00000000-0005-0000-0000-000099480000}"/>
    <cellStyle name="60% - Accent4 55" xfId="1780" xr:uid="{00000000-0005-0000-0000-00009A480000}"/>
    <cellStyle name="60% - Accent4 56" xfId="1781" xr:uid="{00000000-0005-0000-0000-00009B480000}"/>
    <cellStyle name="60% - Accent4 57" xfId="1782" xr:uid="{00000000-0005-0000-0000-00009C480000}"/>
    <cellStyle name="60% - Accent4 58" xfId="1783" xr:uid="{00000000-0005-0000-0000-00009D480000}"/>
    <cellStyle name="60% - Accent4 59" xfId="1784" xr:uid="{00000000-0005-0000-0000-00009E480000}"/>
    <cellStyle name="60% - Accent4 6" xfId="1785" xr:uid="{00000000-0005-0000-0000-00009F480000}"/>
    <cellStyle name="60% - Accent4 60" xfId="1786" xr:uid="{00000000-0005-0000-0000-0000A0480000}"/>
    <cellStyle name="60% - Accent4 61" xfId="1787" xr:uid="{00000000-0005-0000-0000-0000A1480000}"/>
    <cellStyle name="60% - Accent4 62" xfId="1788" xr:uid="{00000000-0005-0000-0000-0000A2480000}"/>
    <cellStyle name="60% - Accent4 63" xfId="1789" xr:uid="{00000000-0005-0000-0000-0000A3480000}"/>
    <cellStyle name="60% - Accent4 64" xfId="1790" xr:uid="{00000000-0005-0000-0000-0000A4480000}"/>
    <cellStyle name="60% - Accent4 65" xfId="1791" xr:uid="{00000000-0005-0000-0000-0000A5480000}"/>
    <cellStyle name="60% - Accent4 66" xfId="1792" xr:uid="{00000000-0005-0000-0000-0000A6480000}"/>
    <cellStyle name="60% - Accent4 67" xfId="1793" xr:uid="{00000000-0005-0000-0000-0000A7480000}"/>
    <cellStyle name="60% - Accent4 68" xfId="1794" xr:uid="{00000000-0005-0000-0000-0000A8480000}"/>
    <cellStyle name="60% - Accent4 69" xfId="1795" xr:uid="{00000000-0005-0000-0000-0000A9480000}"/>
    <cellStyle name="60% - Accent4 7" xfId="1796" xr:uid="{00000000-0005-0000-0000-0000AA480000}"/>
    <cellStyle name="60% - Accent4 70" xfId="1797" xr:uid="{00000000-0005-0000-0000-0000AB480000}"/>
    <cellStyle name="60% - Accent4 71" xfId="1798" xr:uid="{00000000-0005-0000-0000-0000AC480000}"/>
    <cellStyle name="60% - Accent4 72" xfId="1799" xr:uid="{00000000-0005-0000-0000-0000AD480000}"/>
    <cellStyle name="60% - Accent4 8" xfId="1800" xr:uid="{00000000-0005-0000-0000-0000AE480000}"/>
    <cellStyle name="60% - Accent4 9" xfId="1801" xr:uid="{00000000-0005-0000-0000-0000AF480000}"/>
    <cellStyle name="60% - Accent5 10" xfId="1802" xr:uid="{00000000-0005-0000-0000-0000B0480000}"/>
    <cellStyle name="60% - Accent5 11" xfId="1803" xr:uid="{00000000-0005-0000-0000-0000B1480000}"/>
    <cellStyle name="60% - Accent5 12" xfId="1804" xr:uid="{00000000-0005-0000-0000-0000B2480000}"/>
    <cellStyle name="60% - Accent5 13" xfId="1805" xr:uid="{00000000-0005-0000-0000-0000B3480000}"/>
    <cellStyle name="60% - Accent5 14" xfId="1806" xr:uid="{00000000-0005-0000-0000-0000B4480000}"/>
    <cellStyle name="60% - Accent5 15" xfId="1807" xr:uid="{00000000-0005-0000-0000-0000B5480000}"/>
    <cellStyle name="60% - Accent5 16" xfId="1808" xr:uid="{00000000-0005-0000-0000-0000B6480000}"/>
    <cellStyle name="60% - Accent5 17" xfId="1809" xr:uid="{00000000-0005-0000-0000-0000B7480000}"/>
    <cellStyle name="60% - Accent5 18" xfId="1810" xr:uid="{00000000-0005-0000-0000-0000B8480000}"/>
    <cellStyle name="60% - Accent5 19" xfId="1811" xr:uid="{00000000-0005-0000-0000-0000B9480000}"/>
    <cellStyle name="60% - Accent5 2" xfId="1812" xr:uid="{00000000-0005-0000-0000-0000BA480000}"/>
    <cellStyle name="60% - Accent5 20" xfId="1813" xr:uid="{00000000-0005-0000-0000-0000BB480000}"/>
    <cellStyle name="60% - Accent5 21" xfId="1814" xr:uid="{00000000-0005-0000-0000-0000BC480000}"/>
    <cellStyle name="60% - Accent5 22" xfId="1815" xr:uid="{00000000-0005-0000-0000-0000BD480000}"/>
    <cellStyle name="60% - Accent5 23" xfId="1816" xr:uid="{00000000-0005-0000-0000-0000BE480000}"/>
    <cellStyle name="60% - Accent5 24" xfId="1817" xr:uid="{00000000-0005-0000-0000-0000BF480000}"/>
    <cellStyle name="60% - Accent5 25" xfId="1818" xr:uid="{00000000-0005-0000-0000-0000C0480000}"/>
    <cellStyle name="60% - Accent5 26" xfId="1819" xr:uid="{00000000-0005-0000-0000-0000C1480000}"/>
    <cellStyle name="60% - Accent5 27" xfId="1820" xr:uid="{00000000-0005-0000-0000-0000C2480000}"/>
    <cellStyle name="60% - Accent5 28" xfId="1821" xr:uid="{00000000-0005-0000-0000-0000C3480000}"/>
    <cellStyle name="60% - Accent5 29" xfId="1822" xr:uid="{00000000-0005-0000-0000-0000C4480000}"/>
    <cellStyle name="60% - Accent5 3" xfId="1823" xr:uid="{00000000-0005-0000-0000-0000C5480000}"/>
    <cellStyle name="60% - Accent5 30" xfId="1824" xr:uid="{00000000-0005-0000-0000-0000C6480000}"/>
    <cellStyle name="60% - Accent5 31" xfId="1825" xr:uid="{00000000-0005-0000-0000-0000C7480000}"/>
    <cellStyle name="60% - Accent5 32" xfId="1826" xr:uid="{00000000-0005-0000-0000-0000C8480000}"/>
    <cellStyle name="60% - Accent5 33" xfId="1827" xr:uid="{00000000-0005-0000-0000-0000C9480000}"/>
    <cellStyle name="60% - Accent5 34" xfId="1828" xr:uid="{00000000-0005-0000-0000-0000CA480000}"/>
    <cellStyle name="60% - Accent5 35" xfId="1829" xr:uid="{00000000-0005-0000-0000-0000CB480000}"/>
    <cellStyle name="60% - Accent5 36" xfId="1830" xr:uid="{00000000-0005-0000-0000-0000CC480000}"/>
    <cellStyle name="60% - Accent5 37" xfId="1831" xr:uid="{00000000-0005-0000-0000-0000CD480000}"/>
    <cellStyle name="60% - Accent5 38" xfId="1832" xr:uid="{00000000-0005-0000-0000-0000CE480000}"/>
    <cellStyle name="60% - Accent5 39" xfId="1833" xr:uid="{00000000-0005-0000-0000-0000CF480000}"/>
    <cellStyle name="60% - Accent5 4" xfId="1834" xr:uid="{00000000-0005-0000-0000-0000D0480000}"/>
    <cellStyle name="60% - Accent5 40" xfId="1835" xr:uid="{00000000-0005-0000-0000-0000D1480000}"/>
    <cellStyle name="60% - Accent5 41" xfId="1836" xr:uid="{00000000-0005-0000-0000-0000D2480000}"/>
    <cellStyle name="60% - Accent5 42" xfId="1837" xr:uid="{00000000-0005-0000-0000-0000D3480000}"/>
    <cellStyle name="60% - Accent5 43" xfId="1838" xr:uid="{00000000-0005-0000-0000-0000D4480000}"/>
    <cellStyle name="60% - Accent5 44" xfId="1839" xr:uid="{00000000-0005-0000-0000-0000D5480000}"/>
    <cellStyle name="60% - Accent5 45" xfId="1840" xr:uid="{00000000-0005-0000-0000-0000D6480000}"/>
    <cellStyle name="60% - Accent5 46" xfId="1841" xr:uid="{00000000-0005-0000-0000-0000D7480000}"/>
    <cellStyle name="60% - Accent5 47" xfId="1842" xr:uid="{00000000-0005-0000-0000-0000D8480000}"/>
    <cellStyle name="60% - Accent5 48" xfId="1843" xr:uid="{00000000-0005-0000-0000-0000D9480000}"/>
    <cellStyle name="60% - Accent5 49" xfId="1844" xr:uid="{00000000-0005-0000-0000-0000DA480000}"/>
    <cellStyle name="60% - Accent5 5" xfId="1845" xr:uid="{00000000-0005-0000-0000-0000DB480000}"/>
    <cellStyle name="60% - Accent5 50" xfId="1846" xr:uid="{00000000-0005-0000-0000-0000DC480000}"/>
    <cellStyle name="60% - Accent5 51" xfId="1847" xr:uid="{00000000-0005-0000-0000-0000DD480000}"/>
    <cellStyle name="60% - Accent5 52" xfId="1848" xr:uid="{00000000-0005-0000-0000-0000DE480000}"/>
    <cellStyle name="60% - Accent5 53" xfId="1849" xr:uid="{00000000-0005-0000-0000-0000DF480000}"/>
    <cellStyle name="60% - Accent5 54" xfId="1850" xr:uid="{00000000-0005-0000-0000-0000E0480000}"/>
    <cellStyle name="60% - Accent5 55" xfId="1851" xr:uid="{00000000-0005-0000-0000-0000E1480000}"/>
    <cellStyle name="60% - Accent5 56" xfId="1852" xr:uid="{00000000-0005-0000-0000-0000E2480000}"/>
    <cellStyle name="60% - Accent5 57" xfId="1853" xr:uid="{00000000-0005-0000-0000-0000E3480000}"/>
    <cellStyle name="60% - Accent5 58" xfId="1854" xr:uid="{00000000-0005-0000-0000-0000E4480000}"/>
    <cellStyle name="60% - Accent5 59" xfId="1855" xr:uid="{00000000-0005-0000-0000-0000E5480000}"/>
    <cellStyle name="60% - Accent5 6" xfId="1856" xr:uid="{00000000-0005-0000-0000-0000E6480000}"/>
    <cellStyle name="60% - Accent5 60" xfId="1857" xr:uid="{00000000-0005-0000-0000-0000E7480000}"/>
    <cellStyle name="60% - Accent5 61" xfId="1858" xr:uid="{00000000-0005-0000-0000-0000E8480000}"/>
    <cellStyle name="60% - Accent5 62" xfId="1859" xr:uid="{00000000-0005-0000-0000-0000E9480000}"/>
    <cellStyle name="60% - Accent5 63" xfId="1860" xr:uid="{00000000-0005-0000-0000-0000EA480000}"/>
    <cellStyle name="60% - Accent5 64" xfId="1861" xr:uid="{00000000-0005-0000-0000-0000EB480000}"/>
    <cellStyle name="60% - Accent5 65" xfId="1862" xr:uid="{00000000-0005-0000-0000-0000EC480000}"/>
    <cellStyle name="60% - Accent5 66" xfId="1863" xr:uid="{00000000-0005-0000-0000-0000ED480000}"/>
    <cellStyle name="60% - Accent5 67" xfId="1864" xr:uid="{00000000-0005-0000-0000-0000EE480000}"/>
    <cellStyle name="60% - Accent5 68" xfId="1865" xr:uid="{00000000-0005-0000-0000-0000EF480000}"/>
    <cellStyle name="60% - Accent5 69" xfId="1866" xr:uid="{00000000-0005-0000-0000-0000F0480000}"/>
    <cellStyle name="60% - Accent5 7" xfId="1867" xr:uid="{00000000-0005-0000-0000-0000F1480000}"/>
    <cellStyle name="60% - Accent5 70" xfId="1868" xr:uid="{00000000-0005-0000-0000-0000F2480000}"/>
    <cellStyle name="60% - Accent5 71" xfId="1869" xr:uid="{00000000-0005-0000-0000-0000F3480000}"/>
    <cellStyle name="60% - Accent5 72" xfId="1870" xr:uid="{00000000-0005-0000-0000-0000F4480000}"/>
    <cellStyle name="60% - Accent5 8" xfId="1871" xr:uid="{00000000-0005-0000-0000-0000F5480000}"/>
    <cellStyle name="60% - Accent5 9" xfId="1872" xr:uid="{00000000-0005-0000-0000-0000F6480000}"/>
    <cellStyle name="60% - Accent6 10" xfId="1873" xr:uid="{00000000-0005-0000-0000-0000F7480000}"/>
    <cellStyle name="60% - Accent6 11" xfId="1874" xr:uid="{00000000-0005-0000-0000-0000F8480000}"/>
    <cellStyle name="60% - Accent6 12" xfId="1875" xr:uid="{00000000-0005-0000-0000-0000F9480000}"/>
    <cellStyle name="60% - Accent6 13" xfId="1876" xr:uid="{00000000-0005-0000-0000-0000FA480000}"/>
    <cellStyle name="60% - Accent6 14" xfId="1877" xr:uid="{00000000-0005-0000-0000-0000FB480000}"/>
    <cellStyle name="60% - Accent6 15" xfId="1878" xr:uid="{00000000-0005-0000-0000-0000FC480000}"/>
    <cellStyle name="60% - Accent6 16" xfId="1879" xr:uid="{00000000-0005-0000-0000-0000FD480000}"/>
    <cellStyle name="60% - Accent6 17" xfId="1880" xr:uid="{00000000-0005-0000-0000-0000FE480000}"/>
    <cellStyle name="60% - Accent6 18" xfId="1881" xr:uid="{00000000-0005-0000-0000-0000FF480000}"/>
    <cellStyle name="60% - Accent6 19" xfId="1882" xr:uid="{00000000-0005-0000-0000-000000490000}"/>
    <cellStyle name="60% - Accent6 2" xfId="1883" xr:uid="{00000000-0005-0000-0000-000001490000}"/>
    <cellStyle name="60% - Accent6 20" xfId="1884" xr:uid="{00000000-0005-0000-0000-000002490000}"/>
    <cellStyle name="60% - Accent6 21" xfId="1885" xr:uid="{00000000-0005-0000-0000-000003490000}"/>
    <cellStyle name="60% - Accent6 22" xfId="1886" xr:uid="{00000000-0005-0000-0000-000004490000}"/>
    <cellStyle name="60% - Accent6 23" xfId="1887" xr:uid="{00000000-0005-0000-0000-000005490000}"/>
    <cellStyle name="60% - Accent6 24" xfId="1888" xr:uid="{00000000-0005-0000-0000-000006490000}"/>
    <cellStyle name="60% - Accent6 25" xfId="1889" xr:uid="{00000000-0005-0000-0000-000007490000}"/>
    <cellStyle name="60% - Accent6 26" xfId="1890" xr:uid="{00000000-0005-0000-0000-000008490000}"/>
    <cellStyle name="60% - Accent6 27" xfId="1891" xr:uid="{00000000-0005-0000-0000-000009490000}"/>
    <cellStyle name="60% - Accent6 28" xfId="1892" xr:uid="{00000000-0005-0000-0000-00000A490000}"/>
    <cellStyle name="60% - Accent6 29" xfId="1893" xr:uid="{00000000-0005-0000-0000-00000B490000}"/>
    <cellStyle name="60% - Accent6 3" xfId="1894" xr:uid="{00000000-0005-0000-0000-00000C490000}"/>
    <cellStyle name="60% - Accent6 30" xfId="1895" xr:uid="{00000000-0005-0000-0000-00000D490000}"/>
    <cellStyle name="60% - Accent6 31" xfId="1896" xr:uid="{00000000-0005-0000-0000-00000E490000}"/>
    <cellStyle name="60% - Accent6 32" xfId="1897" xr:uid="{00000000-0005-0000-0000-00000F490000}"/>
    <cellStyle name="60% - Accent6 33" xfId="1898" xr:uid="{00000000-0005-0000-0000-000010490000}"/>
    <cellStyle name="60% - Accent6 34" xfId="1899" xr:uid="{00000000-0005-0000-0000-000011490000}"/>
    <cellStyle name="60% - Accent6 35" xfId="1900" xr:uid="{00000000-0005-0000-0000-000012490000}"/>
    <cellStyle name="60% - Accent6 36" xfId="1901" xr:uid="{00000000-0005-0000-0000-000013490000}"/>
    <cellStyle name="60% - Accent6 37" xfId="1902" xr:uid="{00000000-0005-0000-0000-000014490000}"/>
    <cellStyle name="60% - Accent6 38" xfId="1903" xr:uid="{00000000-0005-0000-0000-000015490000}"/>
    <cellStyle name="60% - Accent6 39" xfId="1904" xr:uid="{00000000-0005-0000-0000-000016490000}"/>
    <cellStyle name="60% - Accent6 4" xfId="1905" xr:uid="{00000000-0005-0000-0000-000017490000}"/>
    <cellStyle name="60% - Accent6 40" xfId="1906" xr:uid="{00000000-0005-0000-0000-000018490000}"/>
    <cellStyle name="60% - Accent6 41" xfId="1907" xr:uid="{00000000-0005-0000-0000-000019490000}"/>
    <cellStyle name="60% - Accent6 42" xfId="1908" xr:uid="{00000000-0005-0000-0000-00001A490000}"/>
    <cellStyle name="60% - Accent6 43" xfId="1909" xr:uid="{00000000-0005-0000-0000-00001B490000}"/>
    <cellStyle name="60% - Accent6 44" xfId="1910" xr:uid="{00000000-0005-0000-0000-00001C490000}"/>
    <cellStyle name="60% - Accent6 45" xfId="1911" xr:uid="{00000000-0005-0000-0000-00001D490000}"/>
    <cellStyle name="60% - Accent6 46" xfId="1912" xr:uid="{00000000-0005-0000-0000-00001E490000}"/>
    <cellStyle name="60% - Accent6 47" xfId="1913" xr:uid="{00000000-0005-0000-0000-00001F490000}"/>
    <cellStyle name="60% - Accent6 48" xfId="1914" xr:uid="{00000000-0005-0000-0000-000020490000}"/>
    <cellStyle name="60% - Accent6 49" xfId="1915" xr:uid="{00000000-0005-0000-0000-000021490000}"/>
    <cellStyle name="60% - Accent6 5" xfId="1916" xr:uid="{00000000-0005-0000-0000-000022490000}"/>
    <cellStyle name="60% - Accent6 50" xfId="1917" xr:uid="{00000000-0005-0000-0000-000023490000}"/>
    <cellStyle name="60% - Accent6 51" xfId="1918" xr:uid="{00000000-0005-0000-0000-000024490000}"/>
    <cellStyle name="60% - Accent6 52" xfId="1919" xr:uid="{00000000-0005-0000-0000-000025490000}"/>
    <cellStyle name="60% - Accent6 53" xfId="1920" xr:uid="{00000000-0005-0000-0000-000026490000}"/>
    <cellStyle name="60% - Accent6 54" xfId="1921" xr:uid="{00000000-0005-0000-0000-000027490000}"/>
    <cellStyle name="60% - Accent6 55" xfId="1922" xr:uid="{00000000-0005-0000-0000-000028490000}"/>
    <cellStyle name="60% - Accent6 56" xfId="1923" xr:uid="{00000000-0005-0000-0000-000029490000}"/>
    <cellStyle name="60% - Accent6 57" xfId="1924" xr:uid="{00000000-0005-0000-0000-00002A490000}"/>
    <cellStyle name="60% - Accent6 58" xfId="1925" xr:uid="{00000000-0005-0000-0000-00002B490000}"/>
    <cellStyle name="60% - Accent6 59" xfId="1926" xr:uid="{00000000-0005-0000-0000-00002C490000}"/>
    <cellStyle name="60% - Accent6 6" xfId="1927" xr:uid="{00000000-0005-0000-0000-00002D490000}"/>
    <cellStyle name="60% - Accent6 60" xfId="1928" xr:uid="{00000000-0005-0000-0000-00002E490000}"/>
    <cellStyle name="60% - Accent6 61" xfId="1929" xr:uid="{00000000-0005-0000-0000-00002F490000}"/>
    <cellStyle name="60% - Accent6 62" xfId="1930" xr:uid="{00000000-0005-0000-0000-000030490000}"/>
    <cellStyle name="60% - Accent6 63" xfId="1931" xr:uid="{00000000-0005-0000-0000-000031490000}"/>
    <cellStyle name="60% - Accent6 64" xfId="1932" xr:uid="{00000000-0005-0000-0000-000032490000}"/>
    <cellStyle name="60% - Accent6 65" xfId="1933" xr:uid="{00000000-0005-0000-0000-000033490000}"/>
    <cellStyle name="60% - Accent6 66" xfId="1934" xr:uid="{00000000-0005-0000-0000-000034490000}"/>
    <cellStyle name="60% - Accent6 67" xfId="1935" xr:uid="{00000000-0005-0000-0000-000035490000}"/>
    <cellStyle name="60% - Accent6 68" xfId="1936" xr:uid="{00000000-0005-0000-0000-000036490000}"/>
    <cellStyle name="60% - Accent6 69" xfId="1937" xr:uid="{00000000-0005-0000-0000-000037490000}"/>
    <cellStyle name="60% - Accent6 7" xfId="1938" xr:uid="{00000000-0005-0000-0000-000038490000}"/>
    <cellStyle name="60% - Accent6 70" xfId="1939" xr:uid="{00000000-0005-0000-0000-000039490000}"/>
    <cellStyle name="60% - Accent6 71" xfId="1940" xr:uid="{00000000-0005-0000-0000-00003A490000}"/>
    <cellStyle name="60% - Accent6 72" xfId="1941" xr:uid="{00000000-0005-0000-0000-00003B490000}"/>
    <cellStyle name="60% - Accent6 8" xfId="1942" xr:uid="{00000000-0005-0000-0000-00003C490000}"/>
    <cellStyle name="60% - Accent6 9" xfId="1943" xr:uid="{00000000-0005-0000-0000-00003D490000}"/>
    <cellStyle name="Accent1 - 20%" xfId="24004" xr:uid="{00000000-0005-0000-0000-00003E490000}"/>
    <cellStyle name="Accent1 - 40%" xfId="24005" xr:uid="{00000000-0005-0000-0000-00003F490000}"/>
    <cellStyle name="Accent1 - 60%" xfId="24006" xr:uid="{00000000-0005-0000-0000-000040490000}"/>
    <cellStyle name="Accent1 10" xfId="1944" xr:uid="{00000000-0005-0000-0000-000041490000}"/>
    <cellStyle name="Accent1 11" xfId="1945" xr:uid="{00000000-0005-0000-0000-000042490000}"/>
    <cellStyle name="Accent1 12" xfId="1946" xr:uid="{00000000-0005-0000-0000-000043490000}"/>
    <cellStyle name="Accent1 13" xfId="1947" xr:uid="{00000000-0005-0000-0000-000044490000}"/>
    <cellStyle name="Accent1 14" xfId="1948" xr:uid="{00000000-0005-0000-0000-000045490000}"/>
    <cellStyle name="Accent1 15" xfId="1949" xr:uid="{00000000-0005-0000-0000-000046490000}"/>
    <cellStyle name="Accent1 16" xfId="1950" xr:uid="{00000000-0005-0000-0000-000047490000}"/>
    <cellStyle name="Accent1 17" xfId="1951" xr:uid="{00000000-0005-0000-0000-000048490000}"/>
    <cellStyle name="Accent1 18" xfId="1952" xr:uid="{00000000-0005-0000-0000-000049490000}"/>
    <cellStyle name="Accent1 19" xfId="1953" xr:uid="{00000000-0005-0000-0000-00004A490000}"/>
    <cellStyle name="Accent1 2" xfId="1954" xr:uid="{00000000-0005-0000-0000-00004B490000}"/>
    <cellStyle name="Accent1 2 2" xfId="24009" xr:uid="{00000000-0005-0000-0000-00004C490000}"/>
    <cellStyle name="Accent1 2 3" xfId="24008" xr:uid="{00000000-0005-0000-0000-00004D490000}"/>
    <cellStyle name="Accent1 20" xfId="1955" xr:uid="{00000000-0005-0000-0000-00004E490000}"/>
    <cellStyle name="Accent1 21" xfId="1956" xr:uid="{00000000-0005-0000-0000-00004F490000}"/>
    <cellStyle name="Accent1 22" xfId="1957" xr:uid="{00000000-0005-0000-0000-000050490000}"/>
    <cellStyle name="Accent1 23" xfId="1958" xr:uid="{00000000-0005-0000-0000-000051490000}"/>
    <cellStyle name="Accent1 24" xfId="1959" xr:uid="{00000000-0005-0000-0000-000052490000}"/>
    <cellStyle name="Accent1 25" xfId="1960" xr:uid="{00000000-0005-0000-0000-000053490000}"/>
    <cellStyle name="Accent1 26" xfId="1961" xr:uid="{00000000-0005-0000-0000-000054490000}"/>
    <cellStyle name="Accent1 27" xfId="1962" xr:uid="{00000000-0005-0000-0000-000055490000}"/>
    <cellStyle name="Accent1 28" xfId="1963" xr:uid="{00000000-0005-0000-0000-000056490000}"/>
    <cellStyle name="Accent1 29" xfId="1964" xr:uid="{00000000-0005-0000-0000-000057490000}"/>
    <cellStyle name="Accent1 3" xfId="1965" xr:uid="{00000000-0005-0000-0000-000058490000}"/>
    <cellStyle name="Accent1 3 2" xfId="24010" xr:uid="{00000000-0005-0000-0000-000059490000}"/>
    <cellStyle name="Accent1 30" xfId="1966" xr:uid="{00000000-0005-0000-0000-00005A490000}"/>
    <cellStyle name="Accent1 31" xfId="1967" xr:uid="{00000000-0005-0000-0000-00005B490000}"/>
    <cellStyle name="Accent1 32" xfId="1968" xr:uid="{00000000-0005-0000-0000-00005C490000}"/>
    <cellStyle name="Accent1 33" xfId="1969" xr:uid="{00000000-0005-0000-0000-00005D490000}"/>
    <cellStyle name="Accent1 34" xfId="1970" xr:uid="{00000000-0005-0000-0000-00005E490000}"/>
    <cellStyle name="Accent1 35" xfId="1971" xr:uid="{00000000-0005-0000-0000-00005F490000}"/>
    <cellStyle name="Accent1 36" xfId="1972" xr:uid="{00000000-0005-0000-0000-000060490000}"/>
    <cellStyle name="Accent1 37" xfId="1973" xr:uid="{00000000-0005-0000-0000-000061490000}"/>
    <cellStyle name="Accent1 38" xfId="1974" xr:uid="{00000000-0005-0000-0000-000062490000}"/>
    <cellStyle name="Accent1 39" xfId="1975" xr:uid="{00000000-0005-0000-0000-000063490000}"/>
    <cellStyle name="Accent1 4" xfId="1976" xr:uid="{00000000-0005-0000-0000-000064490000}"/>
    <cellStyle name="Accent1 4 2" xfId="24011" xr:uid="{00000000-0005-0000-0000-000065490000}"/>
    <cellStyle name="Accent1 40" xfId="1977" xr:uid="{00000000-0005-0000-0000-000066490000}"/>
    <cellStyle name="Accent1 41" xfId="1978" xr:uid="{00000000-0005-0000-0000-000067490000}"/>
    <cellStyle name="Accent1 42" xfId="1979" xr:uid="{00000000-0005-0000-0000-000068490000}"/>
    <cellStyle name="Accent1 43" xfId="1980" xr:uid="{00000000-0005-0000-0000-000069490000}"/>
    <cellStyle name="Accent1 44" xfId="1981" xr:uid="{00000000-0005-0000-0000-00006A490000}"/>
    <cellStyle name="Accent1 45" xfId="1982" xr:uid="{00000000-0005-0000-0000-00006B490000}"/>
    <cellStyle name="Accent1 46" xfId="1983" xr:uid="{00000000-0005-0000-0000-00006C490000}"/>
    <cellStyle name="Accent1 47" xfId="1984" xr:uid="{00000000-0005-0000-0000-00006D490000}"/>
    <cellStyle name="Accent1 48" xfId="1985" xr:uid="{00000000-0005-0000-0000-00006E490000}"/>
    <cellStyle name="Accent1 49" xfId="1986" xr:uid="{00000000-0005-0000-0000-00006F490000}"/>
    <cellStyle name="Accent1 5" xfId="1987" xr:uid="{00000000-0005-0000-0000-000070490000}"/>
    <cellStyle name="Accent1 50" xfId="1988" xr:uid="{00000000-0005-0000-0000-000071490000}"/>
    <cellStyle name="Accent1 51" xfId="1989" xr:uid="{00000000-0005-0000-0000-000072490000}"/>
    <cellStyle name="Accent1 52" xfId="1990" xr:uid="{00000000-0005-0000-0000-000073490000}"/>
    <cellStyle name="Accent1 53" xfId="1991" xr:uid="{00000000-0005-0000-0000-000074490000}"/>
    <cellStyle name="Accent1 54" xfId="1992" xr:uid="{00000000-0005-0000-0000-000075490000}"/>
    <cellStyle name="Accent1 55" xfId="1993" xr:uid="{00000000-0005-0000-0000-000076490000}"/>
    <cellStyle name="Accent1 56" xfId="1994" xr:uid="{00000000-0005-0000-0000-000077490000}"/>
    <cellStyle name="Accent1 57" xfId="1995" xr:uid="{00000000-0005-0000-0000-000078490000}"/>
    <cellStyle name="Accent1 58" xfId="1996" xr:uid="{00000000-0005-0000-0000-000079490000}"/>
    <cellStyle name="Accent1 59" xfId="1997" xr:uid="{00000000-0005-0000-0000-00007A490000}"/>
    <cellStyle name="Accent1 6" xfId="1998" xr:uid="{00000000-0005-0000-0000-00007B490000}"/>
    <cellStyle name="Accent1 60" xfId="1999" xr:uid="{00000000-0005-0000-0000-00007C490000}"/>
    <cellStyle name="Accent1 61" xfId="2000" xr:uid="{00000000-0005-0000-0000-00007D490000}"/>
    <cellStyle name="Accent1 62" xfId="2001" xr:uid="{00000000-0005-0000-0000-00007E490000}"/>
    <cellStyle name="Accent1 63" xfId="2002" xr:uid="{00000000-0005-0000-0000-00007F490000}"/>
    <cellStyle name="Accent1 64" xfId="2003" xr:uid="{00000000-0005-0000-0000-000080490000}"/>
    <cellStyle name="Accent1 65" xfId="2004" xr:uid="{00000000-0005-0000-0000-000081490000}"/>
    <cellStyle name="Accent1 66" xfId="2005" xr:uid="{00000000-0005-0000-0000-000082490000}"/>
    <cellStyle name="Accent1 67" xfId="2006" xr:uid="{00000000-0005-0000-0000-000083490000}"/>
    <cellStyle name="Accent1 68" xfId="2007" xr:uid="{00000000-0005-0000-0000-000084490000}"/>
    <cellStyle name="Accent1 69" xfId="2008" xr:uid="{00000000-0005-0000-0000-000085490000}"/>
    <cellStyle name="Accent1 7" xfId="2009" xr:uid="{00000000-0005-0000-0000-000086490000}"/>
    <cellStyle name="Accent1 70" xfId="2010" xr:uid="{00000000-0005-0000-0000-000087490000}"/>
    <cellStyle name="Accent1 71" xfId="2011" xr:uid="{00000000-0005-0000-0000-000088490000}"/>
    <cellStyle name="Accent1 72" xfId="2012" xr:uid="{00000000-0005-0000-0000-000089490000}"/>
    <cellStyle name="Accent1 8" xfId="2013" xr:uid="{00000000-0005-0000-0000-00008A490000}"/>
    <cellStyle name="Accent1 9" xfId="2014" xr:uid="{00000000-0005-0000-0000-00008B490000}"/>
    <cellStyle name="Accent2 - 20%" xfId="24013" xr:uid="{00000000-0005-0000-0000-00008C490000}"/>
    <cellStyle name="Accent2 - 40%" xfId="24014" xr:uid="{00000000-0005-0000-0000-00008D490000}"/>
    <cellStyle name="Accent2 - 60%" xfId="24015" xr:uid="{00000000-0005-0000-0000-00008E490000}"/>
    <cellStyle name="Accent2 10" xfId="2015" xr:uid="{00000000-0005-0000-0000-00008F490000}"/>
    <cellStyle name="Accent2 11" xfId="2016" xr:uid="{00000000-0005-0000-0000-000090490000}"/>
    <cellStyle name="Accent2 12" xfId="2017" xr:uid="{00000000-0005-0000-0000-000091490000}"/>
    <cellStyle name="Accent2 13" xfId="2018" xr:uid="{00000000-0005-0000-0000-000092490000}"/>
    <cellStyle name="Accent2 14" xfId="2019" xr:uid="{00000000-0005-0000-0000-000093490000}"/>
    <cellStyle name="Accent2 15" xfId="2020" xr:uid="{00000000-0005-0000-0000-000094490000}"/>
    <cellStyle name="Accent2 16" xfId="2021" xr:uid="{00000000-0005-0000-0000-000095490000}"/>
    <cellStyle name="Accent2 17" xfId="2022" xr:uid="{00000000-0005-0000-0000-000096490000}"/>
    <cellStyle name="Accent2 18" xfId="2023" xr:uid="{00000000-0005-0000-0000-000097490000}"/>
    <cellStyle name="Accent2 19" xfId="2024" xr:uid="{00000000-0005-0000-0000-000098490000}"/>
    <cellStyle name="Accent2 2" xfId="2025" xr:uid="{00000000-0005-0000-0000-000099490000}"/>
    <cellStyle name="Accent2 2 2" xfId="24017" xr:uid="{00000000-0005-0000-0000-00009A490000}"/>
    <cellStyle name="Accent2 2 3" xfId="24016" xr:uid="{00000000-0005-0000-0000-00009B490000}"/>
    <cellStyle name="Accent2 20" xfId="2026" xr:uid="{00000000-0005-0000-0000-00009C490000}"/>
    <cellStyle name="Accent2 21" xfId="2027" xr:uid="{00000000-0005-0000-0000-00009D490000}"/>
    <cellStyle name="Accent2 22" xfId="2028" xr:uid="{00000000-0005-0000-0000-00009E490000}"/>
    <cellStyle name="Accent2 23" xfId="2029" xr:uid="{00000000-0005-0000-0000-00009F490000}"/>
    <cellStyle name="Accent2 24" xfId="2030" xr:uid="{00000000-0005-0000-0000-0000A0490000}"/>
    <cellStyle name="Accent2 25" xfId="2031" xr:uid="{00000000-0005-0000-0000-0000A1490000}"/>
    <cellStyle name="Accent2 26" xfId="2032" xr:uid="{00000000-0005-0000-0000-0000A2490000}"/>
    <cellStyle name="Accent2 27" xfId="2033" xr:uid="{00000000-0005-0000-0000-0000A3490000}"/>
    <cellStyle name="Accent2 28" xfId="2034" xr:uid="{00000000-0005-0000-0000-0000A4490000}"/>
    <cellStyle name="Accent2 29" xfId="2035" xr:uid="{00000000-0005-0000-0000-0000A5490000}"/>
    <cellStyle name="Accent2 3" xfId="2036" xr:uid="{00000000-0005-0000-0000-0000A6490000}"/>
    <cellStyle name="Accent2 3 2" xfId="24018" xr:uid="{00000000-0005-0000-0000-0000A7490000}"/>
    <cellStyle name="Accent2 30" xfId="2037" xr:uid="{00000000-0005-0000-0000-0000A8490000}"/>
    <cellStyle name="Accent2 31" xfId="2038" xr:uid="{00000000-0005-0000-0000-0000A9490000}"/>
    <cellStyle name="Accent2 32" xfId="2039" xr:uid="{00000000-0005-0000-0000-0000AA490000}"/>
    <cellStyle name="Accent2 33" xfId="2040" xr:uid="{00000000-0005-0000-0000-0000AB490000}"/>
    <cellStyle name="Accent2 34" xfId="2041" xr:uid="{00000000-0005-0000-0000-0000AC490000}"/>
    <cellStyle name="Accent2 35" xfId="2042" xr:uid="{00000000-0005-0000-0000-0000AD490000}"/>
    <cellStyle name="Accent2 36" xfId="2043" xr:uid="{00000000-0005-0000-0000-0000AE490000}"/>
    <cellStyle name="Accent2 37" xfId="2044" xr:uid="{00000000-0005-0000-0000-0000AF490000}"/>
    <cellStyle name="Accent2 38" xfId="2045" xr:uid="{00000000-0005-0000-0000-0000B0490000}"/>
    <cellStyle name="Accent2 39" xfId="2046" xr:uid="{00000000-0005-0000-0000-0000B1490000}"/>
    <cellStyle name="Accent2 4" xfId="2047" xr:uid="{00000000-0005-0000-0000-0000B2490000}"/>
    <cellStyle name="Accent2 4 2" xfId="24019" xr:uid="{00000000-0005-0000-0000-0000B3490000}"/>
    <cellStyle name="Accent2 40" xfId="2048" xr:uid="{00000000-0005-0000-0000-0000B4490000}"/>
    <cellStyle name="Accent2 41" xfId="2049" xr:uid="{00000000-0005-0000-0000-0000B5490000}"/>
    <cellStyle name="Accent2 42" xfId="2050" xr:uid="{00000000-0005-0000-0000-0000B6490000}"/>
    <cellStyle name="Accent2 43" xfId="2051" xr:uid="{00000000-0005-0000-0000-0000B7490000}"/>
    <cellStyle name="Accent2 44" xfId="2052" xr:uid="{00000000-0005-0000-0000-0000B8490000}"/>
    <cellStyle name="Accent2 45" xfId="2053" xr:uid="{00000000-0005-0000-0000-0000B9490000}"/>
    <cellStyle name="Accent2 46" xfId="2054" xr:uid="{00000000-0005-0000-0000-0000BA490000}"/>
    <cellStyle name="Accent2 47" xfId="2055" xr:uid="{00000000-0005-0000-0000-0000BB490000}"/>
    <cellStyle name="Accent2 48" xfId="2056" xr:uid="{00000000-0005-0000-0000-0000BC490000}"/>
    <cellStyle name="Accent2 49" xfId="2057" xr:uid="{00000000-0005-0000-0000-0000BD490000}"/>
    <cellStyle name="Accent2 5" xfId="2058" xr:uid="{00000000-0005-0000-0000-0000BE490000}"/>
    <cellStyle name="Accent2 50" xfId="2059" xr:uid="{00000000-0005-0000-0000-0000BF490000}"/>
    <cellStyle name="Accent2 51" xfId="2060" xr:uid="{00000000-0005-0000-0000-0000C0490000}"/>
    <cellStyle name="Accent2 52" xfId="2061" xr:uid="{00000000-0005-0000-0000-0000C1490000}"/>
    <cellStyle name="Accent2 53" xfId="2062" xr:uid="{00000000-0005-0000-0000-0000C2490000}"/>
    <cellStyle name="Accent2 54" xfId="2063" xr:uid="{00000000-0005-0000-0000-0000C3490000}"/>
    <cellStyle name="Accent2 55" xfId="2064" xr:uid="{00000000-0005-0000-0000-0000C4490000}"/>
    <cellStyle name="Accent2 56" xfId="2065" xr:uid="{00000000-0005-0000-0000-0000C5490000}"/>
    <cellStyle name="Accent2 57" xfId="2066" xr:uid="{00000000-0005-0000-0000-0000C6490000}"/>
    <cellStyle name="Accent2 58" xfId="2067" xr:uid="{00000000-0005-0000-0000-0000C7490000}"/>
    <cellStyle name="Accent2 59" xfId="2068" xr:uid="{00000000-0005-0000-0000-0000C8490000}"/>
    <cellStyle name="Accent2 6" xfId="2069" xr:uid="{00000000-0005-0000-0000-0000C9490000}"/>
    <cellStyle name="Accent2 60" xfId="2070" xr:uid="{00000000-0005-0000-0000-0000CA490000}"/>
    <cellStyle name="Accent2 61" xfId="2071" xr:uid="{00000000-0005-0000-0000-0000CB490000}"/>
    <cellStyle name="Accent2 62" xfId="2072" xr:uid="{00000000-0005-0000-0000-0000CC490000}"/>
    <cellStyle name="Accent2 63" xfId="2073" xr:uid="{00000000-0005-0000-0000-0000CD490000}"/>
    <cellStyle name="Accent2 64" xfId="2074" xr:uid="{00000000-0005-0000-0000-0000CE490000}"/>
    <cellStyle name="Accent2 65" xfId="2075" xr:uid="{00000000-0005-0000-0000-0000CF490000}"/>
    <cellStyle name="Accent2 66" xfId="2076" xr:uid="{00000000-0005-0000-0000-0000D0490000}"/>
    <cellStyle name="Accent2 67" xfId="2077" xr:uid="{00000000-0005-0000-0000-0000D1490000}"/>
    <cellStyle name="Accent2 68" xfId="2078" xr:uid="{00000000-0005-0000-0000-0000D2490000}"/>
    <cellStyle name="Accent2 69" xfId="2079" xr:uid="{00000000-0005-0000-0000-0000D3490000}"/>
    <cellStyle name="Accent2 7" xfId="2080" xr:uid="{00000000-0005-0000-0000-0000D4490000}"/>
    <cellStyle name="Accent2 70" xfId="2081" xr:uid="{00000000-0005-0000-0000-0000D5490000}"/>
    <cellStyle name="Accent2 71" xfId="2082" xr:uid="{00000000-0005-0000-0000-0000D6490000}"/>
    <cellStyle name="Accent2 72" xfId="2083" xr:uid="{00000000-0005-0000-0000-0000D7490000}"/>
    <cellStyle name="Accent2 8" xfId="2084" xr:uid="{00000000-0005-0000-0000-0000D8490000}"/>
    <cellStyle name="Accent2 9" xfId="2085" xr:uid="{00000000-0005-0000-0000-0000D9490000}"/>
    <cellStyle name="Accent3 - 20%" xfId="24021" xr:uid="{00000000-0005-0000-0000-0000DA490000}"/>
    <cellStyle name="Accent3 - 40%" xfId="24022" xr:uid="{00000000-0005-0000-0000-0000DB490000}"/>
    <cellStyle name="Accent3 - 60%" xfId="24023" xr:uid="{00000000-0005-0000-0000-0000DC490000}"/>
    <cellStyle name="Accent3 10" xfId="2086" xr:uid="{00000000-0005-0000-0000-0000DD490000}"/>
    <cellStyle name="Accent3 11" xfId="2087" xr:uid="{00000000-0005-0000-0000-0000DE490000}"/>
    <cellStyle name="Accent3 12" xfId="2088" xr:uid="{00000000-0005-0000-0000-0000DF490000}"/>
    <cellStyle name="Accent3 13" xfId="2089" xr:uid="{00000000-0005-0000-0000-0000E0490000}"/>
    <cellStyle name="Accent3 14" xfId="2090" xr:uid="{00000000-0005-0000-0000-0000E1490000}"/>
    <cellStyle name="Accent3 15" xfId="2091" xr:uid="{00000000-0005-0000-0000-0000E2490000}"/>
    <cellStyle name="Accent3 16" xfId="2092" xr:uid="{00000000-0005-0000-0000-0000E3490000}"/>
    <cellStyle name="Accent3 17" xfId="2093" xr:uid="{00000000-0005-0000-0000-0000E4490000}"/>
    <cellStyle name="Accent3 18" xfId="2094" xr:uid="{00000000-0005-0000-0000-0000E5490000}"/>
    <cellStyle name="Accent3 19" xfId="2095" xr:uid="{00000000-0005-0000-0000-0000E6490000}"/>
    <cellStyle name="Accent3 2" xfId="2096" xr:uid="{00000000-0005-0000-0000-0000E7490000}"/>
    <cellStyle name="Accent3 2 2" xfId="24025" xr:uid="{00000000-0005-0000-0000-0000E8490000}"/>
    <cellStyle name="Accent3 2 3" xfId="24024" xr:uid="{00000000-0005-0000-0000-0000E9490000}"/>
    <cellStyle name="Accent3 20" xfId="2097" xr:uid="{00000000-0005-0000-0000-0000EA490000}"/>
    <cellStyle name="Accent3 21" xfId="2098" xr:uid="{00000000-0005-0000-0000-0000EB490000}"/>
    <cellStyle name="Accent3 22" xfId="2099" xr:uid="{00000000-0005-0000-0000-0000EC490000}"/>
    <cellStyle name="Accent3 23" xfId="2100" xr:uid="{00000000-0005-0000-0000-0000ED490000}"/>
    <cellStyle name="Accent3 24" xfId="2101" xr:uid="{00000000-0005-0000-0000-0000EE490000}"/>
    <cellStyle name="Accent3 25" xfId="2102" xr:uid="{00000000-0005-0000-0000-0000EF490000}"/>
    <cellStyle name="Accent3 26" xfId="2103" xr:uid="{00000000-0005-0000-0000-0000F0490000}"/>
    <cellStyle name="Accent3 27" xfId="2104" xr:uid="{00000000-0005-0000-0000-0000F1490000}"/>
    <cellStyle name="Accent3 28" xfId="2105" xr:uid="{00000000-0005-0000-0000-0000F2490000}"/>
    <cellStyle name="Accent3 29" xfId="2106" xr:uid="{00000000-0005-0000-0000-0000F3490000}"/>
    <cellStyle name="Accent3 3" xfId="2107" xr:uid="{00000000-0005-0000-0000-0000F4490000}"/>
    <cellStyle name="Accent3 3 2" xfId="24026" xr:uid="{00000000-0005-0000-0000-0000F5490000}"/>
    <cellStyle name="Accent3 30" xfId="2108" xr:uid="{00000000-0005-0000-0000-0000F6490000}"/>
    <cellStyle name="Accent3 31" xfId="2109" xr:uid="{00000000-0005-0000-0000-0000F7490000}"/>
    <cellStyle name="Accent3 32" xfId="2110" xr:uid="{00000000-0005-0000-0000-0000F8490000}"/>
    <cellStyle name="Accent3 33" xfId="2111" xr:uid="{00000000-0005-0000-0000-0000F9490000}"/>
    <cellStyle name="Accent3 34" xfId="2112" xr:uid="{00000000-0005-0000-0000-0000FA490000}"/>
    <cellStyle name="Accent3 35" xfId="2113" xr:uid="{00000000-0005-0000-0000-0000FB490000}"/>
    <cellStyle name="Accent3 36" xfId="2114" xr:uid="{00000000-0005-0000-0000-0000FC490000}"/>
    <cellStyle name="Accent3 37" xfId="2115" xr:uid="{00000000-0005-0000-0000-0000FD490000}"/>
    <cellStyle name="Accent3 38" xfId="2116" xr:uid="{00000000-0005-0000-0000-0000FE490000}"/>
    <cellStyle name="Accent3 39" xfId="2117" xr:uid="{00000000-0005-0000-0000-0000FF490000}"/>
    <cellStyle name="Accent3 4" xfId="2118" xr:uid="{00000000-0005-0000-0000-0000004A0000}"/>
    <cellStyle name="Accent3 4 2" xfId="24027" xr:uid="{00000000-0005-0000-0000-0000014A0000}"/>
    <cellStyle name="Accent3 40" xfId="2119" xr:uid="{00000000-0005-0000-0000-0000024A0000}"/>
    <cellStyle name="Accent3 41" xfId="2120" xr:uid="{00000000-0005-0000-0000-0000034A0000}"/>
    <cellStyle name="Accent3 42" xfId="2121" xr:uid="{00000000-0005-0000-0000-0000044A0000}"/>
    <cellStyle name="Accent3 43" xfId="2122" xr:uid="{00000000-0005-0000-0000-0000054A0000}"/>
    <cellStyle name="Accent3 44" xfId="2123" xr:uid="{00000000-0005-0000-0000-0000064A0000}"/>
    <cellStyle name="Accent3 45" xfId="2124" xr:uid="{00000000-0005-0000-0000-0000074A0000}"/>
    <cellStyle name="Accent3 46" xfId="2125" xr:uid="{00000000-0005-0000-0000-0000084A0000}"/>
    <cellStyle name="Accent3 47" xfId="2126" xr:uid="{00000000-0005-0000-0000-0000094A0000}"/>
    <cellStyle name="Accent3 48" xfId="2127" xr:uid="{00000000-0005-0000-0000-00000A4A0000}"/>
    <cellStyle name="Accent3 49" xfId="2128" xr:uid="{00000000-0005-0000-0000-00000B4A0000}"/>
    <cellStyle name="Accent3 5" xfId="2129" xr:uid="{00000000-0005-0000-0000-00000C4A0000}"/>
    <cellStyle name="Accent3 50" xfId="2130" xr:uid="{00000000-0005-0000-0000-00000D4A0000}"/>
    <cellStyle name="Accent3 51" xfId="2131" xr:uid="{00000000-0005-0000-0000-00000E4A0000}"/>
    <cellStyle name="Accent3 52" xfId="2132" xr:uid="{00000000-0005-0000-0000-00000F4A0000}"/>
    <cellStyle name="Accent3 53" xfId="2133" xr:uid="{00000000-0005-0000-0000-0000104A0000}"/>
    <cellStyle name="Accent3 54" xfId="2134" xr:uid="{00000000-0005-0000-0000-0000114A0000}"/>
    <cellStyle name="Accent3 55" xfId="2135" xr:uid="{00000000-0005-0000-0000-0000124A0000}"/>
    <cellStyle name="Accent3 56" xfId="2136" xr:uid="{00000000-0005-0000-0000-0000134A0000}"/>
    <cellStyle name="Accent3 57" xfId="2137" xr:uid="{00000000-0005-0000-0000-0000144A0000}"/>
    <cellStyle name="Accent3 58" xfId="2138" xr:uid="{00000000-0005-0000-0000-0000154A0000}"/>
    <cellStyle name="Accent3 59" xfId="2139" xr:uid="{00000000-0005-0000-0000-0000164A0000}"/>
    <cellStyle name="Accent3 6" xfId="2140" xr:uid="{00000000-0005-0000-0000-0000174A0000}"/>
    <cellStyle name="Accent3 60" xfId="2141" xr:uid="{00000000-0005-0000-0000-0000184A0000}"/>
    <cellStyle name="Accent3 61" xfId="2142" xr:uid="{00000000-0005-0000-0000-0000194A0000}"/>
    <cellStyle name="Accent3 62" xfId="2143" xr:uid="{00000000-0005-0000-0000-00001A4A0000}"/>
    <cellStyle name="Accent3 63" xfId="2144" xr:uid="{00000000-0005-0000-0000-00001B4A0000}"/>
    <cellStyle name="Accent3 64" xfId="2145" xr:uid="{00000000-0005-0000-0000-00001C4A0000}"/>
    <cellStyle name="Accent3 65" xfId="2146" xr:uid="{00000000-0005-0000-0000-00001D4A0000}"/>
    <cellStyle name="Accent3 66" xfId="2147" xr:uid="{00000000-0005-0000-0000-00001E4A0000}"/>
    <cellStyle name="Accent3 67" xfId="2148" xr:uid="{00000000-0005-0000-0000-00001F4A0000}"/>
    <cellStyle name="Accent3 68" xfId="2149" xr:uid="{00000000-0005-0000-0000-0000204A0000}"/>
    <cellStyle name="Accent3 69" xfId="2150" xr:uid="{00000000-0005-0000-0000-0000214A0000}"/>
    <cellStyle name="Accent3 7" xfId="2151" xr:uid="{00000000-0005-0000-0000-0000224A0000}"/>
    <cellStyle name="Accent3 70" xfId="2152" xr:uid="{00000000-0005-0000-0000-0000234A0000}"/>
    <cellStyle name="Accent3 71" xfId="2153" xr:uid="{00000000-0005-0000-0000-0000244A0000}"/>
    <cellStyle name="Accent3 72" xfId="2154" xr:uid="{00000000-0005-0000-0000-0000254A0000}"/>
    <cellStyle name="Accent3 8" xfId="2155" xr:uid="{00000000-0005-0000-0000-0000264A0000}"/>
    <cellStyle name="Accent3 9" xfId="2156" xr:uid="{00000000-0005-0000-0000-0000274A0000}"/>
    <cellStyle name="Accent4 - 20%" xfId="24028" xr:uid="{00000000-0005-0000-0000-0000284A0000}"/>
    <cellStyle name="Accent4 - 40%" xfId="24029" xr:uid="{00000000-0005-0000-0000-0000294A0000}"/>
    <cellStyle name="Accent4 - 60%" xfId="24030" xr:uid="{00000000-0005-0000-0000-00002A4A0000}"/>
    <cellStyle name="Accent4 10" xfId="2157" xr:uid="{00000000-0005-0000-0000-00002B4A0000}"/>
    <cellStyle name="Accent4 11" xfId="2158" xr:uid="{00000000-0005-0000-0000-00002C4A0000}"/>
    <cellStyle name="Accent4 12" xfId="2159" xr:uid="{00000000-0005-0000-0000-00002D4A0000}"/>
    <cellStyle name="Accent4 13" xfId="2160" xr:uid="{00000000-0005-0000-0000-00002E4A0000}"/>
    <cellStyle name="Accent4 14" xfId="2161" xr:uid="{00000000-0005-0000-0000-00002F4A0000}"/>
    <cellStyle name="Accent4 15" xfId="2162" xr:uid="{00000000-0005-0000-0000-0000304A0000}"/>
    <cellStyle name="Accent4 16" xfId="2163" xr:uid="{00000000-0005-0000-0000-0000314A0000}"/>
    <cellStyle name="Accent4 17" xfId="2164" xr:uid="{00000000-0005-0000-0000-0000324A0000}"/>
    <cellStyle name="Accent4 18" xfId="2165" xr:uid="{00000000-0005-0000-0000-0000334A0000}"/>
    <cellStyle name="Accent4 19" xfId="2166" xr:uid="{00000000-0005-0000-0000-0000344A0000}"/>
    <cellStyle name="Accent4 2" xfId="2167" xr:uid="{00000000-0005-0000-0000-0000354A0000}"/>
    <cellStyle name="Accent4 2 2" xfId="24034" xr:uid="{00000000-0005-0000-0000-0000364A0000}"/>
    <cellStyle name="Accent4 2 3" xfId="24033" xr:uid="{00000000-0005-0000-0000-0000374A0000}"/>
    <cellStyle name="Accent4 20" xfId="2168" xr:uid="{00000000-0005-0000-0000-0000384A0000}"/>
    <cellStyle name="Accent4 21" xfId="2169" xr:uid="{00000000-0005-0000-0000-0000394A0000}"/>
    <cellStyle name="Accent4 22" xfId="2170" xr:uid="{00000000-0005-0000-0000-00003A4A0000}"/>
    <cellStyle name="Accent4 23" xfId="2171" xr:uid="{00000000-0005-0000-0000-00003B4A0000}"/>
    <cellStyle name="Accent4 24" xfId="2172" xr:uid="{00000000-0005-0000-0000-00003C4A0000}"/>
    <cellStyle name="Accent4 25" xfId="2173" xr:uid="{00000000-0005-0000-0000-00003D4A0000}"/>
    <cellStyle name="Accent4 26" xfId="2174" xr:uid="{00000000-0005-0000-0000-00003E4A0000}"/>
    <cellStyle name="Accent4 27" xfId="2175" xr:uid="{00000000-0005-0000-0000-00003F4A0000}"/>
    <cellStyle name="Accent4 28" xfId="2176" xr:uid="{00000000-0005-0000-0000-0000404A0000}"/>
    <cellStyle name="Accent4 29" xfId="2177" xr:uid="{00000000-0005-0000-0000-0000414A0000}"/>
    <cellStyle name="Accent4 3" xfId="2178" xr:uid="{00000000-0005-0000-0000-0000424A0000}"/>
    <cellStyle name="Accent4 3 2" xfId="24035" xr:uid="{00000000-0005-0000-0000-0000434A0000}"/>
    <cellStyle name="Accent4 30" xfId="2179" xr:uid="{00000000-0005-0000-0000-0000444A0000}"/>
    <cellStyle name="Accent4 31" xfId="2180" xr:uid="{00000000-0005-0000-0000-0000454A0000}"/>
    <cellStyle name="Accent4 32" xfId="2181" xr:uid="{00000000-0005-0000-0000-0000464A0000}"/>
    <cellStyle name="Accent4 33" xfId="2182" xr:uid="{00000000-0005-0000-0000-0000474A0000}"/>
    <cellStyle name="Accent4 34" xfId="2183" xr:uid="{00000000-0005-0000-0000-0000484A0000}"/>
    <cellStyle name="Accent4 35" xfId="2184" xr:uid="{00000000-0005-0000-0000-0000494A0000}"/>
    <cellStyle name="Accent4 36" xfId="2185" xr:uid="{00000000-0005-0000-0000-00004A4A0000}"/>
    <cellStyle name="Accent4 37" xfId="2186" xr:uid="{00000000-0005-0000-0000-00004B4A0000}"/>
    <cellStyle name="Accent4 38" xfId="2187" xr:uid="{00000000-0005-0000-0000-00004C4A0000}"/>
    <cellStyle name="Accent4 39" xfId="2188" xr:uid="{00000000-0005-0000-0000-00004D4A0000}"/>
    <cellStyle name="Accent4 4" xfId="2189" xr:uid="{00000000-0005-0000-0000-00004E4A0000}"/>
    <cellStyle name="Accent4 4 2" xfId="24036" xr:uid="{00000000-0005-0000-0000-00004F4A0000}"/>
    <cellStyle name="Accent4 40" xfId="2190" xr:uid="{00000000-0005-0000-0000-0000504A0000}"/>
    <cellStyle name="Accent4 41" xfId="2191" xr:uid="{00000000-0005-0000-0000-0000514A0000}"/>
    <cellStyle name="Accent4 42" xfId="2192" xr:uid="{00000000-0005-0000-0000-0000524A0000}"/>
    <cellStyle name="Accent4 43" xfId="2193" xr:uid="{00000000-0005-0000-0000-0000534A0000}"/>
    <cellStyle name="Accent4 44" xfId="2194" xr:uid="{00000000-0005-0000-0000-0000544A0000}"/>
    <cellStyle name="Accent4 45" xfId="2195" xr:uid="{00000000-0005-0000-0000-0000554A0000}"/>
    <cellStyle name="Accent4 46" xfId="2196" xr:uid="{00000000-0005-0000-0000-0000564A0000}"/>
    <cellStyle name="Accent4 47" xfId="2197" xr:uid="{00000000-0005-0000-0000-0000574A0000}"/>
    <cellStyle name="Accent4 48" xfId="2198" xr:uid="{00000000-0005-0000-0000-0000584A0000}"/>
    <cellStyle name="Accent4 49" xfId="2199" xr:uid="{00000000-0005-0000-0000-0000594A0000}"/>
    <cellStyle name="Accent4 5" xfId="2200" xr:uid="{00000000-0005-0000-0000-00005A4A0000}"/>
    <cellStyle name="Accent4 50" xfId="2201" xr:uid="{00000000-0005-0000-0000-00005B4A0000}"/>
    <cellStyle name="Accent4 51" xfId="2202" xr:uid="{00000000-0005-0000-0000-00005C4A0000}"/>
    <cellStyle name="Accent4 52" xfId="2203" xr:uid="{00000000-0005-0000-0000-00005D4A0000}"/>
    <cellStyle name="Accent4 53" xfId="2204" xr:uid="{00000000-0005-0000-0000-00005E4A0000}"/>
    <cellStyle name="Accent4 54" xfId="2205" xr:uid="{00000000-0005-0000-0000-00005F4A0000}"/>
    <cellStyle name="Accent4 55" xfId="2206" xr:uid="{00000000-0005-0000-0000-0000604A0000}"/>
    <cellStyle name="Accent4 56" xfId="2207" xr:uid="{00000000-0005-0000-0000-0000614A0000}"/>
    <cellStyle name="Accent4 57" xfId="2208" xr:uid="{00000000-0005-0000-0000-0000624A0000}"/>
    <cellStyle name="Accent4 58" xfId="2209" xr:uid="{00000000-0005-0000-0000-0000634A0000}"/>
    <cellStyle name="Accent4 59" xfId="2210" xr:uid="{00000000-0005-0000-0000-0000644A0000}"/>
    <cellStyle name="Accent4 6" xfId="2211" xr:uid="{00000000-0005-0000-0000-0000654A0000}"/>
    <cellStyle name="Accent4 60" xfId="2212" xr:uid="{00000000-0005-0000-0000-0000664A0000}"/>
    <cellStyle name="Accent4 61" xfId="2213" xr:uid="{00000000-0005-0000-0000-0000674A0000}"/>
    <cellStyle name="Accent4 62" xfId="2214" xr:uid="{00000000-0005-0000-0000-0000684A0000}"/>
    <cellStyle name="Accent4 63" xfId="2215" xr:uid="{00000000-0005-0000-0000-0000694A0000}"/>
    <cellStyle name="Accent4 64" xfId="2216" xr:uid="{00000000-0005-0000-0000-00006A4A0000}"/>
    <cellStyle name="Accent4 65" xfId="2217" xr:uid="{00000000-0005-0000-0000-00006B4A0000}"/>
    <cellStyle name="Accent4 66" xfId="2218" xr:uid="{00000000-0005-0000-0000-00006C4A0000}"/>
    <cellStyle name="Accent4 67" xfId="2219" xr:uid="{00000000-0005-0000-0000-00006D4A0000}"/>
    <cellStyle name="Accent4 68" xfId="2220" xr:uid="{00000000-0005-0000-0000-00006E4A0000}"/>
    <cellStyle name="Accent4 69" xfId="2221" xr:uid="{00000000-0005-0000-0000-00006F4A0000}"/>
    <cellStyle name="Accent4 7" xfId="2222" xr:uid="{00000000-0005-0000-0000-0000704A0000}"/>
    <cellStyle name="Accent4 70" xfId="2223" xr:uid="{00000000-0005-0000-0000-0000714A0000}"/>
    <cellStyle name="Accent4 71" xfId="2224" xr:uid="{00000000-0005-0000-0000-0000724A0000}"/>
    <cellStyle name="Accent4 72" xfId="2225" xr:uid="{00000000-0005-0000-0000-0000734A0000}"/>
    <cellStyle name="Accent4 8" xfId="2226" xr:uid="{00000000-0005-0000-0000-0000744A0000}"/>
    <cellStyle name="Accent4 9" xfId="2227" xr:uid="{00000000-0005-0000-0000-0000754A0000}"/>
    <cellStyle name="Accent5 - 20%" xfId="24037" xr:uid="{00000000-0005-0000-0000-0000764A0000}"/>
    <cellStyle name="Accent5 - 40%" xfId="24038" xr:uid="{00000000-0005-0000-0000-0000774A0000}"/>
    <cellStyle name="Accent5 - 60%" xfId="24039" xr:uid="{00000000-0005-0000-0000-0000784A0000}"/>
    <cellStyle name="Accent5 10" xfId="2228" xr:uid="{00000000-0005-0000-0000-0000794A0000}"/>
    <cellStyle name="Accent5 11" xfId="2229" xr:uid="{00000000-0005-0000-0000-00007A4A0000}"/>
    <cellStyle name="Accent5 12" xfId="2230" xr:uid="{00000000-0005-0000-0000-00007B4A0000}"/>
    <cellStyle name="Accent5 13" xfId="2231" xr:uid="{00000000-0005-0000-0000-00007C4A0000}"/>
    <cellStyle name="Accent5 14" xfId="2232" xr:uid="{00000000-0005-0000-0000-00007D4A0000}"/>
    <cellStyle name="Accent5 15" xfId="2233" xr:uid="{00000000-0005-0000-0000-00007E4A0000}"/>
    <cellStyle name="Accent5 16" xfId="2234" xr:uid="{00000000-0005-0000-0000-00007F4A0000}"/>
    <cellStyle name="Accent5 17" xfId="2235" xr:uid="{00000000-0005-0000-0000-0000804A0000}"/>
    <cellStyle name="Accent5 18" xfId="2236" xr:uid="{00000000-0005-0000-0000-0000814A0000}"/>
    <cellStyle name="Accent5 19" xfId="2237" xr:uid="{00000000-0005-0000-0000-0000824A0000}"/>
    <cellStyle name="Accent5 2" xfId="2238" xr:uid="{00000000-0005-0000-0000-0000834A0000}"/>
    <cellStyle name="Accent5 2 2" xfId="24041" xr:uid="{00000000-0005-0000-0000-0000844A0000}"/>
    <cellStyle name="Accent5 2 3" xfId="24040" xr:uid="{00000000-0005-0000-0000-0000854A0000}"/>
    <cellStyle name="Accent5 20" xfId="2239" xr:uid="{00000000-0005-0000-0000-0000864A0000}"/>
    <cellStyle name="Accent5 21" xfId="2240" xr:uid="{00000000-0005-0000-0000-0000874A0000}"/>
    <cellStyle name="Accent5 22" xfId="2241" xr:uid="{00000000-0005-0000-0000-0000884A0000}"/>
    <cellStyle name="Accent5 23" xfId="2242" xr:uid="{00000000-0005-0000-0000-0000894A0000}"/>
    <cellStyle name="Accent5 24" xfId="2243" xr:uid="{00000000-0005-0000-0000-00008A4A0000}"/>
    <cellStyle name="Accent5 25" xfId="2244" xr:uid="{00000000-0005-0000-0000-00008B4A0000}"/>
    <cellStyle name="Accent5 26" xfId="2245" xr:uid="{00000000-0005-0000-0000-00008C4A0000}"/>
    <cellStyle name="Accent5 27" xfId="2246" xr:uid="{00000000-0005-0000-0000-00008D4A0000}"/>
    <cellStyle name="Accent5 28" xfId="2247" xr:uid="{00000000-0005-0000-0000-00008E4A0000}"/>
    <cellStyle name="Accent5 29" xfId="2248" xr:uid="{00000000-0005-0000-0000-00008F4A0000}"/>
    <cellStyle name="Accent5 3" xfId="2249" xr:uid="{00000000-0005-0000-0000-0000904A0000}"/>
    <cellStyle name="Accent5 3 2" xfId="24042" xr:uid="{00000000-0005-0000-0000-0000914A0000}"/>
    <cellStyle name="Accent5 30" xfId="2250" xr:uid="{00000000-0005-0000-0000-0000924A0000}"/>
    <cellStyle name="Accent5 31" xfId="2251" xr:uid="{00000000-0005-0000-0000-0000934A0000}"/>
    <cellStyle name="Accent5 32" xfId="2252" xr:uid="{00000000-0005-0000-0000-0000944A0000}"/>
    <cellStyle name="Accent5 33" xfId="2253" xr:uid="{00000000-0005-0000-0000-0000954A0000}"/>
    <cellStyle name="Accent5 34" xfId="2254" xr:uid="{00000000-0005-0000-0000-0000964A0000}"/>
    <cellStyle name="Accent5 35" xfId="2255" xr:uid="{00000000-0005-0000-0000-0000974A0000}"/>
    <cellStyle name="Accent5 36" xfId="2256" xr:uid="{00000000-0005-0000-0000-0000984A0000}"/>
    <cellStyle name="Accent5 37" xfId="2257" xr:uid="{00000000-0005-0000-0000-0000994A0000}"/>
    <cellStyle name="Accent5 38" xfId="2258" xr:uid="{00000000-0005-0000-0000-00009A4A0000}"/>
    <cellStyle name="Accent5 39" xfId="2259" xr:uid="{00000000-0005-0000-0000-00009B4A0000}"/>
    <cellStyle name="Accent5 4" xfId="2260" xr:uid="{00000000-0005-0000-0000-00009C4A0000}"/>
    <cellStyle name="Accent5 4 2" xfId="24043" xr:uid="{00000000-0005-0000-0000-00009D4A0000}"/>
    <cellStyle name="Accent5 40" xfId="2261" xr:uid="{00000000-0005-0000-0000-00009E4A0000}"/>
    <cellStyle name="Accent5 41" xfId="2262" xr:uid="{00000000-0005-0000-0000-00009F4A0000}"/>
    <cellStyle name="Accent5 42" xfId="2263" xr:uid="{00000000-0005-0000-0000-0000A04A0000}"/>
    <cellStyle name="Accent5 43" xfId="2264" xr:uid="{00000000-0005-0000-0000-0000A14A0000}"/>
    <cellStyle name="Accent5 44" xfId="2265" xr:uid="{00000000-0005-0000-0000-0000A24A0000}"/>
    <cellStyle name="Accent5 45" xfId="2266" xr:uid="{00000000-0005-0000-0000-0000A34A0000}"/>
    <cellStyle name="Accent5 46" xfId="2267" xr:uid="{00000000-0005-0000-0000-0000A44A0000}"/>
    <cellStyle name="Accent5 47" xfId="2268" xr:uid="{00000000-0005-0000-0000-0000A54A0000}"/>
    <cellStyle name="Accent5 48" xfId="2269" xr:uid="{00000000-0005-0000-0000-0000A64A0000}"/>
    <cellStyle name="Accent5 49" xfId="2270" xr:uid="{00000000-0005-0000-0000-0000A74A0000}"/>
    <cellStyle name="Accent5 5" xfId="2271" xr:uid="{00000000-0005-0000-0000-0000A84A0000}"/>
    <cellStyle name="Accent5 50" xfId="2272" xr:uid="{00000000-0005-0000-0000-0000A94A0000}"/>
    <cellStyle name="Accent5 51" xfId="2273" xr:uid="{00000000-0005-0000-0000-0000AA4A0000}"/>
    <cellStyle name="Accent5 52" xfId="2274" xr:uid="{00000000-0005-0000-0000-0000AB4A0000}"/>
    <cellStyle name="Accent5 53" xfId="2275" xr:uid="{00000000-0005-0000-0000-0000AC4A0000}"/>
    <cellStyle name="Accent5 54" xfId="2276" xr:uid="{00000000-0005-0000-0000-0000AD4A0000}"/>
    <cellStyle name="Accent5 55" xfId="2277" xr:uid="{00000000-0005-0000-0000-0000AE4A0000}"/>
    <cellStyle name="Accent5 56" xfId="2278" xr:uid="{00000000-0005-0000-0000-0000AF4A0000}"/>
    <cellStyle name="Accent5 57" xfId="2279" xr:uid="{00000000-0005-0000-0000-0000B04A0000}"/>
    <cellStyle name="Accent5 58" xfId="2280" xr:uid="{00000000-0005-0000-0000-0000B14A0000}"/>
    <cellStyle name="Accent5 59" xfId="2281" xr:uid="{00000000-0005-0000-0000-0000B24A0000}"/>
    <cellStyle name="Accent5 6" xfId="2282" xr:uid="{00000000-0005-0000-0000-0000B34A0000}"/>
    <cellStyle name="Accent5 60" xfId="2283" xr:uid="{00000000-0005-0000-0000-0000B44A0000}"/>
    <cellStyle name="Accent5 61" xfId="2284" xr:uid="{00000000-0005-0000-0000-0000B54A0000}"/>
    <cellStyle name="Accent5 62" xfId="2285" xr:uid="{00000000-0005-0000-0000-0000B64A0000}"/>
    <cellStyle name="Accent5 63" xfId="2286" xr:uid="{00000000-0005-0000-0000-0000B74A0000}"/>
    <cellStyle name="Accent5 64" xfId="2287" xr:uid="{00000000-0005-0000-0000-0000B84A0000}"/>
    <cellStyle name="Accent5 65" xfId="2288" xr:uid="{00000000-0005-0000-0000-0000B94A0000}"/>
    <cellStyle name="Accent5 66" xfId="2289" xr:uid="{00000000-0005-0000-0000-0000BA4A0000}"/>
    <cellStyle name="Accent5 67" xfId="2290" xr:uid="{00000000-0005-0000-0000-0000BB4A0000}"/>
    <cellStyle name="Accent5 68" xfId="2291" xr:uid="{00000000-0005-0000-0000-0000BC4A0000}"/>
    <cellStyle name="Accent5 69" xfId="2292" xr:uid="{00000000-0005-0000-0000-0000BD4A0000}"/>
    <cellStyle name="Accent5 7" xfId="2293" xr:uid="{00000000-0005-0000-0000-0000BE4A0000}"/>
    <cellStyle name="Accent5 70" xfId="2294" xr:uid="{00000000-0005-0000-0000-0000BF4A0000}"/>
    <cellStyle name="Accent5 71" xfId="2295" xr:uid="{00000000-0005-0000-0000-0000C04A0000}"/>
    <cellStyle name="Accent5 72" xfId="2296" xr:uid="{00000000-0005-0000-0000-0000C14A0000}"/>
    <cellStyle name="Accent5 8" xfId="2297" xr:uid="{00000000-0005-0000-0000-0000C24A0000}"/>
    <cellStyle name="Accent5 9" xfId="2298" xr:uid="{00000000-0005-0000-0000-0000C34A0000}"/>
    <cellStyle name="Accent6 - 20%" xfId="24044" xr:uid="{00000000-0005-0000-0000-0000C44A0000}"/>
    <cellStyle name="Accent6 - 40%" xfId="24045" xr:uid="{00000000-0005-0000-0000-0000C54A0000}"/>
    <cellStyle name="Accent6 - 60%" xfId="24046" xr:uid="{00000000-0005-0000-0000-0000C64A0000}"/>
    <cellStyle name="Accent6 10" xfId="2299" xr:uid="{00000000-0005-0000-0000-0000C74A0000}"/>
    <cellStyle name="Accent6 11" xfId="2300" xr:uid="{00000000-0005-0000-0000-0000C84A0000}"/>
    <cellStyle name="Accent6 12" xfId="2301" xr:uid="{00000000-0005-0000-0000-0000C94A0000}"/>
    <cellStyle name="Accent6 13" xfId="2302" xr:uid="{00000000-0005-0000-0000-0000CA4A0000}"/>
    <cellStyle name="Accent6 14" xfId="2303" xr:uid="{00000000-0005-0000-0000-0000CB4A0000}"/>
    <cellStyle name="Accent6 15" xfId="2304" xr:uid="{00000000-0005-0000-0000-0000CC4A0000}"/>
    <cellStyle name="Accent6 16" xfId="2305" xr:uid="{00000000-0005-0000-0000-0000CD4A0000}"/>
    <cellStyle name="Accent6 17" xfId="2306" xr:uid="{00000000-0005-0000-0000-0000CE4A0000}"/>
    <cellStyle name="Accent6 18" xfId="2307" xr:uid="{00000000-0005-0000-0000-0000CF4A0000}"/>
    <cellStyle name="Accent6 19" xfId="2308" xr:uid="{00000000-0005-0000-0000-0000D04A0000}"/>
    <cellStyle name="Accent6 2" xfId="2309" xr:uid="{00000000-0005-0000-0000-0000D14A0000}"/>
    <cellStyle name="Accent6 2 2" xfId="24048" xr:uid="{00000000-0005-0000-0000-0000D24A0000}"/>
    <cellStyle name="Accent6 2 3" xfId="24047" xr:uid="{00000000-0005-0000-0000-0000D34A0000}"/>
    <cellStyle name="Accent6 20" xfId="2310" xr:uid="{00000000-0005-0000-0000-0000D44A0000}"/>
    <cellStyle name="Accent6 21" xfId="2311" xr:uid="{00000000-0005-0000-0000-0000D54A0000}"/>
    <cellStyle name="Accent6 22" xfId="2312" xr:uid="{00000000-0005-0000-0000-0000D64A0000}"/>
    <cellStyle name="Accent6 23" xfId="2313" xr:uid="{00000000-0005-0000-0000-0000D74A0000}"/>
    <cellStyle name="Accent6 24" xfId="2314" xr:uid="{00000000-0005-0000-0000-0000D84A0000}"/>
    <cellStyle name="Accent6 25" xfId="2315" xr:uid="{00000000-0005-0000-0000-0000D94A0000}"/>
    <cellStyle name="Accent6 26" xfId="2316" xr:uid="{00000000-0005-0000-0000-0000DA4A0000}"/>
    <cellStyle name="Accent6 27" xfId="2317" xr:uid="{00000000-0005-0000-0000-0000DB4A0000}"/>
    <cellStyle name="Accent6 28" xfId="2318" xr:uid="{00000000-0005-0000-0000-0000DC4A0000}"/>
    <cellStyle name="Accent6 29" xfId="2319" xr:uid="{00000000-0005-0000-0000-0000DD4A0000}"/>
    <cellStyle name="Accent6 3" xfId="2320" xr:uid="{00000000-0005-0000-0000-0000DE4A0000}"/>
    <cellStyle name="Accent6 3 2" xfId="24049" xr:uid="{00000000-0005-0000-0000-0000DF4A0000}"/>
    <cellStyle name="Accent6 30" xfId="2321" xr:uid="{00000000-0005-0000-0000-0000E04A0000}"/>
    <cellStyle name="Accent6 31" xfId="2322" xr:uid="{00000000-0005-0000-0000-0000E14A0000}"/>
    <cellStyle name="Accent6 32" xfId="2323" xr:uid="{00000000-0005-0000-0000-0000E24A0000}"/>
    <cellStyle name="Accent6 33" xfId="2324" xr:uid="{00000000-0005-0000-0000-0000E34A0000}"/>
    <cellStyle name="Accent6 34" xfId="2325" xr:uid="{00000000-0005-0000-0000-0000E44A0000}"/>
    <cellStyle name="Accent6 35" xfId="2326" xr:uid="{00000000-0005-0000-0000-0000E54A0000}"/>
    <cellStyle name="Accent6 36" xfId="2327" xr:uid="{00000000-0005-0000-0000-0000E64A0000}"/>
    <cellStyle name="Accent6 37" xfId="2328" xr:uid="{00000000-0005-0000-0000-0000E74A0000}"/>
    <cellStyle name="Accent6 38" xfId="2329" xr:uid="{00000000-0005-0000-0000-0000E84A0000}"/>
    <cellStyle name="Accent6 39" xfId="2330" xr:uid="{00000000-0005-0000-0000-0000E94A0000}"/>
    <cellStyle name="Accent6 4" xfId="2331" xr:uid="{00000000-0005-0000-0000-0000EA4A0000}"/>
    <cellStyle name="Accent6 4 2" xfId="24050" xr:uid="{00000000-0005-0000-0000-0000EB4A0000}"/>
    <cellStyle name="Accent6 40" xfId="2332" xr:uid="{00000000-0005-0000-0000-0000EC4A0000}"/>
    <cellStyle name="Accent6 41" xfId="2333" xr:uid="{00000000-0005-0000-0000-0000ED4A0000}"/>
    <cellStyle name="Accent6 42" xfId="2334" xr:uid="{00000000-0005-0000-0000-0000EE4A0000}"/>
    <cellStyle name="Accent6 43" xfId="2335" xr:uid="{00000000-0005-0000-0000-0000EF4A0000}"/>
    <cellStyle name="Accent6 44" xfId="2336" xr:uid="{00000000-0005-0000-0000-0000F04A0000}"/>
    <cellStyle name="Accent6 45" xfId="2337" xr:uid="{00000000-0005-0000-0000-0000F14A0000}"/>
    <cellStyle name="Accent6 46" xfId="2338" xr:uid="{00000000-0005-0000-0000-0000F24A0000}"/>
    <cellStyle name="Accent6 47" xfId="2339" xr:uid="{00000000-0005-0000-0000-0000F34A0000}"/>
    <cellStyle name="Accent6 48" xfId="2340" xr:uid="{00000000-0005-0000-0000-0000F44A0000}"/>
    <cellStyle name="Accent6 49" xfId="2341" xr:uid="{00000000-0005-0000-0000-0000F54A0000}"/>
    <cellStyle name="Accent6 5" xfId="2342" xr:uid="{00000000-0005-0000-0000-0000F64A0000}"/>
    <cellStyle name="Accent6 50" xfId="2343" xr:uid="{00000000-0005-0000-0000-0000F74A0000}"/>
    <cellStyle name="Accent6 51" xfId="2344" xr:uid="{00000000-0005-0000-0000-0000F84A0000}"/>
    <cellStyle name="Accent6 52" xfId="2345" xr:uid="{00000000-0005-0000-0000-0000F94A0000}"/>
    <cellStyle name="Accent6 53" xfId="2346" xr:uid="{00000000-0005-0000-0000-0000FA4A0000}"/>
    <cellStyle name="Accent6 54" xfId="2347" xr:uid="{00000000-0005-0000-0000-0000FB4A0000}"/>
    <cellStyle name="Accent6 55" xfId="2348" xr:uid="{00000000-0005-0000-0000-0000FC4A0000}"/>
    <cellStyle name="Accent6 56" xfId="2349" xr:uid="{00000000-0005-0000-0000-0000FD4A0000}"/>
    <cellStyle name="Accent6 57" xfId="2350" xr:uid="{00000000-0005-0000-0000-0000FE4A0000}"/>
    <cellStyle name="Accent6 58" xfId="2351" xr:uid="{00000000-0005-0000-0000-0000FF4A0000}"/>
    <cellStyle name="Accent6 59" xfId="2352" xr:uid="{00000000-0005-0000-0000-0000004B0000}"/>
    <cellStyle name="Accent6 6" xfId="2353" xr:uid="{00000000-0005-0000-0000-0000014B0000}"/>
    <cellStyle name="Accent6 60" xfId="2354" xr:uid="{00000000-0005-0000-0000-0000024B0000}"/>
    <cellStyle name="Accent6 61" xfId="2355" xr:uid="{00000000-0005-0000-0000-0000034B0000}"/>
    <cellStyle name="Accent6 62" xfId="2356" xr:uid="{00000000-0005-0000-0000-0000044B0000}"/>
    <cellStyle name="Accent6 63" xfId="2357" xr:uid="{00000000-0005-0000-0000-0000054B0000}"/>
    <cellStyle name="Accent6 64" xfId="2358" xr:uid="{00000000-0005-0000-0000-0000064B0000}"/>
    <cellStyle name="Accent6 65" xfId="2359" xr:uid="{00000000-0005-0000-0000-0000074B0000}"/>
    <cellStyle name="Accent6 66" xfId="2360" xr:uid="{00000000-0005-0000-0000-0000084B0000}"/>
    <cellStyle name="Accent6 67" xfId="2361" xr:uid="{00000000-0005-0000-0000-0000094B0000}"/>
    <cellStyle name="Accent6 68" xfId="2362" xr:uid="{00000000-0005-0000-0000-00000A4B0000}"/>
    <cellStyle name="Accent6 69" xfId="2363" xr:uid="{00000000-0005-0000-0000-00000B4B0000}"/>
    <cellStyle name="Accent6 7" xfId="2364" xr:uid="{00000000-0005-0000-0000-00000C4B0000}"/>
    <cellStyle name="Accent6 70" xfId="2365" xr:uid="{00000000-0005-0000-0000-00000D4B0000}"/>
    <cellStyle name="Accent6 71" xfId="2366" xr:uid="{00000000-0005-0000-0000-00000E4B0000}"/>
    <cellStyle name="Accent6 72" xfId="2367" xr:uid="{00000000-0005-0000-0000-00000F4B0000}"/>
    <cellStyle name="Accent6 8" xfId="2368" xr:uid="{00000000-0005-0000-0000-0000104B0000}"/>
    <cellStyle name="Accent6 9" xfId="2369" xr:uid="{00000000-0005-0000-0000-0000114B0000}"/>
    <cellStyle name="Bad 10" xfId="2370" xr:uid="{00000000-0005-0000-0000-0000124B0000}"/>
    <cellStyle name="Bad 11" xfId="2371" xr:uid="{00000000-0005-0000-0000-0000134B0000}"/>
    <cellStyle name="Bad 12" xfId="2372" xr:uid="{00000000-0005-0000-0000-0000144B0000}"/>
    <cellStyle name="Bad 13" xfId="2373" xr:uid="{00000000-0005-0000-0000-0000154B0000}"/>
    <cellStyle name="Bad 14" xfId="2374" xr:uid="{00000000-0005-0000-0000-0000164B0000}"/>
    <cellStyle name="Bad 15" xfId="2375" xr:uid="{00000000-0005-0000-0000-0000174B0000}"/>
    <cellStyle name="Bad 16" xfId="2376" xr:uid="{00000000-0005-0000-0000-0000184B0000}"/>
    <cellStyle name="Bad 17" xfId="2377" xr:uid="{00000000-0005-0000-0000-0000194B0000}"/>
    <cellStyle name="Bad 18" xfId="2378" xr:uid="{00000000-0005-0000-0000-00001A4B0000}"/>
    <cellStyle name="Bad 19" xfId="2379" xr:uid="{00000000-0005-0000-0000-00001B4B0000}"/>
    <cellStyle name="Bad 2" xfId="2380" xr:uid="{00000000-0005-0000-0000-00001C4B0000}"/>
    <cellStyle name="Bad 2 2" xfId="24052" xr:uid="{00000000-0005-0000-0000-00001D4B0000}"/>
    <cellStyle name="Bad 2 3" xfId="24051" xr:uid="{00000000-0005-0000-0000-00001E4B0000}"/>
    <cellStyle name="Bad 20" xfId="2381" xr:uid="{00000000-0005-0000-0000-00001F4B0000}"/>
    <cellStyle name="Bad 21" xfId="2382" xr:uid="{00000000-0005-0000-0000-0000204B0000}"/>
    <cellStyle name="Bad 22" xfId="2383" xr:uid="{00000000-0005-0000-0000-0000214B0000}"/>
    <cellStyle name="Bad 23" xfId="2384" xr:uid="{00000000-0005-0000-0000-0000224B0000}"/>
    <cellStyle name="Bad 24" xfId="2385" xr:uid="{00000000-0005-0000-0000-0000234B0000}"/>
    <cellStyle name="Bad 25" xfId="2386" xr:uid="{00000000-0005-0000-0000-0000244B0000}"/>
    <cellStyle name="Bad 26" xfId="2387" xr:uid="{00000000-0005-0000-0000-0000254B0000}"/>
    <cellStyle name="Bad 27" xfId="2388" xr:uid="{00000000-0005-0000-0000-0000264B0000}"/>
    <cellStyle name="Bad 28" xfId="2389" xr:uid="{00000000-0005-0000-0000-0000274B0000}"/>
    <cellStyle name="Bad 29" xfId="2390" xr:uid="{00000000-0005-0000-0000-0000284B0000}"/>
    <cellStyle name="Bad 3" xfId="2391" xr:uid="{00000000-0005-0000-0000-0000294B0000}"/>
    <cellStyle name="Bad 3 2" xfId="24053" xr:uid="{00000000-0005-0000-0000-00002A4B0000}"/>
    <cellStyle name="Bad 30" xfId="2392" xr:uid="{00000000-0005-0000-0000-00002B4B0000}"/>
    <cellStyle name="Bad 31" xfId="2393" xr:uid="{00000000-0005-0000-0000-00002C4B0000}"/>
    <cellStyle name="Bad 32" xfId="2394" xr:uid="{00000000-0005-0000-0000-00002D4B0000}"/>
    <cellStyle name="Bad 33" xfId="2395" xr:uid="{00000000-0005-0000-0000-00002E4B0000}"/>
    <cellStyle name="Bad 34" xfId="2396" xr:uid="{00000000-0005-0000-0000-00002F4B0000}"/>
    <cellStyle name="Bad 35" xfId="2397" xr:uid="{00000000-0005-0000-0000-0000304B0000}"/>
    <cellStyle name="Bad 36" xfId="2398" xr:uid="{00000000-0005-0000-0000-0000314B0000}"/>
    <cellStyle name="Bad 37" xfId="2399" xr:uid="{00000000-0005-0000-0000-0000324B0000}"/>
    <cellStyle name="Bad 38" xfId="2400" xr:uid="{00000000-0005-0000-0000-0000334B0000}"/>
    <cellStyle name="Bad 39" xfId="2401" xr:uid="{00000000-0005-0000-0000-0000344B0000}"/>
    <cellStyle name="Bad 4" xfId="2402" xr:uid="{00000000-0005-0000-0000-0000354B0000}"/>
    <cellStyle name="Bad 4 2" xfId="24054" xr:uid="{00000000-0005-0000-0000-0000364B0000}"/>
    <cellStyle name="Bad 40" xfId="2403" xr:uid="{00000000-0005-0000-0000-0000374B0000}"/>
    <cellStyle name="Bad 41" xfId="2404" xr:uid="{00000000-0005-0000-0000-0000384B0000}"/>
    <cellStyle name="Bad 42" xfId="2405" xr:uid="{00000000-0005-0000-0000-0000394B0000}"/>
    <cellStyle name="Bad 43" xfId="2406" xr:uid="{00000000-0005-0000-0000-00003A4B0000}"/>
    <cellStyle name="Bad 44" xfId="2407" xr:uid="{00000000-0005-0000-0000-00003B4B0000}"/>
    <cellStyle name="Bad 45" xfId="2408" xr:uid="{00000000-0005-0000-0000-00003C4B0000}"/>
    <cellStyle name="Bad 46" xfId="2409" xr:uid="{00000000-0005-0000-0000-00003D4B0000}"/>
    <cellStyle name="Bad 47" xfId="2410" xr:uid="{00000000-0005-0000-0000-00003E4B0000}"/>
    <cellStyle name="Bad 48" xfId="2411" xr:uid="{00000000-0005-0000-0000-00003F4B0000}"/>
    <cellStyle name="Bad 49" xfId="2412" xr:uid="{00000000-0005-0000-0000-0000404B0000}"/>
    <cellStyle name="Bad 5" xfId="2413" xr:uid="{00000000-0005-0000-0000-0000414B0000}"/>
    <cellStyle name="Bad 50" xfId="2414" xr:uid="{00000000-0005-0000-0000-0000424B0000}"/>
    <cellStyle name="Bad 51" xfId="2415" xr:uid="{00000000-0005-0000-0000-0000434B0000}"/>
    <cellStyle name="Bad 52" xfId="2416" xr:uid="{00000000-0005-0000-0000-0000444B0000}"/>
    <cellStyle name="Bad 53" xfId="2417" xr:uid="{00000000-0005-0000-0000-0000454B0000}"/>
    <cellStyle name="Bad 54" xfId="2418" xr:uid="{00000000-0005-0000-0000-0000464B0000}"/>
    <cellStyle name="Bad 55" xfId="2419" xr:uid="{00000000-0005-0000-0000-0000474B0000}"/>
    <cellStyle name="Bad 56" xfId="2420" xr:uid="{00000000-0005-0000-0000-0000484B0000}"/>
    <cellStyle name="Bad 57" xfId="2421" xr:uid="{00000000-0005-0000-0000-0000494B0000}"/>
    <cellStyle name="Bad 58" xfId="2422" xr:uid="{00000000-0005-0000-0000-00004A4B0000}"/>
    <cellStyle name="Bad 59" xfId="2423" xr:uid="{00000000-0005-0000-0000-00004B4B0000}"/>
    <cellStyle name="Bad 6" xfId="2424" xr:uid="{00000000-0005-0000-0000-00004C4B0000}"/>
    <cellStyle name="Bad 60" xfId="2425" xr:uid="{00000000-0005-0000-0000-00004D4B0000}"/>
    <cellStyle name="Bad 61" xfId="2426" xr:uid="{00000000-0005-0000-0000-00004E4B0000}"/>
    <cellStyle name="Bad 62" xfId="2427" xr:uid="{00000000-0005-0000-0000-00004F4B0000}"/>
    <cellStyle name="Bad 63" xfId="2428" xr:uid="{00000000-0005-0000-0000-0000504B0000}"/>
    <cellStyle name="Bad 64" xfId="2429" xr:uid="{00000000-0005-0000-0000-0000514B0000}"/>
    <cellStyle name="Bad 65" xfId="2430" xr:uid="{00000000-0005-0000-0000-0000524B0000}"/>
    <cellStyle name="Bad 66" xfId="2431" xr:uid="{00000000-0005-0000-0000-0000534B0000}"/>
    <cellStyle name="Bad 67" xfId="2432" xr:uid="{00000000-0005-0000-0000-0000544B0000}"/>
    <cellStyle name="Bad 68" xfId="2433" xr:uid="{00000000-0005-0000-0000-0000554B0000}"/>
    <cellStyle name="Bad 69" xfId="2434" xr:uid="{00000000-0005-0000-0000-0000564B0000}"/>
    <cellStyle name="Bad 7" xfId="2435" xr:uid="{00000000-0005-0000-0000-0000574B0000}"/>
    <cellStyle name="Bad 70" xfId="2436" xr:uid="{00000000-0005-0000-0000-0000584B0000}"/>
    <cellStyle name="Bad 71" xfId="2437" xr:uid="{00000000-0005-0000-0000-0000594B0000}"/>
    <cellStyle name="Bad 72" xfId="2438" xr:uid="{00000000-0005-0000-0000-00005A4B0000}"/>
    <cellStyle name="Bad 8" xfId="2439" xr:uid="{00000000-0005-0000-0000-00005B4B0000}"/>
    <cellStyle name="Bad 9" xfId="2440" xr:uid="{00000000-0005-0000-0000-00005C4B0000}"/>
    <cellStyle name="BlackStrike" xfId="540" xr:uid="{00000000-0005-0000-0000-00005D4B0000}"/>
    <cellStyle name="BlackText" xfId="541" xr:uid="{00000000-0005-0000-0000-00005E4B0000}"/>
    <cellStyle name="Blue" xfId="542" xr:uid="{00000000-0005-0000-0000-00005F4B0000}"/>
    <cellStyle name="BoldText" xfId="543" xr:uid="{00000000-0005-0000-0000-0000604B0000}"/>
    <cellStyle name="Border Heavy" xfId="544" xr:uid="{00000000-0005-0000-0000-0000614B0000}"/>
    <cellStyle name="Border Heavy 2" xfId="24285" xr:uid="{00000000-0005-0000-0000-0000624B0000}"/>
    <cellStyle name="Border Heavy 2 2" xfId="26877" xr:uid="{00000000-0005-0000-0000-0000634B0000}"/>
    <cellStyle name="Border Heavy 2 2 2" xfId="31638" xr:uid="{700635AD-BC88-4A5A-BD92-83BE05124C23}"/>
    <cellStyle name="Border Thin" xfId="545" xr:uid="{00000000-0005-0000-0000-0000644B0000}"/>
    <cellStyle name="Border Thin 2" xfId="24055" xr:uid="{00000000-0005-0000-0000-0000654B0000}"/>
    <cellStyle name="Border Thin 2 2" xfId="27048" xr:uid="{00000000-0005-0000-0000-0000664B0000}"/>
    <cellStyle name="Border Thin 2 2 2" xfId="31793" xr:uid="{484BE277-BF68-4EDB-BD3E-784F5BF2A081}"/>
    <cellStyle name="Border Thin 2 3" xfId="29401" xr:uid="{00000000-0005-0000-0000-0000674B0000}"/>
    <cellStyle name="Border Thin 2 3 2" xfId="33346" xr:uid="{0BD560DC-5140-4E70-86A9-7EA57D36B43C}"/>
    <cellStyle name="Border Thin 3" xfId="26039" xr:uid="{00000000-0005-0000-0000-0000684B0000}"/>
    <cellStyle name="Border Thin 3 2" xfId="30840" xr:uid="{4F688095-A2FF-4665-BF7D-7AACE1BE95FF}"/>
    <cellStyle name="Border Thin 4" xfId="29400" xr:uid="{00000000-0005-0000-0000-0000694B0000}"/>
    <cellStyle name="Border Thin 4 2" xfId="33345" xr:uid="{E4D43F6C-B0CE-4381-B2A5-D2C9A59C23BF}"/>
    <cellStyle name="Calculation 10" xfId="2441" xr:uid="{00000000-0005-0000-0000-00006A4B0000}"/>
    <cellStyle name="Calculation 11" xfId="2442" xr:uid="{00000000-0005-0000-0000-00006B4B0000}"/>
    <cellStyle name="Calculation 12" xfId="2443" xr:uid="{00000000-0005-0000-0000-00006C4B0000}"/>
    <cellStyle name="Calculation 13" xfId="2444" xr:uid="{00000000-0005-0000-0000-00006D4B0000}"/>
    <cellStyle name="Calculation 14" xfId="2445" xr:uid="{00000000-0005-0000-0000-00006E4B0000}"/>
    <cellStyle name="Calculation 15" xfId="2446" xr:uid="{00000000-0005-0000-0000-00006F4B0000}"/>
    <cellStyle name="Calculation 16" xfId="2447" xr:uid="{00000000-0005-0000-0000-0000704B0000}"/>
    <cellStyle name="Calculation 17" xfId="2448" xr:uid="{00000000-0005-0000-0000-0000714B0000}"/>
    <cellStyle name="Calculation 18" xfId="2449" xr:uid="{00000000-0005-0000-0000-0000724B0000}"/>
    <cellStyle name="Calculation 19" xfId="2450" xr:uid="{00000000-0005-0000-0000-0000734B0000}"/>
    <cellStyle name="Calculation 2" xfId="2451" xr:uid="{00000000-0005-0000-0000-0000744B0000}"/>
    <cellStyle name="Calculation 2 2" xfId="24057" xr:uid="{00000000-0005-0000-0000-0000754B0000}"/>
    <cellStyle name="Calculation 2 2 2" xfId="24699" xr:uid="{00000000-0005-0000-0000-0000764B0000}"/>
    <cellStyle name="Calculation 2 2 2 2" xfId="25298" xr:uid="{00000000-0005-0000-0000-0000774B0000}"/>
    <cellStyle name="Calculation 2 2 2 2 2" xfId="27452" xr:uid="{00000000-0005-0000-0000-0000784B0000}"/>
    <cellStyle name="Calculation 2 2 2 2 2 2" xfId="32044" xr:uid="{2B1BFAD7-52B1-41BB-BDAE-629ECBF45942}"/>
    <cellStyle name="Calculation 2 2 2 2 3" xfId="29191" xr:uid="{00000000-0005-0000-0000-0000794B0000}"/>
    <cellStyle name="Calculation 2 2 2 2 3 2" xfId="33174" xr:uid="{531B9C10-B224-4B98-A21E-0615FB6F7C6D}"/>
    <cellStyle name="Calculation 2 2 2 2 4" xfId="26814" xr:uid="{00000000-0005-0000-0000-00007A4B0000}"/>
    <cellStyle name="Calculation 2 2 2 2 4 2" xfId="31575" xr:uid="{0AEC4CE2-5C7A-4093-8DC4-0B829B5830F4}"/>
    <cellStyle name="Calculation 2 2 2 2 5" xfId="29396" xr:uid="{00000000-0005-0000-0000-00007B4B0000}"/>
    <cellStyle name="Calculation 2 2 2 2 5 2" xfId="33342" xr:uid="{B30AF003-A2DD-4B61-B539-DA55689BDB9E}"/>
    <cellStyle name="Calculation 2 2 2 2 6" xfId="30457" xr:uid="{1BEB926D-92A9-4536-9E1F-A25B9784AB12}"/>
    <cellStyle name="Calculation 2 2 2 3" xfId="25658" xr:uid="{00000000-0005-0000-0000-00007C4B0000}"/>
    <cellStyle name="Calculation 2 2 2 3 2" xfId="27811" xr:uid="{00000000-0005-0000-0000-00007D4B0000}"/>
    <cellStyle name="Calculation 2 2 2 3 2 2" xfId="32398" xr:uid="{29657348-06E1-4FC0-8FBC-1F7075EC36B1}"/>
    <cellStyle name="Calculation 2 2 2 3 3" xfId="29238" xr:uid="{00000000-0005-0000-0000-00007E4B0000}"/>
    <cellStyle name="Calculation 2 2 2 3 3 2" xfId="33220" xr:uid="{3518CE90-601A-4870-9086-D1DA6DCE2F05}"/>
    <cellStyle name="Calculation 2 2 2 3 4" xfId="26123" xr:uid="{00000000-0005-0000-0000-00007F4B0000}"/>
    <cellStyle name="Calculation 2 2 2 3 4 2" xfId="30913" xr:uid="{430DD274-B6CB-4FE5-B170-49DDE0172C29}"/>
    <cellStyle name="Calculation 2 2 2 3 5" xfId="29395" xr:uid="{00000000-0005-0000-0000-0000804B0000}"/>
    <cellStyle name="Calculation 2 2 2 3 5 2" xfId="33341" xr:uid="{61C9E807-E8CB-41D2-982E-34D5C6E96AB7}"/>
    <cellStyle name="Calculation 2 2 2 3 6" xfId="30652" xr:uid="{C4FAB978-6D4A-44AA-87DA-3B2C807AB515}"/>
    <cellStyle name="Calculation 2 2 2 4" xfId="27288" xr:uid="{00000000-0005-0000-0000-0000814B0000}"/>
    <cellStyle name="Calculation 2 2 2 4 2" xfId="31920" xr:uid="{F0DA3697-DCF1-43AB-8F93-408342820A44}"/>
    <cellStyle name="Calculation 2 2 2 5" xfId="26681" xr:uid="{00000000-0005-0000-0000-0000824B0000}"/>
    <cellStyle name="Calculation 2 2 2 5 2" xfId="31444" xr:uid="{644DAA56-B3BE-43F3-B2F8-12A5ABB33DC3}"/>
    <cellStyle name="Calculation 2 2 2 6" xfId="26813" xr:uid="{00000000-0005-0000-0000-0000834B0000}"/>
    <cellStyle name="Calculation 2 2 2 6 2" xfId="31574" xr:uid="{7BFA2600-5054-4A9B-B740-11B8976E30A3}"/>
    <cellStyle name="Calculation 2 2 2 7" xfId="29397" xr:uid="{00000000-0005-0000-0000-0000844B0000}"/>
    <cellStyle name="Calculation 2 2 2 7 2" xfId="33343" xr:uid="{568874B0-F112-4654-BB21-832F2D71AA05}"/>
    <cellStyle name="Calculation 2 2 2 8" xfId="30360" xr:uid="{86BEAF0D-F3E1-4722-BA0F-D230A55BEF0E}"/>
    <cellStyle name="Calculation 2 2 3" xfId="25022" xr:uid="{00000000-0005-0000-0000-0000854B0000}"/>
    <cellStyle name="Calculation 2 2 3 2" xfId="25431" xr:uid="{00000000-0005-0000-0000-0000864B0000}"/>
    <cellStyle name="Calculation 2 2 3 2 2" xfId="27585" xr:uid="{00000000-0005-0000-0000-0000874B0000}"/>
    <cellStyle name="Calculation 2 2 3 2 2 2" xfId="32176" xr:uid="{BCEF941E-EF2A-4082-AC7A-E0C46C752DCF}"/>
    <cellStyle name="Calculation 2 2 3 2 3" xfId="29211" xr:uid="{00000000-0005-0000-0000-0000884B0000}"/>
    <cellStyle name="Calculation 2 2 3 2 3 2" xfId="33194" xr:uid="{306977B6-9A34-46E2-8A60-4439D0E76332}"/>
    <cellStyle name="Calculation 2 2 3 2 4" xfId="26248" xr:uid="{00000000-0005-0000-0000-0000894B0000}"/>
    <cellStyle name="Calculation 2 2 3 2 4 2" xfId="31036" xr:uid="{A6C10B99-F9AA-4A0B-BA55-EE337C81E928}"/>
    <cellStyle name="Calculation 2 2 3 2 5" xfId="29393" xr:uid="{00000000-0005-0000-0000-00008A4B0000}"/>
    <cellStyle name="Calculation 2 2 3 2 5 2" xfId="33339" xr:uid="{88AE123B-7D3A-4AF0-B830-A8AB3F073CDE}"/>
    <cellStyle name="Calculation 2 2 3 2 6" xfId="30589" xr:uid="{54F849A6-0C7E-4CA6-98EF-3962F0462C9F}"/>
    <cellStyle name="Calculation 2 2 3 3" xfId="25669" xr:uid="{00000000-0005-0000-0000-00008B4B0000}"/>
    <cellStyle name="Calculation 2 2 3 3 2" xfId="27822" xr:uid="{00000000-0005-0000-0000-00008C4B0000}"/>
    <cellStyle name="Calculation 2 2 3 3 2 2" xfId="32409" xr:uid="{0D9C04EF-0EF1-4C23-894D-64E663BDEB2C}"/>
    <cellStyle name="Calculation 2 2 3 3 3" xfId="29249" xr:uid="{00000000-0005-0000-0000-00008D4B0000}"/>
    <cellStyle name="Calculation 2 2 3 3 3 2" xfId="33231" xr:uid="{7494DCE4-165C-4480-AC1C-E2C4FE025321}"/>
    <cellStyle name="Calculation 2 2 3 3 4" xfId="26829" xr:uid="{00000000-0005-0000-0000-00008E4B0000}"/>
    <cellStyle name="Calculation 2 2 3 3 4 2" xfId="31590" xr:uid="{547F0B99-1814-49D3-B6F0-CA087194BF9B}"/>
    <cellStyle name="Calculation 2 2 3 3 5" xfId="29392" xr:uid="{00000000-0005-0000-0000-00008F4B0000}"/>
    <cellStyle name="Calculation 2 2 3 3 5 2" xfId="33338" xr:uid="{BFA23AAD-2683-44E0-AA95-43A699EDD75D}"/>
    <cellStyle name="Calculation 2 2 3 3 6" xfId="30663" xr:uid="{5CA77894-E8AA-4F1B-8FAD-150C8607F2AD}"/>
    <cellStyle name="Calculation 2 2 3 4" xfId="27352" xr:uid="{00000000-0005-0000-0000-0000904B0000}"/>
    <cellStyle name="Calculation 2 2 3 4 2" xfId="31950" xr:uid="{83832CCD-BB47-4FCB-9242-EEFEC9A678D9}"/>
    <cellStyle name="Calculation 2 2 3 5" xfId="26190" xr:uid="{00000000-0005-0000-0000-0000914B0000}"/>
    <cellStyle name="Calculation 2 2 3 5 2" xfId="30978" xr:uid="{DB4846F2-F54E-4B68-BB8F-BF244DDDD245}"/>
    <cellStyle name="Calculation 2 2 3 6" xfId="26920" xr:uid="{00000000-0005-0000-0000-0000924B0000}"/>
    <cellStyle name="Calculation 2 2 3 6 2" xfId="31681" xr:uid="{EC2AEDCB-34FE-4881-A226-1423DFF0F079}"/>
    <cellStyle name="Calculation 2 2 3 7" xfId="29394" xr:uid="{00000000-0005-0000-0000-0000934B0000}"/>
    <cellStyle name="Calculation 2 2 3 7 2" xfId="33340" xr:uid="{B14DB7C0-DDC6-42C0-83BE-2F65D9A64A4F}"/>
    <cellStyle name="Calculation 2 2 3 8" xfId="30371" xr:uid="{8BA2D2AC-3D78-4518-AEB4-4759D2D0A2FE}"/>
    <cellStyle name="Calculation 2 2 4" xfId="25556" xr:uid="{00000000-0005-0000-0000-0000944B0000}"/>
    <cellStyle name="Calculation 2 2 4 2" xfId="27709" xr:uid="{00000000-0005-0000-0000-0000954B0000}"/>
    <cellStyle name="Calculation 2 2 4 2 2" xfId="32296" xr:uid="{79B2D777-6015-4C97-9C21-81761850383E}"/>
    <cellStyle name="Calculation 2 2 4 3" xfId="29224" xr:uid="{00000000-0005-0000-0000-0000964B0000}"/>
    <cellStyle name="Calculation 2 2 4 3 2" xfId="33207" xr:uid="{3931BF3F-9987-4F32-9E3B-074F803E656E}"/>
    <cellStyle name="Calculation 2 2 4 4" xfId="26702" xr:uid="{00000000-0005-0000-0000-0000974B0000}"/>
    <cellStyle name="Calculation 2 2 4 4 2" xfId="31464" xr:uid="{F96AF69F-F4D2-4416-828A-5B56399E8616}"/>
    <cellStyle name="Calculation 2 2 4 5" xfId="29391" xr:uid="{00000000-0005-0000-0000-0000984B0000}"/>
    <cellStyle name="Calculation 2 2 4 5 2" xfId="33337" xr:uid="{8896CC3D-2F81-4127-85F8-EB5525C36882}"/>
    <cellStyle name="Calculation 2 2 4 6" xfId="30613" xr:uid="{20EF0E59-8CDA-4C32-BA6E-B756F608865D}"/>
    <cellStyle name="Calculation 2 2 5" xfId="27050" xr:uid="{00000000-0005-0000-0000-0000994B0000}"/>
    <cellStyle name="Calculation 2 2 5 2" xfId="31795" xr:uid="{0086F781-00C9-4913-844F-653A9DDB8B3E}"/>
    <cellStyle name="Calculation 2 2 6" xfId="26271" xr:uid="{00000000-0005-0000-0000-00009A4B0000}"/>
    <cellStyle name="Calculation 2 2 6 2" xfId="31059" xr:uid="{795B8F0D-0EE4-4E56-820B-D0B3712B0FAF}"/>
    <cellStyle name="Calculation 2 2 7" xfId="26776" xr:uid="{00000000-0005-0000-0000-00009B4B0000}"/>
    <cellStyle name="Calculation 2 2 7 2" xfId="31537" xr:uid="{DF21CD0F-4514-4685-B0A5-62B876E3123D}"/>
    <cellStyle name="Calculation 2 2 8" xfId="29398" xr:uid="{00000000-0005-0000-0000-00009C4B0000}"/>
    <cellStyle name="Calculation 2 2 8 2" xfId="33344" xr:uid="{DD1DB7C7-FF34-4B11-8E22-F98DC1BC4512}"/>
    <cellStyle name="Calculation 2 2 9" xfId="30258" xr:uid="{CDCECA73-8F7F-477E-BDB6-308A4BFB3597}"/>
    <cellStyle name="Calculation 2 3" xfId="24056" xr:uid="{00000000-0005-0000-0000-00009D4B0000}"/>
    <cellStyle name="Calculation 2 3 2" xfId="25555" xr:uid="{00000000-0005-0000-0000-00009E4B0000}"/>
    <cellStyle name="Calculation 2 3 2 2" xfId="27708" xr:uid="{00000000-0005-0000-0000-00009F4B0000}"/>
    <cellStyle name="Calculation 2 3 2 2 2" xfId="32295" xr:uid="{A3899A44-E16C-4BF4-82C7-31B5BFAB1C43}"/>
    <cellStyle name="Calculation 2 3 2 3" xfId="29223" xr:uid="{00000000-0005-0000-0000-0000A04B0000}"/>
    <cellStyle name="Calculation 2 3 2 3 2" xfId="33206" xr:uid="{DB7F5252-B329-47E8-B9BB-E972793DFAE6}"/>
    <cellStyle name="Calculation 2 3 2 4" xfId="26959" xr:uid="{00000000-0005-0000-0000-0000A14B0000}"/>
    <cellStyle name="Calculation 2 3 2 4 2" xfId="31720" xr:uid="{95C67B6F-720F-4136-B3DF-3DDB2B2E11D7}"/>
    <cellStyle name="Calculation 2 3 2 5" xfId="29389" xr:uid="{00000000-0005-0000-0000-0000A24B0000}"/>
    <cellStyle name="Calculation 2 3 2 5 2" xfId="33335" xr:uid="{10FF7160-93C1-4FF3-B708-CEAA926A7317}"/>
    <cellStyle name="Calculation 2 3 2 6" xfId="30612" xr:uid="{D1037D7D-DAF0-4CCF-9508-3C24CA5D58EA}"/>
    <cellStyle name="Calculation 2 3 3" xfId="27049" xr:uid="{00000000-0005-0000-0000-0000A34B0000}"/>
    <cellStyle name="Calculation 2 3 3 2" xfId="31794" xr:uid="{DFFF3FA8-172F-4F6D-87AF-A324AE2D4DF3}"/>
    <cellStyle name="Calculation 2 3 4" xfId="26867" xr:uid="{00000000-0005-0000-0000-0000A44B0000}"/>
    <cellStyle name="Calculation 2 3 4 2" xfId="31628" xr:uid="{5947D9A8-67E0-46AC-A40D-A2E23C3061C2}"/>
    <cellStyle name="Calculation 2 3 5" xfId="26178" xr:uid="{00000000-0005-0000-0000-0000A54B0000}"/>
    <cellStyle name="Calculation 2 3 5 2" xfId="30967" xr:uid="{221F027D-86D7-4587-8687-F2535B80D54C}"/>
    <cellStyle name="Calculation 2 3 6" xfId="29390" xr:uid="{00000000-0005-0000-0000-0000A64B0000}"/>
    <cellStyle name="Calculation 2 3 6 2" xfId="33336" xr:uid="{E126F95F-C60B-4F1A-93FA-28DE8E2E9B9B}"/>
    <cellStyle name="Calculation 2 3 7" xfId="30257" xr:uid="{3B8433AB-F31A-4BDA-AD5C-04E9B038B584}"/>
    <cellStyle name="Calculation 2 4" xfId="24698" xr:uid="{00000000-0005-0000-0000-0000A74B0000}"/>
    <cellStyle name="Calculation 2 4 2" xfId="25361" xr:uid="{00000000-0005-0000-0000-0000A84B0000}"/>
    <cellStyle name="Calculation 2 4 2 2" xfId="27515" xr:uid="{00000000-0005-0000-0000-0000A94B0000}"/>
    <cellStyle name="Calculation 2 4 2 2 2" xfId="32106" xr:uid="{1C90EBC5-777D-4E7B-90EC-6C18776FCB63}"/>
    <cellStyle name="Calculation 2 4 2 3" xfId="29200" xr:uid="{00000000-0005-0000-0000-0000AA4B0000}"/>
    <cellStyle name="Calculation 2 4 2 3 2" xfId="33183" xr:uid="{E1F4F72C-2F7C-448F-A0A9-FC4B9EAA3ABD}"/>
    <cellStyle name="Calculation 2 4 2 4" xfId="26357" xr:uid="{00000000-0005-0000-0000-0000AB4B0000}"/>
    <cellStyle name="Calculation 2 4 2 4 2" xfId="31145" xr:uid="{F485C8DC-779B-4B27-8AD8-B73E2B477585}"/>
    <cellStyle name="Calculation 2 4 2 5" xfId="29387" xr:uid="{00000000-0005-0000-0000-0000AC4B0000}"/>
    <cellStyle name="Calculation 2 4 2 5 2" xfId="33333" xr:uid="{19597BFC-4FA1-4685-B090-6734D65877D6}"/>
    <cellStyle name="Calculation 2 4 2 6" xfId="30519" xr:uid="{8F9FE50E-FC71-46B5-8A2B-05B2720C40FC}"/>
    <cellStyle name="Calculation 2 4 3" xfId="25657" xr:uid="{00000000-0005-0000-0000-0000AD4B0000}"/>
    <cellStyle name="Calculation 2 4 3 2" xfId="27810" xr:uid="{00000000-0005-0000-0000-0000AE4B0000}"/>
    <cellStyle name="Calculation 2 4 3 2 2" xfId="32397" xr:uid="{1A808D33-0858-4449-9AB7-1C74ED6D1A02}"/>
    <cellStyle name="Calculation 2 4 3 3" xfId="29237" xr:uid="{00000000-0005-0000-0000-0000AF4B0000}"/>
    <cellStyle name="Calculation 2 4 3 3 2" xfId="33219" xr:uid="{29E23966-4A17-4BB7-9F0E-F2C9C6AD83D4}"/>
    <cellStyle name="Calculation 2 4 3 4" xfId="26351" xr:uid="{00000000-0005-0000-0000-0000B04B0000}"/>
    <cellStyle name="Calculation 2 4 3 4 2" xfId="31139" xr:uid="{2E54CDA6-6CD0-4D45-A8CA-4E49E960E3ED}"/>
    <cellStyle name="Calculation 2 4 3 5" xfId="29386" xr:uid="{00000000-0005-0000-0000-0000B14B0000}"/>
    <cellStyle name="Calculation 2 4 3 5 2" xfId="33332" xr:uid="{BE4C9081-C733-47D6-AFD5-E1A3B109B9DD}"/>
    <cellStyle name="Calculation 2 4 3 6" xfId="30651" xr:uid="{7965914C-7C58-4880-A1AF-2E36F100B203}"/>
    <cellStyle name="Calculation 2 4 4" xfId="27287" xr:uid="{00000000-0005-0000-0000-0000B24B0000}"/>
    <cellStyle name="Calculation 2 4 4 2" xfId="31919" xr:uid="{32030FED-D7AF-412F-A055-D4933768F0BC}"/>
    <cellStyle name="Calculation 2 4 5" xfId="26034" xr:uid="{00000000-0005-0000-0000-0000B34B0000}"/>
    <cellStyle name="Calculation 2 4 5 2" xfId="30835" xr:uid="{2E29DCAC-63D8-45D2-98EC-08A15AC3E334}"/>
    <cellStyle name="Calculation 2 4 6" xfId="27074" xr:uid="{00000000-0005-0000-0000-0000B44B0000}"/>
    <cellStyle name="Calculation 2 4 6 2" xfId="31805" xr:uid="{F3F4894C-51D9-4915-88D9-729EC354B916}"/>
    <cellStyle name="Calculation 2 4 7" xfId="29388" xr:uid="{00000000-0005-0000-0000-0000B54B0000}"/>
    <cellStyle name="Calculation 2 4 7 2" xfId="33334" xr:uid="{2EB7C969-2510-4AA8-A5FB-394590E5669B}"/>
    <cellStyle name="Calculation 2 4 8" xfId="30359" xr:uid="{1B44B031-214C-46AB-BEC3-48C0D9CA4766}"/>
    <cellStyle name="Calculation 2 5" xfId="25021" xr:uid="{00000000-0005-0000-0000-0000B64B0000}"/>
    <cellStyle name="Calculation 2 5 2" xfId="25330" xr:uid="{00000000-0005-0000-0000-0000B74B0000}"/>
    <cellStyle name="Calculation 2 5 2 2" xfId="27484" xr:uid="{00000000-0005-0000-0000-0000B84B0000}"/>
    <cellStyle name="Calculation 2 5 2 2 2" xfId="32075" xr:uid="{BFD88212-DC81-4FAC-BCAE-EED53C793E79}"/>
    <cellStyle name="Calculation 2 5 2 3" xfId="29193" xr:uid="{00000000-0005-0000-0000-0000B94B0000}"/>
    <cellStyle name="Calculation 2 5 2 3 2" xfId="33176" xr:uid="{ED1CE3AA-A7FF-49CD-826B-69C6A38FBF40}"/>
    <cellStyle name="Calculation 2 5 2 4" xfId="26275" xr:uid="{00000000-0005-0000-0000-0000BA4B0000}"/>
    <cellStyle name="Calculation 2 5 2 4 2" xfId="31063" xr:uid="{6CC6C1D1-7E15-4E82-91B9-D7A1CFF15B33}"/>
    <cellStyle name="Calculation 2 5 2 5" xfId="29384" xr:uid="{00000000-0005-0000-0000-0000BB4B0000}"/>
    <cellStyle name="Calculation 2 5 2 5 2" xfId="33330" xr:uid="{3EA474CC-3E99-4553-931F-A5C02FEBCB64}"/>
    <cellStyle name="Calculation 2 5 2 6" xfId="30488" xr:uid="{058C1255-45E0-4C42-8E90-67D680E049DE}"/>
    <cellStyle name="Calculation 2 5 3" xfId="25668" xr:uid="{00000000-0005-0000-0000-0000BC4B0000}"/>
    <cellStyle name="Calculation 2 5 3 2" xfId="27821" xr:uid="{00000000-0005-0000-0000-0000BD4B0000}"/>
    <cellStyle name="Calculation 2 5 3 2 2" xfId="32408" xr:uid="{702D036F-105A-42BC-9FEF-19B84CE38D0A}"/>
    <cellStyle name="Calculation 2 5 3 3" xfId="29248" xr:uid="{00000000-0005-0000-0000-0000BE4B0000}"/>
    <cellStyle name="Calculation 2 5 3 3 2" xfId="33230" xr:uid="{59BE864A-1512-4122-AB53-2925F8C3F15C}"/>
    <cellStyle name="Calculation 2 5 3 4" xfId="26355" xr:uid="{00000000-0005-0000-0000-0000BF4B0000}"/>
    <cellStyle name="Calculation 2 5 3 4 2" xfId="31143" xr:uid="{88DF5399-7D06-476F-B1DF-6AA6A172381D}"/>
    <cellStyle name="Calculation 2 5 3 5" xfId="29383" xr:uid="{00000000-0005-0000-0000-0000C04B0000}"/>
    <cellStyle name="Calculation 2 5 3 5 2" xfId="33329" xr:uid="{48F2F8D8-FEE7-4976-A5FF-C3B932C12749}"/>
    <cellStyle name="Calculation 2 5 3 6" xfId="30662" xr:uid="{BCC86636-0FD7-440A-9D8F-BB94A45A74E2}"/>
    <cellStyle name="Calculation 2 5 4" xfId="27351" xr:uid="{00000000-0005-0000-0000-0000C14B0000}"/>
    <cellStyle name="Calculation 2 5 4 2" xfId="31949" xr:uid="{7A92ED66-3599-4A47-A87B-778DD49CF25E}"/>
    <cellStyle name="Calculation 2 5 5" xfId="26189" xr:uid="{00000000-0005-0000-0000-0000C24B0000}"/>
    <cellStyle name="Calculation 2 5 5 2" xfId="30977" xr:uid="{95613B4E-B771-42DB-AC47-F2D41BF85B9B}"/>
    <cellStyle name="Calculation 2 5 6" xfId="27319" xr:uid="{00000000-0005-0000-0000-0000C34B0000}"/>
    <cellStyle name="Calculation 2 5 6 2" xfId="31938" xr:uid="{A47312DE-0796-426D-B522-3362C60B4B87}"/>
    <cellStyle name="Calculation 2 5 7" xfId="29385" xr:uid="{00000000-0005-0000-0000-0000C44B0000}"/>
    <cellStyle name="Calculation 2 5 7 2" xfId="33331" xr:uid="{24A8F570-0E3A-47D0-803F-4B4DC71CC216}"/>
    <cellStyle name="Calculation 2 5 8" xfId="30370" xr:uid="{03FA685C-4D87-46A6-B6AB-F627CE8D6881}"/>
    <cellStyle name="Calculation 2 6" xfId="33377" xr:uid="{ED3A4CCF-880C-4F9A-B9EB-D92C6C4825A3}"/>
    <cellStyle name="Calculation 20" xfId="2452" xr:uid="{00000000-0005-0000-0000-0000C54B0000}"/>
    <cellStyle name="Calculation 21" xfId="2453" xr:uid="{00000000-0005-0000-0000-0000C64B0000}"/>
    <cellStyle name="Calculation 22" xfId="2454" xr:uid="{00000000-0005-0000-0000-0000C74B0000}"/>
    <cellStyle name="Calculation 23" xfId="2455" xr:uid="{00000000-0005-0000-0000-0000C84B0000}"/>
    <cellStyle name="Calculation 24" xfId="2456" xr:uid="{00000000-0005-0000-0000-0000C94B0000}"/>
    <cellStyle name="Calculation 25" xfId="2457" xr:uid="{00000000-0005-0000-0000-0000CA4B0000}"/>
    <cellStyle name="Calculation 26" xfId="2458" xr:uid="{00000000-0005-0000-0000-0000CB4B0000}"/>
    <cellStyle name="Calculation 27" xfId="2459" xr:uid="{00000000-0005-0000-0000-0000CC4B0000}"/>
    <cellStyle name="Calculation 28" xfId="2460" xr:uid="{00000000-0005-0000-0000-0000CD4B0000}"/>
    <cellStyle name="Calculation 29" xfId="2461" xr:uid="{00000000-0005-0000-0000-0000CE4B0000}"/>
    <cellStyle name="Calculation 3" xfId="2462" xr:uid="{00000000-0005-0000-0000-0000CF4B0000}"/>
    <cellStyle name="Calculation 3 2" xfId="24058" xr:uid="{00000000-0005-0000-0000-0000D04B0000}"/>
    <cellStyle name="Calculation 3 2 2" xfId="25557" xr:uid="{00000000-0005-0000-0000-0000D14B0000}"/>
    <cellStyle name="Calculation 3 2 2 2" xfId="27710" xr:uid="{00000000-0005-0000-0000-0000D24B0000}"/>
    <cellStyle name="Calculation 3 2 2 2 2" xfId="32297" xr:uid="{F1D15821-9304-45C6-999C-81FEE509069F}"/>
    <cellStyle name="Calculation 3 2 2 3" xfId="29225" xr:uid="{00000000-0005-0000-0000-0000D34B0000}"/>
    <cellStyle name="Calculation 3 2 2 3 2" xfId="33208" xr:uid="{25FACB92-215D-4210-9BE7-4B42B3A595F7}"/>
    <cellStyle name="Calculation 3 2 2 4" xfId="26745" xr:uid="{00000000-0005-0000-0000-0000D44B0000}"/>
    <cellStyle name="Calculation 3 2 2 4 2" xfId="31506" xr:uid="{C3F16722-E7D8-47B9-BE9B-11132B1CB9CC}"/>
    <cellStyle name="Calculation 3 2 2 5" xfId="29381" xr:uid="{00000000-0005-0000-0000-0000D54B0000}"/>
    <cellStyle name="Calculation 3 2 2 5 2" xfId="33327" xr:uid="{6814F5B0-F1CE-47F8-9D01-898EBAE5FAB4}"/>
    <cellStyle name="Calculation 3 2 2 6" xfId="30614" xr:uid="{235CA099-96C2-4EB6-969E-B9538D78E0F8}"/>
    <cellStyle name="Calculation 3 2 3" xfId="27051" xr:uid="{00000000-0005-0000-0000-0000D64B0000}"/>
    <cellStyle name="Calculation 3 2 3 2" xfId="31796" xr:uid="{5FFB9C24-F174-4F1C-BD16-FEB96A6D91CF}"/>
    <cellStyle name="Calculation 3 2 4" xfId="26795" xr:uid="{00000000-0005-0000-0000-0000D74B0000}"/>
    <cellStyle name="Calculation 3 2 4 2" xfId="31556" xr:uid="{E8B51B8C-3DC8-48F3-8173-6ECA2CA15758}"/>
    <cellStyle name="Calculation 3 2 5" xfId="27304" xr:uid="{00000000-0005-0000-0000-0000D84B0000}"/>
    <cellStyle name="Calculation 3 2 5 2" xfId="31933" xr:uid="{3ADAF7FE-DAC1-4D19-BD86-E20CE2153A74}"/>
    <cellStyle name="Calculation 3 2 6" xfId="29382" xr:uid="{00000000-0005-0000-0000-0000D94B0000}"/>
    <cellStyle name="Calculation 3 2 6 2" xfId="33328" xr:uid="{8B606221-D3BD-4A63-81F3-806699C2D6F7}"/>
    <cellStyle name="Calculation 3 2 7" xfId="30259" xr:uid="{00580857-8DBA-4DE3-B5EF-91CC93EF199F}"/>
    <cellStyle name="Calculation 3 3" xfId="24700" xr:uid="{00000000-0005-0000-0000-0000DA4B0000}"/>
    <cellStyle name="Calculation 3 3 2" xfId="25287" xr:uid="{00000000-0005-0000-0000-0000DB4B0000}"/>
    <cellStyle name="Calculation 3 3 2 2" xfId="27442" xr:uid="{00000000-0005-0000-0000-0000DC4B0000}"/>
    <cellStyle name="Calculation 3 3 2 2 2" xfId="32037" xr:uid="{0B51F1AD-CD5E-472F-8903-B1D3F5B9620C}"/>
    <cellStyle name="Calculation 3 3 2 3" xfId="29189" xr:uid="{00000000-0005-0000-0000-0000DD4B0000}"/>
    <cellStyle name="Calculation 3 3 2 3 2" xfId="33172" xr:uid="{07607AAA-6F7A-4F09-A5F9-A1E051669EDD}"/>
    <cellStyle name="Calculation 3 3 2 4" xfId="27151" xr:uid="{00000000-0005-0000-0000-0000DE4B0000}"/>
    <cellStyle name="Calculation 3 3 2 4 2" xfId="31852" xr:uid="{78B1D17E-B45C-42E6-BEE4-DE23295D70C0}"/>
    <cellStyle name="Calculation 3 3 2 5" xfId="29379" xr:uid="{00000000-0005-0000-0000-0000DF4B0000}"/>
    <cellStyle name="Calculation 3 3 2 5 2" xfId="33325" xr:uid="{15239E7E-4294-44FF-A855-E62129392276}"/>
    <cellStyle name="Calculation 3 3 2 6" xfId="30450" xr:uid="{C060EED8-2AB5-4E4F-82D7-86B4AC56A448}"/>
    <cellStyle name="Calculation 3 3 3" xfId="25659" xr:uid="{00000000-0005-0000-0000-0000E04B0000}"/>
    <cellStyle name="Calculation 3 3 3 2" xfId="27812" xr:uid="{00000000-0005-0000-0000-0000E14B0000}"/>
    <cellStyle name="Calculation 3 3 3 2 2" xfId="32399" xr:uid="{6BF9C6C7-9E0E-4532-98F7-6DD15C2019A5}"/>
    <cellStyle name="Calculation 3 3 3 3" xfId="29239" xr:uid="{00000000-0005-0000-0000-0000E24B0000}"/>
    <cellStyle name="Calculation 3 3 3 3 2" xfId="33221" xr:uid="{000D310D-0A86-4F12-A503-FE9CFA91C51C}"/>
    <cellStyle name="Calculation 3 3 3 4" xfId="26534" xr:uid="{00000000-0005-0000-0000-0000E34B0000}"/>
    <cellStyle name="Calculation 3 3 3 4 2" xfId="31321" xr:uid="{A880C674-57DF-49B4-A1F3-E6617F6EE937}"/>
    <cellStyle name="Calculation 3 3 3 5" xfId="29378" xr:uid="{00000000-0005-0000-0000-0000E44B0000}"/>
    <cellStyle name="Calculation 3 3 3 5 2" xfId="33324" xr:uid="{B5C303F8-49B1-4279-96C8-A0FBE3AB4272}"/>
    <cellStyle name="Calculation 3 3 3 6" xfId="30653" xr:uid="{E7F1EFF0-6A02-490B-82C8-56E6A97447FB}"/>
    <cellStyle name="Calculation 3 3 4" xfId="27289" xr:uid="{00000000-0005-0000-0000-0000E54B0000}"/>
    <cellStyle name="Calculation 3 3 4 2" xfId="31921" xr:uid="{CB1A0B74-496D-4B80-A5C8-99E5F99935F0}"/>
    <cellStyle name="Calculation 3 3 5" xfId="26624" xr:uid="{00000000-0005-0000-0000-0000E64B0000}"/>
    <cellStyle name="Calculation 3 3 5 2" xfId="31401" xr:uid="{74AA51AE-9E5C-48C7-848D-A026307632DA}"/>
    <cellStyle name="Calculation 3 3 6" xfId="27323" xr:uid="{00000000-0005-0000-0000-0000E74B0000}"/>
    <cellStyle name="Calculation 3 3 6 2" xfId="31942" xr:uid="{7B91B36C-7909-4C39-93B5-EE50CFB3617A}"/>
    <cellStyle name="Calculation 3 3 7" xfId="29380" xr:uid="{00000000-0005-0000-0000-0000E84B0000}"/>
    <cellStyle name="Calculation 3 3 7 2" xfId="33326" xr:uid="{B6975EF9-1CA5-4985-B7DD-9F2887EEC2EA}"/>
    <cellStyle name="Calculation 3 3 8" xfId="30361" xr:uid="{B37B179B-87BC-41CB-B8CB-8EA62C003449}"/>
    <cellStyle name="Calculation 3 4" xfId="25023" xr:uid="{00000000-0005-0000-0000-0000E94B0000}"/>
    <cellStyle name="Calculation 3 4 2" xfId="25347" xr:uid="{00000000-0005-0000-0000-0000EA4B0000}"/>
    <cellStyle name="Calculation 3 4 2 2" xfId="27501" xr:uid="{00000000-0005-0000-0000-0000EB4B0000}"/>
    <cellStyle name="Calculation 3 4 2 2 2" xfId="32092" xr:uid="{7D96E9E7-656D-4B1A-BEC7-205E32C786C2}"/>
    <cellStyle name="Calculation 3 4 2 3" xfId="29196" xr:uid="{00000000-0005-0000-0000-0000EC4B0000}"/>
    <cellStyle name="Calculation 3 4 2 3 2" xfId="33179" xr:uid="{EDE490D0-B4F9-40E0-99D3-630712C534C6}"/>
    <cellStyle name="Calculation 3 4 2 4" xfId="26075" xr:uid="{00000000-0005-0000-0000-0000ED4B0000}"/>
    <cellStyle name="Calculation 3 4 2 4 2" xfId="30865" xr:uid="{4659BA34-4B6E-4CA9-A7C4-093B7378A42C}"/>
    <cellStyle name="Calculation 3 4 2 5" xfId="29376" xr:uid="{00000000-0005-0000-0000-0000EE4B0000}"/>
    <cellStyle name="Calculation 3 4 2 5 2" xfId="33322" xr:uid="{7808538A-206C-40E9-A494-C66AF4D48B30}"/>
    <cellStyle name="Calculation 3 4 2 6" xfId="30505" xr:uid="{E4F8FB28-0D8A-43D6-AAAC-52BECFE94991}"/>
    <cellStyle name="Calculation 3 4 3" xfId="25670" xr:uid="{00000000-0005-0000-0000-0000EF4B0000}"/>
    <cellStyle name="Calculation 3 4 3 2" xfId="27823" xr:uid="{00000000-0005-0000-0000-0000F04B0000}"/>
    <cellStyle name="Calculation 3 4 3 2 2" xfId="32410" xr:uid="{96A10897-D76A-498C-8618-F694D6EC9139}"/>
    <cellStyle name="Calculation 3 4 3 3" xfId="29250" xr:uid="{00000000-0005-0000-0000-0000F14B0000}"/>
    <cellStyle name="Calculation 3 4 3 3 2" xfId="33232" xr:uid="{0B05B8DD-6649-4410-969E-2B2D5C4E4A99}"/>
    <cellStyle name="Calculation 3 4 3 4" xfId="26950" xr:uid="{00000000-0005-0000-0000-0000F24B0000}"/>
    <cellStyle name="Calculation 3 4 3 4 2" xfId="31711" xr:uid="{22D77CA2-B30E-402E-95DC-36AE49535040}"/>
    <cellStyle name="Calculation 3 4 3 5" xfId="29375" xr:uid="{00000000-0005-0000-0000-0000F34B0000}"/>
    <cellStyle name="Calculation 3 4 3 5 2" xfId="33321" xr:uid="{F8872ABC-4D46-4A02-9BF2-FED643ECEFFD}"/>
    <cellStyle name="Calculation 3 4 3 6" xfId="30664" xr:uid="{D96FA7B9-24A2-41C5-A820-64EFE9813034}"/>
    <cellStyle name="Calculation 3 4 4" xfId="27353" xr:uid="{00000000-0005-0000-0000-0000F44B0000}"/>
    <cellStyle name="Calculation 3 4 4 2" xfId="31951" xr:uid="{C98BA7FB-F445-47C2-AA05-890FC9150AE9}"/>
    <cellStyle name="Calculation 3 4 5" xfId="26191" xr:uid="{00000000-0005-0000-0000-0000F54B0000}"/>
    <cellStyle name="Calculation 3 4 5 2" xfId="30979" xr:uid="{77495922-1854-4D74-92C4-10158B171EA2}"/>
    <cellStyle name="Calculation 3 4 6" xfId="26841" xr:uid="{00000000-0005-0000-0000-0000F64B0000}"/>
    <cellStyle name="Calculation 3 4 6 2" xfId="31602" xr:uid="{19F9C155-4A17-454C-94C7-7FA7CEDDF4F3}"/>
    <cellStyle name="Calculation 3 4 7" xfId="29377" xr:uid="{00000000-0005-0000-0000-0000F74B0000}"/>
    <cellStyle name="Calculation 3 4 7 2" xfId="33323" xr:uid="{AAE1723E-987B-48A8-9E27-960BE4526DF6}"/>
    <cellStyle name="Calculation 3 4 8" xfId="30372" xr:uid="{3708D2E8-6A0B-415D-A42B-E048464B741D}"/>
    <cellStyle name="Calculation 30" xfId="2463" xr:uid="{00000000-0005-0000-0000-0000F84B0000}"/>
    <cellStyle name="Calculation 31" xfId="2464" xr:uid="{00000000-0005-0000-0000-0000F94B0000}"/>
    <cellStyle name="Calculation 32" xfId="2465" xr:uid="{00000000-0005-0000-0000-0000FA4B0000}"/>
    <cellStyle name="Calculation 33" xfId="2466" xr:uid="{00000000-0005-0000-0000-0000FB4B0000}"/>
    <cellStyle name="Calculation 34" xfId="2467" xr:uid="{00000000-0005-0000-0000-0000FC4B0000}"/>
    <cellStyle name="Calculation 35" xfId="2468" xr:uid="{00000000-0005-0000-0000-0000FD4B0000}"/>
    <cellStyle name="Calculation 36" xfId="2469" xr:uid="{00000000-0005-0000-0000-0000FE4B0000}"/>
    <cellStyle name="Calculation 37" xfId="2470" xr:uid="{00000000-0005-0000-0000-0000FF4B0000}"/>
    <cellStyle name="Calculation 38" xfId="2471" xr:uid="{00000000-0005-0000-0000-0000004C0000}"/>
    <cellStyle name="Calculation 39" xfId="2472" xr:uid="{00000000-0005-0000-0000-0000014C0000}"/>
    <cellStyle name="Calculation 4" xfId="2473" xr:uid="{00000000-0005-0000-0000-0000024C0000}"/>
    <cellStyle name="Calculation 4 2" xfId="24059" xr:uid="{00000000-0005-0000-0000-0000034C0000}"/>
    <cellStyle name="Calculation 4 2 2" xfId="25558" xr:uid="{00000000-0005-0000-0000-0000044C0000}"/>
    <cellStyle name="Calculation 4 2 2 2" xfId="27711" xr:uid="{00000000-0005-0000-0000-0000054C0000}"/>
    <cellStyle name="Calculation 4 2 2 2 2" xfId="32298" xr:uid="{0C1A1CC9-EB11-49C4-BCB7-D90BF5F9C31E}"/>
    <cellStyle name="Calculation 4 2 2 3" xfId="29226" xr:uid="{00000000-0005-0000-0000-0000064C0000}"/>
    <cellStyle name="Calculation 4 2 2 3 2" xfId="33209" xr:uid="{6C19285E-D3DC-4A00-8584-B7B096D97962}"/>
    <cellStyle name="Calculation 4 2 2 4" xfId="27023" xr:uid="{00000000-0005-0000-0000-0000074C0000}"/>
    <cellStyle name="Calculation 4 2 2 4 2" xfId="31783" xr:uid="{7D33E6F0-9B9D-463F-A765-90F5100A5A16}"/>
    <cellStyle name="Calculation 4 2 2 5" xfId="29373" xr:uid="{00000000-0005-0000-0000-0000084C0000}"/>
    <cellStyle name="Calculation 4 2 2 5 2" xfId="33319" xr:uid="{749FEB65-3243-4CC5-86AF-8CE42F272CDA}"/>
    <cellStyle name="Calculation 4 2 2 6" xfId="30615" xr:uid="{1D453E89-3D4A-4B06-8221-64AA49CD0287}"/>
    <cellStyle name="Calculation 4 2 3" xfId="27052" xr:uid="{00000000-0005-0000-0000-0000094C0000}"/>
    <cellStyle name="Calculation 4 2 3 2" xfId="31797" xr:uid="{73DF92F7-A1D0-461E-B2EB-4911A50C8A03}"/>
    <cellStyle name="Calculation 4 2 4" xfId="26716" xr:uid="{00000000-0005-0000-0000-00000A4C0000}"/>
    <cellStyle name="Calculation 4 2 4 2" xfId="31478" xr:uid="{83E781E8-997A-4BEC-B832-2B14EA626D37}"/>
    <cellStyle name="Calculation 4 2 5" xfId="26470" xr:uid="{00000000-0005-0000-0000-00000B4C0000}"/>
    <cellStyle name="Calculation 4 2 5 2" xfId="31258" xr:uid="{C1183BBB-9A00-493B-B298-74A49B0EF81D}"/>
    <cellStyle name="Calculation 4 2 6" xfId="29374" xr:uid="{00000000-0005-0000-0000-00000C4C0000}"/>
    <cellStyle name="Calculation 4 2 6 2" xfId="33320" xr:uid="{2C09A5F9-E725-4299-B781-6E62E5AE2053}"/>
    <cellStyle name="Calculation 4 2 7" xfId="30260" xr:uid="{83EDB7C7-0023-4EE5-84D6-1F404F9FE780}"/>
    <cellStyle name="Calculation 4 3" xfId="24701" xr:uid="{00000000-0005-0000-0000-00000D4C0000}"/>
    <cellStyle name="Calculation 4 3 2" xfId="25369" xr:uid="{00000000-0005-0000-0000-00000E4C0000}"/>
    <cellStyle name="Calculation 4 3 2 2" xfId="27523" xr:uid="{00000000-0005-0000-0000-00000F4C0000}"/>
    <cellStyle name="Calculation 4 3 2 2 2" xfId="32114" xr:uid="{17613EEF-90D8-4308-88F3-7976BA49B028}"/>
    <cellStyle name="Calculation 4 3 2 3" xfId="29202" xr:uid="{00000000-0005-0000-0000-0000104C0000}"/>
    <cellStyle name="Calculation 4 3 2 3 2" xfId="33185" xr:uid="{9232BAFA-C7F4-4871-92B8-C06D3864C842}"/>
    <cellStyle name="Calculation 4 3 2 4" xfId="27320" xr:uid="{00000000-0005-0000-0000-0000114C0000}"/>
    <cellStyle name="Calculation 4 3 2 4 2" xfId="31939" xr:uid="{C67F3CC7-E21E-4D57-A0F1-037F001BC7D9}"/>
    <cellStyle name="Calculation 4 3 2 5" xfId="29371" xr:uid="{00000000-0005-0000-0000-0000124C0000}"/>
    <cellStyle name="Calculation 4 3 2 5 2" xfId="33317" xr:uid="{FB525251-5DE4-4A2C-8EED-963ED5760E39}"/>
    <cellStyle name="Calculation 4 3 2 6" xfId="30527" xr:uid="{58BD831C-38E7-445B-8887-A2FD7A889069}"/>
    <cellStyle name="Calculation 4 3 3" xfId="25660" xr:uid="{00000000-0005-0000-0000-0000134C0000}"/>
    <cellStyle name="Calculation 4 3 3 2" xfId="27813" xr:uid="{00000000-0005-0000-0000-0000144C0000}"/>
    <cellStyle name="Calculation 4 3 3 2 2" xfId="32400" xr:uid="{60D8A67F-2A8A-47CE-86D4-9C10B466B71E}"/>
    <cellStyle name="Calculation 4 3 3 3" xfId="29240" xr:uid="{00000000-0005-0000-0000-0000154C0000}"/>
    <cellStyle name="Calculation 4 3 3 3 2" xfId="33222" xr:uid="{240FD0DD-958E-4C14-81C3-E5B4EEA2C10F}"/>
    <cellStyle name="Calculation 4 3 3 4" xfId="26180" xr:uid="{00000000-0005-0000-0000-0000164C0000}"/>
    <cellStyle name="Calculation 4 3 3 4 2" xfId="30969" xr:uid="{709A15C7-D1E5-4B8C-9019-8FFBD559A98F}"/>
    <cellStyle name="Calculation 4 3 3 5" xfId="29370" xr:uid="{00000000-0005-0000-0000-0000174C0000}"/>
    <cellStyle name="Calculation 4 3 3 5 2" xfId="33316" xr:uid="{18C6F444-3582-4A70-8310-0758C4CB1B61}"/>
    <cellStyle name="Calculation 4 3 3 6" xfId="30654" xr:uid="{48A2F894-78F5-4452-B472-150ACDD32879}"/>
    <cellStyle name="Calculation 4 3 4" xfId="27290" xr:uid="{00000000-0005-0000-0000-0000184C0000}"/>
    <cellStyle name="Calculation 4 3 4 2" xfId="31922" xr:uid="{06D28166-9BB3-48BB-BF21-A30BF55DD7DA}"/>
    <cellStyle name="Calculation 4 3 5" xfId="27107" xr:uid="{00000000-0005-0000-0000-0000194C0000}"/>
    <cellStyle name="Calculation 4 3 5 2" xfId="31825" xr:uid="{833B78C7-5689-4121-90B5-A70041296100}"/>
    <cellStyle name="Calculation 4 3 6" xfId="26359" xr:uid="{00000000-0005-0000-0000-00001A4C0000}"/>
    <cellStyle name="Calculation 4 3 6 2" xfId="31147" xr:uid="{36F63016-EF96-4D5A-946B-254F9851387A}"/>
    <cellStyle name="Calculation 4 3 7" xfId="29372" xr:uid="{00000000-0005-0000-0000-00001B4C0000}"/>
    <cellStyle name="Calculation 4 3 7 2" xfId="33318" xr:uid="{4D309B14-DA9C-4A75-AA24-9D54D01F96CD}"/>
    <cellStyle name="Calculation 4 3 8" xfId="30362" xr:uid="{D047B4E0-B7FF-46F2-A51F-C805246C030F}"/>
    <cellStyle name="Calculation 4 4" xfId="25024" xr:uid="{00000000-0005-0000-0000-00001C4C0000}"/>
    <cellStyle name="Calculation 4 4 2" xfId="25448" xr:uid="{00000000-0005-0000-0000-00001D4C0000}"/>
    <cellStyle name="Calculation 4 4 2 2" xfId="27602" xr:uid="{00000000-0005-0000-0000-00001E4C0000}"/>
    <cellStyle name="Calculation 4 4 2 2 2" xfId="32193" xr:uid="{F5D5923E-B58A-469A-A656-DBF81070EA00}"/>
    <cellStyle name="Calculation 4 4 2 3" xfId="29215" xr:uid="{00000000-0005-0000-0000-00001F4C0000}"/>
    <cellStyle name="Calculation 4 4 2 3 2" xfId="33198" xr:uid="{ED93DCD5-F52E-4744-B1D1-3EDD0F3F1D6F}"/>
    <cellStyle name="Calculation 4 4 2 4" xfId="26281" xr:uid="{00000000-0005-0000-0000-0000204C0000}"/>
    <cellStyle name="Calculation 4 4 2 4 2" xfId="31069" xr:uid="{AB3AE607-57B7-4A19-BDC1-10C40AC75269}"/>
    <cellStyle name="Calculation 4 4 2 5" xfId="29368" xr:uid="{00000000-0005-0000-0000-0000214C0000}"/>
    <cellStyle name="Calculation 4 4 2 5 2" xfId="33314" xr:uid="{11E0E40D-0851-4687-98D2-BA673BD7330E}"/>
    <cellStyle name="Calculation 4 4 2 6" xfId="30606" xr:uid="{270CC665-6554-488C-9124-EA7F0ACF9CCD}"/>
    <cellStyle name="Calculation 4 4 3" xfId="25671" xr:uid="{00000000-0005-0000-0000-0000224C0000}"/>
    <cellStyle name="Calculation 4 4 3 2" xfId="27824" xr:uid="{00000000-0005-0000-0000-0000234C0000}"/>
    <cellStyle name="Calculation 4 4 3 2 2" xfId="32411" xr:uid="{7B421FD5-8A91-4FEB-AC08-7255F6597362}"/>
    <cellStyle name="Calculation 4 4 3 3" xfId="29251" xr:uid="{00000000-0005-0000-0000-0000244C0000}"/>
    <cellStyle name="Calculation 4 4 3 3 2" xfId="33233" xr:uid="{AC069370-84A8-40CA-BCCA-D7863913A378}"/>
    <cellStyle name="Calculation 4 4 3 4" xfId="26873" xr:uid="{00000000-0005-0000-0000-0000254C0000}"/>
    <cellStyle name="Calculation 4 4 3 4 2" xfId="31634" xr:uid="{2FD6CD7C-461E-438B-8D3E-7CA36FBFAD66}"/>
    <cellStyle name="Calculation 4 4 3 5" xfId="29367" xr:uid="{00000000-0005-0000-0000-0000264C0000}"/>
    <cellStyle name="Calculation 4 4 3 5 2" xfId="33313" xr:uid="{F7D9CA66-8040-41B0-874E-C29C968BDAD7}"/>
    <cellStyle name="Calculation 4 4 3 6" xfId="30665" xr:uid="{48C2D53F-CF91-4669-B5FB-C0D4309BED0E}"/>
    <cellStyle name="Calculation 4 4 4" xfId="27354" xr:uid="{00000000-0005-0000-0000-0000274C0000}"/>
    <cellStyle name="Calculation 4 4 4 2" xfId="31952" xr:uid="{AD8D52BF-3AE0-448F-84E2-5E9F3A5E209B}"/>
    <cellStyle name="Calculation 4 4 5" xfId="26192" xr:uid="{00000000-0005-0000-0000-0000284C0000}"/>
    <cellStyle name="Calculation 4 4 5 2" xfId="30980" xr:uid="{0F6B48E2-CCD4-458A-B4F6-640451D941EC}"/>
    <cellStyle name="Calculation 4 4 6" xfId="26689" xr:uid="{00000000-0005-0000-0000-0000294C0000}"/>
    <cellStyle name="Calculation 4 4 6 2" xfId="31451" xr:uid="{7DE842D7-3928-4E53-A6B2-CC0558E14828}"/>
    <cellStyle name="Calculation 4 4 7" xfId="29369" xr:uid="{00000000-0005-0000-0000-00002A4C0000}"/>
    <cellStyle name="Calculation 4 4 7 2" xfId="33315" xr:uid="{EC2EEF61-D80F-49DB-A055-BBAC80E8D5BE}"/>
    <cellStyle name="Calculation 4 4 8" xfId="30373" xr:uid="{744D290D-F761-430E-A621-3B127DDA76C7}"/>
    <cellStyle name="Calculation 40" xfId="2474" xr:uid="{00000000-0005-0000-0000-00002B4C0000}"/>
    <cellStyle name="Calculation 41" xfId="2475" xr:uid="{00000000-0005-0000-0000-00002C4C0000}"/>
    <cellStyle name="Calculation 42" xfId="2476" xr:uid="{00000000-0005-0000-0000-00002D4C0000}"/>
    <cellStyle name="Calculation 43" xfId="2477" xr:uid="{00000000-0005-0000-0000-00002E4C0000}"/>
    <cellStyle name="Calculation 44" xfId="2478" xr:uid="{00000000-0005-0000-0000-00002F4C0000}"/>
    <cellStyle name="Calculation 45" xfId="2479" xr:uid="{00000000-0005-0000-0000-0000304C0000}"/>
    <cellStyle name="Calculation 46" xfId="2480" xr:uid="{00000000-0005-0000-0000-0000314C0000}"/>
    <cellStyle name="Calculation 47" xfId="2481" xr:uid="{00000000-0005-0000-0000-0000324C0000}"/>
    <cellStyle name="Calculation 48" xfId="2482" xr:uid="{00000000-0005-0000-0000-0000334C0000}"/>
    <cellStyle name="Calculation 49" xfId="2483" xr:uid="{00000000-0005-0000-0000-0000344C0000}"/>
    <cellStyle name="Calculation 5" xfId="2484" xr:uid="{00000000-0005-0000-0000-0000354C0000}"/>
    <cellStyle name="Calculation 50" xfId="2485" xr:uid="{00000000-0005-0000-0000-0000364C0000}"/>
    <cellStyle name="Calculation 51" xfId="2486" xr:uid="{00000000-0005-0000-0000-0000374C0000}"/>
    <cellStyle name="Calculation 52" xfId="2487" xr:uid="{00000000-0005-0000-0000-0000384C0000}"/>
    <cellStyle name="Calculation 53" xfId="2488" xr:uid="{00000000-0005-0000-0000-0000394C0000}"/>
    <cellStyle name="Calculation 54" xfId="2489" xr:uid="{00000000-0005-0000-0000-00003A4C0000}"/>
    <cellStyle name="Calculation 55" xfId="2490" xr:uid="{00000000-0005-0000-0000-00003B4C0000}"/>
    <cellStyle name="Calculation 56" xfId="2491" xr:uid="{00000000-0005-0000-0000-00003C4C0000}"/>
    <cellStyle name="Calculation 57" xfId="2492" xr:uid="{00000000-0005-0000-0000-00003D4C0000}"/>
    <cellStyle name="Calculation 58" xfId="2493" xr:uid="{00000000-0005-0000-0000-00003E4C0000}"/>
    <cellStyle name="Calculation 59" xfId="2494" xr:uid="{00000000-0005-0000-0000-00003F4C0000}"/>
    <cellStyle name="Calculation 6" xfId="2495" xr:uid="{00000000-0005-0000-0000-0000404C0000}"/>
    <cellStyle name="Calculation 60" xfId="2496" xr:uid="{00000000-0005-0000-0000-0000414C0000}"/>
    <cellStyle name="Calculation 61" xfId="2497" xr:uid="{00000000-0005-0000-0000-0000424C0000}"/>
    <cellStyle name="Calculation 62" xfId="2498" xr:uid="{00000000-0005-0000-0000-0000434C0000}"/>
    <cellStyle name="Calculation 63" xfId="2499" xr:uid="{00000000-0005-0000-0000-0000444C0000}"/>
    <cellStyle name="Calculation 64" xfId="2500" xr:uid="{00000000-0005-0000-0000-0000454C0000}"/>
    <cellStyle name="Calculation 65" xfId="2501" xr:uid="{00000000-0005-0000-0000-0000464C0000}"/>
    <cellStyle name="Calculation 66" xfId="2502" xr:uid="{00000000-0005-0000-0000-0000474C0000}"/>
    <cellStyle name="Calculation 67" xfId="2503" xr:uid="{00000000-0005-0000-0000-0000484C0000}"/>
    <cellStyle name="Calculation 68" xfId="2504" xr:uid="{00000000-0005-0000-0000-0000494C0000}"/>
    <cellStyle name="Calculation 69" xfId="2505" xr:uid="{00000000-0005-0000-0000-00004A4C0000}"/>
    <cellStyle name="Calculation 7" xfId="2506" xr:uid="{00000000-0005-0000-0000-00004B4C0000}"/>
    <cellStyle name="Calculation 70" xfId="2507" xr:uid="{00000000-0005-0000-0000-00004C4C0000}"/>
    <cellStyle name="Calculation 71" xfId="2508" xr:uid="{00000000-0005-0000-0000-00004D4C0000}"/>
    <cellStyle name="Calculation 72" xfId="2509" xr:uid="{00000000-0005-0000-0000-00004E4C0000}"/>
    <cellStyle name="Calculation 8" xfId="2510" xr:uid="{00000000-0005-0000-0000-00004F4C0000}"/>
    <cellStyle name="Calculation 9" xfId="2511" xr:uid="{00000000-0005-0000-0000-0000504C0000}"/>
    <cellStyle name="Check Cell 10" xfId="2512" xr:uid="{00000000-0005-0000-0000-0000514C0000}"/>
    <cellStyle name="Check Cell 11" xfId="2513" xr:uid="{00000000-0005-0000-0000-0000524C0000}"/>
    <cellStyle name="Check Cell 12" xfId="2514" xr:uid="{00000000-0005-0000-0000-0000534C0000}"/>
    <cellStyle name="Check Cell 13" xfId="2515" xr:uid="{00000000-0005-0000-0000-0000544C0000}"/>
    <cellStyle name="Check Cell 14" xfId="2516" xr:uid="{00000000-0005-0000-0000-0000554C0000}"/>
    <cellStyle name="Check Cell 15" xfId="2517" xr:uid="{00000000-0005-0000-0000-0000564C0000}"/>
    <cellStyle name="Check Cell 16" xfId="2518" xr:uid="{00000000-0005-0000-0000-0000574C0000}"/>
    <cellStyle name="Check Cell 17" xfId="2519" xr:uid="{00000000-0005-0000-0000-0000584C0000}"/>
    <cellStyle name="Check Cell 18" xfId="2520" xr:uid="{00000000-0005-0000-0000-0000594C0000}"/>
    <cellStyle name="Check Cell 19" xfId="2521" xr:uid="{00000000-0005-0000-0000-00005A4C0000}"/>
    <cellStyle name="Check Cell 2" xfId="2522" xr:uid="{00000000-0005-0000-0000-00005B4C0000}"/>
    <cellStyle name="Check Cell 2 2" xfId="24061" xr:uid="{00000000-0005-0000-0000-00005C4C0000}"/>
    <cellStyle name="Check Cell 2 3" xfId="24060" xr:uid="{00000000-0005-0000-0000-00005D4C0000}"/>
    <cellStyle name="Check Cell 20" xfId="2523" xr:uid="{00000000-0005-0000-0000-00005E4C0000}"/>
    <cellStyle name="Check Cell 21" xfId="2524" xr:uid="{00000000-0005-0000-0000-00005F4C0000}"/>
    <cellStyle name="Check Cell 22" xfId="2525" xr:uid="{00000000-0005-0000-0000-0000604C0000}"/>
    <cellStyle name="Check Cell 23" xfId="2526" xr:uid="{00000000-0005-0000-0000-0000614C0000}"/>
    <cellStyle name="Check Cell 24" xfId="2527" xr:uid="{00000000-0005-0000-0000-0000624C0000}"/>
    <cellStyle name="Check Cell 25" xfId="2528" xr:uid="{00000000-0005-0000-0000-0000634C0000}"/>
    <cellStyle name="Check Cell 26" xfId="2529" xr:uid="{00000000-0005-0000-0000-0000644C0000}"/>
    <cellStyle name="Check Cell 27" xfId="2530" xr:uid="{00000000-0005-0000-0000-0000654C0000}"/>
    <cellStyle name="Check Cell 28" xfId="2531" xr:uid="{00000000-0005-0000-0000-0000664C0000}"/>
    <cellStyle name="Check Cell 29" xfId="2532" xr:uid="{00000000-0005-0000-0000-0000674C0000}"/>
    <cellStyle name="Check Cell 3" xfId="2533" xr:uid="{00000000-0005-0000-0000-0000684C0000}"/>
    <cellStyle name="Check Cell 3 2" xfId="24062" xr:uid="{00000000-0005-0000-0000-0000694C0000}"/>
    <cellStyle name="Check Cell 30" xfId="2534" xr:uid="{00000000-0005-0000-0000-00006A4C0000}"/>
    <cellStyle name="Check Cell 31" xfId="2535" xr:uid="{00000000-0005-0000-0000-00006B4C0000}"/>
    <cellStyle name="Check Cell 32" xfId="2536" xr:uid="{00000000-0005-0000-0000-00006C4C0000}"/>
    <cellStyle name="Check Cell 33" xfId="2537" xr:uid="{00000000-0005-0000-0000-00006D4C0000}"/>
    <cellStyle name="Check Cell 34" xfId="2538" xr:uid="{00000000-0005-0000-0000-00006E4C0000}"/>
    <cellStyle name="Check Cell 35" xfId="2539" xr:uid="{00000000-0005-0000-0000-00006F4C0000}"/>
    <cellStyle name="Check Cell 36" xfId="2540" xr:uid="{00000000-0005-0000-0000-0000704C0000}"/>
    <cellStyle name="Check Cell 37" xfId="2541" xr:uid="{00000000-0005-0000-0000-0000714C0000}"/>
    <cellStyle name="Check Cell 38" xfId="2542" xr:uid="{00000000-0005-0000-0000-0000724C0000}"/>
    <cellStyle name="Check Cell 39" xfId="2543" xr:uid="{00000000-0005-0000-0000-0000734C0000}"/>
    <cellStyle name="Check Cell 4" xfId="2544" xr:uid="{00000000-0005-0000-0000-0000744C0000}"/>
    <cellStyle name="Check Cell 4 2" xfId="24063" xr:uid="{00000000-0005-0000-0000-0000754C0000}"/>
    <cellStyle name="Check Cell 40" xfId="2545" xr:uid="{00000000-0005-0000-0000-0000764C0000}"/>
    <cellStyle name="Check Cell 41" xfId="2546" xr:uid="{00000000-0005-0000-0000-0000774C0000}"/>
    <cellStyle name="Check Cell 42" xfId="2547" xr:uid="{00000000-0005-0000-0000-0000784C0000}"/>
    <cellStyle name="Check Cell 43" xfId="2548" xr:uid="{00000000-0005-0000-0000-0000794C0000}"/>
    <cellStyle name="Check Cell 44" xfId="2549" xr:uid="{00000000-0005-0000-0000-00007A4C0000}"/>
    <cellStyle name="Check Cell 45" xfId="2550" xr:uid="{00000000-0005-0000-0000-00007B4C0000}"/>
    <cellStyle name="Check Cell 46" xfId="2551" xr:uid="{00000000-0005-0000-0000-00007C4C0000}"/>
    <cellStyle name="Check Cell 47" xfId="2552" xr:uid="{00000000-0005-0000-0000-00007D4C0000}"/>
    <cellStyle name="Check Cell 48" xfId="2553" xr:uid="{00000000-0005-0000-0000-00007E4C0000}"/>
    <cellStyle name="Check Cell 49" xfId="2554" xr:uid="{00000000-0005-0000-0000-00007F4C0000}"/>
    <cellStyle name="Check Cell 5" xfId="2555" xr:uid="{00000000-0005-0000-0000-0000804C0000}"/>
    <cellStyle name="Check Cell 50" xfId="2556" xr:uid="{00000000-0005-0000-0000-0000814C0000}"/>
    <cellStyle name="Check Cell 51" xfId="2557" xr:uid="{00000000-0005-0000-0000-0000824C0000}"/>
    <cellStyle name="Check Cell 52" xfId="2558" xr:uid="{00000000-0005-0000-0000-0000834C0000}"/>
    <cellStyle name="Check Cell 53" xfId="2559" xr:uid="{00000000-0005-0000-0000-0000844C0000}"/>
    <cellStyle name="Check Cell 54" xfId="2560" xr:uid="{00000000-0005-0000-0000-0000854C0000}"/>
    <cellStyle name="Check Cell 55" xfId="2561" xr:uid="{00000000-0005-0000-0000-0000864C0000}"/>
    <cellStyle name="Check Cell 56" xfId="2562" xr:uid="{00000000-0005-0000-0000-0000874C0000}"/>
    <cellStyle name="Check Cell 57" xfId="2563" xr:uid="{00000000-0005-0000-0000-0000884C0000}"/>
    <cellStyle name="Check Cell 58" xfId="2564" xr:uid="{00000000-0005-0000-0000-0000894C0000}"/>
    <cellStyle name="Check Cell 59" xfId="2565" xr:uid="{00000000-0005-0000-0000-00008A4C0000}"/>
    <cellStyle name="Check Cell 6" xfId="2566" xr:uid="{00000000-0005-0000-0000-00008B4C0000}"/>
    <cellStyle name="Check Cell 60" xfId="2567" xr:uid="{00000000-0005-0000-0000-00008C4C0000}"/>
    <cellStyle name="Check Cell 61" xfId="2568" xr:uid="{00000000-0005-0000-0000-00008D4C0000}"/>
    <cellStyle name="Check Cell 62" xfId="2569" xr:uid="{00000000-0005-0000-0000-00008E4C0000}"/>
    <cellStyle name="Check Cell 63" xfId="2570" xr:uid="{00000000-0005-0000-0000-00008F4C0000}"/>
    <cellStyle name="Check Cell 64" xfId="2571" xr:uid="{00000000-0005-0000-0000-0000904C0000}"/>
    <cellStyle name="Check Cell 65" xfId="2572" xr:uid="{00000000-0005-0000-0000-0000914C0000}"/>
    <cellStyle name="Check Cell 66" xfId="2573" xr:uid="{00000000-0005-0000-0000-0000924C0000}"/>
    <cellStyle name="Check Cell 67" xfId="2574" xr:uid="{00000000-0005-0000-0000-0000934C0000}"/>
    <cellStyle name="Check Cell 68" xfId="2575" xr:uid="{00000000-0005-0000-0000-0000944C0000}"/>
    <cellStyle name="Check Cell 69" xfId="2576" xr:uid="{00000000-0005-0000-0000-0000954C0000}"/>
    <cellStyle name="Check Cell 7" xfId="2577" xr:uid="{00000000-0005-0000-0000-0000964C0000}"/>
    <cellStyle name="Check Cell 70" xfId="2578" xr:uid="{00000000-0005-0000-0000-0000974C0000}"/>
    <cellStyle name="Check Cell 71" xfId="2579" xr:uid="{00000000-0005-0000-0000-0000984C0000}"/>
    <cellStyle name="Check Cell 72" xfId="2580" xr:uid="{00000000-0005-0000-0000-0000994C0000}"/>
    <cellStyle name="Check Cell 8" xfId="2581" xr:uid="{00000000-0005-0000-0000-00009A4C0000}"/>
    <cellStyle name="Check Cell 9" xfId="2582" xr:uid="{00000000-0005-0000-0000-00009B4C0000}"/>
    <cellStyle name="Co. Names" xfId="546" xr:uid="{00000000-0005-0000-0000-00009C4C0000}"/>
    <cellStyle name="Co. Names 2" xfId="24064" xr:uid="{00000000-0005-0000-0000-00009D4C0000}"/>
    <cellStyle name="Column total in dollars" xfId="11" xr:uid="{00000000-0005-0000-0000-00009E4C0000}"/>
    <cellStyle name="ColumnAttributeAbovePrompt" xfId="2583" xr:uid="{00000000-0005-0000-0000-00009F4C0000}"/>
    <cellStyle name="ColumnAttributePrompt" xfId="2584" xr:uid="{00000000-0005-0000-0000-0000A04C0000}"/>
    <cellStyle name="ColumnAttributeValue" xfId="2585" xr:uid="{00000000-0005-0000-0000-0000A14C0000}"/>
    <cellStyle name="ColumnHeadingPrompt" xfId="2586" xr:uid="{00000000-0005-0000-0000-0000A24C0000}"/>
    <cellStyle name="ColumnHeadingValue" xfId="2587" xr:uid="{00000000-0005-0000-0000-0000A34C0000}"/>
    <cellStyle name="Comma" xfId="25742" builtinId="3"/>
    <cellStyle name="Comma  - Style1" xfId="12" xr:uid="{00000000-0005-0000-0000-0000A54C0000}"/>
    <cellStyle name="Comma  - Style1 2" xfId="25800" xr:uid="{00000000-0005-0000-0000-0000A64C0000}"/>
    <cellStyle name="Comma  - Style2" xfId="13" xr:uid="{00000000-0005-0000-0000-0000A74C0000}"/>
    <cellStyle name="Comma  - Style2 2" xfId="25801" xr:uid="{00000000-0005-0000-0000-0000A84C0000}"/>
    <cellStyle name="Comma  - Style3" xfId="14" xr:uid="{00000000-0005-0000-0000-0000A94C0000}"/>
    <cellStyle name="Comma  - Style3 2" xfId="25802" xr:uid="{00000000-0005-0000-0000-0000AA4C0000}"/>
    <cellStyle name="Comma  - Style4" xfId="15" xr:uid="{00000000-0005-0000-0000-0000AB4C0000}"/>
    <cellStyle name="Comma  - Style4 2" xfId="25803" xr:uid="{00000000-0005-0000-0000-0000AC4C0000}"/>
    <cellStyle name="Comma  - Style5" xfId="16" xr:uid="{00000000-0005-0000-0000-0000AD4C0000}"/>
    <cellStyle name="Comma  - Style5 2" xfId="25804" xr:uid="{00000000-0005-0000-0000-0000AE4C0000}"/>
    <cellStyle name="Comma  - Style6" xfId="17" xr:uid="{00000000-0005-0000-0000-0000AF4C0000}"/>
    <cellStyle name="Comma  - Style6 2" xfId="25805" xr:uid="{00000000-0005-0000-0000-0000B04C0000}"/>
    <cellStyle name="Comma  - Style7" xfId="18" xr:uid="{00000000-0005-0000-0000-0000B14C0000}"/>
    <cellStyle name="Comma  - Style7 2" xfId="25806" xr:uid="{00000000-0005-0000-0000-0000B24C0000}"/>
    <cellStyle name="Comma  - Style8" xfId="19" xr:uid="{00000000-0005-0000-0000-0000B34C0000}"/>
    <cellStyle name="Comma  - Style8 2" xfId="25807" xr:uid="{00000000-0005-0000-0000-0000B44C0000}"/>
    <cellStyle name="Comma (0)" xfId="20" xr:uid="{00000000-0005-0000-0000-0000B54C0000}"/>
    <cellStyle name="Comma [0] 2" xfId="176" xr:uid="{00000000-0005-0000-0000-0000B64C0000}"/>
    <cellStyle name="Comma [0] 2 2" xfId="25886" xr:uid="{00000000-0005-0000-0000-0000B74C0000}"/>
    <cellStyle name="Comma [0] 3" xfId="177" xr:uid="{00000000-0005-0000-0000-0000B84C0000}"/>
    <cellStyle name="Comma [0] 3 2" xfId="363" xr:uid="{00000000-0005-0000-0000-0000B94C0000}"/>
    <cellStyle name="Comma [0] 3 2 2" xfId="445" xr:uid="{00000000-0005-0000-0000-0000BA4C0000}"/>
    <cellStyle name="Comma [0] 3 2 2 2" xfId="531" xr:uid="{00000000-0005-0000-0000-0000BB4C0000}"/>
    <cellStyle name="Comma [0] 3 2 2 2 2" xfId="13894" xr:uid="{00000000-0005-0000-0000-0000BC4C0000}"/>
    <cellStyle name="Comma [0] 3 2 2 3" xfId="13817" xr:uid="{00000000-0005-0000-0000-0000BD4C0000}"/>
    <cellStyle name="Comma [0] 3 2 3" xfId="494" xr:uid="{00000000-0005-0000-0000-0000BE4C0000}"/>
    <cellStyle name="Comma [0] 3 2 3 2" xfId="13857" xr:uid="{00000000-0005-0000-0000-0000BF4C0000}"/>
    <cellStyle name="Comma [0] 3 2 4" xfId="13773" xr:uid="{00000000-0005-0000-0000-0000C04C0000}"/>
    <cellStyle name="Comma [0] 3 3" xfId="425" xr:uid="{00000000-0005-0000-0000-0000C14C0000}"/>
    <cellStyle name="Comma [0] 3 3 2" xfId="516" xr:uid="{00000000-0005-0000-0000-0000C24C0000}"/>
    <cellStyle name="Comma [0] 3 3 2 2" xfId="13879" xr:uid="{00000000-0005-0000-0000-0000C34C0000}"/>
    <cellStyle name="Comma [0] 3 3 3" xfId="13802" xr:uid="{00000000-0005-0000-0000-0000C44C0000}"/>
    <cellStyle name="Comma [0] 3 4" xfId="479" xr:uid="{00000000-0005-0000-0000-0000C54C0000}"/>
    <cellStyle name="Comma [0] 3 4 2" xfId="13842" xr:uid="{00000000-0005-0000-0000-0000C64C0000}"/>
    <cellStyle name="Comma [0] 3 5" xfId="13687" xr:uid="{00000000-0005-0000-0000-0000C74C0000}"/>
    <cellStyle name="Comma [1]" xfId="547" xr:uid="{00000000-0005-0000-0000-0000C84C0000}"/>
    <cellStyle name="Comma [1] 2" xfId="24066" xr:uid="{00000000-0005-0000-0000-0000C94C0000}"/>
    <cellStyle name="Comma [2]" xfId="548" xr:uid="{00000000-0005-0000-0000-0000CA4C0000}"/>
    <cellStyle name="Comma [3]" xfId="549" xr:uid="{00000000-0005-0000-0000-0000CB4C0000}"/>
    <cellStyle name="Comma 10" xfId="172" xr:uid="{00000000-0005-0000-0000-0000CC4C0000}"/>
    <cellStyle name="Comma 10 10" xfId="25744" xr:uid="{00000000-0005-0000-0000-0000CD4C0000}"/>
    <cellStyle name="Comma 10 10 2" xfId="27894" xr:uid="{00000000-0005-0000-0000-0000CE4C0000}"/>
    <cellStyle name="Comma 10 11" xfId="28614" xr:uid="{00000000-0005-0000-0000-0000CF4C0000}"/>
    <cellStyle name="Comma 10 11 2" xfId="28856" xr:uid="{00000000-0005-0000-0000-0000D04C0000}"/>
    <cellStyle name="Comma 10 12" xfId="28615" xr:uid="{00000000-0005-0000-0000-0000D14C0000}"/>
    <cellStyle name="Comma 10 12 2" xfId="28857" xr:uid="{00000000-0005-0000-0000-0000D24C0000}"/>
    <cellStyle name="Comma 10 13" xfId="28616" xr:uid="{00000000-0005-0000-0000-0000D34C0000}"/>
    <cellStyle name="Comma 10 13 2" xfId="28858" xr:uid="{00000000-0005-0000-0000-0000D44C0000}"/>
    <cellStyle name="Comma 10 2" xfId="281" xr:uid="{00000000-0005-0000-0000-0000D54C0000}"/>
    <cellStyle name="Comma 10 2 2" xfId="25940" xr:uid="{00000000-0005-0000-0000-0000D64C0000}"/>
    <cellStyle name="Comma 10 3" xfId="633" xr:uid="{00000000-0005-0000-0000-0000D74C0000}"/>
    <cellStyle name="Comma 10 3 2" xfId="13905" xr:uid="{00000000-0005-0000-0000-0000D84C0000}"/>
    <cellStyle name="Comma 10 3 2 2" xfId="28859" xr:uid="{00000000-0005-0000-0000-0000D94C0000}"/>
    <cellStyle name="Comma 10 3 3" xfId="28617" xr:uid="{00000000-0005-0000-0000-0000DA4C0000}"/>
    <cellStyle name="Comma 10 4" xfId="28618" xr:uid="{00000000-0005-0000-0000-0000DB4C0000}"/>
    <cellStyle name="Comma 10 4 2" xfId="28860" xr:uid="{00000000-0005-0000-0000-0000DC4C0000}"/>
    <cellStyle name="Comma 10 5" xfId="28619" xr:uid="{00000000-0005-0000-0000-0000DD4C0000}"/>
    <cellStyle name="Comma 10 5 2" xfId="28861" xr:uid="{00000000-0005-0000-0000-0000DE4C0000}"/>
    <cellStyle name="Comma 10 6" xfId="28620" xr:uid="{00000000-0005-0000-0000-0000DF4C0000}"/>
    <cellStyle name="Comma 10 6 2" xfId="28862" xr:uid="{00000000-0005-0000-0000-0000E04C0000}"/>
    <cellStyle name="Comma 10 7" xfId="28621" xr:uid="{00000000-0005-0000-0000-0000E14C0000}"/>
    <cellStyle name="Comma 10 7 2" xfId="28863" xr:uid="{00000000-0005-0000-0000-0000E24C0000}"/>
    <cellStyle name="Comma 10 8" xfId="28622" xr:uid="{00000000-0005-0000-0000-0000E34C0000}"/>
    <cellStyle name="Comma 10 8 2" xfId="28864" xr:uid="{00000000-0005-0000-0000-0000E44C0000}"/>
    <cellStyle name="Comma 10 9" xfId="28623" xr:uid="{00000000-0005-0000-0000-0000E54C0000}"/>
    <cellStyle name="Comma 10 9 2" xfId="28865" xr:uid="{00000000-0005-0000-0000-0000E64C0000}"/>
    <cellStyle name="Comma 11" xfId="178" xr:uid="{00000000-0005-0000-0000-0000E74C0000}"/>
    <cellStyle name="Comma 11 10" xfId="28624" xr:uid="{00000000-0005-0000-0000-0000E84C0000}"/>
    <cellStyle name="Comma 11 10 2" xfId="28866" xr:uid="{00000000-0005-0000-0000-0000E94C0000}"/>
    <cellStyle name="Comma 11 11" xfId="28625" xr:uid="{00000000-0005-0000-0000-0000EA4C0000}"/>
    <cellStyle name="Comma 11 11 2" xfId="28867" xr:uid="{00000000-0005-0000-0000-0000EB4C0000}"/>
    <cellStyle name="Comma 11 12" xfId="28626" xr:uid="{00000000-0005-0000-0000-0000EC4C0000}"/>
    <cellStyle name="Comma 11 12 2" xfId="28868" xr:uid="{00000000-0005-0000-0000-0000ED4C0000}"/>
    <cellStyle name="Comma 11 13" xfId="28627" xr:uid="{00000000-0005-0000-0000-0000EE4C0000}"/>
    <cellStyle name="Comma 11 13 2" xfId="28869" xr:uid="{00000000-0005-0000-0000-0000EF4C0000}"/>
    <cellStyle name="Comma 11 2" xfId="634" xr:uid="{00000000-0005-0000-0000-0000F04C0000}"/>
    <cellStyle name="Comma 11 2 2" xfId="28870" xr:uid="{00000000-0005-0000-0000-0000F14C0000}"/>
    <cellStyle name="Comma 11 2 3" xfId="28628" xr:uid="{00000000-0005-0000-0000-0000F24C0000}"/>
    <cellStyle name="Comma 11 3" xfId="23929" xr:uid="{00000000-0005-0000-0000-0000F34C0000}"/>
    <cellStyle name="Comma 11 3 2" xfId="28871" xr:uid="{00000000-0005-0000-0000-0000F44C0000}"/>
    <cellStyle name="Comma 11 3 3" xfId="28629" xr:uid="{00000000-0005-0000-0000-0000F54C0000}"/>
    <cellStyle name="Comma 11 4" xfId="25887" xr:uid="{00000000-0005-0000-0000-0000F64C0000}"/>
    <cellStyle name="Comma 11 4 2" xfId="28872" xr:uid="{00000000-0005-0000-0000-0000F74C0000}"/>
    <cellStyle name="Comma 11 5" xfId="28630" xr:uid="{00000000-0005-0000-0000-0000F84C0000}"/>
    <cellStyle name="Comma 11 5 2" xfId="28873" xr:uid="{00000000-0005-0000-0000-0000F94C0000}"/>
    <cellStyle name="Comma 11 6" xfId="28631" xr:uid="{00000000-0005-0000-0000-0000FA4C0000}"/>
    <cellStyle name="Comma 11 6 2" xfId="28874" xr:uid="{00000000-0005-0000-0000-0000FB4C0000}"/>
    <cellStyle name="Comma 11 7" xfId="28632" xr:uid="{00000000-0005-0000-0000-0000FC4C0000}"/>
    <cellStyle name="Comma 11 7 2" xfId="28875" xr:uid="{00000000-0005-0000-0000-0000FD4C0000}"/>
    <cellStyle name="Comma 11 8" xfId="28633" xr:uid="{00000000-0005-0000-0000-0000FE4C0000}"/>
    <cellStyle name="Comma 11 8 2" xfId="28876" xr:uid="{00000000-0005-0000-0000-0000FF4C0000}"/>
    <cellStyle name="Comma 11 9" xfId="28634" xr:uid="{00000000-0005-0000-0000-0000004D0000}"/>
    <cellStyle name="Comma 11 9 2" xfId="28877" xr:uid="{00000000-0005-0000-0000-0000014D0000}"/>
    <cellStyle name="Comma 12" xfId="179" xr:uid="{00000000-0005-0000-0000-0000024D0000}"/>
    <cellStyle name="Comma 12 10" xfId="28635" xr:uid="{00000000-0005-0000-0000-0000034D0000}"/>
    <cellStyle name="Comma 12 10 2" xfId="28878" xr:uid="{00000000-0005-0000-0000-0000044D0000}"/>
    <cellStyle name="Comma 12 11" xfId="28636" xr:uid="{00000000-0005-0000-0000-0000054D0000}"/>
    <cellStyle name="Comma 12 11 2" xfId="28879" xr:uid="{00000000-0005-0000-0000-0000064D0000}"/>
    <cellStyle name="Comma 12 12" xfId="28637" xr:uid="{00000000-0005-0000-0000-0000074D0000}"/>
    <cellStyle name="Comma 12 12 2" xfId="28880" xr:uid="{00000000-0005-0000-0000-0000084D0000}"/>
    <cellStyle name="Comma 12 13" xfId="28638" xr:uid="{00000000-0005-0000-0000-0000094D0000}"/>
    <cellStyle name="Comma 12 13 2" xfId="28881" xr:uid="{00000000-0005-0000-0000-00000A4D0000}"/>
    <cellStyle name="Comma 12 2" xfId="25888" xr:uid="{00000000-0005-0000-0000-00000B4D0000}"/>
    <cellStyle name="Comma 12 2 2" xfId="28882" xr:uid="{00000000-0005-0000-0000-00000C4D0000}"/>
    <cellStyle name="Comma 12 3" xfId="28639" xr:uid="{00000000-0005-0000-0000-00000D4D0000}"/>
    <cellStyle name="Comma 12 3 2" xfId="28883" xr:uid="{00000000-0005-0000-0000-00000E4D0000}"/>
    <cellStyle name="Comma 12 4" xfId="28640" xr:uid="{00000000-0005-0000-0000-00000F4D0000}"/>
    <cellStyle name="Comma 12 4 2" xfId="28884" xr:uid="{00000000-0005-0000-0000-0000104D0000}"/>
    <cellStyle name="Comma 12 5" xfId="28641" xr:uid="{00000000-0005-0000-0000-0000114D0000}"/>
    <cellStyle name="Comma 12 5 2" xfId="28885" xr:uid="{00000000-0005-0000-0000-0000124D0000}"/>
    <cellStyle name="Comma 12 6" xfId="28642" xr:uid="{00000000-0005-0000-0000-0000134D0000}"/>
    <cellStyle name="Comma 12 6 2" xfId="28886" xr:uid="{00000000-0005-0000-0000-0000144D0000}"/>
    <cellStyle name="Comma 12 7" xfId="28643" xr:uid="{00000000-0005-0000-0000-0000154D0000}"/>
    <cellStyle name="Comma 12 7 2" xfId="28887" xr:uid="{00000000-0005-0000-0000-0000164D0000}"/>
    <cellStyle name="Comma 12 8" xfId="28644" xr:uid="{00000000-0005-0000-0000-0000174D0000}"/>
    <cellStyle name="Comma 12 8 2" xfId="28888" xr:uid="{00000000-0005-0000-0000-0000184D0000}"/>
    <cellStyle name="Comma 12 9" xfId="28645" xr:uid="{00000000-0005-0000-0000-0000194D0000}"/>
    <cellStyle name="Comma 12 9 2" xfId="28889" xr:uid="{00000000-0005-0000-0000-00001A4D0000}"/>
    <cellStyle name="Comma 13" xfId="180" xr:uid="{00000000-0005-0000-0000-00001B4D0000}"/>
    <cellStyle name="Comma 13 10" xfId="28646" xr:uid="{00000000-0005-0000-0000-00001C4D0000}"/>
    <cellStyle name="Comma 13 10 2" xfId="28890" xr:uid="{00000000-0005-0000-0000-00001D4D0000}"/>
    <cellStyle name="Comma 13 11" xfId="28647" xr:uid="{00000000-0005-0000-0000-00001E4D0000}"/>
    <cellStyle name="Comma 13 11 2" xfId="28891" xr:uid="{00000000-0005-0000-0000-00001F4D0000}"/>
    <cellStyle name="Comma 13 12" xfId="28648" xr:uid="{00000000-0005-0000-0000-0000204D0000}"/>
    <cellStyle name="Comma 13 12 2" xfId="28892" xr:uid="{00000000-0005-0000-0000-0000214D0000}"/>
    <cellStyle name="Comma 13 13" xfId="28649" xr:uid="{00000000-0005-0000-0000-0000224D0000}"/>
    <cellStyle name="Comma 13 13 2" xfId="28893" xr:uid="{00000000-0005-0000-0000-0000234D0000}"/>
    <cellStyle name="Comma 13 2" xfId="25889" xr:uid="{00000000-0005-0000-0000-0000244D0000}"/>
    <cellStyle name="Comma 13 2 2" xfId="28894" xr:uid="{00000000-0005-0000-0000-0000254D0000}"/>
    <cellStyle name="Comma 13 3" xfId="28650" xr:uid="{00000000-0005-0000-0000-0000264D0000}"/>
    <cellStyle name="Comma 13 3 2" xfId="28895" xr:uid="{00000000-0005-0000-0000-0000274D0000}"/>
    <cellStyle name="Comma 13 4" xfId="28651" xr:uid="{00000000-0005-0000-0000-0000284D0000}"/>
    <cellStyle name="Comma 13 4 2" xfId="28896" xr:uid="{00000000-0005-0000-0000-0000294D0000}"/>
    <cellStyle name="Comma 13 5" xfId="28652" xr:uid="{00000000-0005-0000-0000-00002A4D0000}"/>
    <cellStyle name="Comma 13 5 2" xfId="28897" xr:uid="{00000000-0005-0000-0000-00002B4D0000}"/>
    <cellStyle name="Comma 13 6" xfId="28653" xr:uid="{00000000-0005-0000-0000-00002C4D0000}"/>
    <cellStyle name="Comma 13 6 2" xfId="28898" xr:uid="{00000000-0005-0000-0000-00002D4D0000}"/>
    <cellStyle name="Comma 13 7" xfId="28654" xr:uid="{00000000-0005-0000-0000-00002E4D0000}"/>
    <cellStyle name="Comma 13 7 2" xfId="28899" xr:uid="{00000000-0005-0000-0000-00002F4D0000}"/>
    <cellStyle name="Comma 13 8" xfId="28655" xr:uid="{00000000-0005-0000-0000-0000304D0000}"/>
    <cellStyle name="Comma 13 8 2" xfId="28900" xr:uid="{00000000-0005-0000-0000-0000314D0000}"/>
    <cellStyle name="Comma 13 9" xfId="28656" xr:uid="{00000000-0005-0000-0000-0000324D0000}"/>
    <cellStyle name="Comma 13 9 2" xfId="28901" xr:uid="{00000000-0005-0000-0000-0000334D0000}"/>
    <cellStyle name="Comma 14" xfId="175" xr:uid="{00000000-0005-0000-0000-0000344D0000}"/>
    <cellStyle name="Comma 14 10" xfId="28657" xr:uid="{00000000-0005-0000-0000-0000354D0000}"/>
    <cellStyle name="Comma 14 10 2" xfId="28902" xr:uid="{00000000-0005-0000-0000-0000364D0000}"/>
    <cellStyle name="Comma 14 11" xfId="28658" xr:uid="{00000000-0005-0000-0000-0000374D0000}"/>
    <cellStyle name="Comma 14 11 2" xfId="28903" xr:uid="{00000000-0005-0000-0000-0000384D0000}"/>
    <cellStyle name="Comma 14 12" xfId="28659" xr:uid="{00000000-0005-0000-0000-0000394D0000}"/>
    <cellStyle name="Comma 14 12 2" xfId="28904" xr:uid="{00000000-0005-0000-0000-00003A4D0000}"/>
    <cellStyle name="Comma 14 13" xfId="28660" xr:uid="{00000000-0005-0000-0000-00003B4D0000}"/>
    <cellStyle name="Comma 14 13 2" xfId="28905" xr:uid="{00000000-0005-0000-0000-00003C4D0000}"/>
    <cellStyle name="Comma 14 2" xfId="25885" xr:uid="{00000000-0005-0000-0000-00003D4D0000}"/>
    <cellStyle name="Comma 14 2 2" xfId="28906" xr:uid="{00000000-0005-0000-0000-00003E4D0000}"/>
    <cellStyle name="Comma 14 3" xfId="28661" xr:uid="{00000000-0005-0000-0000-00003F4D0000}"/>
    <cellStyle name="Comma 14 3 2" xfId="28907" xr:uid="{00000000-0005-0000-0000-0000404D0000}"/>
    <cellStyle name="Comma 14 4" xfId="28662" xr:uid="{00000000-0005-0000-0000-0000414D0000}"/>
    <cellStyle name="Comma 14 4 2" xfId="28908" xr:uid="{00000000-0005-0000-0000-0000424D0000}"/>
    <cellStyle name="Comma 14 5" xfId="28663" xr:uid="{00000000-0005-0000-0000-0000434D0000}"/>
    <cellStyle name="Comma 14 5 2" xfId="28909" xr:uid="{00000000-0005-0000-0000-0000444D0000}"/>
    <cellStyle name="Comma 14 6" xfId="28664" xr:uid="{00000000-0005-0000-0000-0000454D0000}"/>
    <cellStyle name="Comma 14 6 2" xfId="28910" xr:uid="{00000000-0005-0000-0000-0000464D0000}"/>
    <cellStyle name="Comma 14 7" xfId="28665" xr:uid="{00000000-0005-0000-0000-0000474D0000}"/>
    <cellStyle name="Comma 14 7 2" xfId="28911" xr:uid="{00000000-0005-0000-0000-0000484D0000}"/>
    <cellStyle name="Comma 14 8" xfId="28666" xr:uid="{00000000-0005-0000-0000-0000494D0000}"/>
    <cellStyle name="Comma 14 8 2" xfId="28912" xr:uid="{00000000-0005-0000-0000-00004A4D0000}"/>
    <cellStyle name="Comma 14 9" xfId="28667" xr:uid="{00000000-0005-0000-0000-00004B4D0000}"/>
    <cellStyle name="Comma 14 9 2" xfId="28913" xr:uid="{00000000-0005-0000-0000-00004C4D0000}"/>
    <cellStyle name="Comma 15" xfId="181" xr:uid="{00000000-0005-0000-0000-00004D4D0000}"/>
    <cellStyle name="Comma 15 2" xfId="27900" xr:uid="{00000000-0005-0000-0000-00004E4D0000}"/>
    <cellStyle name="Comma 15 3" xfId="25890" xr:uid="{00000000-0005-0000-0000-00004F4D0000}"/>
    <cellStyle name="Comma 16" xfId="173" xr:uid="{00000000-0005-0000-0000-0000504D0000}"/>
    <cellStyle name="Comma 16 2" xfId="27903" xr:uid="{00000000-0005-0000-0000-0000514D0000}"/>
    <cellStyle name="Comma 16 3" xfId="25883" xr:uid="{00000000-0005-0000-0000-0000524D0000}"/>
    <cellStyle name="Comma 17" xfId="182" xr:uid="{00000000-0005-0000-0000-0000534D0000}"/>
    <cellStyle name="Comma 17 2" xfId="25891" xr:uid="{00000000-0005-0000-0000-0000544D0000}"/>
    <cellStyle name="Comma 18" xfId="174" xr:uid="{00000000-0005-0000-0000-0000554D0000}"/>
    <cellStyle name="Comma 18 2" xfId="27915" xr:uid="{00000000-0005-0000-0000-0000564D0000}"/>
    <cellStyle name="Comma 18 3" xfId="25884" xr:uid="{00000000-0005-0000-0000-0000574D0000}"/>
    <cellStyle name="Comma 19" xfId="283" xr:uid="{00000000-0005-0000-0000-0000584D0000}"/>
    <cellStyle name="Comma 19 2" xfId="25942" xr:uid="{00000000-0005-0000-0000-0000594D0000}"/>
    <cellStyle name="Comma 2" xfId="5" xr:uid="{00000000-0005-0000-0000-00005A4D0000}"/>
    <cellStyle name="Comma 2 10" xfId="25766" xr:uid="{00000000-0005-0000-0000-00005B4D0000}"/>
    <cellStyle name="Comma 2 2" xfId="21" xr:uid="{00000000-0005-0000-0000-00005C4D0000}"/>
    <cellStyle name="Comma 2 2 2" xfId="398" xr:uid="{00000000-0005-0000-0000-00005D4D0000}"/>
    <cellStyle name="Comma 2 2 2 2" xfId="637" xr:uid="{00000000-0005-0000-0000-00005E4D0000}"/>
    <cellStyle name="Comma 2 2 2 3" xfId="636" xr:uid="{00000000-0005-0000-0000-00005F4D0000}"/>
    <cellStyle name="Comma 2 2 2 4" xfId="25780" xr:uid="{00000000-0005-0000-0000-0000604D0000}"/>
    <cellStyle name="Comma 2 2 2 5" xfId="28915" xr:uid="{00000000-0005-0000-0000-0000614D0000}"/>
    <cellStyle name="Comma 2 2 3" xfId="374" xr:uid="{00000000-0005-0000-0000-0000624D0000}"/>
    <cellStyle name="Comma 2 2 3 2" xfId="638" xr:uid="{00000000-0005-0000-0000-0000634D0000}"/>
    <cellStyle name="Comma 2 2 3 3" xfId="25993" xr:uid="{00000000-0005-0000-0000-0000644D0000}"/>
    <cellStyle name="Comma 2 2 4" xfId="23898" xr:uid="{00000000-0005-0000-0000-0000654D0000}"/>
    <cellStyle name="Comma 2 2 5" xfId="25767" xr:uid="{00000000-0005-0000-0000-0000664D0000}"/>
    <cellStyle name="Comma 2 3" xfId="183" xr:uid="{00000000-0005-0000-0000-0000674D0000}"/>
    <cellStyle name="Comma 2 3 2" xfId="364" xr:uid="{00000000-0005-0000-0000-0000684D0000}"/>
    <cellStyle name="Comma 2 3 2 2" xfId="446" xr:uid="{00000000-0005-0000-0000-0000694D0000}"/>
    <cellStyle name="Comma 2 3 2 2 2" xfId="532" xr:uid="{00000000-0005-0000-0000-00006A4D0000}"/>
    <cellStyle name="Comma 2 3 2 2 2 2" xfId="13895" xr:uid="{00000000-0005-0000-0000-00006B4D0000}"/>
    <cellStyle name="Comma 2 3 2 2 3" xfId="13818" xr:uid="{00000000-0005-0000-0000-00006C4D0000}"/>
    <cellStyle name="Comma 2 3 2 3" xfId="495" xr:uid="{00000000-0005-0000-0000-00006D4D0000}"/>
    <cellStyle name="Comma 2 3 2 3 2" xfId="13858" xr:uid="{00000000-0005-0000-0000-00006E4D0000}"/>
    <cellStyle name="Comma 2 3 2 4" xfId="13774" xr:uid="{00000000-0005-0000-0000-00006F4D0000}"/>
    <cellStyle name="Comma 2 3 2 5" xfId="28916" xr:uid="{00000000-0005-0000-0000-0000704D0000}"/>
    <cellStyle name="Comma 2 3 3" xfId="426" xr:uid="{00000000-0005-0000-0000-0000714D0000}"/>
    <cellStyle name="Comma 2 3 3 2" xfId="517" xr:uid="{00000000-0005-0000-0000-0000724D0000}"/>
    <cellStyle name="Comma 2 3 3 2 2" xfId="13880" xr:uid="{00000000-0005-0000-0000-0000734D0000}"/>
    <cellStyle name="Comma 2 3 3 3" xfId="13803" xr:uid="{00000000-0005-0000-0000-0000744D0000}"/>
    <cellStyle name="Comma 2 3 4" xfId="480" xr:uid="{00000000-0005-0000-0000-0000754D0000}"/>
    <cellStyle name="Comma 2 3 4 2" xfId="13843" xr:uid="{00000000-0005-0000-0000-0000764D0000}"/>
    <cellStyle name="Comma 2 3 5" xfId="639" xr:uid="{00000000-0005-0000-0000-0000774D0000}"/>
    <cellStyle name="Comma 2 3 5 2" xfId="13907" xr:uid="{00000000-0005-0000-0000-0000784D0000}"/>
    <cellStyle name="Comma 2 3 6" xfId="13688" xr:uid="{00000000-0005-0000-0000-0000794D0000}"/>
    <cellStyle name="Comma 2 3 7" xfId="24067" xr:uid="{00000000-0005-0000-0000-00007A4D0000}"/>
    <cellStyle name="Comma 2 3 8" xfId="28668" xr:uid="{00000000-0005-0000-0000-00007B4D0000}"/>
    <cellStyle name="Comma 2 4" xfId="351" xr:uid="{00000000-0005-0000-0000-00007C4D0000}"/>
    <cellStyle name="Comma 2 4 2" xfId="25781" xr:uid="{00000000-0005-0000-0000-00007D4D0000}"/>
    <cellStyle name="Comma 2 4 2 2" xfId="28917" xr:uid="{00000000-0005-0000-0000-00007E4D0000}"/>
    <cellStyle name="Comma 2 4 3" xfId="25768" xr:uid="{00000000-0005-0000-0000-00007F4D0000}"/>
    <cellStyle name="Comma 2 4 4" xfId="27922" xr:uid="{00000000-0005-0000-0000-0000804D0000}"/>
    <cellStyle name="Comma 2 4 5" xfId="25988" xr:uid="{00000000-0005-0000-0000-0000814D0000}"/>
    <cellStyle name="Comma 2 5" xfId="373" xr:uid="{00000000-0005-0000-0000-0000824D0000}"/>
    <cellStyle name="Comma 2 5 2" xfId="25782" xr:uid="{00000000-0005-0000-0000-0000834D0000}"/>
    <cellStyle name="Comma 2 5 2 2" xfId="28918" xr:uid="{00000000-0005-0000-0000-0000844D0000}"/>
    <cellStyle name="Comma 2 5 3" xfId="25769" xr:uid="{00000000-0005-0000-0000-0000854D0000}"/>
    <cellStyle name="Comma 2 5 4" xfId="28669" xr:uid="{00000000-0005-0000-0000-0000864D0000}"/>
    <cellStyle name="Comma 2 6" xfId="635" xr:uid="{00000000-0005-0000-0000-0000874D0000}"/>
    <cellStyle name="Comma 2 6 2" xfId="13906" xr:uid="{00000000-0005-0000-0000-0000884D0000}"/>
    <cellStyle name="Comma 2 6 2 2" xfId="28919" xr:uid="{00000000-0005-0000-0000-0000894D0000}"/>
    <cellStyle name="Comma 2 6 3" xfId="25779" xr:uid="{00000000-0005-0000-0000-00008A4D0000}"/>
    <cellStyle name="Comma 2 7" xfId="2588" xr:uid="{00000000-0005-0000-0000-00008B4D0000}"/>
    <cellStyle name="Comma 2 7 2" xfId="28914" xr:uid="{00000000-0005-0000-0000-00008C4D0000}"/>
    <cellStyle name="Comma 2 8" xfId="13603" xr:uid="{00000000-0005-0000-0000-00008D4D0000}"/>
    <cellStyle name="Comma 2 8 2" xfId="26556" xr:uid="{00000000-0005-0000-0000-00008E4D0000}"/>
    <cellStyle name="Comma 2 9" xfId="12600" xr:uid="{00000000-0005-0000-0000-00008F4D0000}"/>
    <cellStyle name="Comma 20" xfId="282" xr:uid="{00000000-0005-0000-0000-0000904D0000}"/>
    <cellStyle name="Comma 20 2" xfId="27914" xr:uid="{00000000-0005-0000-0000-0000914D0000}"/>
    <cellStyle name="Comma 20 3" xfId="25941" xr:uid="{00000000-0005-0000-0000-0000924D0000}"/>
    <cellStyle name="Comma 21" xfId="290" xr:uid="{00000000-0005-0000-0000-0000934D0000}"/>
    <cellStyle name="Comma 21 2" xfId="369" xr:uid="{00000000-0005-0000-0000-0000944D0000}"/>
    <cellStyle name="Comma 21 2 2" xfId="25992" xr:uid="{00000000-0005-0000-0000-0000954D0000}"/>
    <cellStyle name="Comma 21 3" xfId="27913" xr:uid="{00000000-0005-0000-0000-0000964D0000}"/>
    <cellStyle name="Comma 21 4" xfId="25947" xr:uid="{00000000-0005-0000-0000-0000974D0000}"/>
    <cellStyle name="Comma 22" xfId="288" xr:uid="{00000000-0005-0000-0000-0000984D0000}"/>
    <cellStyle name="Comma 22 2" xfId="27912" xr:uid="{00000000-0005-0000-0000-0000994D0000}"/>
    <cellStyle name="Comma 22 3" xfId="25945" xr:uid="{00000000-0005-0000-0000-00009A4D0000}"/>
    <cellStyle name="Comma 23" xfId="291" xr:uid="{00000000-0005-0000-0000-00009B4D0000}"/>
    <cellStyle name="Comma 23 2" xfId="27911" xr:uid="{00000000-0005-0000-0000-00009C4D0000}"/>
    <cellStyle name="Comma 23 3" xfId="25948" xr:uid="{00000000-0005-0000-0000-00009D4D0000}"/>
    <cellStyle name="Comma 24" xfId="289" xr:uid="{00000000-0005-0000-0000-00009E4D0000}"/>
    <cellStyle name="Comma 24 2" xfId="27910" xr:uid="{00000000-0005-0000-0000-00009F4D0000}"/>
    <cellStyle name="Comma 24 3" xfId="25946" xr:uid="{00000000-0005-0000-0000-0000A04D0000}"/>
    <cellStyle name="Comma 25" xfId="301" xr:uid="{00000000-0005-0000-0000-0000A14D0000}"/>
    <cellStyle name="Comma 25 2" xfId="27902" xr:uid="{00000000-0005-0000-0000-0000A24D0000}"/>
    <cellStyle name="Comma 25 3" xfId="25954" xr:uid="{00000000-0005-0000-0000-0000A34D0000}"/>
    <cellStyle name="Comma 26" xfId="300" xr:uid="{00000000-0005-0000-0000-0000A44D0000}"/>
    <cellStyle name="Comma 26 2" xfId="27909" xr:uid="{00000000-0005-0000-0000-0000A54D0000}"/>
    <cellStyle name="Comma 26 3" xfId="25953" xr:uid="{00000000-0005-0000-0000-0000A64D0000}"/>
    <cellStyle name="Comma 27" xfId="312" xr:uid="{00000000-0005-0000-0000-0000A74D0000}"/>
    <cellStyle name="Comma 27 2" xfId="25962" xr:uid="{00000000-0005-0000-0000-0000A84D0000}"/>
    <cellStyle name="Comma 28" xfId="311" xr:uid="{00000000-0005-0000-0000-0000A94D0000}"/>
    <cellStyle name="Comma 28 2" xfId="25961" xr:uid="{00000000-0005-0000-0000-0000AA4D0000}"/>
    <cellStyle name="Comma 29" xfId="313" xr:uid="{00000000-0005-0000-0000-0000AB4D0000}"/>
    <cellStyle name="Comma 29 2" xfId="25963" xr:uid="{00000000-0005-0000-0000-0000AC4D0000}"/>
    <cellStyle name="Comma 3" xfId="10" xr:uid="{00000000-0005-0000-0000-0000AD4D0000}"/>
    <cellStyle name="Comma 3 10" xfId="23905" xr:uid="{00000000-0005-0000-0000-0000AE4D0000}"/>
    <cellStyle name="Comma 3 10 2" xfId="28920" xr:uid="{00000000-0005-0000-0000-0000AF4D0000}"/>
    <cellStyle name="Comma 3 10 3" xfId="28670" xr:uid="{00000000-0005-0000-0000-0000B04D0000}"/>
    <cellStyle name="Comma 3 11" xfId="25777" xr:uid="{00000000-0005-0000-0000-0000B14D0000}"/>
    <cellStyle name="Comma 3 11 2" xfId="28921" xr:uid="{00000000-0005-0000-0000-0000B24D0000}"/>
    <cellStyle name="Comma 3 11 3" xfId="28671" xr:uid="{00000000-0005-0000-0000-0000B34D0000}"/>
    <cellStyle name="Comma 3 12" xfId="25799" xr:uid="{00000000-0005-0000-0000-0000B44D0000}"/>
    <cellStyle name="Comma 3 12 2" xfId="28922" xr:uid="{00000000-0005-0000-0000-0000B54D0000}"/>
    <cellStyle name="Comma 3 13" xfId="28672" xr:uid="{00000000-0005-0000-0000-0000B64D0000}"/>
    <cellStyle name="Comma 3 13 2" xfId="28923" xr:uid="{00000000-0005-0000-0000-0000B74D0000}"/>
    <cellStyle name="Comma 3 14" xfId="30159" xr:uid="{00000000-0005-0000-0000-0000B84D0000}"/>
    <cellStyle name="Comma 3 2" xfId="22" xr:uid="{00000000-0005-0000-0000-0000B94D0000}"/>
    <cellStyle name="Comma 3 2 2" xfId="28924" xr:uid="{00000000-0005-0000-0000-0000BA4D0000}"/>
    <cellStyle name="Comma 3 2 3" xfId="28673" xr:uid="{00000000-0005-0000-0000-0000BB4D0000}"/>
    <cellStyle name="Comma 3 3" xfId="184" xr:uid="{00000000-0005-0000-0000-0000BC4D0000}"/>
    <cellStyle name="Comma 3 3 2" xfId="28925" xr:uid="{00000000-0005-0000-0000-0000BD4D0000}"/>
    <cellStyle name="Comma 3 3 3" xfId="28674" xr:uid="{00000000-0005-0000-0000-0000BE4D0000}"/>
    <cellStyle name="Comma 3 4" xfId="353" xr:uid="{00000000-0005-0000-0000-0000BF4D0000}"/>
    <cellStyle name="Comma 3 4 2" xfId="25990" xr:uid="{00000000-0005-0000-0000-0000C04D0000}"/>
    <cellStyle name="Comma 3 5" xfId="397" xr:uid="{00000000-0005-0000-0000-0000C14D0000}"/>
    <cellStyle name="Comma 3 5 2" xfId="26007" xr:uid="{00000000-0005-0000-0000-0000C24D0000}"/>
    <cellStyle name="Comma 3 6" xfId="375" xr:uid="{00000000-0005-0000-0000-0000C34D0000}"/>
    <cellStyle name="Comma 3 6 2" xfId="28926" xr:uid="{00000000-0005-0000-0000-0000C44D0000}"/>
    <cellStyle name="Comma 3 6 3" xfId="28675" xr:uid="{00000000-0005-0000-0000-0000C54D0000}"/>
    <cellStyle name="Comma 3 7" xfId="2589" xr:uid="{00000000-0005-0000-0000-0000C64D0000}"/>
    <cellStyle name="Comma 3 7 2" xfId="28927" xr:uid="{00000000-0005-0000-0000-0000C74D0000}"/>
    <cellStyle name="Comma 3 7 3" xfId="28676" xr:uid="{00000000-0005-0000-0000-0000C84D0000}"/>
    <cellStyle name="Comma 3 8" xfId="13605" xr:uid="{00000000-0005-0000-0000-0000C94D0000}"/>
    <cellStyle name="Comma 3 8 2" xfId="26558" xr:uid="{00000000-0005-0000-0000-0000CA4D0000}"/>
    <cellStyle name="Comma 3 9" xfId="13599" xr:uid="{00000000-0005-0000-0000-0000CB4D0000}"/>
    <cellStyle name="Comma 3 9 2" xfId="28928" xr:uid="{00000000-0005-0000-0000-0000CC4D0000}"/>
    <cellStyle name="Comma 3 9 3" xfId="28677" xr:uid="{00000000-0005-0000-0000-0000CD4D0000}"/>
    <cellStyle name="Comma 30" xfId="310" xr:uid="{00000000-0005-0000-0000-0000CE4D0000}"/>
    <cellStyle name="Comma 30 2" xfId="25960" xr:uid="{00000000-0005-0000-0000-0000CF4D0000}"/>
    <cellStyle name="Comma 31" xfId="314" xr:uid="{00000000-0005-0000-0000-0000D04D0000}"/>
    <cellStyle name="Comma 31 2" xfId="27916" xr:uid="{00000000-0005-0000-0000-0000D14D0000}"/>
    <cellStyle name="Comma 31 3" xfId="25964" xr:uid="{00000000-0005-0000-0000-0000D24D0000}"/>
    <cellStyle name="Comma 32" xfId="308" xr:uid="{00000000-0005-0000-0000-0000D34D0000}"/>
    <cellStyle name="Comma 32 2" xfId="27918" xr:uid="{00000000-0005-0000-0000-0000D44D0000}"/>
    <cellStyle name="Comma 32 3" xfId="25959" xr:uid="{00000000-0005-0000-0000-0000D54D0000}"/>
    <cellStyle name="Comma 33" xfId="315" xr:uid="{00000000-0005-0000-0000-0000D64D0000}"/>
    <cellStyle name="Comma 33 2" xfId="25965" xr:uid="{00000000-0005-0000-0000-0000D74D0000}"/>
    <cellStyle name="Comma 34" xfId="306" xr:uid="{00000000-0005-0000-0000-0000D84D0000}"/>
    <cellStyle name="Comma 34 2" xfId="27908" xr:uid="{00000000-0005-0000-0000-0000D94D0000}"/>
    <cellStyle name="Comma 34 3" xfId="25957" xr:uid="{00000000-0005-0000-0000-0000DA4D0000}"/>
    <cellStyle name="Comma 35" xfId="337" xr:uid="{00000000-0005-0000-0000-0000DB4D0000}"/>
    <cellStyle name="Comma 35 2" xfId="27917" xr:uid="{00000000-0005-0000-0000-0000DC4D0000}"/>
    <cellStyle name="Comma 35 3" xfId="25979" xr:uid="{00000000-0005-0000-0000-0000DD4D0000}"/>
    <cellStyle name="Comma 36" xfId="334" xr:uid="{00000000-0005-0000-0000-0000DE4D0000}"/>
    <cellStyle name="Comma 36 2" xfId="25976" xr:uid="{00000000-0005-0000-0000-0000DF4D0000}"/>
    <cellStyle name="Comma 37" xfId="338" xr:uid="{00000000-0005-0000-0000-0000E04D0000}"/>
    <cellStyle name="Comma 37 2" xfId="25980" xr:uid="{00000000-0005-0000-0000-0000E14D0000}"/>
    <cellStyle name="Comma 38" xfId="336" xr:uid="{00000000-0005-0000-0000-0000E24D0000}"/>
    <cellStyle name="Comma 38 2" xfId="25978" xr:uid="{00000000-0005-0000-0000-0000E34D0000}"/>
    <cellStyle name="Comma 39" xfId="394" xr:uid="{00000000-0005-0000-0000-0000E44D0000}"/>
    <cellStyle name="Comma 39 2" xfId="26004" xr:uid="{00000000-0005-0000-0000-0000E54D0000}"/>
    <cellStyle name="Comma 4" xfId="8" xr:uid="{00000000-0005-0000-0000-0000E64D0000}"/>
    <cellStyle name="Comma 4 10" xfId="28678" xr:uid="{00000000-0005-0000-0000-0000E74D0000}"/>
    <cellStyle name="Comma 4 10 2" xfId="28929" xr:uid="{00000000-0005-0000-0000-0000E84D0000}"/>
    <cellStyle name="Comma 4 11" xfId="28679" xr:uid="{00000000-0005-0000-0000-0000E94D0000}"/>
    <cellStyle name="Comma 4 11 2" xfId="28930" xr:uid="{00000000-0005-0000-0000-0000EA4D0000}"/>
    <cellStyle name="Comma 4 12" xfId="28680" xr:uid="{00000000-0005-0000-0000-0000EB4D0000}"/>
    <cellStyle name="Comma 4 12 2" xfId="28931" xr:uid="{00000000-0005-0000-0000-0000EC4D0000}"/>
    <cellStyle name="Comma 4 13" xfId="28681" xr:uid="{00000000-0005-0000-0000-0000ED4D0000}"/>
    <cellStyle name="Comma 4 13 2" xfId="28932" xr:uid="{00000000-0005-0000-0000-0000EE4D0000}"/>
    <cellStyle name="Comma 4 2" xfId="185" xr:uid="{00000000-0005-0000-0000-0000EF4D0000}"/>
    <cellStyle name="Comma 4 2 2" xfId="365" xr:uid="{00000000-0005-0000-0000-0000F04D0000}"/>
    <cellStyle name="Comma 4 2 2 2" xfId="447" xr:uid="{00000000-0005-0000-0000-0000F14D0000}"/>
    <cellStyle name="Comma 4 2 2 2 2" xfId="533" xr:uid="{00000000-0005-0000-0000-0000F24D0000}"/>
    <cellStyle name="Comma 4 2 2 2 2 2" xfId="13896" xr:uid="{00000000-0005-0000-0000-0000F34D0000}"/>
    <cellStyle name="Comma 4 2 2 2 3" xfId="13819" xr:uid="{00000000-0005-0000-0000-0000F44D0000}"/>
    <cellStyle name="Comma 4 2 2 3" xfId="496" xr:uid="{00000000-0005-0000-0000-0000F54D0000}"/>
    <cellStyle name="Comma 4 2 2 3 2" xfId="13859" xr:uid="{00000000-0005-0000-0000-0000F64D0000}"/>
    <cellStyle name="Comma 4 2 2 4" xfId="13775" xr:uid="{00000000-0005-0000-0000-0000F74D0000}"/>
    <cellStyle name="Comma 4 2 2 5" xfId="28933" xr:uid="{00000000-0005-0000-0000-0000F84D0000}"/>
    <cellStyle name="Comma 4 2 3" xfId="427" xr:uid="{00000000-0005-0000-0000-0000F94D0000}"/>
    <cellStyle name="Comma 4 2 3 2" xfId="518" xr:uid="{00000000-0005-0000-0000-0000FA4D0000}"/>
    <cellStyle name="Comma 4 2 3 2 2" xfId="13881" xr:uid="{00000000-0005-0000-0000-0000FB4D0000}"/>
    <cellStyle name="Comma 4 2 3 3" xfId="13804" xr:uid="{00000000-0005-0000-0000-0000FC4D0000}"/>
    <cellStyle name="Comma 4 2 4" xfId="481" xr:uid="{00000000-0005-0000-0000-0000FD4D0000}"/>
    <cellStyle name="Comma 4 2 4 2" xfId="13844" xr:uid="{00000000-0005-0000-0000-0000FE4D0000}"/>
    <cellStyle name="Comma 4 2 5" xfId="641" xr:uid="{00000000-0005-0000-0000-0000FF4D0000}"/>
    <cellStyle name="Comma 4 2 6" xfId="13689" xr:uid="{00000000-0005-0000-0000-0000004E0000}"/>
    <cellStyle name="Comma 4 2 7" xfId="24068" xr:uid="{00000000-0005-0000-0000-0000014E0000}"/>
    <cellStyle name="Comma 4 2 7 2" xfId="27055" xr:uid="{00000000-0005-0000-0000-0000024E0000}"/>
    <cellStyle name="Comma 4 3" xfId="352" xr:uid="{00000000-0005-0000-0000-0000034E0000}"/>
    <cellStyle name="Comma 4 3 2" xfId="25989" xr:uid="{00000000-0005-0000-0000-0000044E0000}"/>
    <cellStyle name="Comma 4 4" xfId="640" xr:uid="{00000000-0005-0000-0000-0000054E0000}"/>
    <cellStyle name="Comma 4 4 2" xfId="28934" xr:uid="{00000000-0005-0000-0000-0000064E0000}"/>
    <cellStyle name="Comma 4 4 3" xfId="28682" xr:uid="{00000000-0005-0000-0000-0000074E0000}"/>
    <cellStyle name="Comma 4 5" xfId="3619" xr:uid="{00000000-0005-0000-0000-0000084E0000}"/>
    <cellStyle name="Comma 4 5 2" xfId="28935" xr:uid="{00000000-0005-0000-0000-0000094E0000}"/>
    <cellStyle name="Comma 4 5 3" xfId="28683" xr:uid="{00000000-0005-0000-0000-00000A4E0000}"/>
    <cellStyle name="Comma 4 6" xfId="25790" xr:uid="{00000000-0005-0000-0000-00000B4E0000}"/>
    <cellStyle name="Comma 4 6 2" xfId="28936" xr:uid="{00000000-0005-0000-0000-00000C4E0000}"/>
    <cellStyle name="Comma 4 7" xfId="28684" xr:uid="{00000000-0005-0000-0000-00000D4E0000}"/>
    <cellStyle name="Comma 4 7 2" xfId="28937" xr:uid="{00000000-0005-0000-0000-00000E4E0000}"/>
    <cellStyle name="Comma 4 8" xfId="28685" xr:uid="{00000000-0005-0000-0000-00000F4E0000}"/>
    <cellStyle name="Comma 4 8 2" xfId="28938" xr:uid="{00000000-0005-0000-0000-0000104E0000}"/>
    <cellStyle name="Comma 4 9" xfId="28686" xr:uid="{00000000-0005-0000-0000-0000114E0000}"/>
    <cellStyle name="Comma 4 9 2" xfId="28939" xr:uid="{00000000-0005-0000-0000-0000124E0000}"/>
    <cellStyle name="Comma 40" xfId="371" xr:uid="{00000000-0005-0000-0000-0000134E0000}"/>
    <cellStyle name="Comma 40 2" xfId="501" xr:uid="{00000000-0005-0000-0000-0000144E0000}"/>
    <cellStyle name="Comma 40 2 2" xfId="13864" xr:uid="{00000000-0005-0000-0000-0000154E0000}"/>
    <cellStyle name="Comma 40 3" xfId="13780" xr:uid="{00000000-0005-0000-0000-0000164E0000}"/>
    <cellStyle name="Comma 41" xfId="391" xr:uid="{00000000-0005-0000-0000-0000174E0000}"/>
    <cellStyle name="Comma 41 2" xfId="505" xr:uid="{00000000-0005-0000-0000-0000184E0000}"/>
    <cellStyle name="Comma 41 2 2" xfId="13868" xr:uid="{00000000-0005-0000-0000-0000194E0000}"/>
    <cellStyle name="Comma 41 3" xfId="13786" xr:uid="{00000000-0005-0000-0000-00001A4E0000}"/>
    <cellStyle name="Comma 42" xfId="388" xr:uid="{00000000-0005-0000-0000-00001B4E0000}"/>
    <cellStyle name="Comma 42 2" xfId="504" xr:uid="{00000000-0005-0000-0000-00001C4E0000}"/>
    <cellStyle name="Comma 42 2 2" xfId="13867" xr:uid="{00000000-0005-0000-0000-00001D4E0000}"/>
    <cellStyle name="Comma 42 3" xfId="13784" xr:uid="{00000000-0005-0000-0000-00001E4E0000}"/>
    <cellStyle name="Comma 43" xfId="452" xr:uid="{00000000-0005-0000-0000-00001F4E0000}"/>
    <cellStyle name="Comma 43 2" xfId="538" xr:uid="{00000000-0005-0000-0000-0000204E0000}"/>
    <cellStyle name="Comma 43 2 2" xfId="13901" xr:uid="{00000000-0005-0000-0000-0000214E0000}"/>
    <cellStyle name="Comma 43 3" xfId="13824" xr:uid="{00000000-0005-0000-0000-0000224E0000}"/>
    <cellStyle name="Comma 44" xfId="13600" xr:uid="{00000000-0005-0000-0000-0000234E0000}"/>
    <cellStyle name="Comma 44 2" xfId="26553" xr:uid="{00000000-0005-0000-0000-0000244E0000}"/>
    <cellStyle name="Comma 45" xfId="23886" xr:uid="{00000000-0005-0000-0000-0000254E0000}"/>
    <cellStyle name="Comma 46" xfId="23891" xr:uid="{00000000-0005-0000-0000-0000264E0000}"/>
    <cellStyle name="Comma 47" xfId="23895" xr:uid="{00000000-0005-0000-0000-0000274E0000}"/>
    <cellStyle name="Comma 48" xfId="23899" xr:uid="{00000000-0005-0000-0000-0000284E0000}"/>
    <cellStyle name="Comma 49" xfId="2" xr:uid="{00000000-0005-0000-0000-0000294E0000}"/>
    <cellStyle name="Comma 49 2" xfId="25796" xr:uid="{00000000-0005-0000-0000-00002A4E0000}"/>
    <cellStyle name="Comma 5" xfId="23" xr:uid="{00000000-0005-0000-0000-00002B4E0000}"/>
    <cellStyle name="Comma 5 10" xfId="28687" xr:uid="{00000000-0005-0000-0000-00002C4E0000}"/>
    <cellStyle name="Comma 5 10 2" xfId="28940" xr:uid="{00000000-0005-0000-0000-00002D4E0000}"/>
    <cellStyle name="Comma 5 11" xfId="28688" xr:uid="{00000000-0005-0000-0000-00002E4E0000}"/>
    <cellStyle name="Comma 5 11 2" xfId="28941" xr:uid="{00000000-0005-0000-0000-00002F4E0000}"/>
    <cellStyle name="Comma 5 12" xfId="28689" xr:uid="{00000000-0005-0000-0000-0000304E0000}"/>
    <cellStyle name="Comma 5 12 2" xfId="28942" xr:uid="{00000000-0005-0000-0000-0000314E0000}"/>
    <cellStyle name="Comma 5 13" xfId="28690" xr:uid="{00000000-0005-0000-0000-0000324E0000}"/>
    <cellStyle name="Comma 5 13 2" xfId="28943" xr:uid="{00000000-0005-0000-0000-0000334E0000}"/>
    <cellStyle name="Comma 5 2" xfId="24069" xr:uid="{00000000-0005-0000-0000-0000344E0000}"/>
    <cellStyle name="Comma 5 2 2" xfId="28944" xr:uid="{00000000-0005-0000-0000-0000354E0000}"/>
    <cellStyle name="Comma 5 2 3" xfId="28691" xr:uid="{00000000-0005-0000-0000-0000364E0000}"/>
    <cellStyle name="Comma 5 3" xfId="28692" xr:uid="{00000000-0005-0000-0000-0000374E0000}"/>
    <cellStyle name="Comma 5 3 2" xfId="28945" xr:uid="{00000000-0005-0000-0000-0000384E0000}"/>
    <cellStyle name="Comma 5 4" xfId="28693" xr:uid="{00000000-0005-0000-0000-0000394E0000}"/>
    <cellStyle name="Comma 5 4 2" xfId="28946" xr:uid="{00000000-0005-0000-0000-00003A4E0000}"/>
    <cellStyle name="Comma 5 5" xfId="28694" xr:uid="{00000000-0005-0000-0000-00003B4E0000}"/>
    <cellStyle name="Comma 5 5 2" xfId="28947" xr:uid="{00000000-0005-0000-0000-00003C4E0000}"/>
    <cellStyle name="Comma 5 6" xfId="28695" xr:uid="{00000000-0005-0000-0000-00003D4E0000}"/>
    <cellStyle name="Comma 5 6 2" xfId="28948" xr:uid="{00000000-0005-0000-0000-00003E4E0000}"/>
    <cellStyle name="Comma 5 7" xfId="28696" xr:uid="{00000000-0005-0000-0000-00003F4E0000}"/>
    <cellStyle name="Comma 5 7 2" xfId="28949" xr:uid="{00000000-0005-0000-0000-0000404E0000}"/>
    <cellStyle name="Comma 5 8" xfId="28697" xr:uid="{00000000-0005-0000-0000-0000414E0000}"/>
    <cellStyle name="Comma 5 8 2" xfId="28950" xr:uid="{00000000-0005-0000-0000-0000424E0000}"/>
    <cellStyle name="Comma 5 9" xfId="28698" xr:uid="{00000000-0005-0000-0000-0000434E0000}"/>
    <cellStyle name="Comma 5 9 2" xfId="28951" xr:uid="{00000000-0005-0000-0000-0000444E0000}"/>
    <cellStyle name="Comma 50" xfId="25277" xr:uid="{00000000-0005-0000-0000-0000454E0000}"/>
    <cellStyle name="Comma 50 2" xfId="27432" xr:uid="{00000000-0005-0000-0000-0000464E0000}"/>
    <cellStyle name="Comma 51" xfId="25294" xr:uid="{00000000-0005-0000-0000-0000474E0000}"/>
    <cellStyle name="Comma 51 2" xfId="27449" xr:uid="{00000000-0005-0000-0000-0000484E0000}"/>
    <cellStyle name="Comma 52" xfId="25456" xr:uid="{00000000-0005-0000-0000-0000494E0000}"/>
    <cellStyle name="Comma 52 2" xfId="27609" xr:uid="{00000000-0005-0000-0000-00004A4E0000}"/>
    <cellStyle name="Comma 53" xfId="25747" xr:uid="{00000000-0005-0000-0000-00004B4E0000}"/>
    <cellStyle name="Comma 54" xfId="25753" xr:uid="{00000000-0005-0000-0000-00004C4E0000}"/>
    <cellStyle name="Comma 55" xfId="25754" xr:uid="{00000000-0005-0000-0000-00004D4E0000}"/>
    <cellStyle name="Comma 56" xfId="25759" xr:uid="{00000000-0005-0000-0000-00004E4E0000}"/>
    <cellStyle name="Comma 57" xfId="25760" xr:uid="{00000000-0005-0000-0000-00004F4E0000}"/>
    <cellStyle name="Comma 58" xfId="28613" xr:uid="{00000000-0005-0000-0000-0000504E0000}"/>
    <cellStyle name="Comma 59" xfId="28843" xr:uid="{00000000-0005-0000-0000-0000514E0000}"/>
    <cellStyle name="Comma 6" xfId="24" xr:uid="{00000000-0005-0000-0000-0000524E0000}"/>
    <cellStyle name="Comma 6 10" xfId="28699" xr:uid="{00000000-0005-0000-0000-0000534E0000}"/>
    <cellStyle name="Comma 6 10 2" xfId="28952" xr:uid="{00000000-0005-0000-0000-0000544E0000}"/>
    <cellStyle name="Comma 6 11" xfId="28700" xr:uid="{00000000-0005-0000-0000-0000554E0000}"/>
    <cellStyle name="Comma 6 11 2" xfId="28953" xr:uid="{00000000-0005-0000-0000-0000564E0000}"/>
    <cellStyle name="Comma 6 12" xfId="28701" xr:uid="{00000000-0005-0000-0000-0000574E0000}"/>
    <cellStyle name="Comma 6 12 2" xfId="28954" xr:uid="{00000000-0005-0000-0000-0000584E0000}"/>
    <cellStyle name="Comma 6 13" xfId="28702" xr:uid="{00000000-0005-0000-0000-0000594E0000}"/>
    <cellStyle name="Comma 6 13 2" xfId="28955" xr:uid="{00000000-0005-0000-0000-00005A4E0000}"/>
    <cellStyle name="Comma 6 2" xfId="399" xr:uid="{00000000-0005-0000-0000-00005B4E0000}"/>
    <cellStyle name="Comma 6 2 2" xfId="24319" xr:uid="{00000000-0005-0000-0000-00005C4E0000}"/>
    <cellStyle name="Comma 6 2 2 2" xfId="28956" xr:uid="{00000000-0005-0000-0000-00005D4E0000}"/>
    <cellStyle name="Comma 6 2 3" xfId="24783" xr:uid="{00000000-0005-0000-0000-00005E4E0000}"/>
    <cellStyle name="Comma 6 2 4" xfId="25150" xr:uid="{00000000-0005-0000-0000-00005F4E0000}"/>
    <cellStyle name="Comma 6 2 5" xfId="26008" xr:uid="{00000000-0005-0000-0000-0000604E0000}"/>
    <cellStyle name="Comma 6 3" xfId="376" xr:uid="{00000000-0005-0000-0000-0000614E0000}"/>
    <cellStyle name="Comma 6 3 2" xfId="28957" xr:uid="{00000000-0005-0000-0000-0000624E0000}"/>
    <cellStyle name="Comma 6 3 3" xfId="28703" xr:uid="{00000000-0005-0000-0000-0000634E0000}"/>
    <cellStyle name="Comma 6 4" xfId="23931" xr:uid="{00000000-0005-0000-0000-0000644E0000}"/>
    <cellStyle name="Comma 6 4 2" xfId="28958" xr:uid="{00000000-0005-0000-0000-0000654E0000}"/>
    <cellStyle name="Comma 6 4 3" xfId="28704" xr:uid="{00000000-0005-0000-0000-0000664E0000}"/>
    <cellStyle name="Comma 6 5" xfId="24558" xr:uid="{00000000-0005-0000-0000-0000674E0000}"/>
    <cellStyle name="Comma 6 5 2" xfId="28959" xr:uid="{00000000-0005-0000-0000-0000684E0000}"/>
    <cellStyle name="Comma 6 5 3" xfId="28705" xr:uid="{00000000-0005-0000-0000-0000694E0000}"/>
    <cellStyle name="Comma 6 6" xfId="24948" xr:uid="{00000000-0005-0000-0000-00006A4E0000}"/>
    <cellStyle name="Comma 6 6 2" xfId="28960" xr:uid="{00000000-0005-0000-0000-00006B4E0000}"/>
    <cellStyle name="Comma 6 6 3" xfId="28706" xr:uid="{00000000-0005-0000-0000-00006C4E0000}"/>
    <cellStyle name="Comma 6 7" xfId="25808" xr:uid="{00000000-0005-0000-0000-00006D4E0000}"/>
    <cellStyle name="Comma 6 7 2" xfId="28961" xr:uid="{00000000-0005-0000-0000-00006E4E0000}"/>
    <cellStyle name="Comma 6 8" xfId="28707" xr:uid="{00000000-0005-0000-0000-00006F4E0000}"/>
    <cellStyle name="Comma 6 8 2" xfId="28962" xr:uid="{00000000-0005-0000-0000-0000704E0000}"/>
    <cellStyle name="Comma 6 9" xfId="28708" xr:uid="{00000000-0005-0000-0000-0000714E0000}"/>
    <cellStyle name="Comma 6 9 2" xfId="28963" xr:uid="{00000000-0005-0000-0000-0000724E0000}"/>
    <cellStyle name="Comma 60" xfId="29172" xr:uid="{00000000-0005-0000-0000-0000734E0000}"/>
    <cellStyle name="Comma 61" xfId="29171" xr:uid="{00000000-0005-0000-0000-0000744E0000}"/>
    <cellStyle name="Comma 62" xfId="29169" xr:uid="{00000000-0005-0000-0000-0000754E0000}"/>
    <cellStyle name="Comma 63" xfId="29176" xr:uid="{00000000-0005-0000-0000-0000764E0000}"/>
    <cellStyle name="Comma 64" xfId="29179" xr:uid="{00000000-0005-0000-0000-0000774E0000}"/>
    <cellStyle name="Comma 65" xfId="29177" xr:uid="{00000000-0005-0000-0000-0000784E0000}"/>
    <cellStyle name="Comma 66" xfId="29178" xr:uid="{00000000-0005-0000-0000-0000794E0000}"/>
    <cellStyle name="Comma 67" xfId="33382" xr:uid="{2ECDA545-2A84-42FE-AE64-67E97BAAF282}"/>
    <cellStyle name="Comma 7" xfId="186" xr:uid="{00000000-0005-0000-0000-00007A4E0000}"/>
    <cellStyle name="Comma 7 10" xfId="28709" xr:uid="{00000000-0005-0000-0000-00007B4E0000}"/>
    <cellStyle name="Comma 7 10 2" xfId="28964" xr:uid="{00000000-0005-0000-0000-00007C4E0000}"/>
    <cellStyle name="Comma 7 11" xfId="28710" xr:uid="{00000000-0005-0000-0000-00007D4E0000}"/>
    <cellStyle name="Comma 7 11 2" xfId="28965" xr:uid="{00000000-0005-0000-0000-00007E4E0000}"/>
    <cellStyle name="Comma 7 12" xfId="28711" xr:uid="{00000000-0005-0000-0000-00007F4E0000}"/>
    <cellStyle name="Comma 7 12 2" xfId="28966" xr:uid="{00000000-0005-0000-0000-0000804E0000}"/>
    <cellStyle name="Comma 7 13" xfId="28712" xr:uid="{00000000-0005-0000-0000-0000814E0000}"/>
    <cellStyle name="Comma 7 13 2" xfId="28967" xr:uid="{00000000-0005-0000-0000-0000824E0000}"/>
    <cellStyle name="Comma 7 2" xfId="642" xr:uid="{00000000-0005-0000-0000-0000834E0000}"/>
    <cellStyle name="Comma 7 2 2" xfId="24406" xr:uid="{00000000-0005-0000-0000-0000844E0000}"/>
    <cellStyle name="Comma 7 2 2 2" xfId="28968" xr:uid="{00000000-0005-0000-0000-0000854E0000}"/>
    <cellStyle name="Comma 7 2 3" xfId="24858" xr:uid="{00000000-0005-0000-0000-0000864E0000}"/>
    <cellStyle name="Comma 7 2 4" xfId="25223" xr:uid="{00000000-0005-0000-0000-0000874E0000}"/>
    <cellStyle name="Comma 7 2 5" xfId="28713" xr:uid="{00000000-0005-0000-0000-0000884E0000}"/>
    <cellStyle name="Comma 7 3" xfId="24070" xr:uid="{00000000-0005-0000-0000-0000894E0000}"/>
    <cellStyle name="Comma 7 3 2" xfId="28969" xr:uid="{00000000-0005-0000-0000-00008A4E0000}"/>
    <cellStyle name="Comma 7 3 3" xfId="28714" xr:uid="{00000000-0005-0000-0000-00008B4E0000}"/>
    <cellStyle name="Comma 7 4" xfId="24703" xr:uid="{00000000-0005-0000-0000-00008C4E0000}"/>
    <cellStyle name="Comma 7 4 2" xfId="28970" xr:uid="{00000000-0005-0000-0000-00008D4E0000}"/>
    <cellStyle name="Comma 7 4 3" xfId="28715" xr:uid="{00000000-0005-0000-0000-00008E4E0000}"/>
    <cellStyle name="Comma 7 5" xfId="25025" xr:uid="{00000000-0005-0000-0000-00008F4E0000}"/>
    <cellStyle name="Comma 7 5 2" xfId="28971" xr:uid="{00000000-0005-0000-0000-0000904E0000}"/>
    <cellStyle name="Comma 7 5 3" xfId="28716" xr:uid="{00000000-0005-0000-0000-0000914E0000}"/>
    <cellStyle name="Comma 7 6" xfId="25892" xr:uid="{00000000-0005-0000-0000-0000924E0000}"/>
    <cellStyle name="Comma 7 6 2" xfId="28972" xr:uid="{00000000-0005-0000-0000-0000934E0000}"/>
    <cellStyle name="Comma 7 7" xfId="28717" xr:uid="{00000000-0005-0000-0000-0000944E0000}"/>
    <cellStyle name="Comma 7 7 2" xfId="28973" xr:uid="{00000000-0005-0000-0000-0000954E0000}"/>
    <cellStyle name="Comma 7 8" xfId="28718" xr:uid="{00000000-0005-0000-0000-0000964E0000}"/>
    <cellStyle name="Comma 7 8 2" xfId="28974" xr:uid="{00000000-0005-0000-0000-0000974E0000}"/>
    <cellStyle name="Comma 7 9" xfId="28719" xr:uid="{00000000-0005-0000-0000-0000984E0000}"/>
    <cellStyle name="Comma 7 9 2" xfId="28975" xr:uid="{00000000-0005-0000-0000-0000994E0000}"/>
    <cellStyle name="Comma 8" xfId="187" xr:uid="{00000000-0005-0000-0000-00009A4E0000}"/>
    <cellStyle name="Comma 8 10" xfId="28720" xr:uid="{00000000-0005-0000-0000-00009B4E0000}"/>
    <cellStyle name="Comma 8 10 2" xfId="28976" xr:uid="{00000000-0005-0000-0000-00009C4E0000}"/>
    <cellStyle name="Comma 8 11" xfId="28721" xr:uid="{00000000-0005-0000-0000-00009D4E0000}"/>
    <cellStyle name="Comma 8 11 2" xfId="28977" xr:uid="{00000000-0005-0000-0000-00009E4E0000}"/>
    <cellStyle name="Comma 8 12" xfId="28722" xr:uid="{00000000-0005-0000-0000-00009F4E0000}"/>
    <cellStyle name="Comma 8 12 2" xfId="28978" xr:uid="{00000000-0005-0000-0000-0000A04E0000}"/>
    <cellStyle name="Comma 8 13" xfId="28723" xr:uid="{00000000-0005-0000-0000-0000A14E0000}"/>
    <cellStyle name="Comma 8 13 2" xfId="28979" xr:uid="{00000000-0005-0000-0000-0000A24E0000}"/>
    <cellStyle name="Comma 8 2" xfId="643" xr:uid="{00000000-0005-0000-0000-0000A34E0000}"/>
    <cellStyle name="Comma 8 2 2" xfId="13908" xr:uid="{00000000-0005-0000-0000-0000A44E0000}"/>
    <cellStyle name="Comma 8 2 2 2" xfId="28980" xr:uid="{00000000-0005-0000-0000-0000A54E0000}"/>
    <cellStyle name="Comma 8 2 3" xfId="24481" xr:uid="{00000000-0005-0000-0000-0000A64E0000}"/>
    <cellStyle name="Comma 8 2 4" xfId="24913" xr:uid="{00000000-0005-0000-0000-0000A74E0000}"/>
    <cellStyle name="Comma 8 2 5" xfId="25273" xr:uid="{00000000-0005-0000-0000-0000A84E0000}"/>
    <cellStyle name="Comma 8 2 6" xfId="28724" xr:uid="{00000000-0005-0000-0000-0000A94E0000}"/>
    <cellStyle name="Comma 8 3" xfId="24295" xr:uid="{00000000-0005-0000-0000-0000AA4E0000}"/>
    <cellStyle name="Comma 8 3 2" xfId="28981" xr:uid="{00000000-0005-0000-0000-0000AB4E0000}"/>
    <cellStyle name="Comma 8 3 3" xfId="28725" xr:uid="{00000000-0005-0000-0000-0000AC4E0000}"/>
    <cellStyle name="Comma 8 4" xfId="24776" xr:uid="{00000000-0005-0000-0000-0000AD4E0000}"/>
    <cellStyle name="Comma 8 4 2" xfId="28982" xr:uid="{00000000-0005-0000-0000-0000AE4E0000}"/>
    <cellStyle name="Comma 8 4 3" xfId="28726" xr:uid="{00000000-0005-0000-0000-0000AF4E0000}"/>
    <cellStyle name="Comma 8 5" xfId="25145" xr:uid="{00000000-0005-0000-0000-0000B04E0000}"/>
    <cellStyle name="Comma 8 5 2" xfId="28983" xr:uid="{00000000-0005-0000-0000-0000B14E0000}"/>
    <cellStyle name="Comma 8 5 3" xfId="28727" xr:uid="{00000000-0005-0000-0000-0000B24E0000}"/>
    <cellStyle name="Comma 8 6" xfId="25893" xr:uid="{00000000-0005-0000-0000-0000B34E0000}"/>
    <cellStyle name="Comma 8 6 2" xfId="28984" xr:uid="{00000000-0005-0000-0000-0000B44E0000}"/>
    <cellStyle name="Comma 8 7" xfId="28728" xr:uid="{00000000-0005-0000-0000-0000B54E0000}"/>
    <cellStyle name="Comma 8 7 2" xfId="28985" xr:uid="{00000000-0005-0000-0000-0000B64E0000}"/>
    <cellStyle name="Comma 8 8" xfId="28729" xr:uid="{00000000-0005-0000-0000-0000B74E0000}"/>
    <cellStyle name="Comma 8 8 2" xfId="28986" xr:uid="{00000000-0005-0000-0000-0000B84E0000}"/>
    <cellStyle name="Comma 8 9" xfId="28730" xr:uid="{00000000-0005-0000-0000-0000B94E0000}"/>
    <cellStyle name="Comma 8 9 2" xfId="28987" xr:uid="{00000000-0005-0000-0000-0000BA4E0000}"/>
    <cellStyle name="Comma 9" xfId="188" xr:uid="{00000000-0005-0000-0000-0000BB4E0000}"/>
    <cellStyle name="Comma 9 10" xfId="28731" xr:uid="{00000000-0005-0000-0000-0000BC4E0000}"/>
    <cellStyle name="Comma 9 10 2" xfId="28988" xr:uid="{00000000-0005-0000-0000-0000BD4E0000}"/>
    <cellStyle name="Comma 9 11" xfId="28732" xr:uid="{00000000-0005-0000-0000-0000BE4E0000}"/>
    <cellStyle name="Comma 9 11 2" xfId="28989" xr:uid="{00000000-0005-0000-0000-0000BF4E0000}"/>
    <cellStyle name="Comma 9 12" xfId="28733" xr:uid="{00000000-0005-0000-0000-0000C04E0000}"/>
    <cellStyle name="Comma 9 12 2" xfId="28990" xr:uid="{00000000-0005-0000-0000-0000C14E0000}"/>
    <cellStyle name="Comma 9 13" xfId="28734" xr:uid="{00000000-0005-0000-0000-0000C24E0000}"/>
    <cellStyle name="Comma 9 13 2" xfId="28991" xr:uid="{00000000-0005-0000-0000-0000C34E0000}"/>
    <cellStyle name="Comma 9 2" xfId="24482" xr:uid="{00000000-0005-0000-0000-0000C44E0000}"/>
    <cellStyle name="Comma 9 2 2" xfId="24914" xr:uid="{00000000-0005-0000-0000-0000C54E0000}"/>
    <cellStyle name="Comma 9 2 2 2" xfId="28992" xr:uid="{00000000-0005-0000-0000-0000C64E0000}"/>
    <cellStyle name="Comma 9 2 3" xfId="25274" xr:uid="{00000000-0005-0000-0000-0000C74E0000}"/>
    <cellStyle name="Comma 9 2 4" xfId="28735" xr:uid="{00000000-0005-0000-0000-0000C84E0000}"/>
    <cellStyle name="Comma 9 3" xfId="24296" xr:uid="{00000000-0005-0000-0000-0000C94E0000}"/>
    <cellStyle name="Comma 9 3 2" xfId="28993" xr:uid="{00000000-0005-0000-0000-0000CA4E0000}"/>
    <cellStyle name="Comma 9 3 3" xfId="28736" xr:uid="{00000000-0005-0000-0000-0000CB4E0000}"/>
    <cellStyle name="Comma 9 4" xfId="24777" xr:uid="{00000000-0005-0000-0000-0000CC4E0000}"/>
    <cellStyle name="Comma 9 4 2" xfId="28994" xr:uid="{00000000-0005-0000-0000-0000CD4E0000}"/>
    <cellStyle name="Comma 9 4 3" xfId="28737" xr:uid="{00000000-0005-0000-0000-0000CE4E0000}"/>
    <cellStyle name="Comma 9 5" xfId="25146" xr:uid="{00000000-0005-0000-0000-0000CF4E0000}"/>
    <cellStyle name="Comma 9 5 2" xfId="28995" xr:uid="{00000000-0005-0000-0000-0000D04E0000}"/>
    <cellStyle name="Comma 9 5 3" xfId="28738" xr:uid="{00000000-0005-0000-0000-0000D14E0000}"/>
    <cellStyle name="Comma 9 6" xfId="25894" xr:uid="{00000000-0005-0000-0000-0000D24E0000}"/>
    <cellStyle name="Comma 9 6 2" xfId="28996" xr:uid="{00000000-0005-0000-0000-0000D34E0000}"/>
    <cellStyle name="Comma 9 7" xfId="28739" xr:uid="{00000000-0005-0000-0000-0000D44E0000}"/>
    <cellStyle name="Comma 9 7 2" xfId="28997" xr:uid="{00000000-0005-0000-0000-0000D54E0000}"/>
    <cellStyle name="Comma 9 8" xfId="28740" xr:uid="{00000000-0005-0000-0000-0000D64E0000}"/>
    <cellStyle name="Comma 9 8 2" xfId="28998" xr:uid="{00000000-0005-0000-0000-0000D74E0000}"/>
    <cellStyle name="Comma 9 9" xfId="28741" xr:uid="{00000000-0005-0000-0000-0000D84E0000}"/>
    <cellStyle name="Comma 9 9 2" xfId="28999" xr:uid="{00000000-0005-0000-0000-0000D94E0000}"/>
    <cellStyle name="Comma0" xfId="25" xr:uid="{00000000-0005-0000-0000-0000DA4E0000}"/>
    <cellStyle name="Comma0 - Style3" xfId="26" xr:uid="{00000000-0005-0000-0000-0000DB4E0000}"/>
    <cellStyle name="Comma0 - Style4" xfId="27" xr:uid="{00000000-0005-0000-0000-0000DC4E0000}"/>
    <cellStyle name="Comma0 10" xfId="461" xr:uid="{00000000-0005-0000-0000-0000DD4E0000}"/>
    <cellStyle name="Comma0 10 2" xfId="26026" xr:uid="{00000000-0005-0000-0000-0000DE4E0000}"/>
    <cellStyle name="Comma0 11" xfId="24411" xr:uid="{00000000-0005-0000-0000-0000DF4E0000}"/>
    <cellStyle name="Comma0 11 2" xfId="27161" xr:uid="{00000000-0005-0000-0000-0000E04E0000}"/>
    <cellStyle name="Comma0 12" xfId="24399" xr:uid="{00000000-0005-0000-0000-0000E14E0000}"/>
    <cellStyle name="Comma0 12 2" xfId="27152" xr:uid="{00000000-0005-0000-0000-0000E24E0000}"/>
    <cellStyle name="Comma0 13" xfId="24503" xr:uid="{00000000-0005-0000-0000-0000E34E0000}"/>
    <cellStyle name="Comma0 13 2" xfId="27191" xr:uid="{00000000-0005-0000-0000-0000E44E0000}"/>
    <cellStyle name="Comma0 14" xfId="24400" xr:uid="{00000000-0005-0000-0000-0000E54E0000}"/>
    <cellStyle name="Comma0 14 2" xfId="27153" xr:uid="{00000000-0005-0000-0000-0000E64E0000}"/>
    <cellStyle name="Comma0 15" xfId="24496" xr:uid="{00000000-0005-0000-0000-0000E74E0000}"/>
    <cellStyle name="Comma0 15 2" xfId="27185" xr:uid="{00000000-0005-0000-0000-0000E84E0000}"/>
    <cellStyle name="Comma0 16" xfId="24474" xr:uid="{00000000-0005-0000-0000-0000E94E0000}"/>
    <cellStyle name="Comma0 16 2" xfId="27170" xr:uid="{00000000-0005-0000-0000-0000EA4E0000}"/>
    <cellStyle name="Comma0 17" xfId="24497" xr:uid="{00000000-0005-0000-0000-0000EB4E0000}"/>
    <cellStyle name="Comma0 17 2" xfId="27186" xr:uid="{00000000-0005-0000-0000-0000EC4E0000}"/>
    <cellStyle name="Comma0 18" xfId="24402" xr:uid="{00000000-0005-0000-0000-0000ED4E0000}"/>
    <cellStyle name="Comma0 18 2" xfId="27155" xr:uid="{00000000-0005-0000-0000-0000EE4E0000}"/>
    <cellStyle name="Comma0 19" xfId="24477" xr:uid="{00000000-0005-0000-0000-0000EF4E0000}"/>
    <cellStyle name="Comma0 19 2" xfId="27172" xr:uid="{00000000-0005-0000-0000-0000F04E0000}"/>
    <cellStyle name="Comma0 2" xfId="400" xr:uid="{00000000-0005-0000-0000-0000F14E0000}"/>
    <cellStyle name="Comma0 2 2" xfId="24072" xr:uid="{00000000-0005-0000-0000-0000F24E0000}"/>
    <cellStyle name="Comma0 2 2 2" xfId="27057" xr:uid="{00000000-0005-0000-0000-0000F34E0000}"/>
    <cellStyle name="Comma0 20" xfId="24508" xr:uid="{00000000-0005-0000-0000-0000F44E0000}"/>
    <cellStyle name="Comma0 20 2" xfId="27194" xr:uid="{00000000-0005-0000-0000-0000F54E0000}"/>
    <cellStyle name="Comma0 21" xfId="24509" xr:uid="{00000000-0005-0000-0000-0000F64E0000}"/>
    <cellStyle name="Comma0 21 2" xfId="27195" xr:uid="{00000000-0005-0000-0000-0000F74E0000}"/>
    <cellStyle name="Comma0 22" xfId="24510" xr:uid="{00000000-0005-0000-0000-0000F84E0000}"/>
    <cellStyle name="Comma0 22 2" xfId="27196" xr:uid="{00000000-0005-0000-0000-0000F94E0000}"/>
    <cellStyle name="Comma0 23" xfId="24512" xr:uid="{00000000-0005-0000-0000-0000FA4E0000}"/>
    <cellStyle name="Comma0 23 2" xfId="27198" xr:uid="{00000000-0005-0000-0000-0000FB4E0000}"/>
    <cellStyle name="Comma0 24" xfId="24513" xr:uid="{00000000-0005-0000-0000-0000FC4E0000}"/>
    <cellStyle name="Comma0 24 2" xfId="27199" xr:uid="{00000000-0005-0000-0000-0000FD4E0000}"/>
    <cellStyle name="Comma0 25" xfId="24514" xr:uid="{00000000-0005-0000-0000-0000FE4E0000}"/>
    <cellStyle name="Comma0 25 2" xfId="27200" xr:uid="{00000000-0005-0000-0000-0000FF4E0000}"/>
    <cellStyle name="Comma0 26" xfId="24515" xr:uid="{00000000-0005-0000-0000-0000004F0000}"/>
    <cellStyle name="Comma0 26 2" xfId="27201" xr:uid="{00000000-0005-0000-0000-0000014F0000}"/>
    <cellStyle name="Comma0 27" xfId="24516" xr:uid="{00000000-0005-0000-0000-0000024F0000}"/>
    <cellStyle name="Comma0 27 2" xfId="27202" xr:uid="{00000000-0005-0000-0000-0000034F0000}"/>
    <cellStyle name="Comma0 28" xfId="24517" xr:uid="{00000000-0005-0000-0000-0000044F0000}"/>
    <cellStyle name="Comma0 28 2" xfId="27203" xr:uid="{00000000-0005-0000-0000-0000054F0000}"/>
    <cellStyle name="Comma0 29" xfId="23909" xr:uid="{00000000-0005-0000-0000-0000064F0000}"/>
    <cellStyle name="Comma0 29 2" xfId="27034" xr:uid="{00000000-0005-0000-0000-0000074F0000}"/>
    <cellStyle name="Comma0 3" xfId="377" xr:uid="{00000000-0005-0000-0000-0000084F0000}"/>
    <cellStyle name="Comma0 3 2" xfId="24073" xr:uid="{00000000-0005-0000-0000-0000094F0000}"/>
    <cellStyle name="Comma0 3 2 2" xfId="27058" xr:uid="{00000000-0005-0000-0000-00000A4F0000}"/>
    <cellStyle name="Comma0 3 3" xfId="25994" xr:uid="{00000000-0005-0000-0000-00000B4F0000}"/>
    <cellStyle name="Comma0 30" xfId="23926" xr:uid="{00000000-0005-0000-0000-00000C4F0000}"/>
    <cellStyle name="Comma0 30 2" xfId="27040" xr:uid="{00000000-0005-0000-0000-00000D4F0000}"/>
    <cellStyle name="Comma0 31" xfId="24531" xr:uid="{00000000-0005-0000-0000-00000E4F0000}"/>
    <cellStyle name="Comma0 31 2" xfId="27210" xr:uid="{00000000-0005-0000-0000-00000F4F0000}"/>
    <cellStyle name="Comma0 32" xfId="24012" xr:uid="{00000000-0005-0000-0000-0000104F0000}"/>
    <cellStyle name="Comma0 32 2" xfId="27046" xr:uid="{00000000-0005-0000-0000-0000114F0000}"/>
    <cellStyle name="Comma0 33" xfId="24540" xr:uid="{00000000-0005-0000-0000-0000124F0000}"/>
    <cellStyle name="Comma0 33 2" xfId="27216" xr:uid="{00000000-0005-0000-0000-0000134F0000}"/>
    <cellStyle name="Comma0 34" xfId="24102" xr:uid="{00000000-0005-0000-0000-0000144F0000}"/>
    <cellStyle name="Comma0 34 2" xfId="27066" xr:uid="{00000000-0005-0000-0000-0000154F0000}"/>
    <cellStyle name="Comma0 35" xfId="24032" xr:uid="{00000000-0005-0000-0000-0000164F0000}"/>
    <cellStyle name="Comma0 35 2" xfId="27047" xr:uid="{00000000-0005-0000-0000-0000174F0000}"/>
    <cellStyle name="Comma0 36" xfId="24071" xr:uid="{00000000-0005-0000-0000-0000184F0000}"/>
    <cellStyle name="Comma0 36 2" xfId="27056" xr:uid="{00000000-0005-0000-0000-0000194F0000}"/>
    <cellStyle name="Comma0 37" xfId="24533" xr:uid="{00000000-0005-0000-0000-00001A4F0000}"/>
    <cellStyle name="Comma0 37 2" xfId="27211" xr:uid="{00000000-0005-0000-0000-00001B4F0000}"/>
    <cellStyle name="Comma0 38" xfId="24535" xr:uid="{00000000-0005-0000-0000-00001C4F0000}"/>
    <cellStyle name="Comma0 38 2" xfId="27213" xr:uid="{00000000-0005-0000-0000-00001D4F0000}"/>
    <cellStyle name="Comma0 39" xfId="24524" xr:uid="{00000000-0005-0000-0000-00001E4F0000}"/>
    <cellStyle name="Comma0 39 2" xfId="27205" xr:uid="{00000000-0005-0000-0000-00001F4F0000}"/>
    <cellStyle name="Comma0 4" xfId="435" xr:uid="{00000000-0005-0000-0000-0000204F0000}"/>
    <cellStyle name="Comma0 4 2" xfId="26017" xr:uid="{00000000-0005-0000-0000-0000214F0000}"/>
    <cellStyle name="Comma0 40" xfId="24547" xr:uid="{00000000-0005-0000-0000-0000224F0000}"/>
    <cellStyle name="Comma0 40 2" xfId="27220" xr:uid="{00000000-0005-0000-0000-0000234F0000}"/>
    <cellStyle name="Comma0 41" xfId="24773" xr:uid="{00000000-0005-0000-0000-0000244F0000}"/>
    <cellStyle name="Comma0 41 2" xfId="27314" xr:uid="{00000000-0005-0000-0000-0000254F0000}"/>
    <cellStyle name="Comma0 42" xfId="24922" xr:uid="{00000000-0005-0000-0000-0000264F0000}"/>
    <cellStyle name="Comma0 42 2" xfId="27331" xr:uid="{00000000-0005-0000-0000-0000274F0000}"/>
    <cellStyle name="Comma0 43" xfId="24687" xr:uid="{00000000-0005-0000-0000-0000284F0000}"/>
    <cellStyle name="Comma0 43 2" xfId="27277" xr:uid="{00000000-0005-0000-0000-0000294F0000}"/>
    <cellStyle name="Comma0 44" xfId="24702" xr:uid="{00000000-0005-0000-0000-00002A4F0000}"/>
    <cellStyle name="Comma0 44 2" xfId="27291" xr:uid="{00000000-0005-0000-0000-00002B4F0000}"/>
    <cellStyle name="Comma0 45" xfId="24934" xr:uid="{00000000-0005-0000-0000-00002C4F0000}"/>
    <cellStyle name="Comma0 45 2" xfId="27341" xr:uid="{00000000-0005-0000-0000-00002D4F0000}"/>
    <cellStyle name="Comma0 46" xfId="24765" xr:uid="{00000000-0005-0000-0000-00002E4F0000}"/>
    <cellStyle name="Comma0 46 2" xfId="27307" xr:uid="{00000000-0005-0000-0000-00002F4F0000}"/>
    <cellStyle name="Comma0 47" xfId="24938" xr:uid="{00000000-0005-0000-0000-0000304F0000}"/>
    <cellStyle name="Comma0 47 2" xfId="27343" xr:uid="{00000000-0005-0000-0000-0000314F0000}"/>
    <cellStyle name="Comma0 48" xfId="24706" xr:uid="{00000000-0005-0000-0000-0000324F0000}"/>
    <cellStyle name="Comma0 48 2" xfId="27293" xr:uid="{00000000-0005-0000-0000-0000334F0000}"/>
    <cellStyle name="Comma0 49" xfId="24766" xr:uid="{00000000-0005-0000-0000-0000344F0000}"/>
    <cellStyle name="Comma0 49 2" xfId="27308" xr:uid="{00000000-0005-0000-0000-0000354F0000}"/>
    <cellStyle name="Comma0 5" xfId="430" xr:uid="{00000000-0005-0000-0000-0000364F0000}"/>
    <cellStyle name="Comma0 5 2" xfId="26014" xr:uid="{00000000-0005-0000-0000-0000374F0000}"/>
    <cellStyle name="Comma0 50" xfId="24546" xr:uid="{00000000-0005-0000-0000-0000384F0000}"/>
    <cellStyle name="Comma0 50 2" xfId="27219" xr:uid="{00000000-0005-0000-0000-0000394F0000}"/>
    <cellStyle name="Comma0 51" xfId="24761" xr:uid="{00000000-0005-0000-0000-00003A4F0000}"/>
    <cellStyle name="Comma0 51 2" xfId="27306" xr:uid="{00000000-0005-0000-0000-00003B4F0000}"/>
    <cellStyle name="Comma0 52" xfId="24923" xr:uid="{00000000-0005-0000-0000-00003C4F0000}"/>
    <cellStyle name="Comma0 52 2" xfId="27332" xr:uid="{00000000-0005-0000-0000-00003D4F0000}"/>
    <cellStyle name="Comma0 53" xfId="24942" xr:uid="{00000000-0005-0000-0000-00003E4F0000}"/>
    <cellStyle name="Comma0 53 2" xfId="27346" xr:uid="{00000000-0005-0000-0000-00003F4F0000}"/>
    <cellStyle name="Comma0 6" xfId="433" xr:uid="{00000000-0005-0000-0000-0000404F0000}"/>
    <cellStyle name="Comma0 6 2" xfId="26015" xr:uid="{00000000-0005-0000-0000-0000414F0000}"/>
    <cellStyle name="Comma0 7" xfId="455" xr:uid="{00000000-0005-0000-0000-0000424F0000}"/>
    <cellStyle name="Comma0 7 2" xfId="26020" xr:uid="{00000000-0005-0000-0000-0000434F0000}"/>
    <cellStyle name="Comma0 8" xfId="463" xr:uid="{00000000-0005-0000-0000-0000444F0000}"/>
    <cellStyle name="Comma0 8 2" xfId="26028" xr:uid="{00000000-0005-0000-0000-0000454F0000}"/>
    <cellStyle name="Comma0 9" xfId="456" xr:uid="{00000000-0005-0000-0000-0000464F0000}"/>
    <cellStyle name="Comma0 9 2" xfId="26021" xr:uid="{00000000-0005-0000-0000-0000474F0000}"/>
    <cellStyle name="Comma0_3.7 Revenue Correcting - Dec09" xfId="349" xr:uid="{00000000-0005-0000-0000-0000484F0000}"/>
    <cellStyle name="Comma1 - Style1" xfId="28" xr:uid="{00000000-0005-0000-0000-0000494F0000}"/>
    <cellStyle name="Currency" xfId="25745" builtinId="4"/>
    <cellStyle name="Currency [1]" xfId="550" xr:uid="{00000000-0005-0000-0000-00004B4F0000}"/>
    <cellStyle name="Currency [1] 2" xfId="24074" xr:uid="{00000000-0005-0000-0000-00004C4F0000}"/>
    <cellStyle name="Currency [2]" xfId="551" xr:uid="{00000000-0005-0000-0000-00004D4F0000}"/>
    <cellStyle name="Currency [2] 2" xfId="24075" xr:uid="{00000000-0005-0000-0000-00004E4F0000}"/>
    <cellStyle name="Currency [3]" xfId="552" xr:uid="{00000000-0005-0000-0000-00004F4F0000}"/>
    <cellStyle name="Currency [3] 2" xfId="24076" xr:uid="{00000000-0005-0000-0000-0000504F0000}"/>
    <cellStyle name="Currency 10" xfId="24300" xr:uid="{00000000-0005-0000-0000-0000514F0000}"/>
    <cellStyle name="Currency 10 2" xfId="27136" xr:uid="{00000000-0005-0000-0000-0000524F0000}"/>
    <cellStyle name="Currency 11" xfId="24466" xr:uid="{00000000-0005-0000-0000-0000534F0000}"/>
    <cellStyle name="Currency 11 2" xfId="27167" xr:uid="{00000000-0005-0000-0000-0000544F0000}"/>
    <cellStyle name="Currency 12" xfId="3" xr:uid="{00000000-0005-0000-0000-0000554F0000}"/>
    <cellStyle name="Currency 12 2" xfId="25797" xr:uid="{00000000-0005-0000-0000-0000564F0000}"/>
    <cellStyle name="Currency 13" xfId="24305" xr:uid="{00000000-0005-0000-0000-0000574F0000}"/>
    <cellStyle name="Currency 13 2" xfId="27141" xr:uid="{00000000-0005-0000-0000-0000584F0000}"/>
    <cellStyle name="Currency 14" xfId="25278" xr:uid="{00000000-0005-0000-0000-0000594F0000}"/>
    <cellStyle name="Currency 14 2" xfId="27433" xr:uid="{00000000-0005-0000-0000-00005A4F0000}"/>
    <cellStyle name="Currency 15" xfId="25293" xr:uid="{00000000-0005-0000-0000-00005B4F0000}"/>
    <cellStyle name="Currency 15 2" xfId="27448" xr:uid="{00000000-0005-0000-0000-00005C4F0000}"/>
    <cellStyle name="Currency 16" xfId="24306" xr:uid="{00000000-0005-0000-0000-00005D4F0000}"/>
    <cellStyle name="Currency 16 2" xfId="27142" xr:uid="{00000000-0005-0000-0000-00005E4F0000}"/>
    <cellStyle name="Currency 17" xfId="24307" xr:uid="{00000000-0005-0000-0000-00005F4F0000}"/>
    <cellStyle name="Currency 17 2" xfId="27143" xr:uid="{00000000-0005-0000-0000-0000604F0000}"/>
    <cellStyle name="Currency 18" xfId="25457" xr:uid="{00000000-0005-0000-0000-0000614F0000}"/>
    <cellStyle name="Currency 18 2" xfId="27610" xr:uid="{00000000-0005-0000-0000-0000624F0000}"/>
    <cellStyle name="Currency 19" xfId="33383" xr:uid="{36F625AB-CF89-4A43-BFEC-E2AE82AD9AE4}"/>
    <cellStyle name="Currency 2" xfId="29" xr:uid="{00000000-0005-0000-0000-0000634F0000}"/>
    <cellStyle name="Currency 2 10" xfId="24077" xr:uid="{00000000-0005-0000-0000-0000644F0000}"/>
    <cellStyle name="Currency 2 11" xfId="25751" xr:uid="{00000000-0005-0000-0000-0000654F0000}"/>
    <cellStyle name="Currency 2 2" xfId="354" xr:uid="{00000000-0005-0000-0000-0000664F0000}"/>
    <cellStyle name="Currency 2 2 2" xfId="437" xr:uid="{00000000-0005-0000-0000-0000674F0000}"/>
    <cellStyle name="Currency 2 2 2 2" xfId="523" xr:uid="{00000000-0005-0000-0000-0000684F0000}"/>
    <cellStyle name="Currency 2 2 2 2 2" xfId="13886" xr:uid="{00000000-0005-0000-0000-0000694F0000}"/>
    <cellStyle name="Currency 2 2 2 3" xfId="13809" xr:uid="{00000000-0005-0000-0000-00006A4F0000}"/>
    <cellStyle name="Currency 2 2 3" xfId="486" xr:uid="{00000000-0005-0000-0000-00006B4F0000}"/>
    <cellStyle name="Currency 2 2 3 2" xfId="13849" xr:uid="{00000000-0005-0000-0000-00006C4F0000}"/>
    <cellStyle name="Currency 2 2 4" xfId="13764" xr:uid="{00000000-0005-0000-0000-00006D4F0000}"/>
    <cellStyle name="Currency 2 2 5" xfId="24078" xr:uid="{00000000-0005-0000-0000-00006E4F0000}"/>
    <cellStyle name="Currency 2 2 5 2" xfId="27059" xr:uid="{00000000-0005-0000-0000-00006F4F0000}"/>
    <cellStyle name="Currency 2 3" xfId="401" xr:uid="{00000000-0005-0000-0000-0000704F0000}"/>
    <cellStyle name="Currency 2 3 2" xfId="506" xr:uid="{00000000-0005-0000-0000-0000714F0000}"/>
    <cellStyle name="Currency 2 3 2 2" xfId="13869" xr:uid="{00000000-0005-0000-0000-0000724F0000}"/>
    <cellStyle name="Currency 2 3 3" xfId="13788" xr:uid="{00000000-0005-0000-0000-0000734F0000}"/>
    <cellStyle name="Currency 2 3 4" xfId="24079" xr:uid="{00000000-0005-0000-0000-0000744F0000}"/>
    <cellStyle name="Currency 2 3 4 2" xfId="27060" xr:uid="{00000000-0005-0000-0000-0000754F0000}"/>
    <cellStyle name="Currency 2 4" xfId="378" xr:uid="{00000000-0005-0000-0000-0000764F0000}"/>
    <cellStyle name="Currency 2 5" xfId="468" xr:uid="{00000000-0005-0000-0000-0000774F0000}"/>
    <cellStyle name="Currency 2 5 2" xfId="26031" xr:uid="{00000000-0005-0000-0000-0000784F0000}"/>
    <cellStyle name="Currency 2 6" xfId="471" xr:uid="{00000000-0005-0000-0000-0000794F0000}"/>
    <cellStyle name="Currency 2 6 2" xfId="13834" xr:uid="{00000000-0005-0000-0000-00007A4F0000}"/>
    <cellStyle name="Currency 2 7" xfId="644" xr:uid="{00000000-0005-0000-0000-00007B4F0000}"/>
    <cellStyle name="Currency 2 7 2" xfId="13909" xr:uid="{00000000-0005-0000-0000-00007C4F0000}"/>
    <cellStyle name="Currency 2 8" xfId="23896" xr:uid="{00000000-0005-0000-0000-00007D4F0000}"/>
    <cellStyle name="Currency 2 9" xfId="13606" xr:uid="{00000000-0005-0000-0000-00007E4F0000}"/>
    <cellStyle name="Currency 3" xfId="30" xr:uid="{00000000-0005-0000-0000-00007F4F0000}"/>
    <cellStyle name="Currency 3 2" xfId="402" xr:uid="{00000000-0005-0000-0000-0000804F0000}"/>
    <cellStyle name="Currency 3 2 2" xfId="24302" xr:uid="{00000000-0005-0000-0000-0000814F0000}"/>
    <cellStyle name="Currency 3 2 2 2" xfId="27138" xr:uid="{00000000-0005-0000-0000-0000824F0000}"/>
    <cellStyle name="Currency 3 3" xfId="379" xr:uid="{00000000-0005-0000-0000-0000834F0000}"/>
    <cellStyle name="Currency 3 3 2" xfId="25995" xr:uid="{00000000-0005-0000-0000-0000844F0000}"/>
    <cellStyle name="Currency 3 4" xfId="3620" xr:uid="{00000000-0005-0000-0000-0000854F0000}"/>
    <cellStyle name="Currency 3 5" xfId="24080" xr:uid="{00000000-0005-0000-0000-0000864F0000}"/>
    <cellStyle name="Currency 3 6" xfId="25791" xr:uid="{00000000-0005-0000-0000-0000874F0000}"/>
    <cellStyle name="Currency 4" xfId="168" xr:uid="{00000000-0005-0000-0000-0000884F0000}"/>
    <cellStyle name="Currency 4 2" xfId="25882" xr:uid="{00000000-0005-0000-0000-0000894F0000}"/>
    <cellStyle name="Currency 5" xfId="169" xr:uid="{00000000-0005-0000-0000-00008A4F0000}"/>
    <cellStyle name="Currency 5 2" xfId="360" xr:uid="{00000000-0005-0000-0000-00008B4F0000}"/>
    <cellStyle name="Currency 5 2 2" xfId="442" xr:uid="{00000000-0005-0000-0000-00008C4F0000}"/>
    <cellStyle name="Currency 5 2 2 2" xfId="528" xr:uid="{00000000-0005-0000-0000-00008D4F0000}"/>
    <cellStyle name="Currency 5 2 2 2 2" xfId="13891" xr:uid="{00000000-0005-0000-0000-00008E4F0000}"/>
    <cellStyle name="Currency 5 2 2 3" xfId="13814" xr:uid="{00000000-0005-0000-0000-00008F4F0000}"/>
    <cellStyle name="Currency 5 2 3" xfId="491" xr:uid="{00000000-0005-0000-0000-0000904F0000}"/>
    <cellStyle name="Currency 5 2 3 2" xfId="13854" xr:uid="{00000000-0005-0000-0000-0000914F0000}"/>
    <cellStyle name="Currency 5 2 4" xfId="13770" xr:uid="{00000000-0005-0000-0000-0000924F0000}"/>
    <cellStyle name="Currency 5 2 5" xfId="24303" xr:uid="{00000000-0005-0000-0000-0000934F0000}"/>
    <cellStyle name="Currency 5 2 5 2" xfId="27139" xr:uid="{00000000-0005-0000-0000-0000944F0000}"/>
    <cellStyle name="Currency 5 3" xfId="422" xr:uid="{00000000-0005-0000-0000-0000954F0000}"/>
    <cellStyle name="Currency 5 3 2" xfId="513" xr:uid="{00000000-0005-0000-0000-0000964F0000}"/>
    <cellStyle name="Currency 5 3 2 2" xfId="13876" xr:uid="{00000000-0005-0000-0000-0000974F0000}"/>
    <cellStyle name="Currency 5 3 3" xfId="13799" xr:uid="{00000000-0005-0000-0000-0000984F0000}"/>
    <cellStyle name="Currency 5 3 4" xfId="24407" xr:uid="{00000000-0005-0000-0000-0000994F0000}"/>
    <cellStyle name="Currency 5 3 5" xfId="24859" xr:uid="{00000000-0005-0000-0000-00009A4F0000}"/>
    <cellStyle name="Currency 5 3 6" xfId="25224" xr:uid="{00000000-0005-0000-0000-00009B4F0000}"/>
    <cellStyle name="Currency 5 4" xfId="476" xr:uid="{00000000-0005-0000-0000-00009C4F0000}"/>
    <cellStyle name="Currency 5 4 2" xfId="13839" xr:uid="{00000000-0005-0000-0000-00009D4F0000}"/>
    <cellStyle name="Currency 5 5" xfId="13684" xr:uid="{00000000-0005-0000-0000-00009E4F0000}"/>
    <cellStyle name="Currency 5 6" xfId="23903" xr:uid="{00000000-0005-0000-0000-00009F4F0000}"/>
    <cellStyle name="Currency 5 6 2" xfId="27032" xr:uid="{00000000-0005-0000-0000-0000A04F0000}"/>
    <cellStyle name="Currency 5 7" xfId="24081" xr:uid="{00000000-0005-0000-0000-0000A14F0000}"/>
    <cellStyle name="Currency 5 8" xfId="24707" xr:uid="{00000000-0005-0000-0000-0000A24F0000}"/>
    <cellStyle name="Currency 5 9" xfId="25026" xr:uid="{00000000-0005-0000-0000-0000A34F0000}"/>
    <cellStyle name="Currency 6" xfId="395" xr:uid="{00000000-0005-0000-0000-0000A44F0000}"/>
    <cellStyle name="Currency 6 2" xfId="24293" xr:uid="{00000000-0005-0000-0000-0000A54F0000}"/>
    <cellStyle name="Currency 6 3" xfId="26005" xr:uid="{00000000-0005-0000-0000-0000A64F0000}"/>
    <cellStyle name="Currency 7" xfId="2590" xr:uid="{00000000-0005-0000-0000-0000A74F0000}"/>
    <cellStyle name="Currency 7 2" xfId="24484" xr:uid="{00000000-0005-0000-0000-0000A84F0000}"/>
    <cellStyle name="Currency 7 2 2" xfId="24915" xr:uid="{00000000-0005-0000-0000-0000A94F0000}"/>
    <cellStyle name="Currency 7 2 3" xfId="25275" xr:uid="{00000000-0005-0000-0000-0000AA4F0000}"/>
    <cellStyle name="Currency 7 3" xfId="24297" xr:uid="{00000000-0005-0000-0000-0000AB4F0000}"/>
    <cellStyle name="Currency 7 4" xfId="24778" xr:uid="{00000000-0005-0000-0000-0000AC4F0000}"/>
    <cellStyle name="Currency 7 5" xfId="25147" xr:uid="{00000000-0005-0000-0000-0000AD4F0000}"/>
    <cellStyle name="Currency 7 6" xfId="26146" xr:uid="{00000000-0005-0000-0000-0000AE4F0000}"/>
    <cellStyle name="Currency 8" xfId="13601" xr:uid="{00000000-0005-0000-0000-0000AF4F0000}"/>
    <cellStyle name="Currency 8 2" xfId="23904" xr:uid="{00000000-0005-0000-0000-0000B04F0000}"/>
    <cellStyle name="Currency 8 2 2" xfId="27033" xr:uid="{00000000-0005-0000-0000-0000B14F0000}"/>
    <cellStyle name="Currency 8 3" xfId="26554" xr:uid="{00000000-0005-0000-0000-0000B24F0000}"/>
    <cellStyle name="Currency 9" xfId="23889" xr:uid="{00000000-0005-0000-0000-0000B34F0000}"/>
    <cellStyle name="Currency 9 2" xfId="24299" xr:uid="{00000000-0005-0000-0000-0000B44F0000}"/>
    <cellStyle name="Currency 9 2 2" xfId="27135" xr:uid="{00000000-0005-0000-0000-0000B54F0000}"/>
    <cellStyle name="Currency No Comma" xfId="31" xr:uid="{00000000-0005-0000-0000-0000B64F0000}"/>
    <cellStyle name="Currency(0)" xfId="32" xr:uid="{00000000-0005-0000-0000-0000B74F0000}"/>
    <cellStyle name="Currency0" xfId="33" xr:uid="{00000000-0005-0000-0000-0000B84F0000}"/>
    <cellStyle name="Currency0 2" xfId="403" xr:uid="{00000000-0005-0000-0000-0000B94F0000}"/>
    <cellStyle name="Currency0 2 2" xfId="24082" xr:uid="{00000000-0005-0000-0000-0000BA4F0000}"/>
    <cellStyle name="Currency0 2 2 2" xfId="27061" xr:uid="{00000000-0005-0000-0000-0000BB4F0000}"/>
    <cellStyle name="Currency0 3" xfId="380" xr:uid="{00000000-0005-0000-0000-0000BC4F0000}"/>
    <cellStyle name="Currency0 3 2" xfId="25996" xr:uid="{00000000-0005-0000-0000-0000BD4F0000}"/>
    <cellStyle name="Currency0 4" xfId="23910" xr:uid="{00000000-0005-0000-0000-0000BE4F0000}"/>
    <cellStyle name="Currency0 4 2" xfId="27035" xr:uid="{00000000-0005-0000-0000-0000BF4F0000}"/>
    <cellStyle name="Currsmall" xfId="553" xr:uid="{00000000-0005-0000-0000-0000C04F0000}"/>
    <cellStyle name="Data Link" xfId="554" xr:uid="{00000000-0005-0000-0000-0000C14F0000}"/>
    <cellStyle name="Date" xfId="34" xr:uid="{00000000-0005-0000-0000-0000C24F0000}"/>
    <cellStyle name="Date - Style3" xfId="35" xr:uid="{00000000-0005-0000-0000-0000C34F0000}"/>
    <cellStyle name="Date (mm/dd/yy)" xfId="555" xr:uid="{00000000-0005-0000-0000-0000C44F0000}"/>
    <cellStyle name="Date (mm/dd/yy) 2" xfId="26040" xr:uid="{00000000-0005-0000-0000-0000C54F0000}"/>
    <cellStyle name="Date (mm/yy)" xfId="556" xr:uid="{00000000-0005-0000-0000-0000C64F0000}"/>
    <cellStyle name="Date (mm/yy) 2" xfId="26041" xr:uid="{00000000-0005-0000-0000-0000C74F0000}"/>
    <cellStyle name="Date (mmm/yy)" xfId="557" xr:uid="{00000000-0005-0000-0000-0000C84F0000}"/>
    <cellStyle name="Date (mmm/yy) 2" xfId="26042" xr:uid="{00000000-0005-0000-0000-0000C94F0000}"/>
    <cellStyle name="Date (Mon, Tues, etc)" xfId="558" xr:uid="{00000000-0005-0000-0000-0000CA4F0000}"/>
    <cellStyle name="Date (Mon, Tues, etc) 2" xfId="26043" xr:uid="{00000000-0005-0000-0000-0000CB4F0000}"/>
    <cellStyle name="Date (Monday, Tuesday, etc)" xfId="559" xr:uid="{00000000-0005-0000-0000-0000CC4F0000}"/>
    <cellStyle name="Date (Monday, Tuesday, etc) 2" xfId="26044" xr:uid="{00000000-0005-0000-0000-0000CD4F0000}"/>
    <cellStyle name="Date 10" xfId="460" xr:uid="{00000000-0005-0000-0000-0000CE4F0000}"/>
    <cellStyle name="Date 10 2" xfId="26025" xr:uid="{00000000-0005-0000-0000-0000CF4F0000}"/>
    <cellStyle name="Date 11" xfId="24408" xr:uid="{00000000-0005-0000-0000-0000D04F0000}"/>
    <cellStyle name="Date 11 2" xfId="27159" xr:uid="{00000000-0005-0000-0000-0000D14F0000}"/>
    <cellStyle name="Date 12" xfId="24401" xr:uid="{00000000-0005-0000-0000-0000D24F0000}"/>
    <cellStyle name="Date 12 2" xfId="27154" xr:uid="{00000000-0005-0000-0000-0000D34F0000}"/>
    <cellStyle name="Date 13" xfId="24409" xr:uid="{00000000-0005-0000-0000-0000D44F0000}"/>
    <cellStyle name="Date 13 2" xfId="27160" xr:uid="{00000000-0005-0000-0000-0000D54F0000}"/>
    <cellStyle name="Date 14" xfId="24405" xr:uid="{00000000-0005-0000-0000-0000D64F0000}"/>
    <cellStyle name="Date 14 2" xfId="27158" xr:uid="{00000000-0005-0000-0000-0000D74F0000}"/>
    <cellStyle name="Date 15" xfId="24502" xr:uid="{00000000-0005-0000-0000-0000D84F0000}"/>
    <cellStyle name="Date 15 2" xfId="27190" xr:uid="{00000000-0005-0000-0000-0000D94F0000}"/>
    <cellStyle name="Date 16" xfId="24404" xr:uid="{00000000-0005-0000-0000-0000DA4F0000}"/>
    <cellStyle name="Date 16 2" xfId="27157" xr:uid="{00000000-0005-0000-0000-0000DB4F0000}"/>
    <cellStyle name="Date 17" xfId="24495" xr:uid="{00000000-0005-0000-0000-0000DC4F0000}"/>
    <cellStyle name="Date 17 2" xfId="27184" xr:uid="{00000000-0005-0000-0000-0000DD4F0000}"/>
    <cellStyle name="Date 18" xfId="24315" xr:uid="{00000000-0005-0000-0000-0000DE4F0000}"/>
    <cellStyle name="Date 18 2" xfId="27146" xr:uid="{00000000-0005-0000-0000-0000DF4F0000}"/>
    <cellStyle name="Date 19" xfId="24493" xr:uid="{00000000-0005-0000-0000-0000E04F0000}"/>
    <cellStyle name="Date 19 2" xfId="27182" xr:uid="{00000000-0005-0000-0000-0000E14F0000}"/>
    <cellStyle name="Date 2" xfId="404" xr:uid="{00000000-0005-0000-0000-0000E24F0000}"/>
    <cellStyle name="Date 2 2" xfId="24083" xr:uid="{00000000-0005-0000-0000-0000E34F0000}"/>
    <cellStyle name="Date 2 2 2" xfId="27062" xr:uid="{00000000-0005-0000-0000-0000E44F0000}"/>
    <cellStyle name="Date 20" xfId="24317" xr:uid="{00000000-0005-0000-0000-0000E54F0000}"/>
    <cellStyle name="Date 20 2" xfId="27147" xr:uid="{00000000-0005-0000-0000-0000E64F0000}"/>
    <cellStyle name="Date 21" xfId="24489" xr:uid="{00000000-0005-0000-0000-0000E74F0000}"/>
    <cellStyle name="Date 21 2" xfId="27179" xr:uid="{00000000-0005-0000-0000-0000E84F0000}"/>
    <cellStyle name="Date 22" xfId="24483" xr:uid="{00000000-0005-0000-0000-0000E94F0000}"/>
    <cellStyle name="Date 22 2" xfId="27175" xr:uid="{00000000-0005-0000-0000-0000EA4F0000}"/>
    <cellStyle name="Date 23" xfId="24491" xr:uid="{00000000-0005-0000-0000-0000EB4F0000}"/>
    <cellStyle name="Date 23 2" xfId="27181" xr:uid="{00000000-0005-0000-0000-0000EC4F0000}"/>
    <cellStyle name="Date 24" xfId="24403" xr:uid="{00000000-0005-0000-0000-0000ED4F0000}"/>
    <cellStyle name="Date 24 2" xfId="27156" xr:uid="{00000000-0005-0000-0000-0000EE4F0000}"/>
    <cellStyle name="Date 25" xfId="24488" xr:uid="{00000000-0005-0000-0000-0000EF4F0000}"/>
    <cellStyle name="Date 25 2" xfId="27178" xr:uid="{00000000-0005-0000-0000-0000F04F0000}"/>
    <cellStyle name="Date 26" xfId="24507" xr:uid="{00000000-0005-0000-0000-0000F14F0000}"/>
    <cellStyle name="Date 26 2" xfId="27193" xr:uid="{00000000-0005-0000-0000-0000F24F0000}"/>
    <cellStyle name="Date 27" xfId="23911" xr:uid="{00000000-0005-0000-0000-0000F34F0000}"/>
    <cellStyle name="Date 27 2" xfId="27036" xr:uid="{00000000-0005-0000-0000-0000F44F0000}"/>
    <cellStyle name="Date 28" xfId="23925" xr:uid="{00000000-0005-0000-0000-0000F54F0000}"/>
    <cellStyle name="Date 28 2" xfId="27039" xr:uid="{00000000-0005-0000-0000-0000F64F0000}"/>
    <cellStyle name="Date 29" xfId="24530" xr:uid="{00000000-0005-0000-0000-0000F74F0000}"/>
    <cellStyle name="Date 29 2" xfId="27209" xr:uid="{00000000-0005-0000-0000-0000F84F0000}"/>
    <cellStyle name="Date 3" xfId="381" xr:uid="{00000000-0005-0000-0000-0000F94F0000}"/>
    <cellStyle name="Date 3 2" xfId="25997" xr:uid="{00000000-0005-0000-0000-0000FA4F0000}"/>
    <cellStyle name="Date 30" xfId="24007" xr:uid="{00000000-0005-0000-0000-0000FB4F0000}"/>
    <cellStyle name="Date 30 2" xfId="27045" xr:uid="{00000000-0005-0000-0000-0000FC4F0000}"/>
    <cellStyle name="Date 31" xfId="24539" xr:uid="{00000000-0005-0000-0000-0000FD4F0000}"/>
    <cellStyle name="Date 31 2" xfId="27215" xr:uid="{00000000-0005-0000-0000-0000FE4F0000}"/>
    <cellStyle name="Date 32" xfId="24520" xr:uid="{00000000-0005-0000-0000-0000FF4F0000}"/>
    <cellStyle name="Date 32 2" xfId="27204" xr:uid="{00000000-0005-0000-0000-000000500000}"/>
    <cellStyle name="Date 33" xfId="24084" xr:uid="{00000000-0005-0000-0000-000001500000}"/>
    <cellStyle name="Date 33 2" xfId="27063" xr:uid="{00000000-0005-0000-0000-000002500000}"/>
    <cellStyle name="Date 34" xfId="24527" xr:uid="{00000000-0005-0000-0000-000003500000}"/>
    <cellStyle name="Date 34 2" xfId="27207" xr:uid="{00000000-0005-0000-0000-000004500000}"/>
    <cellStyle name="Date 35" xfId="24538" xr:uid="{00000000-0005-0000-0000-000005500000}"/>
    <cellStyle name="Date 35 2" xfId="27214" xr:uid="{00000000-0005-0000-0000-000006500000}"/>
    <cellStyle name="Date 36" xfId="24097" xr:uid="{00000000-0005-0000-0000-000007500000}"/>
    <cellStyle name="Date 36 2" xfId="27065" xr:uid="{00000000-0005-0000-0000-000008500000}"/>
    <cellStyle name="Date 37" xfId="24534" xr:uid="{00000000-0005-0000-0000-000009500000}"/>
    <cellStyle name="Date 37 2" xfId="27212" xr:uid="{00000000-0005-0000-0000-00000A500000}"/>
    <cellStyle name="Date 38" xfId="24548" xr:uid="{00000000-0005-0000-0000-00000B500000}"/>
    <cellStyle name="Date 38 2" xfId="27221" xr:uid="{00000000-0005-0000-0000-00000C500000}"/>
    <cellStyle name="Date 39" xfId="24772" xr:uid="{00000000-0005-0000-0000-00000D500000}"/>
    <cellStyle name="Date 39 2" xfId="27313" xr:uid="{00000000-0005-0000-0000-00000E500000}"/>
    <cellStyle name="Date 4" xfId="434" xr:uid="{00000000-0005-0000-0000-00000F500000}"/>
    <cellStyle name="Date 4 2" xfId="26016" xr:uid="{00000000-0005-0000-0000-000010500000}"/>
    <cellStyle name="Date 40" xfId="24635" xr:uid="{00000000-0005-0000-0000-000011500000}"/>
    <cellStyle name="Date 40 2" xfId="27229" xr:uid="{00000000-0005-0000-0000-000012500000}"/>
    <cellStyle name="Date 41" xfId="24916" xr:uid="{00000000-0005-0000-0000-000013500000}"/>
    <cellStyle name="Date 41 2" xfId="27327" xr:uid="{00000000-0005-0000-0000-000014500000}"/>
    <cellStyle name="Date 42" xfId="24932" xr:uid="{00000000-0005-0000-0000-000015500000}"/>
    <cellStyle name="Date 42 2" xfId="27339" xr:uid="{00000000-0005-0000-0000-000016500000}"/>
    <cellStyle name="Date 43" xfId="24856" xr:uid="{00000000-0005-0000-0000-000017500000}"/>
    <cellStyle name="Date 43 2" xfId="27317" xr:uid="{00000000-0005-0000-0000-000018500000}"/>
    <cellStyle name="Date 44" xfId="24760" xr:uid="{00000000-0005-0000-0000-000019500000}"/>
    <cellStyle name="Date 44 2" xfId="27305" xr:uid="{00000000-0005-0000-0000-00001A500000}"/>
    <cellStyle name="Date 45" xfId="24930" xr:uid="{00000000-0005-0000-0000-00001B500000}"/>
    <cellStyle name="Date 45 2" xfId="27338" xr:uid="{00000000-0005-0000-0000-00001C500000}"/>
    <cellStyle name="Date 46" xfId="24925" xr:uid="{00000000-0005-0000-0000-00001D500000}"/>
    <cellStyle name="Date 46 2" xfId="27334" xr:uid="{00000000-0005-0000-0000-00001E500000}"/>
    <cellStyle name="Date 47" xfId="24939" xr:uid="{00000000-0005-0000-0000-00001F500000}"/>
    <cellStyle name="Date 47 2" xfId="27344" xr:uid="{00000000-0005-0000-0000-000020500000}"/>
    <cellStyle name="Date 48" xfId="24921" xr:uid="{00000000-0005-0000-0000-000021500000}"/>
    <cellStyle name="Date 48 2" xfId="27330" xr:uid="{00000000-0005-0000-0000-000022500000}"/>
    <cellStyle name="Date 49" xfId="24928" xr:uid="{00000000-0005-0000-0000-000023500000}"/>
    <cellStyle name="Date 49 2" xfId="27337" xr:uid="{00000000-0005-0000-0000-000024500000}"/>
    <cellStyle name="Date 5" xfId="436" xr:uid="{00000000-0005-0000-0000-000025500000}"/>
    <cellStyle name="Date 5 2" xfId="26018" xr:uid="{00000000-0005-0000-0000-000026500000}"/>
    <cellStyle name="Date 50" xfId="24908" xr:uid="{00000000-0005-0000-0000-000027500000}"/>
    <cellStyle name="Date 50 2" xfId="27326" xr:uid="{00000000-0005-0000-0000-000028500000}"/>
    <cellStyle name="Date 51" xfId="24943" xr:uid="{00000000-0005-0000-0000-000029500000}"/>
    <cellStyle name="Date 51 2" xfId="27347" xr:uid="{00000000-0005-0000-0000-00002A500000}"/>
    <cellStyle name="Date 55" xfId="33364" xr:uid="{BBC7429A-2A77-4406-B6F2-60EFC8DDD392}"/>
    <cellStyle name="Date 6" xfId="389" xr:uid="{00000000-0005-0000-0000-00002B500000}"/>
    <cellStyle name="Date 6 2" xfId="26000" xr:uid="{00000000-0005-0000-0000-00002C500000}"/>
    <cellStyle name="Date 7" xfId="457" xr:uid="{00000000-0005-0000-0000-00002D500000}"/>
    <cellStyle name="Date 7 2" xfId="26022" xr:uid="{00000000-0005-0000-0000-00002E500000}"/>
    <cellStyle name="Date 8" xfId="462" xr:uid="{00000000-0005-0000-0000-00002F500000}"/>
    <cellStyle name="Date 8 2" xfId="26027" xr:uid="{00000000-0005-0000-0000-000030500000}"/>
    <cellStyle name="Date 9" xfId="458" xr:uid="{00000000-0005-0000-0000-000031500000}"/>
    <cellStyle name="Date 9 2" xfId="26023" xr:uid="{00000000-0005-0000-0000-000032500000}"/>
    <cellStyle name="Date_2002SavingsIdeasSummary" xfId="560" xr:uid="{00000000-0005-0000-0000-000033500000}"/>
    <cellStyle name="Emphasis 1" xfId="24085" xr:uid="{00000000-0005-0000-0000-000034500000}"/>
    <cellStyle name="Emphasis 2" xfId="24086" xr:uid="{00000000-0005-0000-0000-000035500000}"/>
    <cellStyle name="Emphasis 3" xfId="24087" xr:uid="{00000000-0005-0000-0000-000036500000}"/>
    <cellStyle name="Explanatory Text 10" xfId="2591" xr:uid="{00000000-0005-0000-0000-000037500000}"/>
    <cellStyle name="Explanatory Text 11" xfId="2592" xr:uid="{00000000-0005-0000-0000-000038500000}"/>
    <cellStyle name="Explanatory Text 12" xfId="2593" xr:uid="{00000000-0005-0000-0000-000039500000}"/>
    <cellStyle name="Explanatory Text 13" xfId="2594" xr:uid="{00000000-0005-0000-0000-00003A500000}"/>
    <cellStyle name="Explanatory Text 14" xfId="2595" xr:uid="{00000000-0005-0000-0000-00003B500000}"/>
    <cellStyle name="Explanatory Text 15" xfId="2596" xr:uid="{00000000-0005-0000-0000-00003C500000}"/>
    <cellStyle name="Explanatory Text 16" xfId="2597" xr:uid="{00000000-0005-0000-0000-00003D500000}"/>
    <cellStyle name="Explanatory Text 17" xfId="2598" xr:uid="{00000000-0005-0000-0000-00003E500000}"/>
    <cellStyle name="Explanatory Text 18" xfId="2599" xr:uid="{00000000-0005-0000-0000-00003F500000}"/>
    <cellStyle name="Explanatory Text 19" xfId="2600" xr:uid="{00000000-0005-0000-0000-000040500000}"/>
    <cellStyle name="Explanatory Text 2" xfId="2601" xr:uid="{00000000-0005-0000-0000-000041500000}"/>
    <cellStyle name="Explanatory Text 20" xfId="2602" xr:uid="{00000000-0005-0000-0000-000042500000}"/>
    <cellStyle name="Explanatory Text 21" xfId="2603" xr:uid="{00000000-0005-0000-0000-000043500000}"/>
    <cellStyle name="Explanatory Text 22" xfId="2604" xr:uid="{00000000-0005-0000-0000-000044500000}"/>
    <cellStyle name="Explanatory Text 23" xfId="2605" xr:uid="{00000000-0005-0000-0000-000045500000}"/>
    <cellStyle name="Explanatory Text 24" xfId="2606" xr:uid="{00000000-0005-0000-0000-000046500000}"/>
    <cellStyle name="Explanatory Text 25" xfId="2607" xr:uid="{00000000-0005-0000-0000-000047500000}"/>
    <cellStyle name="Explanatory Text 26" xfId="2608" xr:uid="{00000000-0005-0000-0000-000048500000}"/>
    <cellStyle name="Explanatory Text 27" xfId="2609" xr:uid="{00000000-0005-0000-0000-000049500000}"/>
    <cellStyle name="Explanatory Text 28" xfId="2610" xr:uid="{00000000-0005-0000-0000-00004A500000}"/>
    <cellStyle name="Explanatory Text 29" xfId="2611" xr:uid="{00000000-0005-0000-0000-00004B500000}"/>
    <cellStyle name="Explanatory Text 3" xfId="2612" xr:uid="{00000000-0005-0000-0000-00004C500000}"/>
    <cellStyle name="Explanatory Text 30" xfId="2613" xr:uid="{00000000-0005-0000-0000-00004D500000}"/>
    <cellStyle name="Explanatory Text 31" xfId="2614" xr:uid="{00000000-0005-0000-0000-00004E500000}"/>
    <cellStyle name="Explanatory Text 32" xfId="2615" xr:uid="{00000000-0005-0000-0000-00004F500000}"/>
    <cellStyle name="Explanatory Text 33" xfId="2616" xr:uid="{00000000-0005-0000-0000-000050500000}"/>
    <cellStyle name="Explanatory Text 34" xfId="2617" xr:uid="{00000000-0005-0000-0000-000051500000}"/>
    <cellStyle name="Explanatory Text 35" xfId="2618" xr:uid="{00000000-0005-0000-0000-000052500000}"/>
    <cellStyle name="Explanatory Text 36" xfId="2619" xr:uid="{00000000-0005-0000-0000-000053500000}"/>
    <cellStyle name="Explanatory Text 37" xfId="2620" xr:uid="{00000000-0005-0000-0000-000054500000}"/>
    <cellStyle name="Explanatory Text 38" xfId="2621" xr:uid="{00000000-0005-0000-0000-000055500000}"/>
    <cellStyle name="Explanatory Text 39" xfId="2622" xr:uid="{00000000-0005-0000-0000-000056500000}"/>
    <cellStyle name="Explanatory Text 4" xfId="2623" xr:uid="{00000000-0005-0000-0000-000057500000}"/>
    <cellStyle name="Explanatory Text 40" xfId="2624" xr:uid="{00000000-0005-0000-0000-000058500000}"/>
    <cellStyle name="Explanatory Text 41" xfId="2625" xr:uid="{00000000-0005-0000-0000-000059500000}"/>
    <cellStyle name="Explanatory Text 42" xfId="2626" xr:uid="{00000000-0005-0000-0000-00005A500000}"/>
    <cellStyle name="Explanatory Text 43" xfId="2627" xr:uid="{00000000-0005-0000-0000-00005B500000}"/>
    <cellStyle name="Explanatory Text 44" xfId="2628" xr:uid="{00000000-0005-0000-0000-00005C500000}"/>
    <cellStyle name="Explanatory Text 45" xfId="2629" xr:uid="{00000000-0005-0000-0000-00005D500000}"/>
    <cellStyle name="Explanatory Text 46" xfId="2630" xr:uid="{00000000-0005-0000-0000-00005E500000}"/>
    <cellStyle name="Explanatory Text 47" xfId="2631" xr:uid="{00000000-0005-0000-0000-00005F500000}"/>
    <cellStyle name="Explanatory Text 48" xfId="2632" xr:uid="{00000000-0005-0000-0000-000060500000}"/>
    <cellStyle name="Explanatory Text 49" xfId="2633" xr:uid="{00000000-0005-0000-0000-000061500000}"/>
    <cellStyle name="Explanatory Text 5" xfId="2634" xr:uid="{00000000-0005-0000-0000-000062500000}"/>
    <cellStyle name="Explanatory Text 50" xfId="2635" xr:uid="{00000000-0005-0000-0000-000063500000}"/>
    <cellStyle name="Explanatory Text 51" xfId="2636" xr:uid="{00000000-0005-0000-0000-000064500000}"/>
    <cellStyle name="Explanatory Text 52" xfId="2637" xr:uid="{00000000-0005-0000-0000-000065500000}"/>
    <cellStyle name="Explanatory Text 53" xfId="2638" xr:uid="{00000000-0005-0000-0000-000066500000}"/>
    <cellStyle name="Explanatory Text 54" xfId="2639" xr:uid="{00000000-0005-0000-0000-000067500000}"/>
    <cellStyle name="Explanatory Text 55" xfId="2640" xr:uid="{00000000-0005-0000-0000-000068500000}"/>
    <cellStyle name="Explanatory Text 56" xfId="2641" xr:uid="{00000000-0005-0000-0000-000069500000}"/>
    <cellStyle name="Explanatory Text 57" xfId="2642" xr:uid="{00000000-0005-0000-0000-00006A500000}"/>
    <cellStyle name="Explanatory Text 58" xfId="2643" xr:uid="{00000000-0005-0000-0000-00006B500000}"/>
    <cellStyle name="Explanatory Text 59" xfId="2644" xr:uid="{00000000-0005-0000-0000-00006C500000}"/>
    <cellStyle name="Explanatory Text 6" xfId="2645" xr:uid="{00000000-0005-0000-0000-00006D500000}"/>
    <cellStyle name="Explanatory Text 60" xfId="2646" xr:uid="{00000000-0005-0000-0000-00006E500000}"/>
    <cellStyle name="Explanatory Text 61" xfId="2647" xr:uid="{00000000-0005-0000-0000-00006F500000}"/>
    <cellStyle name="Explanatory Text 62" xfId="2648" xr:uid="{00000000-0005-0000-0000-000070500000}"/>
    <cellStyle name="Explanatory Text 63" xfId="2649" xr:uid="{00000000-0005-0000-0000-000071500000}"/>
    <cellStyle name="Explanatory Text 64" xfId="2650" xr:uid="{00000000-0005-0000-0000-000072500000}"/>
    <cellStyle name="Explanatory Text 65" xfId="2651" xr:uid="{00000000-0005-0000-0000-000073500000}"/>
    <cellStyle name="Explanatory Text 66" xfId="2652" xr:uid="{00000000-0005-0000-0000-000074500000}"/>
    <cellStyle name="Explanatory Text 67" xfId="2653" xr:uid="{00000000-0005-0000-0000-000075500000}"/>
    <cellStyle name="Explanatory Text 68" xfId="2654" xr:uid="{00000000-0005-0000-0000-000076500000}"/>
    <cellStyle name="Explanatory Text 69" xfId="2655" xr:uid="{00000000-0005-0000-0000-000077500000}"/>
    <cellStyle name="Explanatory Text 7" xfId="2656" xr:uid="{00000000-0005-0000-0000-000078500000}"/>
    <cellStyle name="Explanatory Text 70" xfId="2657" xr:uid="{00000000-0005-0000-0000-000079500000}"/>
    <cellStyle name="Explanatory Text 71" xfId="2658" xr:uid="{00000000-0005-0000-0000-00007A500000}"/>
    <cellStyle name="Explanatory Text 72" xfId="2659" xr:uid="{00000000-0005-0000-0000-00007B500000}"/>
    <cellStyle name="Explanatory Text 8" xfId="2660" xr:uid="{00000000-0005-0000-0000-00007C500000}"/>
    <cellStyle name="Explanatory Text 9" xfId="2661" xr:uid="{00000000-0005-0000-0000-00007D500000}"/>
    <cellStyle name="F2" xfId="561" xr:uid="{00000000-0005-0000-0000-00007E500000}"/>
    <cellStyle name="F2 2" xfId="24088" xr:uid="{00000000-0005-0000-0000-00007F500000}"/>
    <cellStyle name="F2 3" xfId="23912" xr:uid="{00000000-0005-0000-0000-000080500000}"/>
    <cellStyle name="F3" xfId="562" xr:uid="{00000000-0005-0000-0000-000081500000}"/>
    <cellStyle name="F3 2" xfId="24089" xr:uid="{00000000-0005-0000-0000-000082500000}"/>
    <cellStyle name="F3 3" xfId="23913" xr:uid="{00000000-0005-0000-0000-000083500000}"/>
    <cellStyle name="F4" xfId="563" xr:uid="{00000000-0005-0000-0000-000084500000}"/>
    <cellStyle name="F4 2" xfId="24090" xr:uid="{00000000-0005-0000-0000-000085500000}"/>
    <cellStyle name="F4 3" xfId="23914" xr:uid="{00000000-0005-0000-0000-000086500000}"/>
    <cellStyle name="F5" xfId="564" xr:uid="{00000000-0005-0000-0000-000087500000}"/>
    <cellStyle name="F5 2" xfId="24091" xr:uid="{00000000-0005-0000-0000-000088500000}"/>
    <cellStyle name="F5 3" xfId="23915" xr:uid="{00000000-0005-0000-0000-000089500000}"/>
    <cellStyle name="F6" xfId="565" xr:uid="{00000000-0005-0000-0000-00008A500000}"/>
    <cellStyle name="F6 2" xfId="24092" xr:uid="{00000000-0005-0000-0000-00008B500000}"/>
    <cellStyle name="F6 3" xfId="23916" xr:uid="{00000000-0005-0000-0000-00008C500000}"/>
    <cellStyle name="F7" xfId="566" xr:uid="{00000000-0005-0000-0000-00008D500000}"/>
    <cellStyle name="F7 2" xfId="24093" xr:uid="{00000000-0005-0000-0000-00008E500000}"/>
    <cellStyle name="F7 3" xfId="23917" xr:uid="{00000000-0005-0000-0000-00008F500000}"/>
    <cellStyle name="F8" xfId="567" xr:uid="{00000000-0005-0000-0000-000090500000}"/>
    <cellStyle name="F8 2" xfId="24094" xr:uid="{00000000-0005-0000-0000-000091500000}"/>
    <cellStyle name="F8 3" xfId="23918" xr:uid="{00000000-0005-0000-0000-000092500000}"/>
    <cellStyle name="Fixed" xfId="36" xr:uid="{00000000-0005-0000-0000-000093500000}"/>
    <cellStyle name="Fixed 2" xfId="405" xr:uid="{00000000-0005-0000-0000-000094500000}"/>
    <cellStyle name="Fixed 2 2" xfId="24095" xr:uid="{00000000-0005-0000-0000-000095500000}"/>
    <cellStyle name="Fixed 2 2 2" xfId="27064" xr:uid="{00000000-0005-0000-0000-000096500000}"/>
    <cellStyle name="Fixed 3" xfId="382" xr:uid="{00000000-0005-0000-0000-000097500000}"/>
    <cellStyle name="Fixed 3 2" xfId="25998" xr:uid="{00000000-0005-0000-0000-000098500000}"/>
    <cellStyle name="Fixed 4" xfId="23919" xr:uid="{00000000-0005-0000-0000-000099500000}"/>
    <cellStyle name="Fixed 4 2" xfId="27037" xr:uid="{00000000-0005-0000-0000-00009A500000}"/>
    <cellStyle name="Fixlong" xfId="568" xr:uid="{00000000-0005-0000-0000-00009B500000}"/>
    <cellStyle name="Followed Hyperlink" xfId="4621" builtinId="9" customBuiltin="1"/>
    <cellStyle name="Followed Hyperlink 2" xfId="2662" xr:uid="{00000000-0005-0000-0000-00009D500000}"/>
    <cellStyle name="Followed Hyperlink 3" xfId="2663" xr:uid="{00000000-0005-0000-0000-00009E500000}"/>
    <cellStyle name="Formula" xfId="569" xr:uid="{00000000-0005-0000-0000-00009F500000}"/>
    <cellStyle name="Formula 2" xfId="24096" xr:uid="{00000000-0005-0000-0000-0000A0500000}"/>
    <cellStyle name="Formula 2 2" xfId="24774" xr:uid="{00000000-0005-0000-0000-0000A1500000}"/>
    <cellStyle name="Formula 3" xfId="24861" xr:uid="{00000000-0005-0000-0000-0000A2500000}"/>
    <cellStyle name="General" xfId="37" xr:uid="{00000000-0005-0000-0000-0000A3500000}"/>
    <cellStyle name="Good 10" xfId="2664" xr:uid="{00000000-0005-0000-0000-0000A4500000}"/>
    <cellStyle name="Good 11" xfId="2665" xr:uid="{00000000-0005-0000-0000-0000A5500000}"/>
    <cellStyle name="Good 12" xfId="2666" xr:uid="{00000000-0005-0000-0000-0000A6500000}"/>
    <cellStyle name="Good 13" xfId="2667" xr:uid="{00000000-0005-0000-0000-0000A7500000}"/>
    <cellStyle name="Good 14" xfId="2668" xr:uid="{00000000-0005-0000-0000-0000A8500000}"/>
    <cellStyle name="Good 15" xfId="2669" xr:uid="{00000000-0005-0000-0000-0000A9500000}"/>
    <cellStyle name="Good 16" xfId="2670" xr:uid="{00000000-0005-0000-0000-0000AA500000}"/>
    <cellStyle name="Good 17" xfId="2671" xr:uid="{00000000-0005-0000-0000-0000AB500000}"/>
    <cellStyle name="Good 18" xfId="2672" xr:uid="{00000000-0005-0000-0000-0000AC500000}"/>
    <cellStyle name="Good 19" xfId="2673" xr:uid="{00000000-0005-0000-0000-0000AD500000}"/>
    <cellStyle name="Good 2" xfId="2674" xr:uid="{00000000-0005-0000-0000-0000AE500000}"/>
    <cellStyle name="Good 2 2" xfId="24099" xr:uid="{00000000-0005-0000-0000-0000AF500000}"/>
    <cellStyle name="Good 2 3" xfId="24098" xr:uid="{00000000-0005-0000-0000-0000B0500000}"/>
    <cellStyle name="Good 20" xfId="2675" xr:uid="{00000000-0005-0000-0000-0000B1500000}"/>
    <cellStyle name="Good 21" xfId="2676" xr:uid="{00000000-0005-0000-0000-0000B2500000}"/>
    <cellStyle name="Good 22" xfId="2677" xr:uid="{00000000-0005-0000-0000-0000B3500000}"/>
    <cellStyle name="Good 23" xfId="2678" xr:uid="{00000000-0005-0000-0000-0000B4500000}"/>
    <cellStyle name="Good 24" xfId="2679" xr:uid="{00000000-0005-0000-0000-0000B5500000}"/>
    <cellStyle name="Good 25" xfId="2680" xr:uid="{00000000-0005-0000-0000-0000B6500000}"/>
    <cellStyle name="Good 26" xfId="2681" xr:uid="{00000000-0005-0000-0000-0000B7500000}"/>
    <cellStyle name="Good 27" xfId="2682" xr:uid="{00000000-0005-0000-0000-0000B8500000}"/>
    <cellStyle name="Good 28" xfId="2683" xr:uid="{00000000-0005-0000-0000-0000B9500000}"/>
    <cellStyle name="Good 29" xfId="2684" xr:uid="{00000000-0005-0000-0000-0000BA500000}"/>
    <cellStyle name="Good 3" xfId="2685" xr:uid="{00000000-0005-0000-0000-0000BB500000}"/>
    <cellStyle name="Good 3 2" xfId="24100" xr:uid="{00000000-0005-0000-0000-0000BC500000}"/>
    <cellStyle name="Good 30" xfId="2686" xr:uid="{00000000-0005-0000-0000-0000BD500000}"/>
    <cellStyle name="Good 31" xfId="2687" xr:uid="{00000000-0005-0000-0000-0000BE500000}"/>
    <cellStyle name="Good 32" xfId="2688" xr:uid="{00000000-0005-0000-0000-0000BF500000}"/>
    <cellStyle name="Good 33" xfId="2689" xr:uid="{00000000-0005-0000-0000-0000C0500000}"/>
    <cellStyle name="Good 34" xfId="2690" xr:uid="{00000000-0005-0000-0000-0000C1500000}"/>
    <cellStyle name="Good 35" xfId="2691" xr:uid="{00000000-0005-0000-0000-0000C2500000}"/>
    <cellStyle name="Good 36" xfId="2692" xr:uid="{00000000-0005-0000-0000-0000C3500000}"/>
    <cellStyle name="Good 37" xfId="2693" xr:uid="{00000000-0005-0000-0000-0000C4500000}"/>
    <cellStyle name="Good 38" xfId="2694" xr:uid="{00000000-0005-0000-0000-0000C5500000}"/>
    <cellStyle name="Good 39" xfId="2695" xr:uid="{00000000-0005-0000-0000-0000C6500000}"/>
    <cellStyle name="Good 4" xfId="2696" xr:uid="{00000000-0005-0000-0000-0000C7500000}"/>
    <cellStyle name="Good 4 2" xfId="24101" xr:uid="{00000000-0005-0000-0000-0000C8500000}"/>
    <cellStyle name="Good 40" xfId="2697" xr:uid="{00000000-0005-0000-0000-0000C9500000}"/>
    <cellStyle name="Good 41" xfId="2698" xr:uid="{00000000-0005-0000-0000-0000CA500000}"/>
    <cellStyle name="Good 42" xfId="2699" xr:uid="{00000000-0005-0000-0000-0000CB500000}"/>
    <cellStyle name="Good 43" xfId="2700" xr:uid="{00000000-0005-0000-0000-0000CC500000}"/>
    <cellStyle name="Good 44" xfId="2701" xr:uid="{00000000-0005-0000-0000-0000CD500000}"/>
    <cellStyle name="Good 45" xfId="2702" xr:uid="{00000000-0005-0000-0000-0000CE500000}"/>
    <cellStyle name="Good 46" xfId="2703" xr:uid="{00000000-0005-0000-0000-0000CF500000}"/>
    <cellStyle name="Good 47" xfId="2704" xr:uid="{00000000-0005-0000-0000-0000D0500000}"/>
    <cellStyle name="Good 48" xfId="2705" xr:uid="{00000000-0005-0000-0000-0000D1500000}"/>
    <cellStyle name="Good 49" xfId="2706" xr:uid="{00000000-0005-0000-0000-0000D2500000}"/>
    <cellStyle name="Good 5" xfId="2707" xr:uid="{00000000-0005-0000-0000-0000D3500000}"/>
    <cellStyle name="Good 50" xfId="2708" xr:uid="{00000000-0005-0000-0000-0000D4500000}"/>
    <cellStyle name="Good 51" xfId="2709" xr:uid="{00000000-0005-0000-0000-0000D5500000}"/>
    <cellStyle name="Good 52" xfId="2710" xr:uid="{00000000-0005-0000-0000-0000D6500000}"/>
    <cellStyle name="Good 53" xfId="2711" xr:uid="{00000000-0005-0000-0000-0000D7500000}"/>
    <cellStyle name="Good 54" xfId="2712" xr:uid="{00000000-0005-0000-0000-0000D8500000}"/>
    <cellStyle name="Good 55" xfId="2713" xr:uid="{00000000-0005-0000-0000-0000D9500000}"/>
    <cellStyle name="Good 56" xfId="2714" xr:uid="{00000000-0005-0000-0000-0000DA500000}"/>
    <cellStyle name="Good 57" xfId="2715" xr:uid="{00000000-0005-0000-0000-0000DB500000}"/>
    <cellStyle name="Good 58" xfId="2716" xr:uid="{00000000-0005-0000-0000-0000DC500000}"/>
    <cellStyle name="Good 59" xfId="2717" xr:uid="{00000000-0005-0000-0000-0000DD500000}"/>
    <cellStyle name="Good 6" xfId="2718" xr:uid="{00000000-0005-0000-0000-0000DE500000}"/>
    <cellStyle name="Good 60" xfId="2719" xr:uid="{00000000-0005-0000-0000-0000DF500000}"/>
    <cellStyle name="Good 61" xfId="2720" xr:uid="{00000000-0005-0000-0000-0000E0500000}"/>
    <cellStyle name="Good 62" xfId="2721" xr:uid="{00000000-0005-0000-0000-0000E1500000}"/>
    <cellStyle name="Good 63" xfId="2722" xr:uid="{00000000-0005-0000-0000-0000E2500000}"/>
    <cellStyle name="Good 64" xfId="2723" xr:uid="{00000000-0005-0000-0000-0000E3500000}"/>
    <cellStyle name="Good 65" xfId="2724" xr:uid="{00000000-0005-0000-0000-0000E4500000}"/>
    <cellStyle name="Good 66" xfId="2725" xr:uid="{00000000-0005-0000-0000-0000E5500000}"/>
    <cellStyle name="Good 67" xfId="2726" xr:uid="{00000000-0005-0000-0000-0000E6500000}"/>
    <cellStyle name="Good 68" xfId="2727" xr:uid="{00000000-0005-0000-0000-0000E7500000}"/>
    <cellStyle name="Good 69" xfId="2728" xr:uid="{00000000-0005-0000-0000-0000E8500000}"/>
    <cellStyle name="Good 7" xfId="2729" xr:uid="{00000000-0005-0000-0000-0000E9500000}"/>
    <cellStyle name="Good 70" xfId="2730" xr:uid="{00000000-0005-0000-0000-0000EA500000}"/>
    <cellStyle name="Good 71" xfId="2731" xr:uid="{00000000-0005-0000-0000-0000EB500000}"/>
    <cellStyle name="Good 72" xfId="2732" xr:uid="{00000000-0005-0000-0000-0000EC500000}"/>
    <cellStyle name="Good 8" xfId="2733" xr:uid="{00000000-0005-0000-0000-0000ED500000}"/>
    <cellStyle name="Good 9" xfId="2734" xr:uid="{00000000-0005-0000-0000-0000EE500000}"/>
    <cellStyle name="Grey" xfId="38" xr:uid="{00000000-0005-0000-0000-0000EF500000}"/>
    <cellStyle name="header" xfId="39" xr:uid="{00000000-0005-0000-0000-0000F0500000}"/>
    <cellStyle name="Header1" xfId="40" xr:uid="{00000000-0005-0000-0000-0000F1500000}"/>
    <cellStyle name="Header1 2" xfId="25809" xr:uid="{00000000-0005-0000-0000-0000F2500000}"/>
    <cellStyle name="Header2" xfId="41" xr:uid="{00000000-0005-0000-0000-0000F3500000}"/>
    <cellStyle name="Header2 2" xfId="383" xr:uid="{00000000-0005-0000-0000-0000F4500000}"/>
    <cellStyle name="Header2 2 2" xfId="13782" xr:uid="{00000000-0005-0000-0000-0000F5500000}"/>
    <cellStyle name="Header2 2 2 2" xfId="25376" xr:uid="{00000000-0005-0000-0000-0000F6500000}"/>
    <cellStyle name="Header2 2 2 2 2" xfId="27530" xr:uid="{00000000-0005-0000-0000-0000F7500000}"/>
    <cellStyle name="Header2 2 2 2 2 2" xfId="32121" xr:uid="{C3B619B0-DC07-42E4-AA2E-9B018473B9F6}"/>
    <cellStyle name="Header2 2 2 2 3" xfId="29204" xr:uid="{00000000-0005-0000-0000-0000F8500000}"/>
    <cellStyle name="Header2 2 2 2 3 2" xfId="33187" xr:uid="{C2F66E54-A1E3-4C20-8A38-B7660639992D}"/>
    <cellStyle name="Header2 2 2 2 4" xfId="26314" xr:uid="{00000000-0005-0000-0000-0000F9500000}"/>
    <cellStyle name="Header2 2 2 2 4 2" xfId="31102" xr:uid="{4639B527-5D2E-4F98-A3F2-114D2F736E4C}"/>
    <cellStyle name="Header2 2 2 2 5" xfId="29362" xr:uid="{00000000-0005-0000-0000-0000FA500000}"/>
    <cellStyle name="Header2 2 2 2 6" xfId="30534" xr:uid="{1D05195A-62B3-43C6-A054-0E815CB92EAA}"/>
    <cellStyle name="Header2 2 2 3" xfId="29363" xr:uid="{00000000-0005-0000-0000-0000FB500000}"/>
    <cellStyle name="Header2 2 3" xfId="25280" xr:uid="{00000000-0005-0000-0000-0000FC500000}"/>
    <cellStyle name="Header2 2 3 2" xfId="27435" xr:uid="{00000000-0005-0000-0000-0000FD500000}"/>
    <cellStyle name="Header2 2 3 2 2" xfId="32030" xr:uid="{AC57F2A6-6527-4364-B8D8-D3A76DA1AFCF}"/>
    <cellStyle name="Header2 2 3 3" xfId="29186" xr:uid="{00000000-0005-0000-0000-0000FE500000}"/>
    <cellStyle name="Header2 2 3 3 2" xfId="33169" xr:uid="{D2BB6EC0-4099-4954-93FA-71AADF8AFB68}"/>
    <cellStyle name="Header2 2 3 4" xfId="26735" xr:uid="{00000000-0005-0000-0000-0000FF500000}"/>
    <cellStyle name="Header2 2 3 4 2" xfId="31496" xr:uid="{B3C7266E-46D2-46F3-A995-9EC2D975A107}"/>
    <cellStyle name="Header2 2 3 5" xfId="29361" xr:uid="{00000000-0005-0000-0000-000000510000}"/>
    <cellStyle name="Header2 2 3 6" xfId="30443" xr:uid="{6F8C5E05-49B9-4CBB-86A3-06197E626730}"/>
    <cellStyle name="Header2 2 4" xfId="29364" xr:uid="{00000000-0005-0000-0000-000001510000}"/>
    <cellStyle name="Header2 3" xfId="13607" xr:uid="{00000000-0005-0000-0000-000002510000}"/>
    <cellStyle name="Header2 3 2" xfId="25374" xr:uid="{00000000-0005-0000-0000-000003510000}"/>
    <cellStyle name="Header2 3 2 2" xfId="27528" xr:uid="{00000000-0005-0000-0000-000004510000}"/>
    <cellStyle name="Header2 3 2 2 2" xfId="32119" xr:uid="{0E0B95F6-27AD-450B-A1CA-C42EF0782D06}"/>
    <cellStyle name="Header2 3 2 3" xfId="29203" xr:uid="{00000000-0005-0000-0000-000005510000}"/>
    <cellStyle name="Header2 3 2 3 2" xfId="33186" xr:uid="{5B9D6D85-F64D-4449-9137-B04F29364A0B}"/>
    <cellStyle name="Header2 3 2 4" xfId="26953" xr:uid="{00000000-0005-0000-0000-000006510000}"/>
    <cellStyle name="Header2 3 2 4 2" xfId="31714" xr:uid="{5EC27C91-0051-4B63-A55A-4DE9120A926E}"/>
    <cellStyle name="Header2 3 2 5" xfId="29359" xr:uid="{00000000-0005-0000-0000-000007510000}"/>
    <cellStyle name="Header2 3 2 6" xfId="30532" xr:uid="{09954C51-BEC0-417A-B083-5782043466BD}"/>
    <cellStyle name="Header2 3 3" xfId="29360" xr:uid="{00000000-0005-0000-0000-000008510000}"/>
    <cellStyle name="Header2 4" xfId="24857" xr:uid="{00000000-0005-0000-0000-000009510000}"/>
    <cellStyle name="Header2 4 2" xfId="27318" xr:uid="{00000000-0005-0000-0000-00000A510000}"/>
    <cellStyle name="Header2 4 2 2" xfId="31937" xr:uid="{82CFEE61-3D7F-434F-8FF3-D49180B080D8}"/>
    <cellStyle name="Header2 4 3" xfId="26315" xr:uid="{00000000-0005-0000-0000-00000B510000}"/>
    <cellStyle name="Header2 4 3 2" xfId="31103" xr:uid="{F01EA148-9022-420A-B4B4-33EBD074D626}"/>
    <cellStyle name="Header2 4 4" xfId="26952" xr:uid="{00000000-0005-0000-0000-00000C510000}"/>
    <cellStyle name="Header2 4 4 2" xfId="31713" xr:uid="{3D47D7A6-1281-4E4A-BB5F-8A4A17244B69}"/>
    <cellStyle name="Header2 4 5" xfId="29404" xr:uid="{00000000-0005-0000-0000-00000D510000}"/>
    <cellStyle name="Header2 4 5 2" xfId="33347" xr:uid="{BEB23629-7218-4220-8871-F6BDF3D3031C}"/>
    <cellStyle name="Header2 4 6" xfId="29358" xr:uid="{00000000-0005-0000-0000-00000E510000}"/>
    <cellStyle name="Header2 5" xfId="29365" xr:uid="{00000000-0005-0000-0000-00000F510000}"/>
    <cellStyle name="Heading 1 10" xfId="2735" xr:uid="{00000000-0005-0000-0000-000010510000}"/>
    <cellStyle name="Heading 1 11" xfId="2736" xr:uid="{00000000-0005-0000-0000-000011510000}"/>
    <cellStyle name="Heading 1 12" xfId="2737" xr:uid="{00000000-0005-0000-0000-000012510000}"/>
    <cellStyle name="Heading 1 13" xfId="2738" xr:uid="{00000000-0005-0000-0000-000013510000}"/>
    <cellStyle name="Heading 1 14" xfId="2739" xr:uid="{00000000-0005-0000-0000-000014510000}"/>
    <cellStyle name="Heading 1 15" xfId="2740" xr:uid="{00000000-0005-0000-0000-000015510000}"/>
    <cellStyle name="Heading 1 16" xfId="2741" xr:uid="{00000000-0005-0000-0000-000016510000}"/>
    <cellStyle name="Heading 1 17" xfId="2742" xr:uid="{00000000-0005-0000-0000-000017510000}"/>
    <cellStyle name="Heading 1 18" xfId="2743" xr:uid="{00000000-0005-0000-0000-000018510000}"/>
    <cellStyle name="Heading 1 19" xfId="2744" xr:uid="{00000000-0005-0000-0000-000019510000}"/>
    <cellStyle name="Heading 1 2" xfId="42" xr:uid="{00000000-0005-0000-0000-00001A510000}"/>
    <cellStyle name="Heading 1 2 2" xfId="2745" xr:uid="{00000000-0005-0000-0000-00001B510000}"/>
    <cellStyle name="Heading 1 2 2 2" xfId="24104" xr:uid="{00000000-0005-0000-0000-00001C510000}"/>
    <cellStyle name="Heading 1 2 3" xfId="13608" xr:uid="{00000000-0005-0000-0000-00001D510000}"/>
    <cellStyle name="Heading 1 2 4" xfId="24103" xr:uid="{00000000-0005-0000-0000-00001E510000}"/>
    <cellStyle name="Heading 1 20" xfId="2746" xr:uid="{00000000-0005-0000-0000-00001F510000}"/>
    <cellStyle name="Heading 1 21" xfId="2747" xr:uid="{00000000-0005-0000-0000-000020510000}"/>
    <cellStyle name="Heading 1 22" xfId="2748" xr:uid="{00000000-0005-0000-0000-000021510000}"/>
    <cellStyle name="Heading 1 23" xfId="2749" xr:uid="{00000000-0005-0000-0000-000022510000}"/>
    <cellStyle name="Heading 1 24" xfId="2750" xr:uid="{00000000-0005-0000-0000-000023510000}"/>
    <cellStyle name="Heading 1 25" xfId="2751" xr:uid="{00000000-0005-0000-0000-000024510000}"/>
    <cellStyle name="Heading 1 26" xfId="2752" xr:uid="{00000000-0005-0000-0000-000025510000}"/>
    <cellStyle name="Heading 1 27" xfId="2753" xr:uid="{00000000-0005-0000-0000-000026510000}"/>
    <cellStyle name="Heading 1 28" xfId="2754" xr:uid="{00000000-0005-0000-0000-000027510000}"/>
    <cellStyle name="Heading 1 29" xfId="2755" xr:uid="{00000000-0005-0000-0000-000028510000}"/>
    <cellStyle name="Heading 1 3" xfId="2756" xr:uid="{00000000-0005-0000-0000-000029510000}"/>
    <cellStyle name="Heading 1 3 2" xfId="24105" xr:uid="{00000000-0005-0000-0000-00002A510000}"/>
    <cellStyle name="Heading 1 30" xfId="2757" xr:uid="{00000000-0005-0000-0000-00002B510000}"/>
    <cellStyle name="Heading 1 31" xfId="2758" xr:uid="{00000000-0005-0000-0000-00002C510000}"/>
    <cellStyle name="Heading 1 32" xfId="2759" xr:uid="{00000000-0005-0000-0000-00002D510000}"/>
    <cellStyle name="Heading 1 33" xfId="2760" xr:uid="{00000000-0005-0000-0000-00002E510000}"/>
    <cellStyle name="Heading 1 34" xfId="2761" xr:uid="{00000000-0005-0000-0000-00002F510000}"/>
    <cellStyle name="Heading 1 35" xfId="2762" xr:uid="{00000000-0005-0000-0000-000030510000}"/>
    <cellStyle name="Heading 1 36" xfId="2763" xr:uid="{00000000-0005-0000-0000-000031510000}"/>
    <cellStyle name="Heading 1 37" xfId="2764" xr:uid="{00000000-0005-0000-0000-000032510000}"/>
    <cellStyle name="Heading 1 38" xfId="2765" xr:uid="{00000000-0005-0000-0000-000033510000}"/>
    <cellStyle name="Heading 1 39" xfId="2766" xr:uid="{00000000-0005-0000-0000-000034510000}"/>
    <cellStyle name="Heading 1 4" xfId="2767" xr:uid="{00000000-0005-0000-0000-000035510000}"/>
    <cellStyle name="Heading 1 4 2" xfId="24106" xr:uid="{00000000-0005-0000-0000-000036510000}"/>
    <cellStyle name="Heading 1 40" xfId="2768" xr:uid="{00000000-0005-0000-0000-000037510000}"/>
    <cellStyle name="Heading 1 41" xfId="2769" xr:uid="{00000000-0005-0000-0000-000038510000}"/>
    <cellStyle name="Heading 1 42" xfId="2770" xr:uid="{00000000-0005-0000-0000-000039510000}"/>
    <cellStyle name="Heading 1 43" xfId="2771" xr:uid="{00000000-0005-0000-0000-00003A510000}"/>
    <cellStyle name="Heading 1 44" xfId="2772" xr:uid="{00000000-0005-0000-0000-00003B510000}"/>
    <cellStyle name="Heading 1 45" xfId="2773" xr:uid="{00000000-0005-0000-0000-00003C510000}"/>
    <cellStyle name="Heading 1 46" xfId="2774" xr:uid="{00000000-0005-0000-0000-00003D510000}"/>
    <cellStyle name="Heading 1 47" xfId="2775" xr:uid="{00000000-0005-0000-0000-00003E510000}"/>
    <cellStyle name="Heading 1 48" xfId="2776" xr:uid="{00000000-0005-0000-0000-00003F510000}"/>
    <cellStyle name="Heading 1 49" xfId="2777" xr:uid="{00000000-0005-0000-0000-000040510000}"/>
    <cellStyle name="Heading 1 5" xfId="2778" xr:uid="{00000000-0005-0000-0000-000041510000}"/>
    <cellStyle name="Heading 1 50" xfId="2779" xr:uid="{00000000-0005-0000-0000-000042510000}"/>
    <cellStyle name="Heading 1 51" xfId="2780" xr:uid="{00000000-0005-0000-0000-000043510000}"/>
    <cellStyle name="Heading 1 52" xfId="2781" xr:uid="{00000000-0005-0000-0000-000044510000}"/>
    <cellStyle name="Heading 1 53" xfId="2782" xr:uid="{00000000-0005-0000-0000-000045510000}"/>
    <cellStyle name="Heading 1 54" xfId="2783" xr:uid="{00000000-0005-0000-0000-000046510000}"/>
    <cellStyle name="Heading 1 55" xfId="2784" xr:uid="{00000000-0005-0000-0000-000047510000}"/>
    <cellStyle name="Heading 1 56" xfId="2785" xr:uid="{00000000-0005-0000-0000-000048510000}"/>
    <cellStyle name="Heading 1 57" xfId="2786" xr:uid="{00000000-0005-0000-0000-000049510000}"/>
    <cellStyle name="Heading 1 58" xfId="2787" xr:uid="{00000000-0005-0000-0000-00004A510000}"/>
    <cellStyle name="Heading 1 59" xfId="2788" xr:uid="{00000000-0005-0000-0000-00004B510000}"/>
    <cellStyle name="Heading 1 6" xfId="2789" xr:uid="{00000000-0005-0000-0000-00004C510000}"/>
    <cellStyle name="Heading 1 60" xfId="2790" xr:uid="{00000000-0005-0000-0000-00004D510000}"/>
    <cellStyle name="Heading 1 61" xfId="2791" xr:uid="{00000000-0005-0000-0000-00004E510000}"/>
    <cellStyle name="Heading 1 62" xfId="2792" xr:uid="{00000000-0005-0000-0000-00004F510000}"/>
    <cellStyle name="Heading 1 63" xfId="2793" xr:uid="{00000000-0005-0000-0000-000050510000}"/>
    <cellStyle name="Heading 1 64" xfId="2794" xr:uid="{00000000-0005-0000-0000-000051510000}"/>
    <cellStyle name="Heading 1 65" xfId="2795" xr:uid="{00000000-0005-0000-0000-000052510000}"/>
    <cellStyle name="Heading 1 66" xfId="2796" xr:uid="{00000000-0005-0000-0000-000053510000}"/>
    <cellStyle name="Heading 1 67" xfId="2797" xr:uid="{00000000-0005-0000-0000-000054510000}"/>
    <cellStyle name="Heading 1 68" xfId="2798" xr:uid="{00000000-0005-0000-0000-000055510000}"/>
    <cellStyle name="Heading 1 69" xfId="2799" xr:uid="{00000000-0005-0000-0000-000056510000}"/>
    <cellStyle name="Heading 1 7" xfId="2800" xr:uid="{00000000-0005-0000-0000-000057510000}"/>
    <cellStyle name="Heading 1 70" xfId="2801" xr:uid="{00000000-0005-0000-0000-000058510000}"/>
    <cellStyle name="Heading 1 71" xfId="2802" xr:uid="{00000000-0005-0000-0000-000059510000}"/>
    <cellStyle name="Heading 1 72" xfId="2803" xr:uid="{00000000-0005-0000-0000-00005A510000}"/>
    <cellStyle name="Heading 1 73" xfId="23920" xr:uid="{00000000-0005-0000-0000-00005B510000}"/>
    <cellStyle name="Heading 1 74" xfId="33357" xr:uid="{E273C200-7811-44AF-A620-2293EC0FF2E7}"/>
    <cellStyle name="Heading 1 8" xfId="2804" xr:uid="{00000000-0005-0000-0000-00005C510000}"/>
    <cellStyle name="Heading 1 9" xfId="2805" xr:uid="{00000000-0005-0000-0000-00005D510000}"/>
    <cellStyle name="Heading 2 10" xfId="2806" xr:uid="{00000000-0005-0000-0000-00005E510000}"/>
    <cellStyle name="Heading 2 11" xfId="2807" xr:uid="{00000000-0005-0000-0000-00005F510000}"/>
    <cellStyle name="Heading 2 12" xfId="2808" xr:uid="{00000000-0005-0000-0000-000060510000}"/>
    <cellStyle name="Heading 2 13" xfId="2809" xr:uid="{00000000-0005-0000-0000-000061510000}"/>
    <cellStyle name="Heading 2 14" xfId="2810" xr:uid="{00000000-0005-0000-0000-000062510000}"/>
    <cellStyle name="Heading 2 15" xfId="2811" xr:uid="{00000000-0005-0000-0000-000063510000}"/>
    <cellStyle name="Heading 2 16" xfId="2812" xr:uid="{00000000-0005-0000-0000-000064510000}"/>
    <cellStyle name="Heading 2 17" xfId="2813" xr:uid="{00000000-0005-0000-0000-000065510000}"/>
    <cellStyle name="Heading 2 18" xfId="2814" xr:uid="{00000000-0005-0000-0000-000066510000}"/>
    <cellStyle name="Heading 2 19" xfId="2815" xr:uid="{00000000-0005-0000-0000-000067510000}"/>
    <cellStyle name="Heading 2 2" xfId="43" xr:uid="{00000000-0005-0000-0000-000068510000}"/>
    <cellStyle name="Heading 2 2 2" xfId="2816" xr:uid="{00000000-0005-0000-0000-000069510000}"/>
    <cellStyle name="Heading 2 2 2 2" xfId="24108" xr:uid="{00000000-0005-0000-0000-00006A510000}"/>
    <cellStyle name="Heading 2 2 3" xfId="13609" xr:uid="{00000000-0005-0000-0000-00006B510000}"/>
    <cellStyle name="Heading 2 2 4" xfId="24107" xr:uid="{00000000-0005-0000-0000-00006C510000}"/>
    <cellStyle name="Heading 2 20" xfId="2817" xr:uid="{00000000-0005-0000-0000-00006D510000}"/>
    <cellStyle name="Heading 2 21" xfId="2818" xr:uid="{00000000-0005-0000-0000-00006E510000}"/>
    <cellStyle name="Heading 2 22" xfId="2819" xr:uid="{00000000-0005-0000-0000-00006F510000}"/>
    <cellStyle name="Heading 2 23" xfId="2820" xr:uid="{00000000-0005-0000-0000-000070510000}"/>
    <cellStyle name="Heading 2 24" xfId="2821" xr:uid="{00000000-0005-0000-0000-000071510000}"/>
    <cellStyle name="Heading 2 25" xfId="2822" xr:uid="{00000000-0005-0000-0000-000072510000}"/>
    <cellStyle name="Heading 2 26" xfId="2823" xr:uid="{00000000-0005-0000-0000-000073510000}"/>
    <cellStyle name="Heading 2 27" xfId="2824" xr:uid="{00000000-0005-0000-0000-000074510000}"/>
    <cellStyle name="Heading 2 28" xfId="2825" xr:uid="{00000000-0005-0000-0000-000075510000}"/>
    <cellStyle name="Heading 2 29" xfId="2826" xr:uid="{00000000-0005-0000-0000-000076510000}"/>
    <cellStyle name="Heading 2 3" xfId="2827" xr:uid="{00000000-0005-0000-0000-000077510000}"/>
    <cellStyle name="Heading 2 3 2" xfId="24109" xr:uid="{00000000-0005-0000-0000-000078510000}"/>
    <cellStyle name="Heading 2 30" xfId="2828" xr:uid="{00000000-0005-0000-0000-000079510000}"/>
    <cellStyle name="Heading 2 31" xfId="2829" xr:uid="{00000000-0005-0000-0000-00007A510000}"/>
    <cellStyle name="Heading 2 32" xfId="2830" xr:uid="{00000000-0005-0000-0000-00007B510000}"/>
    <cellStyle name="Heading 2 33" xfId="2831" xr:uid="{00000000-0005-0000-0000-00007C510000}"/>
    <cellStyle name="Heading 2 34" xfId="2832" xr:uid="{00000000-0005-0000-0000-00007D510000}"/>
    <cellStyle name="Heading 2 35" xfId="2833" xr:uid="{00000000-0005-0000-0000-00007E510000}"/>
    <cellStyle name="Heading 2 36" xfId="2834" xr:uid="{00000000-0005-0000-0000-00007F510000}"/>
    <cellStyle name="Heading 2 37" xfId="2835" xr:uid="{00000000-0005-0000-0000-000080510000}"/>
    <cellStyle name="Heading 2 38" xfId="2836" xr:uid="{00000000-0005-0000-0000-000081510000}"/>
    <cellStyle name="Heading 2 39" xfId="2837" xr:uid="{00000000-0005-0000-0000-000082510000}"/>
    <cellStyle name="Heading 2 4" xfId="2838" xr:uid="{00000000-0005-0000-0000-000083510000}"/>
    <cellStyle name="Heading 2 4 2" xfId="24110" xr:uid="{00000000-0005-0000-0000-000084510000}"/>
    <cellStyle name="Heading 2 40" xfId="2839" xr:uid="{00000000-0005-0000-0000-000085510000}"/>
    <cellStyle name="Heading 2 41" xfId="2840" xr:uid="{00000000-0005-0000-0000-000086510000}"/>
    <cellStyle name="Heading 2 42" xfId="2841" xr:uid="{00000000-0005-0000-0000-000087510000}"/>
    <cellStyle name="Heading 2 43" xfId="2842" xr:uid="{00000000-0005-0000-0000-000088510000}"/>
    <cellStyle name="Heading 2 44" xfId="2843" xr:uid="{00000000-0005-0000-0000-000089510000}"/>
    <cellStyle name="Heading 2 45" xfId="2844" xr:uid="{00000000-0005-0000-0000-00008A510000}"/>
    <cellStyle name="Heading 2 46" xfId="2845" xr:uid="{00000000-0005-0000-0000-00008B510000}"/>
    <cellStyle name="Heading 2 47" xfId="2846" xr:uid="{00000000-0005-0000-0000-00008C510000}"/>
    <cellStyle name="Heading 2 48" xfId="2847" xr:uid="{00000000-0005-0000-0000-00008D510000}"/>
    <cellStyle name="Heading 2 49" xfId="2848" xr:uid="{00000000-0005-0000-0000-00008E510000}"/>
    <cellStyle name="Heading 2 5" xfId="2849" xr:uid="{00000000-0005-0000-0000-00008F510000}"/>
    <cellStyle name="Heading 2 50" xfId="2850" xr:uid="{00000000-0005-0000-0000-000090510000}"/>
    <cellStyle name="Heading 2 51" xfId="2851" xr:uid="{00000000-0005-0000-0000-000091510000}"/>
    <cellStyle name="Heading 2 52" xfId="2852" xr:uid="{00000000-0005-0000-0000-000092510000}"/>
    <cellStyle name="Heading 2 53" xfId="2853" xr:uid="{00000000-0005-0000-0000-000093510000}"/>
    <cellStyle name="Heading 2 54" xfId="2854" xr:uid="{00000000-0005-0000-0000-000094510000}"/>
    <cellStyle name="Heading 2 55" xfId="2855" xr:uid="{00000000-0005-0000-0000-000095510000}"/>
    <cellStyle name="Heading 2 56" xfId="2856" xr:uid="{00000000-0005-0000-0000-000096510000}"/>
    <cellStyle name="Heading 2 57" xfId="2857" xr:uid="{00000000-0005-0000-0000-000097510000}"/>
    <cellStyle name="Heading 2 58" xfId="2858" xr:uid="{00000000-0005-0000-0000-000098510000}"/>
    <cellStyle name="Heading 2 59" xfId="2859" xr:uid="{00000000-0005-0000-0000-000099510000}"/>
    <cellStyle name="Heading 2 6" xfId="2860" xr:uid="{00000000-0005-0000-0000-00009A510000}"/>
    <cellStyle name="Heading 2 60" xfId="2861" xr:uid="{00000000-0005-0000-0000-00009B510000}"/>
    <cellStyle name="Heading 2 61" xfId="2862" xr:uid="{00000000-0005-0000-0000-00009C510000}"/>
    <cellStyle name="Heading 2 62" xfId="2863" xr:uid="{00000000-0005-0000-0000-00009D510000}"/>
    <cellStyle name="Heading 2 63" xfId="2864" xr:uid="{00000000-0005-0000-0000-00009E510000}"/>
    <cellStyle name="Heading 2 64" xfId="2865" xr:uid="{00000000-0005-0000-0000-00009F510000}"/>
    <cellStyle name="Heading 2 65" xfId="2866" xr:uid="{00000000-0005-0000-0000-0000A0510000}"/>
    <cellStyle name="Heading 2 66" xfId="2867" xr:uid="{00000000-0005-0000-0000-0000A1510000}"/>
    <cellStyle name="Heading 2 67" xfId="2868" xr:uid="{00000000-0005-0000-0000-0000A2510000}"/>
    <cellStyle name="Heading 2 68" xfId="2869" xr:uid="{00000000-0005-0000-0000-0000A3510000}"/>
    <cellStyle name="Heading 2 69" xfId="2870" xr:uid="{00000000-0005-0000-0000-0000A4510000}"/>
    <cellStyle name="Heading 2 7" xfId="2871" xr:uid="{00000000-0005-0000-0000-0000A5510000}"/>
    <cellStyle name="Heading 2 70" xfId="2872" xr:uid="{00000000-0005-0000-0000-0000A6510000}"/>
    <cellStyle name="Heading 2 71" xfId="2873" xr:uid="{00000000-0005-0000-0000-0000A7510000}"/>
    <cellStyle name="Heading 2 72" xfId="2874" xr:uid="{00000000-0005-0000-0000-0000A8510000}"/>
    <cellStyle name="Heading 2 73" xfId="23921" xr:uid="{00000000-0005-0000-0000-0000A9510000}"/>
    <cellStyle name="Heading 2 74" xfId="33359" xr:uid="{E1B7260C-D08E-44E9-9AED-388897F7F3B4}"/>
    <cellStyle name="Heading 2 8" xfId="2875" xr:uid="{00000000-0005-0000-0000-0000AA510000}"/>
    <cellStyle name="Heading 2 9" xfId="2876" xr:uid="{00000000-0005-0000-0000-0000AB510000}"/>
    <cellStyle name="Heading 3 10" xfId="2877" xr:uid="{00000000-0005-0000-0000-0000AC510000}"/>
    <cellStyle name="Heading 3 11" xfId="2878" xr:uid="{00000000-0005-0000-0000-0000AD510000}"/>
    <cellStyle name="Heading 3 12" xfId="2879" xr:uid="{00000000-0005-0000-0000-0000AE510000}"/>
    <cellStyle name="Heading 3 13" xfId="2880" xr:uid="{00000000-0005-0000-0000-0000AF510000}"/>
    <cellStyle name="Heading 3 14" xfId="2881" xr:uid="{00000000-0005-0000-0000-0000B0510000}"/>
    <cellStyle name="Heading 3 15" xfId="2882" xr:uid="{00000000-0005-0000-0000-0000B1510000}"/>
    <cellStyle name="Heading 3 16" xfId="2883" xr:uid="{00000000-0005-0000-0000-0000B2510000}"/>
    <cellStyle name="Heading 3 17" xfId="2884" xr:uid="{00000000-0005-0000-0000-0000B3510000}"/>
    <cellStyle name="Heading 3 18" xfId="2885" xr:uid="{00000000-0005-0000-0000-0000B4510000}"/>
    <cellStyle name="Heading 3 19" xfId="2886" xr:uid="{00000000-0005-0000-0000-0000B5510000}"/>
    <cellStyle name="Heading 3 2" xfId="2887" xr:uid="{00000000-0005-0000-0000-0000B6510000}"/>
    <cellStyle name="Heading 3 2 2" xfId="24112" xr:uid="{00000000-0005-0000-0000-0000B7510000}"/>
    <cellStyle name="Heading 3 2 3" xfId="24111" xr:uid="{00000000-0005-0000-0000-0000B8510000}"/>
    <cellStyle name="Heading 3 20" xfId="2888" xr:uid="{00000000-0005-0000-0000-0000B9510000}"/>
    <cellStyle name="Heading 3 21" xfId="2889" xr:uid="{00000000-0005-0000-0000-0000BA510000}"/>
    <cellStyle name="Heading 3 22" xfId="2890" xr:uid="{00000000-0005-0000-0000-0000BB510000}"/>
    <cellStyle name="Heading 3 23" xfId="2891" xr:uid="{00000000-0005-0000-0000-0000BC510000}"/>
    <cellStyle name="Heading 3 24" xfId="2892" xr:uid="{00000000-0005-0000-0000-0000BD510000}"/>
    <cellStyle name="Heading 3 25" xfId="2893" xr:uid="{00000000-0005-0000-0000-0000BE510000}"/>
    <cellStyle name="Heading 3 26" xfId="2894" xr:uid="{00000000-0005-0000-0000-0000BF510000}"/>
    <cellStyle name="Heading 3 27" xfId="2895" xr:uid="{00000000-0005-0000-0000-0000C0510000}"/>
    <cellStyle name="Heading 3 28" xfId="2896" xr:uid="{00000000-0005-0000-0000-0000C1510000}"/>
    <cellStyle name="Heading 3 29" xfId="2897" xr:uid="{00000000-0005-0000-0000-0000C2510000}"/>
    <cellStyle name="Heading 3 3" xfId="2898" xr:uid="{00000000-0005-0000-0000-0000C3510000}"/>
    <cellStyle name="Heading 3 3 2" xfId="24113" xr:uid="{00000000-0005-0000-0000-0000C4510000}"/>
    <cellStyle name="Heading 3 30" xfId="2899" xr:uid="{00000000-0005-0000-0000-0000C5510000}"/>
    <cellStyle name="Heading 3 31" xfId="2900" xr:uid="{00000000-0005-0000-0000-0000C6510000}"/>
    <cellStyle name="Heading 3 32" xfId="2901" xr:uid="{00000000-0005-0000-0000-0000C7510000}"/>
    <cellStyle name="Heading 3 33" xfId="2902" xr:uid="{00000000-0005-0000-0000-0000C8510000}"/>
    <cellStyle name="Heading 3 34" xfId="2903" xr:uid="{00000000-0005-0000-0000-0000C9510000}"/>
    <cellStyle name="Heading 3 35" xfId="2904" xr:uid="{00000000-0005-0000-0000-0000CA510000}"/>
    <cellStyle name="Heading 3 36" xfId="2905" xr:uid="{00000000-0005-0000-0000-0000CB510000}"/>
    <cellStyle name="Heading 3 37" xfId="2906" xr:uid="{00000000-0005-0000-0000-0000CC510000}"/>
    <cellStyle name="Heading 3 38" xfId="2907" xr:uid="{00000000-0005-0000-0000-0000CD510000}"/>
    <cellStyle name="Heading 3 39" xfId="2908" xr:uid="{00000000-0005-0000-0000-0000CE510000}"/>
    <cellStyle name="Heading 3 4" xfId="2909" xr:uid="{00000000-0005-0000-0000-0000CF510000}"/>
    <cellStyle name="Heading 3 4 2" xfId="24114" xr:uid="{00000000-0005-0000-0000-0000D0510000}"/>
    <cellStyle name="Heading 3 40" xfId="2910" xr:uid="{00000000-0005-0000-0000-0000D1510000}"/>
    <cellStyle name="Heading 3 41" xfId="2911" xr:uid="{00000000-0005-0000-0000-0000D2510000}"/>
    <cellStyle name="Heading 3 42" xfId="2912" xr:uid="{00000000-0005-0000-0000-0000D3510000}"/>
    <cellStyle name="Heading 3 43" xfId="2913" xr:uid="{00000000-0005-0000-0000-0000D4510000}"/>
    <cellStyle name="Heading 3 44" xfId="2914" xr:uid="{00000000-0005-0000-0000-0000D5510000}"/>
    <cellStyle name="Heading 3 45" xfId="2915" xr:uid="{00000000-0005-0000-0000-0000D6510000}"/>
    <cellStyle name="Heading 3 46" xfId="2916" xr:uid="{00000000-0005-0000-0000-0000D7510000}"/>
    <cellStyle name="Heading 3 47" xfId="2917" xr:uid="{00000000-0005-0000-0000-0000D8510000}"/>
    <cellStyle name="Heading 3 48" xfId="2918" xr:uid="{00000000-0005-0000-0000-0000D9510000}"/>
    <cellStyle name="Heading 3 49" xfId="2919" xr:uid="{00000000-0005-0000-0000-0000DA510000}"/>
    <cellStyle name="Heading 3 5" xfId="2920" xr:uid="{00000000-0005-0000-0000-0000DB510000}"/>
    <cellStyle name="Heading 3 50" xfId="2921" xr:uid="{00000000-0005-0000-0000-0000DC510000}"/>
    <cellStyle name="Heading 3 51" xfId="2922" xr:uid="{00000000-0005-0000-0000-0000DD510000}"/>
    <cellStyle name="Heading 3 52" xfId="2923" xr:uid="{00000000-0005-0000-0000-0000DE510000}"/>
    <cellStyle name="Heading 3 53" xfId="2924" xr:uid="{00000000-0005-0000-0000-0000DF510000}"/>
    <cellStyle name="Heading 3 54" xfId="2925" xr:uid="{00000000-0005-0000-0000-0000E0510000}"/>
    <cellStyle name="Heading 3 55" xfId="2926" xr:uid="{00000000-0005-0000-0000-0000E1510000}"/>
    <cellStyle name="Heading 3 56" xfId="2927" xr:uid="{00000000-0005-0000-0000-0000E2510000}"/>
    <cellStyle name="Heading 3 57" xfId="2928" xr:uid="{00000000-0005-0000-0000-0000E3510000}"/>
    <cellStyle name="Heading 3 58" xfId="2929" xr:uid="{00000000-0005-0000-0000-0000E4510000}"/>
    <cellStyle name="Heading 3 59" xfId="2930" xr:uid="{00000000-0005-0000-0000-0000E5510000}"/>
    <cellStyle name="Heading 3 6" xfId="2931" xr:uid="{00000000-0005-0000-0000-0000E6510000}"/>
    <cellStyle name="Heading 3 60" xfId="2932" xr:uid="{00000000-0005-0000-0000-0000E7510000}"/>
    <cellStyle name="Heading 3 61" xfId="2933" xr:uid="{00000000-0005-0000-0000-0000E8510000}"/>
    <cellStyle name="Heading 3 62" xfId="2934" xr:uid="{00000000-0005-0000-0000-0000E9510000}"/>
    <cellStyle name="Heading 3 63" xfId="2935" xr:uid="{00000000-0005-0000-0000-0000EA510000}"/>
    <cellStyle name="Heading 3 64" xfId="2936" xr:uid="{00000000-0005-0000-0000-0000EB510000}"/>
    <cellStyle name="Heading 3 65" xfId="2937" xr:uid="{00000000-0005-0000-0000-0000EC510000}"/>
    <cellStyle name="Heading 3 66" xfId="2938" xr:uid="{00000000-0005-0000-0000-0000ED510000}"/>
    <cellStyle name="Heading 3 67" xfId="2939" xr:uid="{00000000-0005-0000-0000-0000EE510000}"/>
    <cellStyle name="Heading 3 68" xfId="2940" xr:uid="{00000000-0005-0000-0000-0000EF510000}"/>
    <cellStyle name="Heading 3 69" xfId="2941" xr:uid="{00000000-0005-0000-0000-0000F0510000}"/>
    <cellStyle name="Heading 3 7" xfId="2942" xr:uid="{00000000-0005-0000-0000-0000F1510000}"/>
    <cellStyle name="Heading 3 70" xfId="2943" xr:uid="{00000000-0005-0000-0000-0000F2510000}"/>
    <cellStyle name="Heading 3 71" xfId="2944" xr:uid="{00000000-0005-0000-0000-0000F3510000}"/>
    <cellStyle name="Heading 3 72" xfId="2945" xr:uid="{00000000-0005-0000-0000-0000F4510000}"/>
    <cellStyle name="Heading 3 73" xfId="33360" xr:uid="{8E858AB4-509D-4212-857D-BE7289B4A4E6}"/>
    <cellStyle name="Heading 3 8" xfId="2946" xr:uid="{00000000-0005-0000-0000-0000F5510000}"/>
    <cellStyle name="Heading 3 9" xfId="2947" xr:uid="{00000000-0005-0000-0000-0000F6510000}"/>
    <cellStyle name="Heading 4 10" xfId="2948" xr:uid="{00000000-0005-0000-0000-0000F7510000}"/>
    <cellStyle name="Heading 4 11" xfId="2949" xr:uid="{00000000-0005-0000-0000-0000F8510000}"/>
    <cellStyle name="Heading 4 12" xfId="2950" xr:uid="{00000000-0005-0000-0000-0000F9510000}"/>
    <cellStyle name="Heading 4 13" xfId="2951" xr:uid="{00000000-0005-0000-0000-0000FA510000}"/>
    <cellStyle name="Heading 4 14" xfId="2952" xr:uid="{00000000-0005-0000-0000-0000FB510000}"/>
    <cellStyle name="Heading 4 15" xfId="2953" xr:uid="{00000000-0005-0000-0000-0000FC510000}"/>
    <cellStyle name="Heading 4 16" xfId="2954" xr:uid="{00000000-0005-0000-0000-0000FD510000}"/>
    <cellStyle name="Heading 4 17" xfId="2955" xr:uid="{00000000-0005-0000-0000-0000FE510000}"/>
    <cellStyle name="Heading 4 18" xfId="2956" xr:uid="{00000000-0005-0000-0000-0000FF510000}"/>
    <cellStyle name="Heading 4 19" xfId="2957" xr:uid="{00000000-0005-0000-0000-000000520000}"/>
    <cellStyle name="Heading 4 2" xfId="2958" xr:uid="{00000000-0005-0000-0000-000001520000}"/>
    <cellStyle name="Heading 4 2 2" xfId="24116" xr:uid="{00000000-0005-0000-0000-000002520000}"/>
    <cellStyle name="Heading 4 2 3" xfId="24115" xr:uid="{00000000-0005-0000-0000-000003520000}"/>
    <cellStyle name="Heading 4 20" xfId="2959" xr:uid="{00000000-0005-0000-0000-000004520000}"/>
    <cellStyle name="Heading 4 21" xfId="2960" xr:uid="{00000000-0005-0000-0000-000005520000}"/>
    <cellStyle name="Heading 4 22" xfId="2961" xr:uid="{00000000-0005-0000-0000-000006520000}"/>
    <cellStyle name="Heading 4 23" xfId="2962" xr:uid="{00000000-0005-0000-0000-000007520000}"/>
    <cellStyle name="Heading 4 24" xfId="2963" xr:uid="{00000000-0005-0000-0000-000008520000}"/>
    <cellStyle name="Heading 4 25" xfId="2964" xr:uid="{00000000-0005-0000-0000-000009520000}"/>
    <cellStyle name="Heading 4 26" xfId="2965" xr:uid="{00000000-0005-0000-0000-00000A520000}"/>
    <cellStyle name="Heading 4 27" xfId="2966" xr:uid="{00000000-0005-0000-0000-00000B520000}"/>
    <cellStyle name="Heading 4 28" xfId="2967" xr:uid="{00000000-0005-0000-0000-00000C520000}"/>
    <cellStyle name="Heading 4 29" xfId="2968" xr:uid="{00000000-0005-0000-0000-00000D520000}"/>
    <cellStyle name="Heading 4 3" xfId="2969" xr:uid="{00000000-0005-0000-0000-00000E520000}"/>
    <cellStyle name="Heading 4 3 2" xfId="24117" xr:uid="{00000000-0005-0000-0000-00000F520000}"/>
    <cellStyle name="Heading 4 30" xfId="2970" xr:uid="{00000000-0005-0000-0000-000010520000}"/>
    <cellStyle name="Heading 4 31" xfId="2971" xr:uid="{00000000-0005-0000-0000-000011520000}"/>
    <cellStyle name="Heading 4 32" xfId="2972" xr:uid="{00000000-0005-0000-0000-000012520000}"/>
    <cellStyle name="Heading 4 33" xfId="2973" xr:uid="{00000000-0005-0000-0000-000013520000}"/>
    <cellStyle name="Heading 4 34" xfId="2974" xr:uid="{00000000-0005-0000-0000-000014520000}"/>
    <cellStyle name="Heading 4 35" xfId="2975" xr:uid="{00000000-0005-0000-0000-000015520000}"/>
    <cellStyle name="Heading 4 36" xfId="2976" xr:uid="{00000000-0005-0000-0000-000016520000}"/>
    <cellStyle name="Heading 4 37" xfId="2977" xr:uid="{00000000-0005-0000-0000-000017520000}"/>
    <cellStyle name="Heading 4 38" xfId="2978" xr:uid="{00000000-0005-0000-0000-000018520000}"/>
    <cellStyle name="Heading 4 39" xfId="2979" xr:uid="{00000000-0005-0000-0000-000019520000}"/>
    <cellStyle name="Heading 4 4" xfId="2980" xr:uid="{00000000-0005-0000-0000-00001A520000}"/>
    <cellStyle name="Heading 4 4 2" xfId="24118" xr:uid="{00000000-0005-0000-0000-00001B520000}"/>
    <cellStyle name="Heading 4 40" xfId="2981" xr:uid="{00000000-0005-0000-0000-00001C520000}"/>
    <cellStyle name="Heading 4 41" xfId="2982" xr:uid="{00000000-0005-0000-0000-00001D520000}"/>
    <cellStyle name="Heading 4 42" xfId="2983" xr:uid="{00000000-0005-0000-0000-00001E520000}"/>
    <cellStyle name="Heading 4 43" xfId="2984" xr:uid="{00000000-0005-0000-0000-00001F520000}"/>
    <cellStyle name="Heading 4 44" xfId="2985" xr:uid="{00000000-0005-0000-0000-000020520000}"/>
    <cellStyle name="Heading 4 45" xfId="2986" xr:uid="{00000000-0005-0000-0000-000021520000}"/>
    <cellStyle name="Heading 4 46" xfId="2987" xr:uid="{00000000-0005-0000-0000-000022520000}"/>
    <cellStyle name="Heading 4 47" xfId="2988" xr:uid="{00000000-0005-0000-0000-000023520000}"/>
    <cellStyle name="Heading 4 48" xfId="2989" xr:uid="{00000000-0005-0000-0000-000024520000}"/>
    <cellStyle name="Heading 4 49" xfId="2990" xr:uid="{00000000-0005-0000-0000-000025520000}"/>
    <cellStyle name="Heading 4 5" xfId="2991" xr:uid="{00000000-0005-0000-0000-000026520000}"/>
    <cellStyle name="Heading 4 50" xfId="2992" xr:uid="{00000000-0005-0000-0000-000027520000}"/>
    <cellStyle name="Heading 4 51" xfId="2993" xr:uid="{00000000-0005-0000-0000-000028520000}"/>
    <cellStyle name="Heading 4 52" xfId="2994" xr:uid="{00000000-0005-0000-0000-000029520000}"/>
    <cellStyle name="Heading 4 53" xfId="2995" xr:uid="{00000000-0005-0000-0000-00002A520000}"/>
    <cellStyle name="Heading 4 54" xfId="2996" xr:uid="{00000000-0005-0000-0000-00002B520000}"/>
    <cellStyle name="Heading 4 55" xfId="2997" xr:uid="{00000000-0005-0000-0000-00002C520000}"/>
    <cellStyle name="Heading 4 56" xfId="2998" xr:uid="{00000000-0005-0000-0000-00002D520000}"/>
    <cellStyle name="Heading 4 57" xfId="2999" xr:uid="{00000000-0005-0000-0000-00002E520000}"/>
    <cellStyle name="Heading 4 58" xfId="3000" xr:uid="{00000000-0005-0000-0000-00002F520000}"/>
    <cellStyle name="Heading 4 59" xfId="3001" xr:uid="{00000000-0005-0000-0000-000030520000}"/>
    <cellStyle name="Heading 4 6" xfId="3002" xr:uid="{00000000-0005-0000-0000-000031520000}"/>
    <cellStyle name="Heading 4 60" xfId="3003" xr:uid="{00000000-0005-0000-0000-000032520000}"/>
    <cellStyle name="Heading 4 61" xfId="3004" xr:uid="{00000000-0005-0000-0000-000033520000}"/>
    <cellStyle name="Heading 4 62" xfId="3005" xr:uid="{00000000-0005-0000-0000-000034520000}"/>
    <cellStyle name="Heading 4 63" xfId="3006" xr:uid="{00000000-0005-0000-0000-000035520000}"/>
    <cellStyle name="Heading 4 64" xfId="3007" xr:uid="{00000000-0005-0000-0000-000036520000}"/>
    <cellStyle name="Heading 4 65" xfId="3008" xr:uid="{00000000-0005-0000-0000-000037520000}"/>
    <cellStyle name="Heading 4 66" xfId="3009" xr:uid="{00000000-0005-0000-0000-000038520000}"/>
    <cellStyle name="Heading 4 67" xfId="3010" xr:uid="{00000000-0005-0000-0000-000039520000}"/>
    <cellStyle name="Heading 4 68" xfId="3011" xr:uid="{00000000-0005-0000-0000-00003A520000}"/>
    <cellStyle name="Heading 4 69" xfId="3012" xr:uid="{00000000-0005-0000-0000-00003B520000}"/>
    <cellStyle name="Heading 4 7" xfId="3013" xr:uid="{00000000-0005-0000-0000-00003C520000}"/>
    <cellStyle name="Heading 4 70" xfId="3014" xr:uid="{00000000-0005-0000-0000-00003D520000}"/>
    <cellStyle name="Heading 4 71" xfId="3015" xr:uid="{00000000-0005-0000-0000-00003E520000}"/>
    <cellStyle name="Heading 4 72" xfId="3016" xr:uid="{00000000-0005-0000-0000-00003F520000}"/>
    <cellStyle name="Heading 4 8" xfId="3017" xr:uid="{00000000-0005-0000-0000-000040520000}"/>
    <cellStyle name="Heading 4 9" xfId="3018" xr:uid="{00000000-0005-0000-0000-000041520000}"/>
    <cellStyle name="HEADING1" xfId="570" xr:uid="{00000000-0005-0000-0000-000042520000}"/>
    <cellStyle name="HEADING2" xfId="571" xr:uid="{00000000-0005-0000-0000-000043520000}"/>
    <cellStyle name="HEADING2 2" xfId="24119" xr:uid="{00000000-0005-0000-0000-000044520000}"/>
    <cellStyle name="Hyperlink" xfId="4620" builtinId="8" customBuiltin="1"/>
    <cellStyle name="Hyperlink 2" xfId="645" xr:uid="{00000000-0005-0000-0000-000046520000}"/>
    <cellStyle name="Hyperlink 2 2" xfId="3019" xr:uid="{00000000-0005-0000-0000-000047520000}"/>
    <cellStyle name="Hyperlink 3" xfId="3020" xr:uid="{00000000-0005-0000-0000-000048520000}"/>
    <cellStyle name="Hyperlink 4" xfId="23892" xr:uid="{00000000-0005-0000-0000-000049520000}"/>
    <cellStyle name="Hyperlink 5" xfId="33358" xr:uid="{4890475D-DAAD-4B59-ACD7-CBDDB3FEF2DB}"/>
    <cellStyle name="Hyperlink 6" xfId="33366" xr:uid="{AE549A7D-FC96-4DE0-A8BC-C13C7B1FA584}"/>
    <cellStyle name="Input [yellow]" xfId="44" xr:uid="{00000000-0005-0000-0000-00004A520000}"/>
    <cellStyle name="Input [yellow] 2" xfId="24553" xr:uid="{00000000-0005-0000-0000-00004B520000}"/>
    <cellStyle name="Input 10" xfId="189" xr:uid="{00000000-0005-0000-0000-00004C520000}"/>
    <cellStyle name="Input 10 2" xfId="3021" xr:uid="{00000000-0005-0000-0000-00004D520000}"/>
    <cellStyle name="Input 10 3" xfId="13690" xr:uid="{00000000-0005-0000-0000-00004E520000}"/>
    <cellStyle name="Input 11" xfId="190" xr:uid="{00000000-0005-0000-0000-00004F520000}"/>
    <cellStyle name="Input 11 2" xfId="3022" xr:uid="{00000000-0005-0000-0000-000050520000}"/>
    <cellStyle name="Input 11 3" xfId="13691" xr:uid="{00000000-0005-0000-0000-000051520000}"/>
    <cellStyle name="Input 12" xfId="191" xr:uid="{00000000-0005-0000-0000-000052520000}"/>
    <cellStyle name="Input 12 2" xfId="3023" xr:uid="{00000000-0005-0000-0000-000053520000}"/>
    <cellStyle name="Input 12 3" xfId="13692" xr:uid="{00000000-0005-0000-0000-000054520000}"/>
    <cellStyle name="Input 13" xfId="192" xr:uid="{00000000-0005-0000-0000-000055520000}"/>
    <cellStyle name="Input 13 2" xfId="3024" xr:uid="{00000000-0005-0000-0000-000056520000}"/>
    <cellStyle name="Input 13 3" xfId="13693" xr:uid="{00000000-0005-0000-0000-000057520000}"/>
    <cellStyle name="Input 14" xfId="193" xr:uid="{00000000-0005-0000-0000-000058520000}"/>
    <cellStyle name="Input 14 2" xfId="3025" xr:uid="{00000000-0005-0000-0000-000059520000}"/>
    <cellStyle name="Input 14 3" xfId="13694" xr:uid="{00000000-0005-0000-0000-00005A520000}"/>
    <cellStyle name="Input 15" xfId="284" xr:uid="{00000000-0005-0000-0000-00005B520000}"/>
    <cellStyle name="Input 15 2" xfId="3026" xr:uid="{00000000-0005-0000-0000-00005C520000}"/>
    <cellStyle name="Input 15 3" xfId="13737" xr:uid="{00000000-0005-0000-0000-00005D520000}"/>
    <cellStyle name="Input 16" xfId="285" xr:uid="{00000000-0005-0000-0000-00005E520000}"/>
    <cellStyle name="Input 16 2" xfId="3027" xr:uid="{00000000-0005-0000-0000-00005F520000}"/>
    <cellStyle name="Input 16 3" xfId="13738" xr:uid="{00000000-0005-0000-0000-000060520000}"/>
    <cellStyle name="Input 17" xfId="292" xr:uid="{00000000-0005-0000-0000-000061520000}"/>
    <cellStyle name="Input 17 2" xfId="3028" xr:uid="{00000000-0005-0000-0000-000062520000}"/>
    <cellStyle name="Input 17 3" xfId="13739" xr:uid="{00000000-0005-0000-0000-000063520000}"/>
    <cellStyle name="Input 18" xfId="293" xr:uid="{00000000-0005-0000-0000-000064520000}"/>
    <cellStyle name="Input 18 2" xfId="3029" xr:uid="{00000000-0005-0000-0000-000065520000}"/>
    <cellStyle name="Input 18 3" xfId="13740" xr:uid="{00000000-0005-0000-0000-000066520000}"/>
    <cellStyle name="Input 19" xfId="294" xr:uid="{00000000-0005-0000-0000-000067520000}"/>
    <cellStyle name="Input 19 2" xfId="3030" xr:uid="{00000000-0005-0000-0000-000068520000}"/>
    <cellStyle name="Input 19 3" xfId="13741" xr:uid="{00000000-0005-0000-0000-000069520000}"/>
    <cellStyle name="Input 2" xfId="45" xr:uid="{00000000-0005-0000-0000-00006A520000}"/>
    <cellStyle name="Input 2 2" xfId="3031" xr:uid="{00000000-0005-0000-0000-00006B520000}"/>
    <cellStyle name="Input 2 2 2" xfId="24121" xr:uid="{00000000-0005-0000-0000-00006C520000}"/>
    <cellStyle name="Input 2 2 2 2" xfId="25560" xr:uid="{00000000-0005-0000-0000-00006D520000}"/>
    <cellStyle name="Input 2 2 2 2 2" xfId="27713" xr:uid="{00000000-0005-0000-0000-00006E520000}"/>
    <cellStyle name="Input 2 2 2 2 2 2" xfId="32300" xr:uid="{DEA2D1D5-199E-48CA-A0DB-B513A9775CCE}"/>
    <cellStyle name="Input 2 2 2 2 3" xfId="29228" xr:uid="{00000000-0005-0000-0000-00006F520000}"/>
    <cellStyle name="Input 2 2 2 2 3 2" xfId="33211" xr:uid="{B04B477A-67A8-4A5B-BAF9-D885E02499ED}"/>
    <cellStyle name="Input 2 2 2 2 4" xfId="26097" xr:uid="{00000000-0005-0000-0000-000070520000}"/>
    <cellStyle name="Input 2 2 2 2 4 2" xfId="30887" xr:uid="{B109BE65-4712-4529-B976-DB09ED88CF8A}"/>
    <cellStyle name="Input 2 2 2 2 5" xfId="29355" xr:uid="{00000000-0005-0000-0000-000071520000}"/>
    <cellStyle name="Input 2 2 2 2 5 2" xfId="33311" xr:uid="{9C3CF01C-5325-4230-946D-CFEC6DF56141}"/>
    <cellStyle name="Input 2 2 2 2 6" xfId="30617" xr:uid="{BFBE8EEA-6541-44C2-B770-1BDE6C949BEE}"/>
    <cellStyle name="Input 2 2 2 3" xfId="27068" xr:uid="{00000000-0005-0000-0000-000072520000}"/>
    <cellStyle name="Input 2 2 2 3 2" xfId="31801" xr:uid="{7E461B77-A311-4934-9C3C-43910E96F261}"/>
    <cellStyle name="Input 2 2 2 4" xfId="26796" xr:uid="{00000000-0005-0000-0000-000073520000}"/>
    <cellStyle name="Input 2 2 2 4 2" xfId="31557" xr:uid="{95C4C1D9-07F4-4568-BB07-EFB490918427}"/>
    <cellStyle name="Input 2 2 2 5" xfId="27324" xr:uid="{00000000-0005-0000-0000-000074520000}"/>
    <cellStyle name="Input 2 2 2 5 2" xfId="31943" xr:uid="{4DFCC6AC-5BCB-4622-9B2C-D5AEEACC4971}"/>
    <cellStyle name="Input 2 2 2 6" xfId="29356" xr:uid="{00000000-0005-0000-0000-000075520000}"/>
    <cellStyle name="Input 2 2 2 6 2" xfId="33312" xr:uid="{133058CB-2289-4180-83BF-A6B001240682}"/>
    <cellStyle name="Input 2 2 2 7" xfId="30262" xr:uid="{0BCB8DDA-0ACA-41C2-8742-BA203BBE6B36}"/>
    <cellStyle name="Input 2 2 3" xfId="24710" xr:uid="{00000000-0005-0000-0000-000076520000}"/>
    <cellStyle name="Input 2 2 3 2" xfId="25356" xr:uid="{00000000-0005-0000-0000-000077520000}"/>
    <cellStyle name="Input 2 2 3 2 2" xfId="27510" xr:uid="{00000000-0005-0000-0000-000078520000}"/>
    <cellStyle name="Input 2 2 3 2 2 2" xfId="32101" xr:uid="{A0313D1B-7297-4813-8187-DF3881D2DA4A}"/>
    <cellStyle name="Input 2 2 3 2 3" xfId="29199" xr:uid="{00000000-0005-0000-0000-000079520000}"/>
    <cellStyle name="Input 2 2 3 2 3 2" xfId="33182" xr:uid="{3A1E0125-B66D-4725-AFE8-A4156A219724}"/>
    <cellStyle name="Input 2 2 3 2 4" xfId="26713" xr:uid="{00000000-0005-0000-0000-00007A520000}"/>
    <cellStyle name="Input 2 2 3 2 4 2" xfId="31475" xr:uid="{7CD6E85F-40CE-49CD-AFFF-E70E73E10EAD}"/>
    <cellStyle name="Input 2 2 3 2 5" xfId="29353" xr:uid="{00000000-0005-0000-0000-00007B520000}"/>
    <cellStyle name="Input 2 2 3 2 5 2" xfId="33309" xr:uid="{C7320FA5-4AEF-47C5-8CE4-E926F3C9CE12}"/>
    <cellStyle name="Input 2 2 3 2 6" xfId="30514" xr:uid="{DCE24F50-9276-46EC-B930-E24A00BF8D1C}"/>
    <cellStyle name="Input 2 2 3 3" xfId="25662" xr:uid="{00000000-0005-0000-0000-00007C520000}"/>
    <cellStyle name="Input 2 2 3 3 2" xfId="27815" xr:uid="{00000000-0005-0000-0000-00007D520000}"/>
    <cellStyle name="Input 2 2 3 3 2 2" xfId="32402" xr:uid="{0CA1B413-17A3-460B-8285-9157B99C7B63}"/>
    <cellStyle name="Input 2 2 3 3 3" xfId="29242" xr:uid="{00000000-0005-0000-0000-00007E520000}"/>
    <cellStyle name="Input 2 2 3 3 3 2" xfId="33224" xr:uid="{A0B0A56B-4143-4E83-822D-A4A74806F409}"/>
    <cellStyle name="Input 2 2 3 3 4" xfId="26954" xr:uid="{00000000-0005-0000-0000-00007F520000}"/>
    <cellStyle name="Input 2 2 3 3 4 2" xfId="31715" xr:uid="{99E4D923-DEF0-439B-89CE-4EDB2821EEA8}"/>
    <cellStyle name="Input 2 2 3 3 5" xfId="29352" xr:uid="{00000000-0005-0000-0000-000080520000}"/>
    <cellStyle name="Input 2 2 3 3 5 2" xfId="33308" xr:uid="{81ABE99A-C2F5-41E7-B400-A098F44E4612}"/>
    <cellStyle name="Input 2 2 3 3 6" xfId="30656" xr:uid="{16896517-7BA3-4675-9EA6-06F1AC3E99C8}"/>
    <cellStyle name="Input 2 2 3 4" xfId="27295" xr:uid="{00000000-0005-0000-0000-000081520000}"/>
    <cellStyle name="Input 2 2 3 4 2" xfId="31924" xr:uid="{5F25D721-1B10-4712-B609-3982A858B093}"/>
    <cellStyle name="Input 2 2 3 5" xfId="26038" xr:uid="{00000000-0005-0000-0000-000082520000}"/>
    <cellStyle name="Input 2 2 3 5 2" xfId="30839" xr:uid="{A9960FBB-36FD-4E20-9596-57038B673E55}"/>
    <cellStyle name="Input 2 2 3 6" xfId="26143" xr:uid="{00000000-0005-0000-0000-000083520000}"/>
    <cellStyle name="Input 2 2 3 6 2" xfId="30933" xr:uid="{C4F499B5-2B02-4389-91F5-30A5688CCF6D}"/>
    <cellStyle name="Input 2 2 3 7" xfId="29354" xr:uid="{00000000-0005-0000-0000-000084520000}"/>
    <cellStyle name="Input 2 2 3 7 2" xfId="33310" xr:uid="{FA0C7424-CDDD-4A07-B67B-5F3FCC98AB21}"/>
    <cellStyle name="Input 2 2 3 8" xfId="30364" xr:uid="{1D83FA6D-C027-4B1E-811A-477D6A3E2A72}"/>
    <cellStyle name="Input 2 2 4" xfId="25028" xr:uid="{00000000-0005-0000-0000-000085520000}"/>
    <cellStyle name="Input 2 2 4 2" xfId="25368" xr:uid="{00000000-0005-0000-0000-000086520000}"/>
    <cellStyle name="Input 2 2 4 2 2" xfId="27522" xr:uid="{00000000-0005-0000-0000-000087520000}"/>
    <cellStyle name="Input 2 2 4 2 2 2" xfId="32113" xr:uid="{C91D4BD8-606A-43A7-99DB-0604BBA0D8C6}"/>
    <cellStyle name="Input 2 2 4 2 3" xfId="29201" xr:uid="{00000000-0005-0000-0000-000088520000}"/>
    <cellStyle name="Input 2 2 4 2 3 2" xfId="33184" xr:uid="{5F13D847-9897-4A22-B67E-7637E22EAD3B}"/>
    <cellStyle name="Input 2 2 4 2 4" xfId="26536" xr:uid="{00000000-0005-0000-0000-000089520000}"/>
    <cellStyle name="Input 2 2 4 2 4 2" xfId="31323" xr:uid="{3293237A-DA33-4389-A332-4C597C3E8402}"/>
    <cellStyle name="Input 2 2 4 2 5" xfId="29350" xr:uid="{00000000-0005-0000-0000-00008A520000}"/>
    <cellStyle name="Input 2 2 4 2 5 2" xfId="33306" xr:uid="{735608FB-094D-424C-94BD-D78B25ED86E7}"/>
    <cellStyle name="Input 2 2 4 2 6" xfId="30526" xr:uid="{36522225-C871-47DD-B0E5-9346439AB56D}"/>
    <cellStyle name="Input 2 2 4 3" xfId="25673" xr:uid="{00000000-0005-0000-0000-00008B520000}"/>
    <cellStyle name="Input 2 2 4 3 2" xfId="27826" xr:uid="{00000000-0005-0000-0000-00008C520000}"/>
    <cellStyle name="Input 2 2 4 3 2 2" xfId="32413" xr:uid="{6487B191-648A-47EF-8A70-E6E63FFD29E0}"/>
    <cellStyle name="Input 2 2 4 3 3" xfId="29253" xr:uid="{00000000-0005-0000-0000-00008D520000}"/>
    <cellStyle name="Input 2 2 4 3 3 2" xfId="33235" xr:uid="{C7FC3181-CE11-4178-BB07-9601F16DA8EF}"/>
    <cellStyle name="Input 2 2 4 3 4" xfId="27428" xr:uid="{00000000-0005-0000-0000-00008E520000}"/>
    <cellStyle name="Input 2 2 4 3 4 2" xfId="32026" xr:uid="{3A00AA27-F5D1-4583-A4F0-13D8997BF157}"/>
    <cellStyle name="Input 2 2 4 3 5" xfId="29349" xr:uid="{00000000-0005-0000-0000-00008F520000}"/>
    <cellStyle name="Input 2 2 4 3 5 2" xfId="33305" xr:uid="{1EFBD8C1-9036-4EF5-8065-FCE76B4834B3}"/>
    <cellStyle name="Input 2 2 4 3 6" xfId="30667" xr:uid="{1915A571-A1C9-4B81-BFD3-B7CD704BFCB9}"/>
    <cellStyle name="Input 2 2 4 4" xfId="27356" xr:uid="{00000000-0005-0000-0000-000090520000}"/>
    <cellStyle name="Input 2 2 4 4 2" xfId="31954" xr:uid="{C5CFA7BA-698D-4B9E-B679-00C73229E2CB}"/>
    <cellStyle name="Input 2 2 4 5" xfId="26193" xr:uid="{00000000-0005-0000-0000-000091520000}"/>
    <cellStyle name="Input 2 2 4 5 2" xfId="30981" xr:uid="{E9A45585-B266-430D-8BC3-0AED55736E98}"/>
    <cellStyle name="Input 2 2 4 6" xfId="26544" xr:uid="{00000000-0005-0000-0000-000092520000}"/>
    <cellStyle name="Input 2 2 4 6 2" xfId="31331" xr:uid="{55855F09-CB8F-4BFF-A4ED-B7CA22461897}"/>
    <cellStyle name="Input 2 2 4 7" xfId="29351" xr:uid="{00000000-0005-0000-0000-000093520000}"/>
    <cellStyle name="Input 2 2 4 7 2" xfId="33307" xr:uid="{433B46DA-A25E-462F-9AE9-B9810E9014E7}"/>
    <cellStyle name="Input 2 2 4 8" xfId="30375" xr:uid="{5418D3A4-7580-47B9-A3FF-AD83428849E6}"/>
    <cellStyle name="Input 2 3" xfId="13610" xr:uid="{00000000-0005-0000-0000-000094520000}"/>
    <cellStyle name="Input 2 4" xfId="24120" xr:uid="{00000000-0005-0000-0000-000095520000}"/>
    <cellStyle name="Input 2 4 2" xfId="25559" xr:uid="{00000000-0005-0000-0000-000096520000}"/>
    <cellStyle name="Input 2 4 2 2" xfId="27712" xr:uid="{00000000-0005-0000-0000-000097520000}"/>
    <cellStyle name="Input 2 4 2 2 2" xfId="32299" xr:uid="{D1A9F778-B7C5-4FB9-8087-66C34CC4364E}"/>
    <cellStyle name="Input 2 4 2 3" xfId="29227" xr:uid="{00000000-0005-0000-0000-000098520000}"/>
    <cellStyle name="Input 2 4 2 3 2" xfId="33210" xr:uid="{6E0D8B2D-7C7F-41B2-9ADD-896FCBFEB2D9}"/>
    <cellStyle name="Input 2 4 2 4" xfId="27004" xr:uid="{00000000-0005-0000-0000-000099520000}"/>
    <cellStyle name="Input 2 4 2 4 2" xfId="31764" xr:uid="{EF3A1B28-0DB0-4B92-91B5-330902F02C45}"/>
    <cellStyle name="Input 2 4 2 5" xfId="29347" xr:uid="{00000000-0005-0000-0000-00009A520000}"/>
    <cellStyle name="Input 2 4 2 5 2" xfId="33303" xr:uid="{FB1B48CC-AF9B-4F2D-AB96-3F8957756894}"/>
    <cellStyle name="Input 2 4 2 6" xfId="30616" xr:uid="{B40FDEA0-8303-4956-8460-55DE1807072C}"/>
    <cellStyle name="Input 2 4 3" xfId="27067" xr:uid="{00000000-0005-0000-0000-00009B520000}"/>
    <cellStyle name="Input 2 4 3 2" xfId="31800" xr:uid="{7721FA45-A001-4BE5-8DE9-1FC1997F6AB6}"/>
    <cellStyle name="Input 2 4 4" xfId="26272" xr:uid="{00000000-0005-0000-0000-00009C520000}"/>
    <cellStyle name="Input 2 4 4 2" xfId="31060" xr:uid="{AA08323D-F021-483B-B751-D6A3F30394CC}"/>
    <cellStyle name="Input 2 4 5" xfId="26322" xr:uid="{00000000-0005-0000-0000-00009D520000}"/>
    <cellStyle name="Input 2 4 5 2" xfId="31110" xr:uid="{923598D2-5E15-45B9-A526-8ED30F8D768D}"/>
    <cellStyle name="Input 2 4 6" xfId="29348" xr:uid="{00000000-0005-0000-0000-00009E520000}"/>
    <cellStyle name="Input 2 4 6 2" xfId="33304" xr:uid="{8A0B3D24-CCC7-4D53-95DE-E91C392A7B8E}"/>
    <cellStyle name="Input 2 4 7" xfId="30261" xr:uid="{E707517C-CE5B-4D1D-B03F-52A2F441A067}"/>
    <cellStyle name="Input 2 5" xfId="24709" xr:uid="{00000000-0005-0000-0000-00009F520000}"/>
    <cellStyle name="Input 2 5 2" xfId="25439" xr:uid="{00000000-0005-0000-0000-0000A0520000}"/>
    <cellStyle name="Input 2 5 2 2" xfId="27593" xr:uid="{00000000-0005-0000-0000-0000A1520000}"/>
    <cellStyle name="Input 2 5 2 2 2" xfId="32184" xr:uid="{5BB2B5BD-4AB4-4E69-990C-6AA34077698F}"/>
    <cellStyle name="Input 2 5 2 3" xfId="29212" xr:uid="{00000000-0005-0000-0000-0000A2520000}"/>
    <cellStyle name="Input 2 5 2 3 2" xfId="33195" xr:uid="{87EDA0D4-C745-470F-BE1D-131F33AB05C7}"/>
    <cellStyle name="Input 2 5 2 4" xfId="26974" xr:uid="{00000000-0005-0000-0000-0000A3520000}"/>
    <cellStyle name="Input 2 5 2 4 2" xfId="31735" xr:uid="{31B1362A-E0BA-4C83-B6B4-D182AAEF943D}"/>
    <cellStyle name="Input 2 5 2 5" xfId="29345" xr:uid="{00000000-0005-0000-0000-0000A4520000}"/>
    <cellStyle name="Input 2 5 2 5 2" xfId="33301" xr:uid="{7A76B636-B932-4298-9645-47BE108FEEE1}"/>
    <cellStyle name="Input 2 5 2 6" xfId="30597" xr:uid="{7415661F-9239-4950-B80E-18709865A38F}"/>
    <cellStyle name="Input 2 5 3" xfId="25661" xr:uid="{00000000-0005-0000-0000-0000A5520000}"/>
    <cellStyle name="Input 2 5 3 2" xfId="27814" xr:uid="{00000000-0005-0000-0000-0000A6520000}"/>
    <cellStyle name="Input 2 5 3 2 2" xfId="32401" xr:uid="{9E5F11BB-B96A-495B-8795-A31B46D47E3D}"/>
    <cellStyle name="Input 2 5 3 3" xfId="29241" xr:uid="{00000000-0005-0000-0000-0000A7520000}"/>
    <cellStyle name="Input 2 5 3 3 2" xfId="33223" xr:uid="{6CC98C51-27A5-4523-B992-85AC5E60F363}"/>
    <cellStyle name="Input 2 5 3 4" xfId="26916" xr:uid="{00000000-0005-0000-0000-0000A8520000}"/>
    <cellStyle name="Input 2 5 3 4 2" xfId="31677" xr:uid="{AD2A09C2-67EC-4DA9-A562-03F38577B11B}"/>
    <cellStyle name="Input 2 5 3 5" xfId="29344" xr:uid="{00000000-0005-0000-0000-0000A9520000}"/>
    <cellStyle name="Input 2 5 3 5 2" xfId="33300" xr:uid="{346696C3-9588-48C1-9314-68E023406BFF}"/>
    <cellStyle name="Input 2 5 3 6" xfId="30655" xr:uid="{552BAE60-52DF-4955-B9D3-968B258058BA}"/>
    <cellStyle name="Input 2 5 4" xfId="27294" xr:uid="{00000000-0005-0000-0000-0000AA520000}"/>
    <cellStyle name="Input 2 5 4 2" xfId="31923" xr:uid="{70824F6A-F7DF-4A02-9F58-31FE177D5B7F}"/>
    <cellStyle name="Input 2 5 5" xfId="26673" xr:uid="{00000000-0005-0000-0000-0000AB520000}"/>
    <cellStyle name="Input 2 5 5 2" xfId="31441" xr:uid="{45C1AD18-1CDF-4EA3-BFC2-0E1D29D9632C}"/>
    <cellStyle name="Input 2 5 6" xfId="26283" xr:uid="{00000000-0005-0000-0000-0000AC520000}"/>
    <cellStyle name="Input 2 5 6 2" xfId="31071" xr:uid="{E6414BC8-4C8A-4E6F-9B26-2B3E9A047C70}"/>
    <cellStyle name="Input 2 5 7" xfId="29346" xr:uid="{00000000-0005-0000-0000-0000AD520000}"/>
    <cellStyle name="Input 2 5 7 2" xfId="33302" xr:uid="{9E1139AD-BA38-4916-96C9-F3F10826B6D7}"/>
    <cellStyle name="Input 2 5 8" xfId="30363" xr:uid="{17833192-E91B-480A-9D4F-40999972B5BE}"/>
    <cellStyle name="Input 2 6" xfId="25027" xr:uid="{00000000-0005-0000-0000-0000AE520000}"/>
    <cellStyle name="Input 2 6 2" xfId="25285" xr:uid="{00000000-0005-0000-0000-0000AF520000}"/>
    <cellStyle name="Input 2 6 2 2" xfId="27440" xr:uid="{00000000-0005-0000-0000-0000B0520000}"/>
    <cellStyle name="Input 2 6 2 2 2" xfId="32035" xr:uid="{E700BDEB-E790-4B05-AC58-9B909AA1C6F2}"/>
    <cellStyle name="Input 2 6 2 3" xfId="29187" xr:uid="{00000000-0005-0000-0000-0000B1520000}"/>
    <cellStyle name="Input 2 6 2 3 2" xfId="33170" xr:uid="{8FFAA850-CD61-404E-87C2-EDECB3AA2F11}"/>
    <cellStyle name="Input 2 6 2 4" xfId="26415" xr:uid="{00000000-0005-0000-0000-0000B2520000}"/>
    <cellStyle name="Input 2 6 2 4 2" xfId="31203" xr:uid="{0EEB58C7-8BAB-4243-BB7E-7E5178F0132A}"/>
    <cellStyle name="Input 2 6 2 5" xfId="29342" xr:uid="{00000000-0005-0000-0000-0000B3520000}"/>
    <cellStyle name="Input 2 6 2 5 2" xfId="33298" xr:uid="{422A13E5-D6E0-4ADD-8BBF-2AE7BE0DC22F}"/>
    <cellStyle name="Input 2 6 2 6" xfId="30448" xr:uid="{2648E5B0-1BAA-4CD5-B023-FB3AB3587A72}"/>
    <cellStyle name="Input 2 6 3" xfId="25672" xr:uid="{00000000-0005-0000-0000-0000B4520000}"/>
    <cellStyle name="Input 2 6 3 2" xfId="27825" xr:uid="{00000000-0005-0000-0000-0000B5520000}"/>
    <cellStyle name="Input 2 6 3 2 2" xfId="32412" xr:uid="{B94292EC-7BC6-4335-AECF-39C181E07332}"/>
    <cellStyle name="Input 2 6 3 3" xfId="29252" xr:uid="{00000000-0005-0000-0000-0000B6520000}"/>
    <cellStyle name="Input 2 6 3 3 2" xfId="33234" xr:uid="{F4A78A2E-278D-4C0A-9D21-4581E3E03710}"/>
    <cellStyle name="Input 2 6 3 4" xfId="26307" xr:uid="{00000000-0005-0000-0000-0000B7520000}"/>
    <cellStyle name="Input 2 6 3 4 2" xfId="31095" xr:uid="{1A950E0D-EA5E-4763-BE00-9D102F03609D}"/>
    <cellStyle name="Input 2 6 3 5" xfId="29341" xr:uid="{00000000-0005-0000-0000-0000B8520000}"/>
    <cellStyle name="Input 2 6 3 5 2" xfId="33297" xr:uid="{F92B8533-F057-47D1-BB76-3105334961E7}"/>
    <cellStyle name="Input 2 6 3 6" xfId="30666" xr:uid="{5B83E03A-D9AD-411D-9E45-F25C21B3D7FB}"/>
    <cellStyle name="Input 2 6 4" xfId="27355" xr:uid="{00000000-0005-0000-0000-0000B9520000}"/>
    <cellStyle name="Input 2 6 4 2" xfId="31953" xr:uid="{4AE862CF-1F5A-4D02-B1A7-4F1281C95743}"/>
    <cellStyle name="Input 2 6 5" xfId="27134" xr:uid="{00000000-0005-0000-0000-0000BA520000}"/>
    <cellStyle name="Input 2 6 5 2" xfId="31848" xr:uid="{12AB2457-5B4B-4CED-91E7-95DB6340BCCF}"/>
    <cellStyle name="Input 2 6 6" xfId="26082" xr:uid="{00000000-0005-0000-0000-0000BB520000}"/>
    <cellStyle name="Input 2 6 6 2" xfId="30872" xr:uid="{05C02FF8-C50A-4BBC-BD83-8657B76320D6}"/>
    <cellStyle name="Input 2 6 7" xfId="29343" xr:uid="{00000000-0005-0000-0000-0000BC520000}"/>
    <cellStyle name="Input 2 6 7 2" xfId="33299" xr:uid="{100FC168-FF29-4586-B1EC-4DFC0E1C4A5A}"/>
    <cellStyle name="Input 2 6 8" xfId="30374" xr:uid="{AFBB2A88-41FA-4F53-A856-199FD478F98B}"/>
    <cellStyle name="Input 20" xfId="295" xr:uid="{00000000-0005-0000-0000-0000BD520000}"/>
    <cellStyle name="Input 20 2" xfId="3032" xr:uid="{00000000-0005-0000-0000-0000BE520000}"/>
    <cellStyle name="Input 20 3" xfId="13742" xr:uid="{00000000-0005-0000-0000-0000BF520000}"/>
    <cellStyle name="Input 21" xfId="302" xr:uid="{00000000-0005-0000-0000-0000C0520000}"/>
    <cellStyle name="Input 21 2" xfId="3033" xr:uid="{00000000-0005-0000-0000-0000C1520000}"/>
    <cellStyle name="Input 21 3" xfId="13743" xr:uid="{00000000-0005-0000-0000-0000C2520000}"/>
    <cellStyle name="Input 22" xfId="303" xr:uid="{00000000-0005-0000-0000-0000C3520000}"/>
    <cellStyle name="Input 22 2" xfId="3034" xr:uid="{00000000-0005-0000-0000-0000C4520000}"/>
    <cellStyle name="Input 22 3" xfId="13744" xr:uid="{00000000-0005-0000-0000-0000C5520000}"/>
    <cellStyle name="Input 23" xfId="316" xr:uid="{00000000-0005-0000-0000-0000C6520000}"/>
    <cellStyle name="Input 23 2" xfId="3035" xr:uid="{00000000-0005-0000-0000-0000C7520000}"/>
    <cellStyle name="Input 23 3" xfId="13747" xr:uid="{00000000-0005-0000-0000-0000C8520000}"/>
    <cellStyle name="Input 24" xfId="317" xr:uid="{00000000-0005-0000-0000-0000C9520000}"/>
    <cellStyle name="Input 24 2" xfId="3036" xr:uid="{00000000-0005-0000-0000-0000CA520000}"/>
    <cellStyle name="Input 24 3" xfId="13748" xr:uid="{00000000-0005-0000-0000-0000CB520000}"/>
    <cellStyle name="Input 25" xfId="318" xr:uid="{00000000-0005-0000-0000-0000CC520000}"/>
    <cellStyle name="Input 25 2" xfId="3037" xr:uid="{00000000-0005-0000-0000-0000CD520000}"/>
    <cellStyle name="Input 25 3" xfId="13749" xr:uid="{00000000-0005-0000-0000-0000CE520000}"/>
    <cellStyle name="Input 26" xfId="319" xr:uid="{00000000-0005-0000-0000-0000CF520000}"/>
    <cellStyle name="Input 26 2" xfId="3038" xr:uid="{00000000-0005-0000-0000-0000D0520000}"/>
    <cellStyle name="Input 26 3" xfId="13750" xr:uid="{00000000-0005-0000-0000-0000D1520000}"/>
    <cellStyle name="Input 27" xfId="320" xr:uid="{00000000-0005-0000-0000-0000D2520000}"/>
    <cellStyle name="Input 27 2" xfId="3039" xr:uid="{00000000-0005-0000-0000-0000D3520000}"/>
    <cellStyle name="Input 27 3" xfId="13751" xr:uid="{00000000-0005-0000-0000-0000D4520000}"/>
    <cellStyle name="Input 28" xfId="321" xr:uid="{00000000-0005-0000-0000-0000D5520000}"/>
    <cellStyle name="Input 28 2" xfId="3040" xr:uid="{00000000-0005-0000-0000-0000D6520000}"/>
    <cellStyle name="Input 28 3" xfId="13752" xr:uid="{00000000-0005-0000-0000-0000D7520000}"/>
    <cellStyle name="Input 29" xfId="322" xr:uid="{00000000-0005-0000-0000-0000D8520000}"/>
    <cellStyle name="Input 29 2" xfId="3041" xr:uid="{00000000-0005-0000-0000-0000D9520000}"/>
    <cellStyle name="Input 29 3" xfId="13753" xr:uid="{00000000-0005-0000-0000-0000DA520000}"/>
    <cellStyle name="Input 3" xfId="194" xr:uid="{00000000-0005-0000-0000-0000DB520000}"/>
    <cellStyle name="Input 3 2" xfId="3042" xr:uid="{00000000-0005-0000-0000-0000DC520000}"/>
    <cellStyle name="Input 3 3" xfId="13695" xr:uid="{00000000-0005-0000-0000-0000DD520000}"/>
    <cellStyle name="Input 3 4" xfId="24122" xr:uid="{00000000-0005-0000-0000-0000DE520000}"/>
    <cellStyle name="Input 3 4 2" xfId="25561" xr:uid="{00000000-0005-0000-0000-0000DF520000}"/>
    <cellStyle name="Input 3 4 2 2" xfId="27714" xr:uid="{00000000-0005-0000-0000-0000E0520000}"/>
    <cellStyle name="Input 3 4 2 2 2" xfId="32301" xr:uid="{6E23F5EC-513C-4D59-AD8D-D3B93B4AFD5C}"/>
    <cellStyle name="Input 3 4 2 3" xfId="29229" xr:uid="{00000000-0005-0000-0000-0000E1520000}"/>
    <cellStyle name="Input 3 4 2 3 2" xfId="33212" xr:uid="{E162EF87-FEEE-4A48-A2F4-BA005722565C}"/>
    <cellStyle name="Input 3 4 2 4" xfId="26770" xr:uid="{00000000-0005-0000-0000-0000E2520000}"/>
    <cellStyle name="Input 3 4 2 4 2" xfId="31531" xr:uid="{4D94989F-EC26-4ABA-A5D3-8CEA6B0D9456}"/>
    <cellStyle name="Input 3 4 2 5" xfId="29339" xr:uid="{00000000-0005-0000-0000-0000E3520000}"/>
    <cellStyle name="Input 3 4 2 5 2" xfId="33295" xr:uid="{866F3327-B456-4E21-A19D-AEF6CA60ABE3}"/>
    <cellStyle name="Input 3 4 2 6" xfId="30618" xr:uid="{A8FCCB5A-1F61-4E31-A8D2-95200B37010B}"/>
    <cellStyle name="Input 3 4 3" xfId="27069" xr:uid="{00000000-0005-0000-0000-0000E4520000}"/>
    <cellStyle name="Input 3 4 3 2" xfId="31802" xr:uid="{A125AC63-A9EE-41DE-9BD1-46BF316AD0A5}"/>
    <cellStyle name="Input 3 4 4" xfId="26717" xr:uid="{00000000-0005-0000-0000-0000E5520000}"/>
    <cellStyle name="Input 3 4 4 2" xfId="31479" xr:uid="{37D5CB7B-EE79-4F2A-B1D2-3F299DBCEBED}"/>
    <cellStyle name="Input 3 4 5" xfId="26292" xr:uid="{00000000-0005-0000-0000-0000E6520000}"/>
    <cellStyle name="Input 3 4 5 2" xfId="31080" xr:uid="{CB946FDF-8694-4FE7-9FF7-2089DECD88C6}"/>
    <cellStyle name="Input 3 4 6" xfId="29340" xr:uid="{00000000-0005-0000-0000-0000E7520000}"/>
    <cellStyle name="Input 3 4 6 2" xfId="33296" xr:uid="{3577AE6F-ED7B-47A3-8625-3583A588D619}"/>
    <cellStyle name="Input 3 4 7" xfId="30263" xr:uid="{9739CE83-9659-4DD5-A29C-02A263AC56B4}"/>
    <cellStyle name="Input 3 5" xfId="24711" xr:uid="{00000000-0005-0000-0000-0000E8520000}"/>
    <cellStyle name="Input 3 5 2" xfId="25390" xr:uid="{00000000-0005-0000-0000-0000E9520000}"/>
    <cellStyle name="Input 3 5 2 2" xfId="27544" xr:uid="{00000000-0005-0000-0000-0000EA520000}"/>
    <cellStyle name="Input 3 5 2 2 2" xfId="32135" xr:uid="{EA1E8058-75A5-4582-893B-D3203D51F000}"/>
    <cellStyle name="Input 3 5 2 3" xfId="29207" xr:uid="{00000000-0005-0000-0000-0000EB520000}"/>
    <cellStyle name="Input 3 5 2 3 2" xfId="33190" xr:uid="{A69C41E3-D08A-427A-97C4-9C54BF273EDF}"/>
    <cellStyle name="Input 3 5 2 4" xfId="27162" xr:uid="{00000000-0005-0000-0000-0000EC520000}"/>
    <cellStyle name="Input 3 5 2 4 2" xfId="31853" xr:uid="{67843EBB-98DB-4552-9D34-A127669A1A25}"/>
    <cellStyle name="Input 3 5 2 5" xfId="29337" xr:uid="{00000000-0005-0000-0000-0000ED520000}"/>
    <cellStyle name="Input 3 5 2 5 2" xfId="33293" xr:uid="{1103E0F6-184A-48DA-A05F-89EF07426AFA}"/>
    <cellStyle name="Input 3 5 2 6" xfId="30548" xr:uid="{2A090ED8-8131-44B8-A289-F9F419761521}"/>
    <cellStyle name="Input 3 5 3" xfId="25663" xr:uid="{00000000-0005-0000-0000-0000EE520000}"/>
    <cellStyle name="Input 3 5 3 2" xfId="27816" xr:uid="{00000000-0005-0000-0000-0000EF520000}"/>
    <cellStyle name="Input 3 5 3 2 2" xfId="32403" xr:uid="{1B1E0633-749B-4DFA-8F34-F63FAF7AEA30}"/>
    <cellStyle name="Input 3 5 3 3" xfId="29243" xr:uid="{00000000-0005-0000-0000-0000F0520000}"/>
    <cellStyle name="Input 3 5 3 3 2" xfId="33225" xr:uid="{AAD34447-89FB-48E9-A74D-CFD33B3189DF}"/>
    <cellStyle name="Input 3 5 3 4" xfId="26710" xr:uid="{00000000-0005-0000-0000-0000F1520000}"/>
    <cellStyle name="Input 3 5 3 4 2" xfId="31472" xr:uid="{93143187-349A-4759-BC4F-53B76002E818}"/>
    <cellStyle name="Input 3 5 3 5" xfId="29336" xr:uid="{00000000-0005-0000-0000-0000F2520000}"/>
    <cellStyle name="Input 3 5 3 5 2" xfId="33292" xr:uid="{7ED6891E-6AB3-4E0D-A22D-27156C617EE9}"/>
    <cellStyle name="Input 3 5 3 6" xfId="30657" xr:uid="{88375DD6-53E9-4A55-BCCF-344EB6F243E1}"/>
    <cellStyle name="Input 3 5 4" xfId="27296" xr:uid="{00000000-0005-0000-0000-0000F3520000}"/>
    <cellStyle name="Input 3 5 4 2" xfId="31925" xr:uid="{AAF78B55-887E-4732-858F-11C071F04D12}"/>
    <cellStyle name="Input 3 5 5" xfId="26683" xr:uid="{00000000-0005-0000-0000-0000F4520000}"/>
    <cellStyle name="Input 3 5 5 2" xfId="31446" xr:uid="{3DD51965-0292-40FB-934D-83EBA31EEE98}"/>
    <cellStyle name="Input 3 5 6" xfId="26215" xr:uid="{00000000-0005-0000-0000-0000F5520000}"/>
    <cellStyle name="Input 3 5 6 2" xfId="31003" xr:uid="{09C222D4-131E-4ACA-9BD8-CA09E82DAC07}"/>
    <cellStyle name="Input 3 5 7" xfId="29338" xr:uid="{00000000-0005-0000-0000-0000F6520000}"/>
    <cellStyle name="Input 3 5 7 2" xfId="33294" xr:uid="{85F5CD05-09AD-4A71-845D-E427633ACDA9}"/>
    <cellStyle name="Input 3 5 8" xfId="30365" xr:uid="{3CD0362C-D6C9-4A0B-8EA2-C44952FDEABF}"/>
    <cellStyle name="Input 3 6" xfId="25029" xr:uid="{00000000-0005-0000-0000-0000F7520000}"/>
    <cellStyle name="Input 3 6 2" xfId="25382" xr:uid="{00000000-0005-0000-0000-0000F8520000}"/>
    <cellStyle name="Input 3 6 2 2" xfId="27536" xr:uid="{00000000-0005-0000-0000-0000F9520000}"/>
    <cellStyle name="Input 3 6 2 2 2" xfId="32127" xr:uid="{E31BC8A2-08AB-45D3-8161-E024CAA8EC71}"/>
    <cellStyle name="Input 3 6 2 3" xfId="29205" xr:uid="{00000000-0005-0000-0000-0000FA520000}"/>
    <cellStyle name="Input 3 6 2 3 2" xfId="33188" xr:uid="{634AB881-CA41-4006-BCC9-7AC3E16E935D}"/>
    <cellStyle name="Input 3 6 2 4" xfId="26949" xr:uid="{00000000-0005-0000-0000-0000FB520000}"/>
    <cellStyle name="Input 3 6 2 4 2" xfId="31710" xr:uid="{8BE9D352-97BA-4813-AD2F-C50A93132CFC}"/>
    <cellStyle name="Input 3 6 2 5" xfId="29334" xr:uid="{00000000-0005-0000-0000-0000FC520000}"/>
    <cellStyle name="Input 3 6 2 5 2" xfId="33290" xr:uid="{AC09C109-1572-43ED-B9C2-B55893BF3DCD}"/>
    <cellStyle name="Input 3 6 2 6" xfId="30540" xr:uid="{975DEB3E-45C7-4AB9-88D8-81FD138CFCC4}"/>
    <cellStyle name="Input 3 6 3" xfId="25674" xr:uid="{00000000-0005-0000-0000-0000FD520000}"/>
    <cellStyle name="Input 3 6 3 2" xfId="27827" xr:uid="{00000000-0005-0000-0000-0000FE520000}"/>
    <cellStyle name="Input 3 6 3 2 2" xfId="32414" xr:uid="{269B84FB-3DB4-48B2-99C6-479E85C9FF7F}"/>
    <cellStyle name="Input 3 6 3 3" xfId="29254" xr:uid="{00000000-0005-0000-0000-0000FF520000}"/>
    <cellStyle name="Input 3 6 3 3 2" xfId="33236" xr:uid="{03CB5E48-2A58-488C-AFFD-640C6E6C1EC5}"/>
    <cellStyle name="Input 3 6 3 4" xfId="26984" xr:uid="{00000000-0005-0000-0000-000000530000}"/>
    <cellStyle name="Input 3 6 3 4 2" xfId="31745" xr:uid="{CE23C582-41A1-4D17-88BE-2A97E2EA2C7E}"/>
    <cellStyle name="Input 3 6 3 5" xfId="29333" xr:uid="{00000000-0005-0000-0000-000001530000}"/>
    <cellStyle name="Input 3 6 3 5 2" xfId="33289" xr:uid="{62300809-9220-47B5-9704-5C3E5082ED5A}"/>
    <cellStyle name="Input 3 6 3 6" xfId="30668" xr:uid="{DEA6DB75-E682-4802-9058-BD6207F2F736}"/>
    <cellStyle name="Input 3 6 4" xfId="27357" xr:uid="{00000000-0005-0000-0000-000002530000}"/>
    <cellStyle name="Input 3 6 4 2" xfId="31955" xr:uid="{01546079-5209-40CE-B341-16DD8A79E68D}"/>
    <cellStyle name="Input 3 6 5" xfId="26194" xr:uid="{00000000-0005-0000-0000-000003530000}"/>
    <cellStyle name="Input 3 6 5 2" xfId="30982" xr:uid="{6080B1F0-6E6B-4E6E-9356-CEAF10DBCC46}"/>
    <cellStyle name="Input 3 6 6" xfId="26729" xr:uid="{00000000-0005-0000-0000-000004530000}"/>
    <cellStyle name="Input 3 6 6 2" xfId="31490" xr:uid="{49D03351-7551-4FFE-8735-4E8D0BC6E4A2}"/>
    <cellStyle name="Input 3 6 7" xfId="29335" xr:uid="{00000000-0005-0000-0000-000005530000}"/>
    <cellStyle name="Input 3 6 7 2" xfId="33291" xr:uid="{C4853979-678D-4761-8389-532AA084EDBC}"/>
    <cellStyle name="Input 3 6 8" xfId="30376" xr:uid="{0D6E5B60-A9B6-4528-B859-2219A1D7B027}"/>
    <cellStyle name="Input 30" xfId="323" xr:uid="{00000000-0005-0000-0000-000006530000}"/>
    <cellStyle name="Input 30 2" xfId="3043" xr:uid="{00000000-0005-0000-0000-000007530000}"/>
    <cellStyle name="Input 30 3" xfId="13754" xr:uid="{00000000-0005-0000-0000-000008530000}"/>
    <cellStyle name="Input 31" xfId="339" xr:uid="{00000000-0005-0000-0000-000009530000}"/>
    <cellStyle name="Input 31 2" xfId="3044" xr:uid="{00000000-0005-0000-0000-00000A530000}"/>
    <cellStyle name="Input 31 3" xfId="13758" xr:uid="{00000000-0005-0000-0000-00000B530000}"/>
    <cellStyle name="Input 32" xfId="340" xr:uid="{00000000-0005-0000-0000-00000C530000}"/>
    <cellStyle name="Input 32 2" xfId="3045" xr:uid="{00000000-0005-0000-0000-00000D530000}"/>
    <cellStyle name="Input 32 3" xfId="13759" xr:uid="{00000000-0005-0000-0000-00000E530000}"/>
    <cellStyle name="Input 33" xfId="341" xr:uid="{00000000-0005-0000-0000-00000F530000}"/>
    <cellStyle name="Input 33 2" xfId="3046" xr:uid="{00000000-0005-0000-0000-000010530000}"/>
    <cellStyle name="Input 33 3" xfId="13760" xr:uid="{00000000-0005-0000-0000-000011530000}"/>
    <cellStyle name="Input 34" xfId="342" xr:uid="{00000000-0005-0000-0000-000012530000}"/>
    <cellStyle name="Input 34 2" xfId="3047" xr:uid="{00000000-0005-0000-0000-000013530000}"/>
    <cellStyle name="Input 34 3" xfId="13761" xr:uid="{00000000-0005-0000-0000-000014530000}"/>
    <cellStyle name="Input 35" xfId="3048" xr:uid="{00000000-0005-0000-0000-000015530000}"/>
    <cellStyle name="Input 36" xfId="3049" xr:uid="{00000000-0005-0000-0000-000016530000}"/>
    <cellStyle name="Input 37" xfId="3050" xr:uid="{00000000-0005-0000-0000-000017530000}"/>
    <cellStyle name="Input 38" xfId="3051" xr:uid="{00000000-0005-0000-0000-000018530000}"/>
    <cellStyle name="Input 39" xfId="3052" xr:uid="{00000000-0005-0000-0000-000019530000}"/>
    <cellStyle name="Input 4" xfId="195" xr:uid="{00000000-0005-0000-0000-00001A530000}"/>
    <cellStyle name="Input 4 2" xfId="3053" xr:uid="{00000000-0005-0000-0000-00001B530000}"/>
    <cellStyle name="Input 4 3" xfId="13696" xr:uid="{00000000-0005-0000-0000-00001C530000}"/>
    <cellStyle name="Input 4 4" xfId="24123" xr:uid="{00000000-0005-0000-0000-00001D530000}"/>
    <cellStyle name="Input 4 4 2" xfId="25562" xr:uid="{00000000-0005-0000-0000-00001E530000}"/>
    <cellStyle name="Input 4 4 2 2" xfId="27715" xr:uid="{00000000-0005-0000-0000-00001F530000}"/>
    <cellStyle name="Input 4 4 2 2 2" xfId="32302" xr:uid="{AD9383F4-0CAD-4EF2-965A-78BF30AB7329}"/>
    <cellStyle name="Input 4 4 2 3" xfId="29230" xr:uid="{00000000-0005-0000-0000-000020530000}"/>
    <cellStyle name="Input 4 4 2 3 2" xfId="33213" xr:uid="{AC0A2D11-F218-442C-B9D8-FF5F675A1F42}"/>
    <cellStyle name="Input 4 4 2 4" xfId="26159" xr:uid="{00000000-0005-0000-0000-000021530000}"/>
    <cellStyle name="Input 4 4 2 4 2" xfId="30948" xr:uid="{02D13495-9FA8-413C-BF5A-BE9D5EE011B5}"/>
    <cellStyle name="Input 4 4 2 5" xfId="29331" xr:uid="{00000000-0005-0000-0000-000022530000}"/>
    <cellStyle name="Input 4 4 2 5 2" xfId="33287" xr:uid="{29989921-EBA1-440B-8024-F26209036A54}"/>
    <cellStyle name="Input 4 4 2 6" xfId="30619" xr:uid="{292B09CF-C0B4-42A9-8820-EB8ABD5FF17D}"/>
    <cellStyle name="Input 4 4 3" xfId="27070" xr:uid="{00000000-0005-0000-0000-000023530000}"/>
    <cellStyle name="Input 4 4 3 2" xfId="31803" xr:uid="{234973DF-C1C3-4BF6-9691-486D15CD9DAE}"/>
    <cellStyle name="Input 4 4 4" xfId="26551" xr:uid="{00000000-0005-0000-0000-000024530000}"/>
    <cellStyle name="Input 4 4 4 2" xfId="31338" xr:uid="{1FD9942E-4190-4844-82F2-B959B75B6822}"/>
    <cellStyle name="Input 4 4 5" xfId="26842" xr:uid="{00000000-0005-0000-0000-000025530000}"/>
    <cellStyle name="Input 4 4 5 2" xfId="31603" xr:uid="{A220F3F2-21DA-46BE-B70D-51D351352EEF}"/>
    <cellStyle name="Input 4 4 6" xfId="29332" xr:uid="{00000000-0005-0000-0000-000026530000}"/>
    <cellStyle name="Input 4 4 6 2" xfId="33288" xr:uid="{74CA933B-CC88-4E70-B4BD-04F353F88B64}"/>
    <cellStyle name="Input 4 4 7" xfId="30264" xr:uid="{E521E43A-B0BB-4F35-B3CC-6E2FC8CA4FBC}"/>
    <cellStyle name="Input 4 5" xfId="24712" xr:uid="{00000000-0005-0000-0000-000027530000}"/>
    <cellStyle name="Input 4 5 2" xfId="25404" xr:uid="{00000000-0005-0000-0000-000028530000}"/>
    <cellStyle name="Input 4 5 2 2" xfId="27558" xr:uid="{00000000-0005-0000-0000-000029530000}"/>
    <cellStyle name="Input 4 5 2 2 2" xfId="32149" xr:uid="{361E3422-0ED0-49A3-B155-C64B3C6A945F}"/>
    <cellStyle name="Input 4 5 2 3" xfId="29210" xr:uid="{00000000-0005-0000-0000-00002A530000}"/>
    <cellStyle name="Input 4 5 2 3 2" xfId="33193" xr:uid="{F52C6C50-09E6-481E-B030-B701B758964E}"/>
    <cellStyle name="Input 4 5 2 4" xfId="26258" xr:uid="{00000000-0005-0000-0000-00002B530000}"/>
    <cellStyle name="Input 4 5 2 4 2" xfId="31046" xr:uid="{58C69855-BE3D-4551-B524-8F3A1AACDAFE}"/>
    <cellStyle name="Input 4 5 2 5" xfId="29329" xr:uid="{00000000-0005-0000-0000-00002C530000}"/>
    <cellStyle name="Input 4 5 2 5 2" xfId="33285" xr:uid="{E50134C1-5398-4EEF-92DF-8536AB476855}"/>
    <cellStyle name="Input 4 5 2 6" xfId="30562" xr:uid="{9DB2E606-64BC-441D-959B-0C351AD4E5E5}"/>
    <cellStyle name="Input 4 5 3" xfId="25664" xr:uid="{00000000-0005-0000-0000-00002D530000}"/>
    <cellStyle name="Input 4 5 3 2" xfId="27817" xr:uid="{00000000-0005-0000-0000-00002E530000}"/>
    <cellStyle name="Input 4 5 3 2 2" xfId="32404" xr:uid="{97A9A552-3755-4EDD-AC42-E4B0037F2B74}"/>
    <cellStyle name="Input 4 5 3 3" xfId="29244" xr:uid="{00000000-0005-0000-0000-00002F530000}"/>
    <cellStyle name="Input 4 5 3 3 2" xfId="33226" xr:uid="{721CD8CB-90E4-4745-AF32-38BC72D4072D}"/>
    <cellStyle name="Input 4 5 3 4" xfId="26694" xr:uid="{00000000-0005-0000-0000-000030530000}"/>
    <cellStyle name="Input 4 5 3 4 2" xfId="31456" xr:uid="{651D5E28-C38C-45D4-8546-81AF4F93749D}"/>
    <cellStyle name="Input 4 5 3 5" xfId="29328" xr:uid="{00000000-0005-0000-0000-000031530000}"/>
    <cellStyle name="Input 4 5 3 5 2" xfId="33284" xr:uid="{F0F2360A-24D1-40A6-AF56-8A6D185B347E}"/>
    <cellStyle name="Input 4 5 3 6" xfId="30658" xr:uid="{147F26AE-F437-4E92-B9C7-EDB9331E6ACD}"/>
    <cellStyle name="Input 4 5 4" xfId="27297" xr:uid="{00000000-0005-0000-0000-000032530000}"/>
    <cellStyle name="Input 4 5 4 2" xfId="31926" xr:uid="{9F660A37-99AF-48B3-BE06-EA1B8383F4B2}"/>
    <cellStyle name="Input 4 5 5" xfId="26665" xr:uid="{00000000-0005-0000-0000-000033530000}"/>
    <cellStyle name="Input 4 5 5 2" xfId="31434" xr:uid="{0F35B2AF-FF29-4ECE-9F1A-A05EF78A2067}"/>
    <cellStyle name="Input 4 5 6" xfId="27027" xr:uid="{00000000-0005-0000-0000-000034530000}"/>
    <cellStyle name="Input 4 5 6 2" xfId="31787" xr:uid="{E8A15901-586B-434D-AE3A-92DCC4D424A0}"/>
    <cellStyle name="Input 4 5 7" xfId="29330" xr:uid="{00000000-0005-0000-0000-000035530000}"/>
    <cellStyle name="Input 4 5 7 2" xfId="33286" xr:uid="{A8A71B7B-6B5E-4DA1-841E-DEC26C100AD4}"/>
    <cellStyle name="Input 4 5 8" xfId="30366" xr:uid="{0AF9FB74-C4A5-48E0-882E-11F864C356CC}"/>
    <cellStyle name="Input 4 6" xfId="25030" xr:uid="{00000000-0005-0000-0000-000036530000}"/>
    <cellStyle name="Input 4 6 2" xfId="25397" xr:uid="{00000000-0005-0000-0000-000037530000}"/>
    <cellStyle name="Input 4 6 2 2" xfId="27551" xr:uid="{00000000-0005-0000-0000-000038530000}"/>
    <cellStyle name="Input 4 6 2 2 2" xfId="32142" xr:uid="{5F05A1A7-BAD8-46D6-8CDA-532098FE6BB8}"/>
    <cellStyle name="Input 4 6 2 3" xfId="29208" xr:uid="{00000000-0005-0000-0000-000039530000}"/>
    <cellStyle name="Input 4 6 2 3 2" xfId="33191" xr:uid="{7D168F9B-BC40-4929-A88D-ECD7C661A83D}"/>
    <cellStyle name="Input 4 6 2 4" xfId="26908" xr:uid="{00000000-0005-0000-0000-00003A530000}"/>
    <cellStyle name="Input 4 6 2 4 2" xfId="31669" xr:uid="{DD163B9F-3B4F-47BF-97C5-ED049997C0B7}"/>
    <cellStyle name="Input 4 6 2 5" xfId="29326" xr:uid="{00000000-0005-0000-0000-00003B530000}"/>
    <cellStyle name="Input 4 6 2 5 2" xfId="33282" xr:uid="{D005D653-090D-4BC8-8553-80FF809D8BFA}"/>
    <cellStyle name="Input 4 6 2 6" xfId="30555" xr:uid="{30622848-1D74-45B2-92D5-946668B8ABB3}"/>
    <cellStyle name="Input 4 6 3" xfId="25675" xr:uid="{00000000-0005-0000-0000-00003C530000}"/>
    <cellStyle name="Input 4 6 3 2" xfId="27828" xr:uid="{00000000-0005-0000-0000-00003D530000}"/>
    <cellStyle name="Input 4 6 3 2 2" xfId="32415" xr:uid="{574839EA-679B-410F-BBF5-07730250D67D}"/>
    <cellStyle name="Input 4 6 3 3" xfId="29255" xr:uid="{00000000-0005-0000-0000-00003E530000}"/>
    <cellStyle name="Input 4 6 3 3 2" xfId="33237" xr:uid="{DB2302E6-2AFA-4172-9BBF-91EAE97E26B6}"/>
    <cellStyle name="Input 4 6 3 4" xfId="26476" xr:uid="{00000000-0005-0000-0000-00003F530000}"/>
    <cellStyle name="Input 4 6 3 4 2" xfId="31264" xr:uid="{8125D50F-5F7E-4913-9C38-24AB884B266A}"/>
    <cellStyle name="Input 4 6 3 5" xfId="29325" xr:uid="{00000000-0005-0000-0000-000040530000}"/>
    <cellStyle name="Input 4 6 3 5 2" xfId="33281" xr:uid="{35A8E568-B7D6-4CAA-9B2E-B8ACD90A6AE0}"/>
    <cellStyle name="Input 4 6 3 6" xfId="30669" xr:uid="{EA477A84-0135-4A97-8B3A-2F9091AA4262}"/>
    <cellStyle name="Input 4 6 4" xfId="27358" xr:uid="{00000000-0005-0000-0000-000041530000}"/>
    <cellStyle name="Input 4 6 4 2" xfId="31956" xr:uid="{6623F5E4-BE65-4BCF-8F94-9A9E74E5A8C7}"/>
    <cellStyle name="Input 4 6 5" xfId="26195" xr:uid="{00000000-0005-0000-0000-000042530000}"/>
    <cellStyle name="Input 4 6 5 2" xfId="30983" xr:uid="{EC771229-312B-4A63-BF99-FE4607370926}"/>
    <cellStyle name="Input 4 6 6" xfId="26405" xr:uid="{00000000-0005-0000-0000-000043530000}"/>
    <cellStyle name="Input 4 6 6 2" xfId="31193" xr:uid="{43202ED2-88D1-4D0D-9257-72E11B82E1B8}"/>
    <cellStyle name="Input 4 6 7" xfId="29327" xr:uid="{00000000-0005-0000-0000-000044530000}"/>
    <cellStyle name="Input 4 6 7 2" xfId="33283" xr:uid="{9B34BF07-3611-4266-8485-01AF8E98ED06}"/>
    <cellStyle name="Input 4 6 8" xfId="30377" xr:uid="{4AEC6F09-3A57-49F7-A9E0-86F7A56D1D70}"/>
    <cellStyle name="Input 40" xfId="3054" xr:uid="{00000000-0005-0000-0000-000045530000}"/>
    <cellStyle name="Input 41" xfId="3055" xr:uid="{00000000-0005-0000-0000-000046530000}"/>
    <cellStyle name="Input 42" xfId="3056" xr:uid="{00000000-0005-0000-0000-000047530000}"/>
    <cellStyle name="Input 43" xfId="3057" xr:uid="{00000000-0005-0000-0000-000048530000}"/>
    <cellStyle name="Input 44" xfId="3058" xr:uid="{00000000-0005-0000-0000-000049530000}"/>
    <cellStyle name="Input 45" xfId="3059" xr:uid="{00000000-0005-0000-0000-00004A530000}"/>
    <cellStyle name="Input 46" xfId="3060" xr:uid="{00000000-0005-0000-0000-00004B530000}"/>
    <cellStyle name="Input 47" xfId="3061" xr:uid="{00000000-0005-0000-0000-00004C530000}"/>
    <cellStyle name="Input 48" xfId="3062" xr:uid="{00000000-0005-0000-0000-00004D530000}"/>
    <cellStyle name="Input 49" xfId="3063" xr:uid="{00000000-0005-0000-0000-00004E530000}"/>
    <cellStyle name="Input 5" xfId="196" xr:uid="{00000000-0005-0000-0000-00004F530000}"/>
    <cellStyle name="Input 5 2" xfId="3064" xr:uid="{00000000-0005-0000-0000-000050530000}"/>
    <cellStyle name="Input 5 3" xfId="13697" xr:uid="{00000000-0005-0000-0000-000051530000}"/>
    <cellStyle name="Input 50" xfId="3065" xr:uid="{00000000-0005-0000-0000-000052530000}"/>
    <cellStyle name="Input 51" xfId="3066" xr:uid="{00000000-0005-0000-0000-000053530000}"/>
    <cellStyle name="Input 52" xfId="3067" xr:uid="{00000000-0005-0000-0000-000054530000}"/>
    <cellStyle name="Input 53" xfId="3068" xr:uid="{00000000-0005-0000-0000-000055530000}"/>
    <cellStyle name="Input 54" xfId="3069" xr:uid="{00000000-0005-0000-0000-000056530000}"/>
    <cellStyle name="Input 55" xfId="3070" xr:uid="{00000000-0005-0000-0000-000057530000}"/>
    <cellStyle name="Input 56" xfId="3071" xr:uid="{00000000-0005-0000-0000-000058530000}"/>
    <cellStyle name="Input 57" xfId="3072" xr:uid="{00000000-0005-0000-0000-000059530000}"/>
    <cellStyle name="Input 58" xfId="3073" xr:uid="{00000000-0005-0000-0000-00005A530000}"/>
    <cellStyle name="Input 59" xfId="3074" xr:uid="{00000000-0005-0000-0000-00005B530000}"/>
    <cellStyle name="Input 6" xfId="197" xr:uid="{00000000-0005-0000-0000-00005C530000}"/>
    <cellStyle name="Input 6 2" xfId="3075" xr:uid="{00000000-0005-0000-0000-00005D530000}"/>
    <cellStyle name="Input 6 3" xfId="13698" xr:uid="{00000000-0005-0000-0000-00005E530000}"/>
    <cellStyle name="Input 60" xfId="3076" xr:uid="{00000000-0005-0000-0000-00005F530000}"/>
    <cellStyle name="Input 61" xfId="3077" xr:uid="{00000000-0005-0000-0000-000060530000}"/>
    <cellStyle name="Input 62" xfId="3078" xr:uid="{00000000-0005-0000-0000-000061530000}"/>
    <cellStyle name="Input 63" xfId="3079" xr:uid="{00000000-0005-0000-0000-000062530000}"/>
    <cellStyle name="Input 64" xfId="3080" xr:uid="{00000000-0005-0000-0000-000063530000}"/>
    <cellStyle name="Input 65" xfId="3081" xr:uid="{00000000-0005-0000-0000-000064530000}"/>
    <cellStyle name="Input 66" xfId="3082" xr:uid="{00000000-0005-0000-0000-000065530000}"/>
    <cellStyle name="Input 67" xfId="3083" xr:uid="{00000000-0005-0000-0000-000066530000}"/>
    <cellStyle name="Input 68" xfId="3084" xr:uid="{00000000-0005-0000-0000-000067530000}"/>
    <cellStyle name="Input 69" xfId="3085" xr:uid="{00000000-0005-0000-0000-000068530000}"/>
    <cellStyle name="Input 7" xfId="198" xr:uid="{00000000-0005-0000-0000-000069530000}"/>
    <cellStyle name="Input 7 2" xfId="3086" xr:uid="{00000000-0005-0000-0000-00006A530000}"/>
    <cellStyle name="Input 7 3" xfId="13699" xr:uid="{00000000-0005-0000-0000-00006B530000}"/>
    <cellStyle name="Input 70" xfId="3087" xr:uid="{00000000-0005-0000-0000-00006C530000}"/>
    <cellStyle name="Input 71" xfId="3088" xr:uid="{00000000-0005-0000-0000-00006D530000}"/>
    <cellStyle name="Input 72" xfId="3089" xr:uid="{00000000-0005-0000-0000-00006E530000}"/>
    <cellStyle name="Input 73" xfId="23922" xr:uid="{00000000-0005-0000-0000-00006F530000}"/>
    <cellStyle name="Input 74" xfId="24261" xr:uid="{00000000-0005-0000-0000-000070530000}"/>
    <cellStyle name="Input 75" xfId="23924" xr:uid="{00000000-0005-0000-0000-000071530000}"/>
    <cellStyle name="Input 76" xfId="24209" xr:uid="{00000000-0005-0000-0000-000072530000}"/>
    <cellStyle name="Input 77" xfId="24519" xr:uid="{00000000-0005-0000-0000-000073530000}"/>
    <cellStyle name="Input 78" xfId="24020" xr:uid="{00000000-0005-0000-0000-000074530000}"/>
    <cellStyle name="Input 79" xfId="24536" xr:uid="{00000000-0005-0000-0000-000075530000}"/>
    <cellStyle name="Input 8" xfId="199" xr:uid="{00000000-0005-0000-0000-000076530000}"/>
    <cellStyle name="Input 8 2" xfId="3090" xr:uid="{00000000-0005-0000-0000-000077530000}"/>
    <cellStyle name="Input 8 3" xfId="13700" xr:uid="{00000000-0005-0000-0000-000078530000}"/>
    <cellStyle name="Input 80" xfId="24541" xr:uid="{00000000-0005-0000-0000-000079530000}"/>
    <cellStyle name="Input 81" xfId="24245" xr:uid="{00000000-0005-0000-0000-00007A530000}"/>
    <cellStyle name="Input 82" xfId="24537" xr:uid="{00000000-0005-0000-0000-00007B530000}"/>
    <cellStyle name="Input 83" xfId="24031" xr:uid="{00000000-0005-0000-0000-00007C530000}"/>
    <cellStyle name="Input 84" xfId="24550" xr:uid="{00000000-0005-0000-0000-00007D530000}"/>
    <cellStyle name="Input 85" xfId="24552" xr:uid="{00000000-0005-0000-0000-00007E530000}"/>
    <cellStyle name="Input 86" xfId="24636" xr:uid="{00000000-0005-0000-0000-00007F530000}"/>
    <cellStyle name="Input 87" xfId="24715" xr:uid="{00000000-0005-0000-0000-000080530000}"/>
    <cellStyle name="Input 88" xfId="24708" xr:uid="{00000000-0005-0000-0000-000081530000}"/>
    <cellStyle name="Input 89" xfId="24918" xr:uid="{00000000-0005-0000-0000-000082530000}"/>
    <cellStyle name="Input 9" xfId="200" xr:uid="{00000000-0005-0000-0000-000083530000}"/>
    <cellStyle name="Input 9 2" xfId="3091" xr:uid="{00000000-0005-0000-0000-000084530000}"/>
    <cellStyle name="Input 9 3" xfId="13701" xr:uid="{00000000-0005-0000-0000-000085530000}"/>
    <cellStyle name="Input 90" xfId="24937" xr:uid="{00000000-0005-0000-0000-000086530000}"/>
    <cellStyle name="Input 91" xfId="24911" xr:uid="{00000000-0005-0000-0000-000087530000}"/>
    <cellStyle name="Input 92" xfId="24672" xr:uid="{00000000-0005-0000-0000-000088530000}"/>
    <cellStyle name="Input 93" xfId="24713" xr:uid="{00000000-0005-0000-0000-000089530000}"/>
    <cellStyle name="Input 94" xfId="24544" xr:uid="{00000000-0005-0000-0000-00008A530000}"/>
    <cellStyle name="Input 95" xfId="24691" xr:uid="{00000000-0005-0000-0000-00008B530000}"/>
    <cellStyle name="Input 96" xfId="24549" xr:uid="{00000000-0005-0000-0000-00008C530000}"/>
    <cellStyle name="Input 97" xfId="24944" xr:uid="{00000000-0005-0000-0000-00008D530000}"/>
    <cellStyle name="Input1" xfId="572" xr:uid="{00000000-0005-0000-0000-00008E530000}"/>
    <cellStyle name="Input1 2" xfId="24124" xr:uid="{00000000-0005-0000-0000-00008F530000}"/>
    <cellStyle name="Input2" xfId="573" xr:uid="{00000000-0005-0000-0000-000090530000}"/>
    <cellStyle name="Input2 2" xfId="24125" xr:uid="{00000000-0005-0000-0000-000091530000}"/>
    <cellStyle name="Input2 2 2" xfId="25312" xr:uid="{00000000-0005-0000-0000-000092530000}"/>
    <cellStyle name="Input2 2 2 2" xfId="27466" xr:uid="{00000000-0005-0000-0000-000093530000}"/>
    <cellStyle name="Input2 2 2 3" xfId="26207" xr:uid="{00000000-0005-0000-0000-000094530000}"/>
    <cellStyle name="Input2 2 2 3 2" xfId="30995" xr:uid="{166DCC96-61D8-4742-9727-5F5EBFB90CB4}"/>
    <cellStyle name="Input2 2 2 4" xfId="29408" xr:uid="{00000000-0005-0000-0000-000095530000}"/>
    <cellStyle name="Input2 2 2 4 2" xfId="33350" xr:uid="{FE33547C-70F4-45BA-9B9E-C2E4570DBBDB}"/>
    <cellStyle name="Input2 2 3" xfId="27071" xr:uid="{00000000-0005-0000-0000-000096530000}"/>
    <cellStyle name="Input2 2 4" xfId="29407" xr:uid="{00000000-0005-0000-0000-000097530000}"/>
    <cellStyle name="Input2 2 4 2" xfId="33349" xr:uid="{6CBECA70-7D2E-4B0A-A5EC-39419953C586}"/>
    <cellStyle name="Input2 3" xfId="25454" xr:uid="{00000000-0005-0000-0000-000098530000}"/>
    <cellStyle name="Input2 3 2" xfId="27608" xr:uid="{00000000-0005-0000-0000-000099530000}"/>
    <cellStyle name="Input2 3 3" xfId="26064" xr:uid="{00000000-0005-0000-0000-00009A530000}"/>
    <cellStyle name="Input2 3 3 2" xfId="30854" xr:uid="{25FD0D2A-680D-4B66-9424-28FEC4ECEC85}"/>
    <cellStyle name="Input2 3 4" xfId="29409" xr:uid="{00000000-0005-0000-0000-00009B530000}"/>
    <cellStyle name="Input2 3 4 2" xfId="33351" xr:uid="{D4CAD5DB-4BD6-4239-968D-EB7CB4708AF4}"/>
    <cellStyle name="Input2 4" xfId="26045" xr:uid="{00000000-0005-0000-0000-00009C530000}"/>
    <cellStyle name="Input2 5" xfId="29406" xr:uid="{00000000-0005-0000-0000-00009D530000}"/>
    <cellStyle name="Input2 5 2" xfId="33348" xr:uid="{656B9B71-B906-4AC2-8C1E-C9F5E39BDC29}"/>
    <cellStyle name="LineItemPrompt" xfId="3092" xr:uid="{00000000-0005-0000-0000-00009E530000}"/>
    <cellStyle name="LineItemValue" xfId="3093" xr:uid="{00000000-0005-0000-0000-00009F530000}"/>
    <cellStyle name="Linked Cell 10" xfId="3094" xr:uid="{00000000-0005-0000-0000-0000A0530000}"/>
    <cellStyle name="Linked Cell 11" xfId="3095" xr:uid="{00000000-0005-0000-0000-0000A1530000}"/>
    <cellStyle name="Linked Cell 12" xfId="3096" xr:uid="{00000000-0005-0000-0000-0000A2530000}"/>
    <cellStyle name="Linked Cell 13" xfId="3097" xr:uid="{00000000-0005-0000-0000-0000A3530000}"/>
    <cellStyle name="Linked Cell 14" xfId="3098" xr:uid="{00000000-0005-0000-0000-0000A4530000}"/>
    <cellStyle name="Linked Cell 15" xfId="3099" xr:uid="{00000000-0005-0000-0000-0000A5530000}"/>
    <cellStyle name="Linked Cell 16" xfId="3100" xr:uid="{00000000-0005-0000-0000-0000A6530000}"/>
    <cellStyle name="Linked Cell 17" xfId="3101" xr:uid="{00000000-0005-0000-0000-0000A7530000}"/>
    <cellStyle name="Linked Cell 18" xfId="3102" xr:uid="{00000000-0005-0000-0000-0000A8530000}"/>
    <cellStyle name="Linked Cell 19" xfId="3103" xr:uid="{00000000-0005-0000-0000-0000A9530000}"/>
    <cellStyle name="Linked Cell 2" xfId="3104" xr:uid="{00000000-0005-0000-0000-0000AA530000}"/>
    <cellStyle name="Linked Cell 2 2" xfId="24127" xr:uid="{00000000-0005-0000-0000-0000AB530000}"/>
    <cellStyle name="Linked Cell 2 3" xfId="24126" xr:uid="{00000000-0005-0000-0000-0000AC530000}"/>
    <cellStyle name="Linked Cell 20" xfId="3105" xr:uid="{00000000-0005-0000-0000-0000AD530000}"/>
    <cellStyle name="Linked Cell 21" xfId="3106" xr:uid="{00000000-0005-0000-0000-0000AE530000}"/>
    <cellStyle name="Linked Cell 22" xfId="3107" xr:uid="{00000000-0005-0000-0000-0000AF530000}"/>
    <cellStyle name="Linked Cell 23" xfId="3108" xr:uid="{00000000-0005-0000-0000-0000B0530000}"/>
    <cellStyle name="Linked Cell 24" xfId="3109" xr:uid="{00000000-0005-0000-0000-0000B1530000}"/>
    <cellStyle name="Linked Cell 25" xfId="3110" xr:uid="{00000000-0005-0000-0000-0000B2530000}"/>
    <cellStyle name="Linked Cell 26" xfId="3111" xr:uid="{00000000-0005-0000-0000-0000B3530000}"/>
    <cellStyle name="Linked Cell 27" xfId="3112" xr:uid="{00000000-0005-0000-0000-0000B4530000}"/>
    <cellStyle name="Linked Cell 28" xfId="3113" xr:uid="{00000000-0005-0000-0000-0000B5530000}"/>
    <cellStyle name="Linked Cell 29" xfId="3114" xr:uid="{00000000-0005-0000-0000-0000B6530000}"/>
    <cellStyle name="Linked Cell 3" xfId="3115" xr:uid="{00000000-0005-0000-0000-0000B7530000}"/>
    <cellStyle name="Linked Cell 3 2" xfId="24128" xr:uid="{00000000-0005-0000-0000-0000B8530000}"/>
    <cellStyle name="Linked Cell 30" xfId="3116" xr:uid="{00000000-0005-0000-0000-0000B9530000}"/>
    <cellStyle name="Linked Cell 31" xfId="3117" xr:uid="{00000000-0005-0000-0000-0000BA530000}"/>
    <cellStyle name="Linked Cell 32" xfId="3118" xr:uid="{00000000-0005-0000-0000-0000BB530000}"/>
    <cellStyle name="Linked Cell 33" xfId="3119" xr:uid="{00000000-0005-0000-0000-0000BC530000}"/>
    <cellStyle name="Linked Cell 34" xfId="3120" xr:uid="{00000000-0005-0000-0000-0000BD530000}"/>
    <cellStyle name="Linked Cell 35" xfId="3121" xr:uid="{00000000-0005-0000-0000-0000BE530000}"/>
    <cellStyle name="Linked Cell 36" xfId="3122" xr:uid="{00000000-0005-0000-0000-0000BF530000}"/>
    <cellStyle name="Linked Cell 37" xfId="3123" xr:uid="{00000000-0005-0000-0000-0000C0530000}"/>
    <cellStyle name="Linked Cell 38" xfId="3124" xr:uid="{00000000-0005-0000-0000-0000C1530000}"/>
    <cellStyle name="Linked Cell 39" xfId="3125" xr:uid="{00000000-0005-0000-0000-0000C2530000}"/>
    <cellStyle name="Linked Cell 4" xfId="3126" xr:uid="{00000000-0005-0000-0000-0000C3530000}"/>
    <cellStyle name="Linked Cell 4 2" xfId="24129" xr:uid="{00000000-0005-0000-0000-0000C4530000}"/>
    <cellStyle name="Linked Cell 40" xfId="3127" xr:uid="{00000000-0005-0000-0000-0000C5530000}"/>
    <cellStyle name="Linked Cell 41" xfId="3128" xr:uid="{00000000-0005-0000-0000-0000C6530000}"/>
    <cellStyle name="Linked Cell 42" xfId="3129" xr:uid="{00000000-0005-0000-0000-0000C7530000}"/>
    <cellStyle name="Linked Cell 43" xfId="3130" xr:uid="{00000000-0005-0000-0000-0000C8530000}"/>
    <cellStyle name="Linked Cell 44" xfId="3131" xr:uid="{00000000-0005-0000-0000-0000C9530000}"/>
    <cellStyle name="Linked Cell 45" xfId="3132" xr:uid="{00000000-0005-0000-0000-0000CA530000}"/>
    <cellStyle name="Linked Cell 46" xfId="3133" xr:uid="{00000000-0005-0000-0000-0000CB530000}"/>
    <cellStyle name="Linked Cell 47" xfId="3134" xr:uid="{00000000-0005-0000-0000-0000CC530000}"/>
    <cellStyle name="Linked Cell 48" xfId="3135" xr:uid="{00000000-0005-0000-0000-0000CD530000}"/>
    <cellStyle name="Linked Cell 49" xfId="3136" xr:uid="{00000000-0005-0000-0000-0000CE530000}"/>
    <cellStyle name="Linked Cell 5" xfId="3137" xr:uid="{00000000-0005-0000-0000-0000CF530000}"/>
    <cellStyle name="Linked Cell 50" xfId="3138" xr:uid="{00000000-0005-0000-0000-0000D0530000}"/>
    <cellStyle name="Linked Cell 51" xfId="3139" xr:uid="{00000000-0005-0000-0000-0000D1530000}"/>
    <cellStyle name="Linked Cell 52" xfId="3140" xr:uid="{00000000-0005-0000-0000-0000D2530000}"/>
    <cellStyle name="Linked Cell 53" xfId="3141" xr:uid="{00000000-0005-0000-0000-0000D3530000}"/>
    <cellStyle name="Linked Cell 54" xfId="3142" xr:uid="{00000000-0005-0000-0000-0000D4530000}"/>
    <cellStyle name="Linked Cell 55" xfId="3143" xr:uid="{00000000-0005-0000-0000-0000D5530000}"/>
    <cellStyle name="Linked Cell 56" xfId="3144" xr:uid="{00000000-0005-0000-0000-0000D6530000}"/>
    <cellStyle name="Linked Cell 57" xfId="3145" xr:uid="{00000000-0005-0000-0000-0000D7530000}"/>
    <cellStyle name="Linked Cell 58" xfId="3146" xr:uid="{00000000-0005-0000-0000-0000D8530000}"/>
    <cellStyle name="Linked Cell 59" xfId="3147" xr:uid="{00000000-0005-0000-0000-0000D9530000}"/>
    <cellStyle name="Linked Cell 6" xfId="3148" xr:uid="{00000000-0005-0000-0000-0000DA530000}"/>
    <cellStyle name="Linked Cell 60" xfId="3149" xr:uid="{00000000-0005-0000-0000-0000DB530000}"/>
    <cellStyle name="Linked Cell 61" xfId="3150" xr:uid="{00000000-0005-0000-0000-0000DC530000}"/>
    <cellStyle name="Linked Cell 62" xfId="3151" xr:uid="{00000000-0005-0000-0000-0000DD530000}"/>
    <cellStyle name="Linked Cell 63" xfId="3152" xr:uid="{00000000-0005-0000-0000-0000DE530000}"/>
    <cellStyle name="Linked Cell 64" xfId="3153" xr:uid="{00000000-0005-0000-0000-0000DF530000}"/>
    <cellStyle name="Linked Cell 65" xfId="3154" xr:uid="{00000000-0005-0000-0000-0000E0530000}"/>
    <cellStyle name="Linked Cell 66" xfId="3155" xr:uid="{00000000-0005-0000-0000-0000E1530000}"/>
    <cellStyle name="Linked Cell 67" xfId="3156" xr:uid="{00000000-0005-0000-0000-0000E2530000}"/>
    <cellStyle name="Linked Cell 68" xfId="3157" xr:uid="{00000000-0005-0000-0000-0000E3530000}"/>
    <cellStyle name="Linked Cell 69" xfId="3158" xr:uid="{00000000-0005-0000-0000-0000E4530000}"/>
    <cellStyle name="Linked Cell 7" xfId="3159" xr:uid="{00000000-0005-0000-0000-0000E5530000}"/>
    <cellStyle name="Linked Cell 70" xfId="3160" xr:uid="{00000000-0005-0000-0000-0000E6530000}"/>
    <cellStyle name="Linked Cell 71" xfId="3161" xr:uid="{00000000-0005-0000-0000-0000E7530000}"/>
    <cellStyle name="Linked Cell 72" xfId="3162" xr:uid="{00000000-0005-0000-0000-0000E8530000}"/>
    <cellStyle name="Linked Cell 8" xfId="3163" xr:uid="{00000000-0005-0000-0000-0000E9530000}"/>
    <cellStyle name="Linked Cell 9" xfId="3164" xr:uid="{00000000-0005-0000-0000-0000EA530000}"/>
    <cellStyle name="Manual-Input" xfId="3165" xr:uid="{00000000-0005-0000-0000-0000EB530000}"/>
    <cellStyle name="Marathon" xfId="46" xr:uid="{00000000-0005-0000-0000-0000EC530000}"/>
    <cellStyle name="Marathon 2" xfId="25810" xr:uid="{00000000-0005-0000-0000-0000ED530000}"/>
    <cellStyle name="MCP" xfId="47" xr:uid="{00000000-0005-0000-0000-0000EE530000}"/>
    <cellStyle name="Multiple" xfId="574" xr:uid="{00000000-0005-0000-0000-0000EF530000}"/>
    <cellStyle name="Multiple [1]" xfId="575" xr:uid="{00000000-0005-0000-0000-0000F0530000}"/>
    <cellStyle name="Multiple [1] 2" xfId="26047" xr:uid="{00000000-0005-0000-0000-0000F1530000}"/>
    <cellStyle name="Multiple 10" xfId="30152" xr:uid="{00000000-0005-0000-0000-0000F2530000}"/>
    <cellStyle name="Multiple 11" xfId="29366" xr:uid="{00000000-0005-0000-0000-0000F3530000}"/>
    <cellStyle name="Multiple 12" xfId="29402" xr:uid="{00000000-0005-0000-0000-0000F4530000}"/>
    <cellStyle name="Multiple 13" xfId="30154" xr:uid="{00000000-0005-0000-0000-0000F5530000}"/>
    <cellStyle name="Multiple 14" xfId="29399" xr:uid="{00000000-0005-0000-0000-0000F6530000}"/>
    <cellStyle name="Multiple 15" xfId="29273" xr:uid="{00000000-0005-0000-0000-0000F7530000}"/>
    <cellStyle name="Multiple 16" xfId="29421" xr:uid="{00000000-0005-0000-0000-0000F8530000}"/>
    <cellStyle name="Multiple 17" xfId="29275" xr:uid="{00000000-0005-0000-0000-0000F9530000}"/>
    <cellStyle name="Multiple 18" xfId="29419" xr:uid="{00000000-0005-0000-0000-0000FA530000}"/>
    <cellStyle name="Multiple 19" xfId="29277" xr:uid="{00000000-0005-0000-0000-0000FB530000}"/>
    <cellStyle name="Multiple 2" xfId="26046" xr:uid="{00000000-0005-0000-0000-0000FC530000}"/>
    <cellStyle name="Multiple 20" xfId="29417" xr:uid="{00000000-0005-0000-0000-0000FD530000}"/>
    <cellStyle name="Multiple 21" xfId="29303" xr:uid="{00000000-0005-0000-0000-0000FE530000}"/>
    <cellStyle name="Multiple 22" xfId="29415" xr:uid="{00000000-0005-0000-0000-0000FF530000}"/>
    <cellStyle name="Multiple 23" xfId="29317" xr:uid="{00000000-0005-0000-0000-000000540000}"/>
    <cellStyle name="Multiple 24" xfId="30156" xr:uid="{00000000-0005-0000-0000-000001540000}"/>
    <cellStyle name="Multiple 25" xfId="29319" xr:uid="{00000000-0005-0000-0000-000002540000}"/>
    <cellStyle name="Multiple 26" xfId="29413" xr:uid="{00000000-0005-0000-0000-000003540000}"/>
    <cellStyle name="Multiple 27" xfId="29321" xr:uid="{00000000-0005-0000-0000-000004540000}"/>
    <cellStyle name="Multiple 28" xfId="30155" xr:uid="{00000000-0005-0000-0000-000005540000}"/>
    <cellStyle name="Multiple 29" xfId="29323" xr:uid="{00000000-0005-0000-0000-000006540000}"/>
    <cellStyle name="Multiple 3" xfId="27000" xr:uid="{00000000-0005-0000-0000-000007540000}"/>
    <cellStyle name="Multiple 30" xfId="29405" xr:uid="{00000000-0005-0000-0000-000008540000}"/>
    <cellStyle name="Multiple 31" xfId="29265" xr:uid="{00000000-0005-0000-0000-000009540000}"/>
    <cellStyle name="Multiple 32" xfId="29428" xr:uid="{00000000-0005-0000-0000-00000A540000}"/>
    <cellStyle name="Multiple 33" xfId="29274" xr:uid="{00000000-0005-0000-0000-00000B540000}"/>
    <cellStyle name="Multiple 34" xfId="29420" xr:uid="{00000000-0005-0000-0000-00000C540000}"/>
    <cellStyle name="Multiple 35" xfId="29276" xr:uid="{00000000-0005-0000-0000-00000D540000}"/>
    <cellStyle name="Multiple 36" xfId="29418" xr:uid="{00000000-0005-0000-0000-00000E540000}"/>
    <cellStyle name="Multiple 37" xfId="29284" xr:uid="{00000000-0005-0000-0000-00000F540000}"/>
    <cellStyle name="Multiple 38" xfId="29416" xr:uid="{00000000-0005-0000-0000-000010540000}"/>
    <cellStyle name="Multiple 39" xfId="29316" xr:uid="{00000000-0005-0000-0000-000011540000}"/>
    <cellStyle name="Multiple 4" xfId="26719" xr:uid="{00000000-0005-0000-0000-000012540000}"/>
    <cellStyle name="Multiple 40" xfId="29414" xr:uid="{00000000-0005-0000-0000-000013540000}"/>
    <cellStyle name="Multiple 41" xfId="29318" xr:uid="{00000000-0005-0000-0000-000014540000}"/>
    <cellStyle name="Multiple 42" xfId="30153" xr:uid="{00000000-0005-0000-0000-000015540000}"/>
    <cellStyle name="Multiple 43" xfId="29320" xr:uid="{00000000-0005-0000-0000-000016540000}"/>
    <cellStyle name="Multiple 44" xfId="29412" xr:uid="{00000000-0005-0000-0000-000017540000}"/>
    <cellStyle name="Multiple 45" xfId="29322" xr:uid="{00000000-0005-0000-0000-000018540000}"/>
    <cellStyle name="Multiple 46" xfId="30160" xr:uid="{DD151B50-0191-4EF8-A8B6-3F913C95CD9E}"/>
    <cellStyle name="Multiple 5" xfId="29235" xr:uid="{00000000-0005-0000-0000-000019540000}"/>
    <cellStyle name="Multiple 6" xfId="29410" xr:uid="{00000000-0005-0000-0000-00001A540000}"/>
    <cellStyle name="Multiple 7" xfId="29324" xr:uid="{00000000-0005-0000-0000-00001B540000}"/>
    <cellStyle name="Multiple 8" xfId="29403" xr:uid="{00000000-0005-0000-0000-00001C540000}"/>
    <cellStyle name="Multiple 9" xfId="29357" xr:uid="{00000000-0005-0000-0000-00001D540000}"/>
    <cellStyle name="Multiple_10_21 A&amp;G Review" xfId="576" xr:uid="{00000000-0005-0000-0000-00001E540000}"/>
    <cellStyle name="Name" xfId="33362" xr:uid="{744636E4-6EF7-4B22-B1B1-E6AF7504D087}"/>
    <cellStyle name="Neutral 10" xfId="3166" xr:uid="{00000000-0005-0000-0000-00001F540000}"/>
    <cellStyle name="Neutral 11" xfId="3167" xr:uid="{00000000-0005-0000-0000-000020540000}"/>
    <cellStyle name="Neutral 12" xfId="3168" xr:uid="{00000000-0005-0000-0000-000021540000}"/>
    <cellStyle name="Neutral 13" xfId="3169" xr:uid="{00000000-0005-0000-0000-000022540000}"/>
    <cellStyle name="Neutral 14" xfId="3170" xr:uid="{00000000-0005-0000-0000-000023540000}"/>
    <cellStyle name="Neutral 15" xfId="3171" xr:uid="{00000000-0005-0000-0000-000024540000}"/>
    <cellStyle name="Neutral 16" xfId="3172" xr:uid="{00000000-0005-0000-0000-000025540000}"/>
    <cellStyle name="Neutral 17" xfId="3173" xr:uid="{00000000-0005-0000-0000-000026540000}"/>
    <cellStyle name="Neutral 18" xfId="3174" xr:uid="{00000000-0005-0000-0000-000027540000}"/>
    <cellStyle name="Neutral 19" xfId="3175" xr:uid="{00000000-0005-0000-0000-000028540000}"/>
    <cellStyle name="Neutral 2" xfId="3176" xr:uid="{00000000-0005-0000-0000-000029540000}"/>
    <cellStyle name="Neutral 2 2" xfId="24132" xr:uid="{00000000-0005-0000-0000-00002A540000}"/>
    <cellStyle name="Neutral 2 3" xfId="24131" xr:uid="{00000000-0005-0000-0000-00002B540000}"/>
    <cellStyle name="Neutral 20" xfId="3177" xr:uid="{00000000-0005-0000-0000-00002C540000}"/>
    <cellStyle name="Neutral 21" xfId="3178" xr:uid="{00000000-0005-0000-0000-00002D540000}"/>
    <cellStyle name="Neutral 22" xfId="3179" xr:uid="{00000000-0005-0000-0000-00002E540000}"/>
    <cellStyle name="Neutral 23" xfId="3180" xr:uid="{00000000-0005-0000-0000-00002F540000}"/>
    <cellStyle name="Neutral 24" xfId="3181" xr:uid="{00000000-0005-0000-0000-000030540000}"/>
    <cellStyle name="Neutral 25" xfId="3182" xr:uid="{00000000-0005-0000-0000-000031540000}"/>
    <cellStyle name="Neutral 26" xfId="3183" xr:uid="{00000000-0005-0000-0000-000032540000}"/>
    <cellStyle name="Neutral 27" xfId="3184" xr:uid="{00000000-0005-0000-0000-000033540000}"/>
    <cellStyle name="Neutral 28" xfId="3185" xr:uid="{00000000-0005-0000-0000-000034540000}"/>
    <cellStyle name="Neutral 29" xfId="3186" xr:uid="{00000000-0005-0000-0000-000035540000}"/>
    <cellStyle name="Neutral 3" xfId="3187" xr:uid="{00000000-0005-0000-0000-000036540000}"/>
    <cellStyle name="Neutral 3 2" xfId="24133" xr:uid="{00000000-0005-0000-0000-000037540000}"/>
    <cellStyle name="Neutral 30" xfId="3188" xr:uid="{00000000-0005-0000-0000-000038540000}"/>
    <cellStyle name="Neutral 31" xfId="3189" xr:uid="{00000000-0005-0000-0000-000039540000}"/>
    <cellStyle name="Neutral 32" xfId="3190" xr:uid="{00000000-0005-0000-0000-00003A540000}"/>
    <cellStyle name="Neutral 33" xfId="3191" xr:uid="{00000000-0005-0000-0000-00003B540000}"/>
    <cellStyle name="Neutral 34" xfId="3192" xr:uid="{00000000-0005-0000-0000-00003C540000}"/>
    <cellStyle name="Neutral 35" xfId="3193" xr:uid="{00000000-0005-0000-0000-00003D540000}"/>
    <cellStyle name="Neutral 36" xfId="3194" xr:uid="{00000000-0005-0000-0000-00003E540000}"/>
    <cellStyle name="Neutral 37" xfId="3195" xr:uid="{00000000-0005-0000-0000-00003F540000}"/>
    <cellStyle name="Neutral 38" xfId="3196" xr:uid="{00000000-0005-0000-0000-000040540000}"/>
    <cellStyle name="Neutral 39" xfId="3197" xr:uid="{00000000-0005-0000-0000-000041540000}"/>
    <cellStyle name="Neutral 4" xfId="3198" xr:uid="{00000000-0005-0000-0000-000042540000}"/>
    <cellStyle name="Neutral 4 2" xfId="24134" xr:uid="{00000000-0005-0000-0000-000043540000}"/>
    <cellStyle name="Neutral 40" xfId="3199" xr:uid="{00000000-0005-0000-0000-000044540000}"/>
    <cellStyle name="Neutral 41" xfId="3200" xr:uid="{00000000-0005-0000-0000-000045540000}"/>
    <cellStyle name="Neutral 42" xfId="3201" xr:uid="{00000000-0005-0000-0000-000046540000}"/>
    <cellStyle name="Neutral 43" xfId="3202" xr:uid="{00000000-0005-0000-0000-000047540000}"/>
    <cellStyle name="Neutral 44" xfId="3203" xr:uid="{00000000-0005-0000-0000-000048540000}"/>
    <cellStyle name="Neutral 45" xfId="3204" xr:uid="{00000000-0005-0000-0000-000049540000}"/>
    <cellStyle name="Neutral 46" xfId="3205" xr:uid="{00000000-0005-0000-0000-00004A540000}"/>
    <cellStyle name="Neutral 47" xfId="3206" xr:uid="{00000000-0005-0000-0000-00004B540000}"/>
    <cellStyle name="Neutral 48" xfId="3207" xr:uid="{00000000-0005-0000-0000-00004C540000}"/>
    <cellStyle name="Neutral 49" xfId="3208" xr:uid="{00000000-0005-0000-0000-00004D540000}"/>
    <cellStyle name="Neutral 5" xfId="3209" xr:uid="{00000000-0005-0000-0000-00004E540000}"/>
    <cellStyle name="Neutral 50" xfId="3210" xr:uid="{00000000-0005-0000-0000-00004F540000}"/>
    <cellStyle name="Neutral 51" xfId="3211" xr:uid="{00000000-0005-0000-0000-000050540000}"/>
    <cellStyle name="Neutral 52" xfId="3212" xr:uid="{00000000-0005-0000-0000-000051540000}"/>
    <cellStyle name="Neutral 53" xfId="3213" xr:uid="{00000000-0005-0000-0000-000052540000}"/>
    <cellStyle name="Neutral 54" xfId="3214" xr:uid="{00000000-0005-0000-0000-000053540000}"/>
    <cellStyle name="Neutral 55" xfId="3215" xr:uid="{00000000-0005-0000-0000-000054540000}"/>
    <cellStyle name="Neutral 56" xfId="3216" xr:uid="{00000000-0005-0000-0000-000055540000}"/>
    <cellStyle name="Neutral 57" xfId="3217" xr:uid="{00000000-0005-0000-0000-000056540000}"/>
    <cellStyle name="Neutral 58" xfId="3218" xr:uid="{00000000-0005-0000-0000-000057540000}"/>
    <cellStyle name="Neutral 59" xfId="3219" xr:uid="{00000000-0005-0000-0000-000058540000}"/>
    <cellStyle name="Neutral 6" xfId="3220" xr:uid="{00000000-0005-0000-0000-000059540000}"/>
    <cellStyle name="Neutral 60" xfId="3221" xr:uid="{00000000-0005-0000-0000-00005A540000}"/>
    <cellStyle name="Neutral 61" xfId="3222" xr:uid="{00000000-0005-0000-0000-00005B540000}"/>
    <cellStyle name="Neutral 62" xfId="3223" xr:uid="{00000000-0005-0000-0000-00005C540000}"/>
    <cellStyle name="Neutral 63" xfId="3224" xr:uid="{00000000-0005-0000-0000-00005D540000}"/>
    <cellStyle name="Neutral 64" xfId="3225" xr:uid="{00000000-0005-0000-0000-00005E540000}"/>
    <cellStyle name="Neutral 65" xfId="3226" xr:uid="{00000000-0005-0000-0000-00005F540000}"/>
    <cellStyle name="Neutral 66" xfId="3227" xr:uid="{00000000-0005-0000-0000-000060540000}"/>
    <cellStyle name="Neutral 67" xfId="3228" xr:uid="{00000000-0005-0000-0000-000061540000}"/>
    <cellStyle name="Neutral 68" xfId="3229" xr:uid="{00000000-0005-0000-0000-000062540000}"/>
    <cellStyle name="Neutral 69" xfId="3230" xr:uid="{00000000-0005-0000-0000-000063540000}"/>
    <cellStyle name="Neutral 7" xfId="3231" xr:uid="{00000000-0005-0000-0000-000064540000}"/>
    <cellStyle name="Neutral 70" xfId="3232" xr:uid="{00000000-0005-0000-0000-000065540000}"/>
    <cellStyle name="Neutral 71" xfId="3233" xr:uid="{00000000-0005-0000-0000-000066540000}"/>
    <cellStyle name="Neutral 72" xfId="3234" xr:uid="{00000000-0005-0000-0000-000067540000}"/>
    <cellStyle name="Neutral 8" xfId="3235" xr:uid="{00000000-0005-0000-0000-000068540000}"/>
    <cellStyle name="Neutral 9" xfId="3236" xr:uid="{00000000-0005-0000-0000-000069540000}"/>
    <cellStyle name="nONE" xfId="48" xr:uid="{00000000-0005-0000-0000-00006A540000}"/>
    <cellStyle name="nONE 2" xfId="201" xr:uid="{00000000-0005-0000-0000-00006B540000}"/>
    <cellStyle name="noninput" xfId="49" xr:uid="{00000000-0005-0000-0000-00006C540000}"/>
    <cellStyle name="Normal" xfId="0" builtinId="0"/>
    <cellStyle name="Normal - Style1" xfId="50" xr:uid="{00000000-0005-0000-0000-00006E540000}"/>
    <cellStyle name="Normal - Style1 2" xfId="25811" xr:uid="{00000000-0005-0000-0000-00006F540000}"/>
    <cellStyle name="Normal 10" xfId="309" xr:uid="{00000000-0005-0000-0000-000070540000}"/>
    <cellStyle name="Normal 10 10" xfId="25764" xr:uid="{00000000-0005-0000-0000-000071540000}"/>
    <cellStyle name="Normal 10 10 2" xfId="29000" xr:uid="{00000000-0005-0000-0000-000072540000}"/>
    <cellStyle name="Normal 10 11" xfId="25789" xr:uid="{00000000-0005-0000-0000-000073540000}"/>
    <cellStyle name="Normal 10 11 2" xfId="29001" xr:uid="{00000000-0005-0000-0000-000074540000}"/>
    <cellStyle name="Normal 10 11 3" xfId="28742" xr:uid="{00000000-0005-0000-0000-000075540000}"/>
    <cellStyle name="Normal 10 12" xfId="28743" xr:uid="{00000000-0005-0000-0000-000076540000}"/>
    <cellStyle name="Normal 10 12 2" xfId="29002" xr:uid="{00000000-0005-0000-0000-000077540000}"/>
    <cellStyle name="Normal 10 13" xfId="28744" xr:uid="{00000000-0005-0000-0000-000078540000}"/>
    <cellStyle name="Normal 10 13 2" xfId="29003" xr:uid="{00000000-0005-0000-0000-000079540000}"/>
    <cellStyle name="Normal 10 2" xfId="646" xr:uid="{00000000-0005-0000-0000-00007A540000}"/>
    <cellStyle name="Normal 10 2 2" xfId="12453" xr:uid="{00000000-0005-0000-0000-00007B540000}"/>
    <cellStyle name="Normal 10 2 2 2" xfId="23741" xr:uid="{00000000-0005-0000-0000-00007C540000}"/>
    <cellStyle name="Normal 10 2 2 3" xfId="29004" xr:uid="{00000000-0005-0000-0000-00007D540000}"/>
    <cellStyle name="Normal 10 2 2 4" xfId="33365" xr:uid="{B5ACB6D4-F25B-4919-B5F9-530F29439C4A}"/>
    <cellStyle name="Normal 10 2 3" xfId="10459" xr:uid="{00000000-0005-0000-0000-00007E540000}"/>
    <cellStyle name="Normal 10 2 3 2" xfId="21747" xr:uid="{00000000-0005-0000-0000-00007F540000}"/>
    <cellStyle name="Normal 10 2 4" xfId="8465" xr:uid="{00000000-0005-0000-0000-000080540000}"/>
    <cellStyle name="Normal 10 2 4 2" xfId="19753" xr:uid="{00000000-0005-0000-0000-000081540000}"/>
    <cellStyle name="Normal 10 2 5" xfId="6471" xr:uid="{00000000-0005-0000-0000-000082540000}"/>
    <cellStyle name="Normal 10 2 5 2" xfId="17759" xr:uid="{00000000-0005-0000-0000-000083540000}"/>
    <cellStyle name="Normal 10 2 6" xfId="4474" xr:uid="{00000000-0005-0000-0000-000084540000}"/>
    <cellStyle name="Normal 10 2 6 2" xfId="15765" xr:uid="{00000000-0005-0000-0000-000085540000}"/>
    <cellStyle name="Normal 10 2 7" xfId="24135" xr:uid="{00000000-0005-0000-0000-000086540000}"/>
    <cellStyle name="Normal 10 2 7 2" xfId="27075" xr:uid="{00000000-0005-0000-0000-000087540000}"/>
    <cellStyle name="Normal 10 3" xfId="11456" xr:uid="{00000000-0005-0000-0000-000088540000}"/>
    <cellStyle name="Normal 10 3 2" xfId="22744" xr:uid="{00000000-0005-0000-0000-000089540000}"/>
    <cellStyle name="Normal 10 3 2 2" xfId="29005" xr:uid="{00000000-0005-0000-0000-00008A540000}"/>
    <cellStyle name="Normal 10 3 3" xfId="28745" xr:uid="{00000000-0005-0000-0000-00008B540000}"/>
    <cellStyle name="Normal 10 4" xfId="9462" xr:uid="{00000000-0005-0000-0000-00008C540000}"/>
    <cellStyle name="Normal 10 4 2" xfId="20750" xr:uid="{00000000-0005-0000-0000-00008D540000}"/>
    <cellStyle name="Normal 10 4 2 2" xfId="29006" xr:uid="{00000000-0005-0000-0000-00008E540000}"/>
    <cellStyle name="Normal 10 4 3" xfId="28746" xr:uid="{00000000-0005-0000-0000-00008F540000}"/>
    <cellStyle name="Normal 10 5" xfId="7468" xr:uid="{00000000-0005-0000-0000-000090540000}"/>
    <cellStyle name="Normal 10 5 2" xfId="18756" xr:uid="{00000000-0005-0000-0000-000091540000}"/>
    <cellStyle name="Normal 10 5 2 2" xfId="29007" xr:uid="{00000000-0005-0000-0000-000092540000}"/>
    <cellStyle name="Normal 10 5 3" xfId="28747" xr:uid="{00000000-0005-0000-0000-000093540000}"/>
    <cellStyle name="Normal 10 6" xfId="5474" xr:uid="{00000000-0005-0000-0000-000094540000}"/>
    <cellStyle name="Normal 10 6 2" xfId="16762" xr:uid="{00000000-0005-0000-0000-000095540000}"/>
    <cellStyle name="Normal 10 6 2 2" xfId="29008" xr:uid="{00000000-0005-0000-0000-000096540000}"/>
    <cellStyle name="Normal 10 6 3" xfId="28748" xr:uid="{00000000-0005-0000-0000-000097540000}"/>
    <cellStyle name="Normal 10 7" xfId="3237" xr:uid="{00000000-0005-0000-0000-000098540000}"/>
    <cellStyle name="Normal 10 7 2" xfId="14768" xr:uid="{00000000-0005-0000-0000-000099540000}"/>
    <cellStyle name="Normal 10 7 2 2" xfId="29009" xr:uid="{00000000-0005-0000-0000-00009A540000}"/>
    <cellStyle name="Normal 10 7 3" xfId="28749" xr:uid="{00000000-0005-0000-0000-00009B540000}"/>
    <cellStyle name="Normal 10 8" xfId="13746" xr:uid="{00000000-0005-0000-0000-00009C540000}"/>
    <cellStyle name="Normal 10 8 2" xfId="26658" xr:uid="{00000000-0005-0000-0000-00009D540000}"/>
    <cellStyle name="Normal 10 8 2 2" xfId="29010" xr:uid="{00000000-0005-0000-0000-00009E540000}"/>
    <cellStyle name="Normal 10 9" xfId="13454" xr:uid="{00000000-0005-0000-0000-00009F540000}"/>
    <cellStyle name="Normal 10 9 2" xfId="29011" xr:uid="{00000000-0005-0000-0000-0000A0540000}"/>
    <cellStyle name="Normal 10 9 3" xfId="28750" xr:uid="{00000000-0005-0000-0000-0000A1540000}"/>
    <cellStyle name="Normal 100" xfId="25761" xr:uid="{00000000-0005-0000-0000-0000A2540000}"/>
    <cellStyle name="Normal 100 2" xfId="27899" xr:uid="{00000000-0005-0000-0000-0000A3540000}"/>
    <cellStyle name="Normal 101" xfId="25795" xr:uid="{00000000-0005-0000-0000-0000A4540000}"/>
    <cellStyle name="Normal 101 2" xfId="29411" xr:uid="{00000000-0005-0000-0000-0000A5540000}"/>
    <cellStyle name="Normal 102" xfId="28612" xr:uid="{00000000-0005-0000-0000-0000A6540000}"/>
    <cellStyle name="Normal 103" xfId="27901" xr:uid="{00000000-0005-0000-0000-0000A7540000}"/>
    <cellStyle name="Normal 104" xfId="29170" xr:uid="{00000000-0005-0000-0000-0000A8540000}"/>
    <cellStyle name="Normal 105" xfId="29173" xr:uid="{00000000-0005-0000-0000-0000A9540000}"/>
    <cellStyle name="Normal 106" xfId="29174" xr:uid="{00000000-0005-0000-0000-0000AA540000}"/>
    <cellStyle name="Normal 107" xfId="29175" xr:uid="{00000000-0005-0000-0000-0000AB540000}"/>
    <cellStyle name="Normal 108" xfId="29180" xr:uid="{00000000-0005-0000-0000-0000AC540000}"/>
    <cellStyle name="Normal 109" xfId="27920" xr:uid="{00000000-0005-0000-0000-0000AD540000}"/>
    <cellStyle name="Normal 11" xfId="167" xr:uid="{00000000-0005-0000-0000-0000AE540000}"/>
    <cellStyle name="Normal 11 10" xfId="25881" xr:uid="{00000000-0005-0000-0000-0000AF540000}"/>
    <cellStyle name="Normal 11 10 2" xfId="29012" xr:uid="{00000000-0005-0000-0000-0000B0540000}"/>
    <cellStyle name="Normal 11 11" xfId="28751" xr:uid="{00000000-0005-0000-0000-0000B1540000}"/>
    <cellStyle name="Normal 11 11 2" xfId="29013" xr:uid="{00000000-0005-0000-0000-0000B2540000}"/>
    <cellStyle name="Normal 11 12" xfId="28752" xr:uid="{00000000-0005-0000-0000-0000B3540000}"/>
    <cellStyle name="Normal 11 12 2" xfId="29014" xr:uid="{00000000-0005-0000-0000-0000B4540000}"/>
    <cellStyle name="Normal 11 13" xfId="28753" xr:uid="{00000000-0005-0000-0000-0000B5540000}"/>
    <cellStyle name="Normal 11 13 2" xfId="29015" xr:uid="{00000000-0005-0000-0000-0000B6540000}"/>
    <cellStyle name="Normal 11 2" xfId="647" xr:uid="{00000000-0005-0000-0000-0000B7540000}"/>
    <cellStyle name="Normal 11 2 2" xfId="12454" xr:uid="{00000000-0005-0000-0000-0000B8540000}"/>
    <cellStyle name="Normal 11 2 2 2" xfId="23742" xr:uid="{00000000-0005-0000-0000-0000B9540000}"/>
    <cellStyle name="Normal 11 2 2 3" xfId="29016" xr:uid="{00000000-0005-0000-0000-0000BA540000}"/>
    <cellStyle name="Normal 11 2 3" xfId="10460" xr:uid="{00000000-0005-0000-0000-0000BB540000}"/>
    <cellStyle name="Normal 11 2 3 2" xfId="21748" xr:uid="{00000000-0005-0000-0000-0000BC540000}"/>
    <cellStyle name="Normal 11 2 4" xfId="8466" xr:uid="{00000000-0005-0000-0000-0000BD540000}"/>
    <cellStyle name="Normal 11 2 4 2" xfId="19754" xr:uid="{00000000-0005-0000-0000-0000BE540000}"/>
    <cellStyle name="Normal 11 2 5" xfId="6472" xr:uid="{00000000-0005-0000-0000-0000BF540000}"/>
    <cellStyle name="Normal 11 2 5 2" xfId="17760" xr:uid="{00000000-0005-0000-0000-0000C0540000}"/>
    <cellStyle name="Normal 11 2 6" xfId="4475" xr:uid="{00000000-0005-0000-0000-0000C1540000}"/>
    <cellStyle name="Normal 11 2 6 2" xfId="15766" xr:uid="{00000000-0005-0000-0000-0000C2540000}"/>
    <cellStyle name="Normal 11 2 7" xfId="28754" xr:uid="{00000000-0005-0000-0000-0000C3540000}"/>
    <cellStyle name="Normal 11 3" xfId="11457" xr:uid="{00000000-0005-0000-0000-0000C4540000}"/>
    <cellStyle name="Normal 11 3 2" xfId="22745" xr:uid="{00000000-0005-0000-0000-0000C5540000}"/>
    <cellStyle name="Normal 11 3 2 2" xfId="29017" xr:uid="{00000000-0005-0000-0000-0000C6540000}"/>
    <cellStyle name="Normal 11 3 3" xfId="28755" xr:uid="{00000000-0005-0000-0000-0000C7540000}"/>
    <cellStyle name="Normal 11 4" xfId="9463" xr:uid="{00000000-0005-0000-0000-0000C8540000}"/>
    <cellStyle name="Normal 11 4 2" xfId="20751" xr:uid="{00000000-0005-0000-0000-0000C9540000}"/>
    <cellStyle name="Normal 11 4 2 2" xfId="29018" xr:uid="{00000000-0005-0000-0000-0000CA540000}"/>
    <cellStyle name="Normal 11 4 3" xfId="28756" xr:uid="{00000000-0005-0000-0000-0000CB540000}"/>
    <cellStyle name="Normal 11 5" xfId="7469" xr:uid="{00000000-0005-0000-0000-0000CC540000}"/>
    <cellStyle name="Normal 11 5 2" xfId="18757" xr:uid="{00000000-0005-0000-0000-0000CD540000}"/>
    <cellStyle name="Normal 11 5 2 2" xfId="29019" xr:uid="{00000000-0005-0000-0000-0000CE540000}"/>
    <cellStyle name="Normal 11 5 3" xfId="28757" xr:uid="{00000000-0005-0000-0000-0000CF540000}"/>
    <cellStyle name="Normal 11 6" xfId="5475" xr:uid="{00000000-0005-0000-0000-0000D0540000}"/>
    <cellStyle name="Normal 11 6 2" xfId="16763" xr:uid="{00000000-0005-0000-0000-0000D1540000}"/>
    <cellStyle name="Normal 11 6 2 2" xfId="29020" xr:uid="{00000000-0005-0000-0000-0000D2540000}"/>
    <cellStyle name="Normal 11 6 3" xfId="28758" xr:uid="{00000000-0005-0000-0000-0000D3540000}"/>
    <cellStyle name="Normal 11 7" xfId="3238" xr:uid="{00000000-0005-0000-0000-0000D4540000}"/>
    <cellStyle name="Normal 11 7 2" xfId="14769" xr:uid="{00000000-0005-0000-0000-0000D5540000}"/>
    <cellStyle name="Normal 11 7 2 2" xfId="29021" xr:uid="{00000000-0005-0000-0000-0000D6540000}"/>
    <cellStyle name="Normal 11 7 3" xfId="28759" xr:uid="{00000000-0005-0000-0000-0000D7540000}"/>
    <cellStyle name="Normal 11 8" xfId="13683" xr:uid="{00000000-0005-0000-0000-0000D8540000}"/>
    <cellStyle name="Normal 11 8 2" xfId="26623" xr:uid="{00000000-0005-0000-0000-0000D9540000}"/>
    <cellStyle name="Normal 11 8 2 2" xfId="29022" xr:uid="{00000000-0005-0000-0000-0000DA540000}"/>
    <cellStyle name="Normal 11 9" xfId="13455" xr:uid="{00000000-0005-0000-0000-0000DB540000}"/>
    <cellStyle name="Normal 11 9 2" xfId="29023" xr:uid="{00000000-0005-0000-0000-0000DC540000}"/>
    <cellStyle name="Normal 11 9 3" xfId="28760" xr:uid="{00000000-0005-0000-0000-0000DD540000}"/>
    <cellStyle name="Normal 110" xfId="27921" xr:uid="{00000000-0005-0000-0000-0000DE540000}"/>
    <cellStyle name="Normal 111" xfId="33369" xr:uid="{8A262B1E-3B57-424C-855C-9C3F1D40EBAC}"/>
    <cellStyle name="Normal 112" xfId="33381" xr:uid="{4A94EEC0-1CB0-45B0-A8C5-E1E7336AFA48}"/>
    <cellStyle name="Normal 12" xfId="307" xr:uid="{00000000-0005-0000-0000-0000DF540000}"/>
    <cellStyle name="Normal 12 10" xfId="24136" xr:uid="{00000000-0005-0000-0000-0000E0540000}"/>
    <cellStyle name="Normal 12 10 2" xfId="29024" xr:uid="{00000000-0005-0000-0000-0000E1540000}"/>
    <cellStyle name="Normal 12 10 3" xfId="28761" xr:uid="{00000000-0005-0000-0000-0000E2540000}"/>
    <cellStyle name="Normal 12 11" xfId="25958" xr:uid="{00000000-0005-0000-0000-0000E3540000}"/>
    <cellStyle name="Normal 12 11 2" xfId="29025" xr:uid="{00000000-0005-0000-0000-0000E4540000}"/>
    <cellStyle name="Normal 12 12" xfId="28762" xr:uid="{00000000-0005-0000-0000-0000E5540000}"/>
    <cellStyle name="Normal 12 12 2" xfId="29026" xr:uid="{00000000-0005-0000-0000-0000E6540000}"/>
    <cellStyle name="Normal 12 13" xfId="28763" xr:uid="{00000000-0005-0000-0000-0000E7540000}"/>
    <cellStyle name="Normal 12 13 2" xfId="29027" xr:uid="{00000000-0005-0000-0000-0000E8540000}"/>
    <cellStyle name="Normal 12 2" xfId="648" xr:uid="{00000000-0005-0000-0000-0000E9540000}"/>
    <cellStyle name="Normal 12 2 2" xfId="12455" xr:uid="{00000000-0005-0000-0000-0000EA540000}"/>
    <cellStyle name="Normal 12 2 2 2" xfId="23743" xr:uid="{00000000-0005-0000-0000-0000EB540000}"/>
    <cellStyle name="Normal 12 2 2 3" xfId="29028" xr:uid="{00000000-0005-0000-0000-0000EC540000}"/>
    <cellStyle name="Normal 12 2 3" xfId="10461" xr:uid="{00000000-0005-0000-0000-0000ED540000}"/>
    <cellStyle name="Normal 12 2 3 2" xfId="21749" xr:uid="{00000000-0005-0000-0000-0000EE540000}"/>
    <cellStyle name="Normal 12 2 4" xfId="8467" xr:uid="{00000000-0005-0000-0000-0000EF540000}"/>
    <cellStyle name="Normal 12 2 4 2" xfId="19755" xr:uid="{00000000-0005-0000-0000-0000F0540000}"/>
    <cellStyle name="Normal 12 2 5" xfId="6473" xr:uid="{00000000-0005-0000-0000-0000F1540000}"/>
    <cellStyle name="Normal 12 2 5 2" xfId="17761" xr:uid="{00000000-0005-0000-0000-0000F2540000}"/>
    <cellStyle name="Normal 12 2 6" xfId="4476" xr:uid="{00000000-0005-0000-0000-0000F3540000}"/>
    <cellStyle name="Normal 12 2 6 2" xfId="15767" xr:uid="{00000000-0005-0000-0000-0000F4540000}"/>
    <cellStyle name="Normal 12 2 7" xfId="24137" xr:uid="{00000000-0005-0000-0000-0000F5540000}"/>
    <cellStyle name="Normal 12 2 8" xfId="28764" xr:uid="{00000000-0005-0000-0000-0000F6540000}"/>
    <cellStyle name="Normal 12 3" xfId="11458" xr:uid="{00000000-0005-0000-0000-0000F7540000}"/>
    <cellStyle name="Normal 12 3 2" xfId="22746" xr:uid="{00000000-0005-0000-0000-0000F8540000}"/>
    <cellStyle name="Normal 12 3 2 2" xfId="29029" xr:uid="{00000000-0005-0000-0000-0000F9540000}"/>
    <cellStyle name="Normal 12 3 3" xfId="24301" xr:uid="{00000000-0005-0000-0000-0000FA540000}"/>
    <cellStyle name="Normal 12 3 3 2" xfId="27137" xr:uid="{00000000-0005-0000-0000-0000FB540000}"/>
    <cellStyle name="Normal 12 4" xfId="9464" xr:uid="{00000000-0005-0000-0000-0000FC540000}"/>
    <cellStyle name="Normal 12 4 2" xfId="20752" xr:uid="{00000000-0005-0000-0000-0000FD540000}"/>
    <cellStyle name="Normal 12 4 2 2" xfId="29030" xr:uid="{00000000-0005-0000-0000-0000FE540000}"/>
    <cellStyle name="Normal 12 4 3" xfId="28765" xr:uid="{00000000-0005-0000-0000-0000FF540000}"/>
    <cellStyle name="Normal 12 5" xfId="7470" xr:uid="{00000000-0005-0000-0000-000000550000}"/>
    <cellStyle name="Normal 12 5 2" xfId="18758" xr:uid="{00000000-0005-0000-0000-000001550000}"/>
    <cellStyle name="Normal 12 5 2 2" xfId="29031" xr:uid="{00000000-0005-0000-0000-000002550000}"/>
    <cellStyle name="Normal 12 5 3" xfId="28766" xr:uid="{00000000-0005-0000-0000-000003550000}"/>
    <cellStyle name="Normal 12 6" xfId="5476" xr:uid="{00000000-0005-0000-0000-000004550000}"/>
    <cellStyle name="Normal 12 6 2" xfId="16764" xr:uid="{00000000-0005-0000-0000-000005550000}"/>
    <cellStyle name="Normal 12 6 2 2" xfId="29032" xr:uid="{00000000-0005-0000-0000-000006550000}"/>
    <cellStyle name="Normal 12 6 3" xfId="28767" xr:uid="{00000000-0005-0000-0000-000007550000}"/>
    <cellStyle name="Normal 12 7" xfId="3239" xr:uid="{00000000-0005-0000-0000-000008550000}"/>
    <cellStyle name="Normal 12 7 2" xfId="14770" xr:uid="{00000000-0005-0000-0000-000009550000}"/>
    <cellStyle name="Normal 12 7 2 2" xfId="29033" xr:uid="{00000000-0005-0000-0000-00000A550000}"/>
    <cellStyle name="Normal 12 7 3" xfId="28768" xr:uid="{00000000-0005-0000-0000-00000B550000}"/>
    <cellStyle name="Normal 12 8" xfId="13745" xr:uid="{00000000-0005-0000-0000-00000C550000}"/>
    <cellStyle name="Normal 12 8 2" xfId="26657" xr:uid="{00000000-0005-0000-0000-00000D550000}"/>
    <cellStyle name="Normal 12 8 2 2" xfId="29034" xr:uid="{00000000-0005-0000-0000-00000E550000}"/>
    <cellStyle name="Normal 12 9" xfId="13456" xr:uid="{00000000-0005-0000-0000-00000F550000}"/>
    <cellStyle name="Normal 12 9 2" xfId="29035" xr:uid="{00000000-0005-0000-0000-000010550000}"/>
    <cellStyle name="Normal 12 9 3" xfId="28769" xr:uid="{00000000-0005-0000-0000-000011550000}"/>
    <cellStyle name="Normal 13" xfId="324" xr:uid="{00000000-0005-0000-0000-000012550000}"/>
    <cellStyle name="Normal 13 10" xfId="23930" xr:uid="{00000000-0005-0000-0000-000013550000}"/>
    <cellStyle name="Normal 13 10 2" xfId="29036" xr:uid="{00000000-0005-0000-0000-000014550000}"/>
    <cellStyle name="Normal 13 10 3" xfId="28770" xr:uid="{00000000-0005-0000-0000-000015550000}"/>
    <cellStyle name="Normal 13 11" xfId="24557" xr:uid="{00000000-0005-0000-0000-000016550000}"/>
    <cellStyle name="Normal 13 11 2" xfId="29037" xr:uid="{00000000-0005-0000-0000-000017550000}"/>
    <cellStyle name="Normal 13 11 3" xfId="28771" xr:uid="{00000000-0005-0000-0000-000018550000}"/>
    <cellStyle name="Normal 13 12" xfId="24947" xr:uid="{00000000-0005-0000-0000-000019550000}"/>
    <cellStyle name="Normal 13 12 2" xfId="29038" xr:uid="{00000000-0005-0000-0000-00001A550000}"/>
    <cellStyle name="Normal 13 12 3" xfId="28772" xr:uid="{00000000-0005-0000-0000-00001B550000}"/>
    <cellStyle name="Normal 13 13" xfId="25966" xr:uid="{00000000-0005-0000-0000-00001C550000}"/>
    <cellStyle name="Normal 13 13 2" xfId="29039" xr:uid="{00000000-0005-0000-0000-00001D550000}"/>
    <cellStyle name="Normal 13 2" xfId="649" xr:uid="{00000000-0005-0000-0000-00001E550000}"/>
    <cellStyle name="Normal 13 2 10" xfId="28773" xr:uid="{00000000-0005-0000-0000-00001F550000}"/>
    <cellStyle name="Normal 13 2 2" xfId="12456" xr:uid="{00000000-0005-0000-0000-000020550000}"/>
    <cellStyle name="Normal 13 2 2 2" xfId="23744" xr:uid="{00000000-0005-0000-0000-000021550000}"/>
    <cellStyle name="Normal 13 2 2 3" xfId="29040" xr:uid="{00000000-0005-0000-0000-000022550000}"/>
    <cellStyle name="Normal 13 2 3" xfId="10462" xr:uid="{00000000-0005-0000-0000-000023550000}"/>
    <cellStyle name="Normal 13 2 3 2" xfId="21750" xr:uid="{00000000-0005-0000-0000-000024550000}"/>
    <cellStyle name="Normal 13 2 4" xfId="8468" xr:uid="{00000000-0005-0000-0000-000025550000}"/>
    <cellStyle name="Normal 13 2 4 2" xfId="19756" xr:uid="{00000000-0005-0000-0000-000026550000}"/>
    <cellStyle name="Normal 13 2 5" xfId="6474" xr:uid="{00000000-0005-0000-0000-000027550000}"/>
    <cellStyle name="Normal 13 2 5 2" xfId="17762" xr:uid="{00000000-0005-0000-0000-000028550000}"/>
    <cellStyle name="Normal 13 2 6" xfId="4477" xr:uid="{00000000-0005-0000-0000-000029550000}"/>
    <cellStyle name="Normal 13 2 6 2" xfId="15768" xr:uid="{00000000-0005-0000-0000-00002A550000}"/>
    <cellStyle name="Normal 13 2 7" xfId="24318" xr:uid="{00000000-0005-0000-0000-00002B550000}"/>
    <cellStyle name="Normal 13 2 8" xfId="24782" xr:uid="{00000000-0005-0000-0000-00002C550000}"/>
    <cellStyle name="Normal 13 2 9" xfId="25149" xr:uid="{00000000-0005-0000-0000-00002D550000}"/>
    <cellStyle name="Normal 13 3" xfId="11459" xr:uid="{00000000-0005-0000-0000-00002E550000}"/>
    <cellStyle name="Normal 13 3 2" xfId="22747" xr:uid="{00000000-0005-0000-0000-00002F550000}"/>
    <cellStyle name="Normal 13 3 2 2" xfId="29041" xr:uid="{00000000-0005-0000-0000-000030550000}"/>
    <cellStyle name="Normal 13 3 3" xfId="28774" xr:uid="{00000000-0005-0000-0000-000031550000}"/>
    <cellStyle name="Normal 13 4" xfId="9465" xr:uid="{00000000-0005-0000-0000-000032550000}"/>
    <cellStyle name="Normal 13 4 2" xfId="20753" xr:uid="{00000000-0005-0000-0000-000033550000}"/>
    <cellStyle name="Normal 13 4 2 2" xfId="29042" xr:uid="{00000000-0005-0000-0000-000034550000}"/>
    <cellStyle name="Normal 13 4 3" xfId="28775" xr:uid="{00000000-0005-0000-0000-000035550000}"/>
    <cellStyle name="Normal 13 5" xfId="7471" xr:uid="{00000000-0005-0000-0000-000036550000}"/>
    <cellStyle name="Normal 13 5 2" xfId="18759" xr:uid="{00000000-0005-0000-0000-000037550000}"/>
    <cellStyle name="Normal 13 5 2 2" xfId="29043" xr:uid="{00000000-0005-0000-0000-000038550000}"/>
    <cellStyle name="Normal 13 5 3" xfId="28776" xr:uid="{00000000-0005-0000-0000-000039550000}"/>
    <cellStyle name="Normal 13 6" xfId="5477" xr:uid="{00000000-0005-0000-0000-00003A550000}"/>
    <cellStyle name="Normal 13 6 2" xfId="16765" xr:uid="{00000000-0005-0000-0000-00003B550000}"/>
    <cellStyle name="Normal 13 6 2 2" xfId="29044" xr:uid="{00000000-0005-0000-0000-00003C550000}"/>
    <cellStyle name="Normal 13 6 3" xfId="28777" xr:uid="{00000000-0005-0000-0000-00003D550000}"/>
    <cellStyle name="Normal 13 7" xfId="3240" xr:uid="{00000000-0005-0000-0000-00003E550000}"/>
    <cellStyle name="Normal 13 7 2" xfId="14771" xr:uid="{00000000-0005-0000-0000-00003F550000}"/>
    <cellStyle name="Normal 13 7 2 2" xfId="29045" xr:uid="{00000000-0005-0000-0000-000040550000}"/>
    <cellStyle name="Normal 13 7 3" xfId="28778" xr:uid="{00000000-0005-0000-0000-000041550000}"/>
    <cellStyle name="Normal 13 8" xfId="13755" xr:uid="{00000000-0005-0000-0000-000042550000}"/>
    <cellStyle name="Normal 13 8 2" xfId="26659" xr:uid="{00000000-0005-0000-0000-000043550000}"/>
    <cellStyle name="Normal 13 8 2 2" xfId="29046" xr:uid="{00000000-0005-0000-0000-000044550000}"/>
    <cellStyle name="Normal 13 9" xfId="13457" xr:uid="{00000000-0005-0000-0000-000045550000}"/>
    <cellStyle name="Normal 13 9 2" xfId="29047" xr:uid="{00000000-0005-0000-0000-000046550000}"/>
    <cellStyle name="Normal 13 9 3" xfId="28779" xr:uid="{00000000-0005-0000-0000-000047550000}"/>
    <cellStyle name="Normal 14" xfId="333" xr:uid="{00000000-0005-0000-0000-000048550000}"/>
    <cellStyle name="Normal 14 10" xfId="24138" xr:uid="{00000000-0005-0000-0000-000049550000}"/>
    <cellStyle name="Normal 14 11" xfId="24714" xr:uid="{00000000-0005-0000-0000-00004A550000}"/>
    <cellStyle name="Normal 14 12" xfId="25031" xr:uid="{00000000-0005-0000-0000-00004B550000}"/>
    <cellStyle name="Normal 14 13" xfId="27919" xr:uid="{00000000-0005-0000-0000-00004C550000}"/>
    <cellStyle name="Normal 14 14" xfId="25975" xr:uid="{00000000-0005-0000-0000-00004D550000}"/>
    <cellStyle name="Normal 14 2" xfId="650" xr:uid="{00000000-0005-0000-0000-00004E550000}"/>
    <cellStyle name="Normal 14 2 10" xfId="29048" xr:uid="{00000000-0005-0000-0000-00004F550000}"/>
    <cellStyle name="Normal 14 2 2" xfId="12457" xr:uid="{00000000-0005-0000-0000-000050550000}"/>
    <cellStyle name="Normal 14 2 2 2" xfId="23745" xr:uid="{00000000-0005-0000-0000-000051550000}"/>
    <cellStyle name="Normal 14 2 3" xfId="10463" xr:uid="{00000000-0005-0000-0000-000052550000}"/>
    <cellStyle name="Normal 14 2 3 2" xfId="21751" xr:uid="{00000000-0005-0000-0000-000053550000}"/>
    <cellStyle name="Normal 14 2 4" xfId="8469" xr:uid="{00000000-0005-0000-0000-000054550000}"/>
    <cellStyle name="Normal 14 2 4 2" xfId="19757" xr:uid="{00000000-0005-0000-0000-000055550000}"/>
    <cellStyle name="Normal 14 2 5" xfId="6475" xr:uid="{00000000-0005-0000-0000-000056550000}"/>
    <cellStyle name="Normal 14 2 5 2" xfId="17763" xr:uid="{00000000-0005-0000-0000-000057550000}"/>
    <cellStyle name="Normal 14 2 6" xfId="4478" xr:uid="{00000000-0005-0000-0000-000058550000}"/>
    <cellStyle name="Normal 14 2 6 2" xfId="15769" xr:uid="{00000000-0005-0000-0000-000059550000}"/>
    <cellStyle name="Normal 14 2 7" xfId="24417" xr:uid="{00000000-0005-0000-0000-00005A550000}"/>
    <cellStyle name="Normal 14 2 8" xfId="24862" xr:uid="{00000000-0005-0000-0000-00005B550000}"/>
    <cellStyle name="Normal 14 2 9" xfId="25225" xr:uid="{00000000-0005-0000-0000-00005C550000}"/>
    <cellStyle name="Normal 14 3" xfId="11460" xr:uid="{00000000-0005-0000-0000-00005D550000}"/>
    <cellStyle name="Normal 14 3 2" xfId="22748" xr:uid="{00000000-0005-0000-0000-00005E550000}"/>
    <cellStyle name="Normal 14 4" xfId="9466" xr:uid="{00000000-0005-0000-0000-00005F550000}"/>
    <cellStyle name="Normal 14 4 2" xfId="20754" xr:uid="{00000000-0005-0000-0000-000060550000}"/>
    <cellStyle name="Normal 14 5" xfId="7472" xr:uid="{00000000-0005-0000-0000-000061550000}"/>
    <cellStyle name="Normal 14 5 2" xfId="18760" xr:uid="{00000000-0005-0000-0000-000062550000}"/>
    <cellStyle name="Normal 14 6" xfId="5478" xr:uid="{00000000-0005-0000-0000-000063550000}"/>
    <cellStyle name="Normal 14 6 2" xfId="16766" xr:uid="{00000000-0005-0000-0000-000064550000}"/>
    <cellStyle name="Normal 14 7" xfId="3241" xr:uid="{00000000-0005-0000-0000-000065550000}"/>
    <cellStyle name="Normal 14 7 2" xfId="14772" xr:uid="{00000000-0005-0000-0000-000066550000}"/>
    <cellStyle name="Normal 14 8" xfId="13756" xr:uid="{00000000-0005-0000-0000-000067550000}"/>
    <cellStyle name="Normal 14 8 2" xfId="26660" xr:uid="{00000000-0005-0000-0000-000068550000}"/>
    <cellStyle name="Normal 14 9" xfId="13458" xr:uid="{00000000-0005-0000-0000-000069550000}"/>
    <cellStyle name="Normal 15" xfId="166" xr:uid="{00000000-0005-0000-0000-00006A550000}"/>
    <cellStyle name="Normal 15 10" xfId="28780" xr:uid="{00000000-0005-0000-0000-00006B550000}"/>
    <cellStyle name="Normal 15 2" xfId="651" xr:uid="{00000000-0005-0000-0000-00006C550000}"/>
    <cellStyle name="Normal 15 2 2" xfId="12458" xr:uid="{00000000-0005-0000-0000-00006D550000}"/>
    <cellStyle name="Normal 15 2 2 2" xfId="23746" xr:uid="{00000000-0005-0000-0000-00006E550000}"/>
    <cellStyle name="Normal 15 2 3" xfId="10464" xr:uid="{00000000-0005-0000-0000-00006F550000}"/>
    <cellStyle name="Normal 15 2 3 2" xfId="21752" xr:uid="{00000000-0005-0000-0000-000070550000}"/>
    <cellStyle name="Normal 15 2 4" xfId="8470" xr:uid="{00000000-0005-0000-0000-000071550000}"/>
    <cellStyle name="Normal 15 2 4 2" xfId="19758" xr:uid="{00000000-0005-0000-0000-000072550000}"/>
    <cellStyle name="Normal 15 2 5" xfId="6476" xr:uid="{00000000-0005-0000-0000-000073550000}"/>
    <cellStyle name="Normal 15 2 5 2" xfId="17764" xr:uid="{00000000-0005-0000-0000-000074550000}"/>
    <cellStyle name="Normal 15 2 6" xfId="4479" xr:uid="{00000000-0005-0000-0000-000075550000}"/>
    <cellStyle name="Normal 15 2 6 2" xfId="15770" xr:uid="{00000000-0005-0000-0000-000076550000}"/>
    <cellStyle name="Normal 15 2 7" xfId="29049" xr:uid="{00000000-0005-0000-0000-000077550000}"/>
    <cellStyle name="Normal 15 3" xfId="11461" xr:uid="{00000000-0005-0000-0000-000078550000}"/>
    <cellStyle name="Normal 15 3 2" xfId="22749" xr:uid="{00000000-0005-0000-0000-000079550000}"/>
    <cellStyle name="Normal 15 4" xfId="9467" xr:uid="{00000000-0005-0000-0000-00007A550000}"/>
    <cellStyle name="Normal 15 4 2" xfId="20755" xr:uid="{00000000-0005-0000-0000-00007B550000}"/>
    <cellStyle name="Normal 15 5" xfId="7473" xr:uid="{00000000-0005-0000-0000-00007C550000}"/>
    <cellStyle name="Normal 15 5 2" xfId="18761" xr:uid="{00000000-0005-0000-0000-00007D550000}"/>
    <cellStyle name="Normal 15 6" xfId="5479" xr:uid="{00000000-0005-0000-0000-00007E550000}"/>
    <cellStyle name="Normal 15 6 2" xfId="16767" xr:uid="{00000000-0005-0000-0000-00007F550000}"/>
    <cellStyle name="Normal 15 7" xfId="3242" xr:uid="{00000000-0005-0000-0000-000080550000}"/>
    <cellStyle name="Normal 15 7 2" xfId="14773" xr:uid="{00000000-0005-0000-0000-000081550000}"/>
    <cellStyle name="Normal 15 8" xfId="13682" xr:uid="{00000000-0005-0000-0000-000082550000}"/>
    <cellStyle name="Normal 15 9" xfId="13459" xr:uid="{00000000-0005-0000-0000-000083550000}"/>
    <cellStyle name="Normal 16" xfId="335" xr:uid="{00000000-0005-0000-0000-000084550000}"/>
    <cellStyle name="Normal 16 10" xfId="24298" xr:uid="{00000000-0005-0000-0000-000085550000}"/>
    <cellStyle name="Normal 16 11" xfId="25977" xr:uid="{00000000-0005-0000-0000-000086550000}"/>
    <cellStyle name="Normal 16 2" xfId="4480" xr:uid="{00000000-0005-0000-0000-000087550000}"/>
    <cellStyle name="Normal 16 2 2" xfId="12459" xr:uid="{00000000-0005-0000-0000-000088550000}"/>
    <cellStyle name="Normal 16 2 2 2" xfId="23747" xr:uid="{00000000-0005-0000-0000-000089550000}"/>
    <cellStyle name="Normal 16 2 3" xfId="10465" xr:uid="{00000000-0005-0000-0000-00008A550000}"/>
    <cellStyle name="Normal 16 2 3 2" xfId="21753" xr:uid="{00000000-0005-0000-0000-00008B550000}"/>
    <cellStyle name="Normal 16 2 4" xfId="8471" xr:uid="{00000000-0005-0000-0000-00008C550000}"/>
    <cellStyle name="Normal 16 2 4 2" xfId="19759" xr:uid="{00000000-0005-0000-0000-00008D550000}"/>
    <cellStyle name="Normal 16 2 5" xfId="6477" xr:uid="{00000000-0005-0000-0000-00008E550000}"/>
    <cellStyle name="Normal 16 2 5 2" xfId="17765" xr:uid="{00000000-0005-0000-0000-00008F550000}"/>
    <cellStyle name="Normal 16 2 6" xfId="15771" xr:uid="{00000000-0005-0000-0000-000090550000}"/>
    <cellStyle name="Normal 16 2 7" xfId="29050" xr:uid="{00000000-0005-0000-0000-000091550000}"/>
    <cellStyle name="Normal 16 3" xfId="11462" xr:uid="{00000000-0005-0000-0000-000092550000}"/>
    <cellStyle name="Normal 16 3 2" xfId="22750" xr:uid="{00000000-0005-0000-0000-000093550000}"/>
    <cellStyle name="Normal 16 4" xfId="9468" xr:uid="{00000000-0005-0000-0000-000094550000}"/>
    <cellStyle name="Normal 16 4 2" xfId="20756" xr:uid="{00000000-0005-0000-0000-000095550000}"/>
    <cellStyle name="Normal 16 5" xfId="7474" xr:uid="{00000000-0005-0000-0000-000096550000}"/>
    <cellStyle name="Normal 16 5 2" xfId="18762" xr:uid="{00000000-0005-0000-0000-000097550000}"/>
    <cellStyle name="Normal 16 6" xfId="5480" xr:uid="{00000000-0005-0000-0000-000098550000}"/>
    <cellStyle name="Normal 16 6 2" xfId="16768" xr:uid="{00000000-0005-0000-0000-000099550000}"/>
    <cellStyle name="Normal 16 7" xfId="3243" xr:uid="{00000000-0005-0000-0000-00009A550000}"/>
    <cellStyle name="Normal 16 7 2" xfId="14774" xr:uid="{00000000-0005-0000-0000-00009B550000}"/>
    <cellStyle name="Normal 16 8" xfId="13757" xr:uid="{00000000-0005-0000-0000-00009C550000}"/>
    <cellStyle name="Normal 16 8 2" xfId="26661" xr:uid="{00000000-0005-0000-0000-00009D550000}"/>
    <cellStyle name="Normal 16 9" xfId="13460" xr:uid="{00000000-0005-0000-0000-00009E550000}"/>
    <cellStyle name="Normal 17" xfId="343" xr:uid="{00000000-0005-0000-0000-00009F550000}"/>
    <cellStyle name="Normal 17 10" xfId="23928" xr:uid="{00000000-0005-0000-0000-0000A0550000}"/>
    <cellStyle name="Normal 17 11" xfId="24556" xr:uid="{00000000-0005-0000-0000-0000A1550000}"/>
    <cellStyle name="Normal 17 12" xfId="24946" xr:uid="{00000000-0005-0000-0000-0000A2550000}"/>
    <cellStyle name="Normal 17 13" xfId="27906" xr:uid="{00000000-0005-0000-0000-0000A3550000}"/>
    <cellStyle name="Normal 17 14" xfId="25981" xr:uid="{00000000-0005-0000-0000-0000A4550000}"/>
    <cellStyle name="Normal 17 2" xfId="4481" xr:uid="{00000000-0005-0000-0000-0000A5550000}"/>
    <cellStyle name="Normal 17 2 10" xfId="29051" xr:uid="{00000000-0005-0000-0000-0000A6550000}"/>
    <cellStyle name="Normal 17 2 2" xfId="12460" xr:uid="{00000000-0005-0000-0000-0000A7550000}"/>
    <cellStyle name="Normal 17 2 2 2" xfId="23748" xr:uid="{00000000-0005-0000-0000-0000A8550000}"/>
    <cellStyle name="Normal 17 2 3" xfId="10466" xr:uid="{00000000-0005-0000-0000-0000A9550000}"/>
    <cellStyle name="Normal 17 2 3 2" xfId="21754" xr:uid="{00000000-0005-0000-0000-0000AA550000}"/>
    <cellStyle name="Normal 17 2 4" xfId="8472" xr:uid="{00000000-0005-0000-0000-0000AB550000}"/>
    <cellStyle name="Normal 17 2 4 2" xfId="19760" xr:uid="{00000000-0005-0000-0000-0000AC550000}"/>
    <cellStyle name="Normal 17 2 5" xfId="6478" xr:uid="{00000000-0005-0000-0000-0000AD550000}"/>
    <cellStyle name="Normal 17 2 5 2" xfId="17766" xr:uid="{00000000-0005-0000-0000-0000AE550000}"/>
    <cellStyle name="Normal 17 2 6" xfId="15772" xr:uid="{00000000-0005-0000-0000-0000AF550000}"/>
    <cellStyle name="Normal 17 2 7" xfId="24316" xr:uid="{00000000-0005-0000-0000-0000B0550000}"/>
    <cellStyle name="Normal 17 2 8" xfId="24781" xr:uid="{00000000-0005-0000-0000-0000B1550000}"/>
    <cellStyle name="Normal 17 2 9" xfId="25148" xr:uid="{00000000-0005-0000-0000-0000B2550000}"/>
    <cellStyle name="Normal 17 3" xfId="11463" xr:uid="{00000000-0005-0000-0000-0000B3550000}"/>
    <cellStyle name="Normal 17 3 2" xfId="22751" xr:uid="{00000000-0005-0000-0000-0000B4550000}"/>
    <cellStyle name="Normal 17 4" xfId="9469" xr:uid="{00000000-0005-0000-0000-0000B5550000}"/>
    <cellStyle name="Normal 17 4 2" xfId="20757" xr:uid="{00000000-0005-0000-0000-0000B6550000}"/>
    <cellStyle name="Normal 17 5" xfId="7475" xr:uid="{00000000-0005-0000-0000-0000B7550000}"/>
    <cellStyle name="Normal 17 5 2" xfId="18763" xr:uid="{00000000-0005-0000-0000-0000B8550000}"/>
    <cellStyle name="Normal 17 6" xfId="5481" xr:uid="{00000000-0005-0000-0000-0000B9550000}"/>
    <cellStyle name="Normal 17 6 2" xfId="16769" xr:uid="{00000000-0005-0000-0000-0000BA550000}"/>
    <cellStyle name="Normal 17 7" xfId="3244" xr:uid="{00000000-0005-0000-0000-0000BB550000}"/>
    <cellStyle name="Normal 17 7 2" xfId="14775" xr:uid="{00000000-0005-0000-0000-0000BC550000}"/>
    <cellStyle name="Normal 17 8" xfId="13762" xr:uid="{00000000-0005-0000-0000-0000BD550000}"/>
    <cellStyle name="Normal 17 8 2" xfId="26662" xr:uid="{00000000-0005-0000-0000-0000BE550000}"/>
    <cellStyle name="Normal 17 9" xfId="13461" xr:uid="{00000000-0005-0000-0000-0000BF550000}"/>
    <cellStyle name="Normal 18" xfId="350" xr:uid="{00000000-0005-0000-0000-0000C0550000}"/>
    <cellStyle name="Normal 18 10" xfId="25987" xr:uid="{00000000-0005-0000-0000-0000C1550000}"/>
    <cellStyle name="Normal 18 2" xfId="4482" xr:uid="{00000000-0005-0000-0000-0000C2550000}"/>
    <cellStyle name="Normal 18 2 2" xfId="12461" xr:uid="{00000000-0005-0000-0000-0000C3550000}"/>
    <cellStyle name="Normal 18 2 2 2" xfId="23749" xr:uid="{00000000-0005-0000-0000-0000C4550000}"/>
    <cellStyle name="Normal 18 2 3" xfId="10467" xr:uid="{00000000-0005-0000-0000-0000C5550000}"/>
    <cellStyle name="Normal 18 2 3 2" xfId="21755" xr:uid="{00000000-0005-0000-0000-0000C6550000}"/>
    <cellStyle name="Normal 18 2 4" xfId="8473" xr:uid="{00000000-0005-0000-0000-0000C7550000}"/>
    <cellStyle name="Normal 18 2 4 2" xfId="19761" xr:uid="{00000000-0005-0000-0000-0000C8550000}"/>
    <cellStyle name="Normal 18 2 5" xfId="6479" xr:uid="{00000000-0005-0000-0000-0000C9550000}"/>
    <cellStyle name="Normal 18 2 5 2" xfId="17767" xr:uid="{00000000-0005-0000-0000-0000CA550000}"/>
    <cellStyle name="Normal 18 2 6" xfId="15773" xr:uid="{00000000-0005-0000-0000-0000CB550000}"/>
    <cellStyle name="Normal 18 2 7" xfId="29052" xr:uid="{00000000-0005-0000-0000-0000CC550000}"/>
    <cellStyle name="Normal 18 3" xfId="11464" xr:uid="{00000000-0005-0000-0000-0000CD550000}"/>
    <cellStyle name="Normal 18 3 2" xfId="22752" xr:uid="{00000000-0005-0000-0000-0000CE550000}"/>
    <cellStyle name="Normal 18 4" xfId="9470" xr:uid="{00000000-0005-0000-0000-0000CF550000}"/>
    <cellStyle name="Normal 18 4 2" xfId="20758" xr:uid="{00000000-0005-0000-0000-0000D0550000}"/>
    <cellStyle name="Normal 18 5" xfId="7476" xr:uid="{00000000-0005-0000-0000-0000D1550000}"/>
    <cellStyle name="Normal 18 5 2" xfId="18764" xr:uid="{00000000-0005-0000-0000-0000D2550000}"/>
    <cellStyle name="Normal 18 6" xfId="5482" xr:uid="{00000000-0005-0000-0000-0000D3550000}"/>
    <cellStyle name="Normal 18 6 2" xfId="16770" xr:uid="{00000000-0005-0000-0000-0000D4550000}"/>
    <cellStyle name="Normal 18 7" xfId="3245" xr:uid="{00000000-0005-0000-0000-0000D5550000}"/>
    <cellStyle name="Normal 18 7 2" xfId="14776" xr:uid="{00000000-0005-0000-0000-0000D6550000}"/>
    <cellStyle name="Normal 18 8" xfId="13763" xr:uid="{00000000-0005-0000-0000-0000D7550000}"/>
    <cellStyle name="Normal 18 8 2" xfId="26663" xr:uid="{00000000-0005-0000-0000-0000D8550000}"/>
    <cellStyle name="Normal 18 9" xfId="13462" xr:uid="{00000000-0005-0000-0000-0000D9550000}"/>
    <cellStyle name="Normal 19" xfId="359" xr:uid="{00000000-0005-0000-0000-0000DA550000}"/>
    <cellStyle name="Normal 19 10" xfId="27905" xr:uid="{00000000-0005-0000-0000-0000DB550000}"/>
    <cellStyle name="Normal 19 11" xfId="25991" xr:uid="{00000000-0005-0000-0000-0000DC550000}"/>
    <cellStyle name="Normal 19 2" xfId="4483" xr:uid="{00000000-0005-0000-0000-0000DD550000}"/>
    <cellStyle name="Normal 19 2 2" xfId="12462" xr:uid="{00000000-0005-0000-0000-0000DE550000}"/>
    <cellStyle name="Normal 19 2 2 2" xfId="23750" xr:uid="{00000000-0005-0000-0000-0000DF550000}"/>
    <cellStyle name="Normal 19 2 3" xfId="10468" xr:uid="{00000000-0005-0000-0000-0000E0550000}"/>
    <cellStyle name="Normal 19 2 3 2" xfId="21756" xr:uid="{00000000-0005-0000-0000-0000E1550000}"/>
    <cellStyle name="Normal 19 2 4" xfId="8474" xr:uid="{00000000-0005-0000-0000-0000E2550000}"/>
    <cellStyle name="Normal 19 2 4 2" xfId="19762" xr:uid="{00000000-0005-0000-0000-0000E3550000}"/>
    <cellStyle name="Normal 19 2 5" xfId="6480" xr:uid="{00000000-0005-0000-0000-0000E4550000}"/>
    <cellStyle name="Normal 19 2 5 2" xfId="17768" xr:uid="{00000000-0005-0000-0000-0000E5550000}"/>
    <cellStyle name="Normal 19 2 6" xfId="15774" xr:uid="{00000000-0005-0000-0000-0000E6550000}"/>
    <cellStyle name="Normal 19 2 7" xfId="29053" xr:uid="{00000000-0005-0000-0000-0000E7550000}"/>
    <cellStyle name="Normal 19 3" xfId="11465" xr:uid="{00000000-0005-0000-0000-0000E8550000}"/>
    <cellStyle name="Normal 19 3 2" xfId="22753" xr:uid="{00000000-0005-0000-0000-0000E9550000}"/>
    <cellStyle name="Normal 19 4" xfId="9471" xr:uid="{00000000-0005-0000-0000-0000EA550000}"/>
    <cellStyle name="Normal 19 4 2" xfId="20759" xr:uid="{00000000-0005-0000-0000-0000EB550000}"/>
    <cellStyle name="Normal 19 5" xfId="7477" xr:uid="{00000000-0005-0000-0000-0000EC550000}"/>
    <cellStyle name="Normal 19 5 2" xfId="18765" xr:uid="{00000000-0005-0000-0000-0000ED550000}"/>
    <cellStyle name="Normal 19 6" xfId="5483" xr:uid="{00000000-0005-0000-0000-0000EE550000}"/>
    <cellStyle name="Normal 19 6 2" xfId="16771" xr:uid="{00000000-0005-0000-0000-0000EF550000}"/>
    <cellStyle name="Normal 19 7" xfId="3246" xr:uid="{00000000-0005-0000-0000-0000F0550000}"/>
    <cellStyle name="Normal 19 7 2" xfId="14777" xr:uid="{00000000-0005-0000-0000-0000F1550000}"/>
    <cellStyle name="Normal 19 8" xfId="13769" xr:uid="{00000000-0005-0000-0000-0000F2550000}"/>
    <cellStyle name="Normal 19 8 2" xfId="26664" xr:uid="{00000000-0005-0000-0000-0000F3550000}"/>
    <cellStyle name="Normal 19 9" xfId="13463" xr:uid="{00000000-0005-0000-0000-0000F4550000}"/>
    <cellStyle name="Normal 2" xfId="9" xr:uid="{00000000-0005-0000-0000-0000F5550000}"/>
    <cellStyle name="Normal 2 10" xfId="24139" xr:uid="{00000000-0005-0000-0000-0000F6550000}"/>
    <cellStyle name="Normal 2 10 2" xfId="29054" xr:uid="{00000000-0005-0000-0000-0000F7550000}"/>
    <cellStyle name="Normal 2 10 2 2" xfId="33380" xr:uid="{1F50887F-3466-4D11-84DF-71B476864AE0}"/>
    <cellStyle name="Normal 2 10 3" xfId="28781" xr:uid="{00000000-0005-0000-0000-0000F8550000}"/>
    <cellStyle name="Normal 2 11" xfId="25750" xr:uid="{00000000-0005-0000-0000-0000F9550000}"/>
    <cellStyle name="Normal 2 11 2" xfId="29055" xr:uid="{00000000-0005-0000-0000-0000FA550000}"/>
    <cellStyle name="Normal 2 12" xfId="28782" xr:uid="{00000000-0005-0000-0000-0000FB550000}"/>
    <cellStyle name="Normal 2 12 2" xfId="29056" xr:uid="{00000000-0005-0000-0000-0000FC550000}"/>
    <cellStyle name="Normal 2 13" xfId="28783" xr:uid="{00000000-0005-0000-0000-0000FD550000}"/>
    <cellStyle name="Normal 2 13 2" xfId="29057" xr:uid="{00000000-0005-0000-0000-0000FE550000}"/>
    <cellStyle name="Normal 2 14" xfId="28784" xr:uid="{00000000-0005-0000-0000-0000FF550000}"/>
    <cellStyle name="Normal 2 15" xfId="28855" xr:uid="{00000000-0005-0000-0000-000000560000}"/>
    <cellStyle name="Normal 2 2" xfId="51" xr:uid="{00000000-0005-0000-0000-000001560000}"/>
    <cellStyle name="Normal 2 2 10" xfId="33379" xr:uid="{7AF394B2-2A91-4094-9D12-BB595E5FDD28}"/>
    <cellStyle name="Normal 2 2 2" xfId="202" xr:uid="{00000000-0005-0000-0000-000002560000}"/>
    <cellStyle name="Normal 2 2 2 2" xfId="348" xr:uid="{00000000-0005-0000-0000-000003560000}"/>
    <cellStyle name="Normal 2 2 2 2 2" xfId="654" xr:uid="{00000000-0005-0000-0000-000004560000}"/>
    <cellStyle name="Normal 2 2 2 2 3" xfId="653" xr:uid="{00000000-0005-0000-0000-000005560000}"/>
    <cellStyle name="Normal 2 2 2 2 4" xfId="25986" xr:uid="{00000000-0005-0000-0000-000006560000}"/>
    <cellStyle name="Normal 2 2 2 3" xfId="366" xr:uid="{00000000-0005-0000-0000-000007560000}"/>
    <cellStyle name="Normal 2 2 2 3 2" xfId="448" xr:uid="{00000000-0005-0000-0000-000008560000}"/>
    <cellStyle name="Normal 2 2 2 3 2 2" xfId="534" xr:uid="{00000000-0005-0000-0000-000009560000}"/>
    <cellStyle name="Normal 2 2 2 3 2 2 2" xfId="13897" xr:uid="{00000000-0005-0000-0000-00000A560000}"/>
    <cellStyle name="Normal 2 2 2 3 2 3" xfId="13820" xr:uid="{00000000-0005-0000-0000-00000B560000}"/>
    <cellStyle name="Normal 2 2 2 3 3" xfId="497" xr:uid="{00000000-0005-0000-0000-00000C560000}"/>
    <cellStyle name="Normal 2 2 2 3 3 2" xfId="13860" xr:uid="{00000000-0005-0000-0000-00000D560000}"/>
    <cellStyle name="Normal 2 2 2 3 4" xfId="13776" xr:uid="{00000000-0005-0000-0000-00000E560000}"/>
    <cellStyle name="Normal 2 2 2 4" xfId="428" xr:uid="{00000000-0005-0000-0000-00000F560000}"/>
    <cellStyle name="Normal 2 2 2 4 2" xfId="519" xr:uid="{00000000-0005-0000-0000-000010560000}"/>
    <cellStyle name="Normal 2 2 2 4 2 2" xfId="13882" xr:uid="{00000000-0005-0000-0000-000011560000}"/>
    <cellStyle name="Normal 2 2 2 4 3" xfId="13805" xr:uid="{00000000-0005-0000-0000-000012560000}"/>
    <cellStyle name="Normal 2 2 2 5" xfId="482" xr:uid="{00000000-0005-0000-0000-000013560000}"/>
    <cellStyle name="Normal 2 2 2 5 2" xfId="13845" xr:uid="{00000000-0005-0000-0000-000014560000}"/>
    <cellStyle name="Normal 2 2 2 6" xfId="652" xr:uid="{00000000-0005-0000-0000-000015560000}"/>
    <cellStyle name="Normal 2 2 2 7" xfId="13702" xr:uid="{00000000-0005-0000-0000-000016560000}"/>
    <cellStyle name="Normal 2 2 2 8" xfId="29059" xr:uid="{00000000-0005-0000-0000-000017560000}"/>
    <cellStyle name="Normal 2 2 3" xfId="406" xr:uid="{00000000-0005-0000-0000-000018560000}"/>
    <cellStyle name="Normal 2 2 4" xfId="384" xr:uid="{00000000-0005-0000-0000-000019560000}"/>
    <cellStyle name="Normal 2 3" xfId="165" xr:uid="{00000000-0005-0000-0000-00001A560000}"/>
    <cellStyle name="Normal 2 3 2" xfId="421" xr:uid="{00000000-0005-0000-0000-00001B560000}"/>
    <cellStyle name="Normal 2 3 2 2" xfId="25783" xr:uid="{00000000-0005-0000-0000-00001C560000}"/>
    <cellStyle name="Normal 2 3 2 3" xfId="29060" xr:uid="{00000000-0005-0000-0000-00001D560000}"/>
    <cellStyle name="Normal 2 3 3" xfId="385" xr:uid="{00000000-0005-0000-0000-00001E560000}"/>
    <cellStyle name="Normal 2 3 3 2" xfId="25999" xr:uid="{00000000-0005-0000-0000-00001F560000}"/>
    <cellStyle name="Normal 2 3 3 3" xfId="30157" xr:uid="{00000000-0005-0000-0000-000020560000}"/>
    <cellStyle name="Normal 2 3 4" xfId="655" xr:uid="{00000000-0005-0000-0000-000021560000}"/>
    <cellStyle name="Normal 2 3 4 2" xfId="13910" xr:uid="{00000000-0005-0000-0000-000022560000}"/>
    <cellStyle name="Normal 2 4" xfId="656" xr:uid="{00000000-0005-0000-0000-000023560000}"/>
    <cellStyle name="Normal 2 4 2" xfId="3248" xr:uid="{00000000-0005-0000-0000-000024560000}"/>
    <cellStyle name="Normal 2 4 2 2" xfId="25784" xr:uid="{00000000-0005-0000-0000-000025560000}"/>
    <cellStyle name="Normal 2 4 2 3" xfId="29061" xr:uid="{00000000-0005-0000-0000-000026560000}"/>
    <cellStyle name="Normal 2 4 3" xfId="25770" xr:uid="{00000000-0005-0000-0000-000027560000}"/>
    <cellStyle name="Normal 2 4 4" xfId="26053" xr:uid="{00000000-0005-0000-0000-000028560000}"/>
    <cellStyle name="Normal 2 5" xfId="657" xr:uid="{00000000-0005-0000-0000-000029560000}"/>
    <cellStyle name="Normal 2 5 2" xfId="11466" xr:uid="{00000000-0005-0000-0000-00002A560000}"/>
    <cellStyle name="Normal 2 5 2 2" xfId="22754" xr:uid="{00000000-0005-0000-0000-00002B560000}"/>
    <cellStyle name="Normal 2 5 2 3" xfId="29062" xr:uid="{00000000-0005-0000-0000-00002C560000}"/>
    <cellStyle name="Normal 2 5 3" xfId="9472" xr:uid="{00000000-0005-0000-0000-00002D560000}"/>
    <cellStyle name="Normal 2 5 3 2" xfId="20760" xr:uid="{00000000-0005-0000-0000-00002E560000}"/>
    <cellStyle name="Normal 2 5 4" xfId="7478" xr:uid="{00000000-0005-0000-0000-00002F560000}"/>
    <cellStyle name="Normal 2 5 4 2" xfId="18766" xr:uid="{00000000-0005-0000-0000-000030560000}"/>
    <cellStyle name="Normal 2 5 5" xfId="5484" xr:uid="{00000000-0005-0000-0000-000031560000}"/>
    <cellStyle name="Normal 2 5 5 2" xfId="16772" xr:uid="{00000000-0005-0000-0000-000032560000}"/>
    <cellStyle name="Normal 2 5 6" xfId="3249" xr:uid="{00000000-0005-0000-0000-000033560000}"/>
    <cellStyle name="Normal 2 5 6 2" xfId="14778" xr:uid="{00000000-0005-0000-0000-000034560000}"/>
    <cellStyle name="Normal 2 5 7" xfId="24140" xr:uid="{00000000-0005-0000-0000-000035560000}"/>
    <cellStyle name="Normal 2 5 7 2" xfId="27076" xr:uid="{00000000-0005-0000-0000-000036560000}"/>
    <cellStyle name="Normal 2 6" xfId="4484" xr:uid="{00000000-0005-0000-0000-000037560000}"/>
    <cellStyle name="Normal 2 6 2" xfId="12463" xr:uid="{00000000-0005-0000-0000-000038560000}"/>
    <cellStyle name="Normal 2 6 2 2" xfId="23751" xr:uid="{00000000-0005-0000-0000-000039560000}"/>
    <cellStyle name="Normal 2 6 2 3" xfId="29063" xr:uid="{00000000-0005-0000-0000-00003A560000}"/>
    <cellStyle name="Normal 2 6 3" xfId="10469" xr:uid="{00000000-0005-0000-0000-00003B560000}"/>
    <cellStyle name="Normal 2 6 3 2" xfId="21757" xr:uid="{00000000-0005-0000-0000-00003C560000}"/>
    <cellStyle name="Normal 2 6 4" xfId="8475" xr:uid="{00000000-0005-0000-0000-00003D560000}"/>
    <cellStyle name="Normal 2 6 4 2" xfId="19763" xr:uid="{00000000-0005-0000-0000-00003E560000}"/>
    <cellStyle name="Normal 2 6 5" xfId="6481" xr:uid="{00000000-0005-0000-0000-00003F560000}"/>
    <cellStyle name="Normal 2 6 5 2" xfId="17769" xr:uid="{00000000-0005-0000-0000-000040560000}"/>
    <cellStyle name="Normal 2 6 6" xfId="15775" xr:uid="{00000000-0005-0000-0000-000041560000}"/>
    <cellStyle name="Normal 2 6 7" xfId="24141" xr:uid="{00000000-0005-0000-0000-000042560000}"/>
    <cellStyle name="Normal 2 6 7 2" xfId="27077" xr:uid="{00000000-0005-0000-0000-000043560000}"/>
    <cellStyle name="Normal 2 6 8" xfId="25778" xr:uid="{00000000-0005-0000-0000-000044560000}"/>
    <cellStyle name="Normal 2 7" xfId="3247" xr:uid="{00000000-0005-0000-0000-000045560000}"/>
    <cellStyle name="Normal 2 7 2" xfId="24142" xr:uid="{00000000-0005-0000-0000-000046560000}"/>
    <cellStyle name="Normal 2 7 2 2" xfId="27078" xr:uid="{00000000-0005-0000-0000-000047560000}"/>
    <cellStyle name="Normal 2 7 2 2 2" xfId="29064" xr:uid="{00000000-0005-0000-0000-000048560000}"/>
    <cellStyle name="Normal 2 8" xfId="13604" xr:uid="{00000000-0005-0000-0000-000049560000}"/>
    <cellStyle name="Normal 2 8 2" xfId="26557" xr:uid="{00000000-0005-0000-0000-00004A560000}"/>
    <cellStyle name="Normal 2 8 2 2" xfId="29065" xr:uid="{00000000-0005-0000-0000-00004B560000}"/>
    <cellStyle name="Normal 2 9" xfId="23906" xr:uid="{00000000-0005-0000-0000-00004C560000}"/>
    <cellStyle name="Normal 2 9 2" xfId="29066" xr:uid="{00000000-0005-0000-0000-00004D560000}"/>
    <cellStyle name="Normal 2 9 3" xfId="28785" xr:uid="{00000000-0005-0000-0000-00004E560000}"/>
    <cellStyle name="Normal 20" xfId="393" xr:uid="{00000000-0005-0000-0000-00004F560000}"/>
    <cellStyle name="Normal 20 10" xfId="27904" xr:uid="{00000000-0005-0000-0000-000050560000}"/>
    <cellStyle name="Normal 20 11" xfId="26003" xr:uid="{00000000-0005-0000-0000-000051560000}"/>
    <cellStyle name="Normal 20 2" xfId="4485" xr:uid="{00000000-0005-0000-0000-000052560000}"/>
    <cellStyle name="Normal 20 2 2" xfId="12464" xr:uid="{00000000-0005-0000-0000-000053560000}"/>
    <cellStyle name="Normal 20 2 2 2" xfId="23752" xr:uid="{00000000-0005-0000-0000-000054560000}"/>
    <cellStyle name="Normal 20 2 3" xfId="10470" xr:uid="{00000000-0005-0000-0000-000055560000}"/>
    <cellStyle name="Normal 20 2 3 2" xfId="21758" xr:uid="{00000000-0005-0000-0000-000056560000}"/>
    <cellStyle name="Normal 20 2 4" xfId="8476" xr:uid="{00000000-0005-0000-0000-000057560000}"/>
    <cellStyle name="Normal 20 2 4 2" xfId="19764" xr:uid="{00000000-0005-0000-0000-000058560000}"/>
    <cellStyle name="Normal 20 2 5" xfId="6482" xr:uid="{00000000-0005-0000-0000-000059560000}"/>
    <cellStyle name="Normal 20 2 5 2" xfId="17770" xr:uid="{00000000-0005-0000-0000-00005A560000}"/>
    <cellStyle name="Normal 20 2 6" xfId="15776" xr:uid="{00000000-0005-0000-0000-00005B560000}"/>
    <cellStyle name="Normal 20 2 7" xfId="29067" xr:uid="{00000000-0005-0000-0000-00005C560000}"/>
    <cellStyle name="Normal 20 3" xfId="11467" xr:uid="{00000000-0005-0000-0000-00005D560000}"/>
    <cellStyle name="Normal 20 3 2" xfId="22755" xr:uid="{00000000-0005-0000-0000-00005E560000}"/>
    <cellStyle name="Normal 20 4" xfId="9473" xr:uid="{00000000-0005-0000-0000-00005F560000}"/>
    <cellStyle name="Normal 20 4 2" xfId="20761" xr:uid="{00000000-0005-0000-0000-000060560000}"/>
    <cellStyle name="Normal 20 5" xfId="7479" xr:uid="{00000000-0005-0000-0000-000061560000}"/>
    <cellStyle name="Normal 20 5 2" xfId="18767" xr:uid="{00000000-0005-0000-0000-000062560000}"/>
    <cellStyle name="Normal 20 6" xfId="5485" xr:uid="{00000000-0005-0000-0000-000063560000}"/>
    <cellStyle name="Normal 20 6 2" xfId="16773" xr:uid="{00000000-0005-0000-0000-000064560000}"/>
    <cellStyle name="Normal 20 7" xfId="3250" xr:uid="{00000000-0005-0000-0000-000065560000}"/>
    <cellStyle name="Normal 20 7 2" xfId="14779" xr:uid="{00000000-0005-0000-0000-000066560000}"/>
    <cellStyle name="Normal 20 8" xfId="13787" xr:uid="{00000000-0005-0000-0000-000067560000}"/>
    <cellStyle name="Normal 20 8 2" xfId="26667" xr:uid="{00000000-0005-0000-0000-000068560000}"/>
    <cellStyle name="Normal 20 9" xfId="13464" xr:uid="{00000000-0005-0000-0000-000069560000}"/>
    <cellStyle name="Normal 21" xfId="370" xr:uid="{00000000-0005-0000-0000-00006A560000}"/>
    <cellStyle name="Normal 21 10" xfId="24130" xr:uid="{00000000-0005-0000-0000-00006B560000}"/>
    <cellStyle name="Normal 21 10 2" xfId="27072" xr:uid="{00000000-0005-0000-0000-00006C560000}"/>
    <cellStyle name="Normal 21 2" xfId="500" xr:uid="{00000000-0005-0000-0000-00006D560000}"/>
    <cellStyle name="Normal 21 2 2" xfId="12465" xr:uid="{00000000-0005-0000-0000-00006E560000}"/>
    <cellStyle name="Normal 21 2 2 2" xfId="23753" xr:uid="{00000000-0005-0000-0000-00006F560000}"/>
    <cellStyle name="Normal 21 2 3" xfId="10471" xr:uid="{00000000-0005-0000-0000-000070560000}"/>
    <cellStyle name="Normal 21 2 3 2" xfId="21759" xr:uid="{00000000-0005-0000-0000-000071560000}"/>
    <cellStyle name="Normal 21 2 4" xfId="8477" xr:uid="{00000000-0005-0000-0000-000072560000}"/>
    <cellStyle name="Normal 21 2 4 2" xfId="19765" xr:uid="{00000000-0005-0000-0000-000073560000}"/>
    <cellStyle name="Normal 21 2 5" xfId="6483" xr:uid="{00000000-0005-0000-0000-000074560000}"/>
    <cellStyle name="Normal 21 2 5 2" xfId="17771" xr:uid="{00000000-0005-0000-0000-000075560000}"/>
    <cellStyle name="Normal 21 2 6" xfId="4486" xr:uid="{00000000-0005-0000-0000-000076560000}"/>
    <cellStyle name="Normal 21 2 6 2" xfId="15777" xr:uid="{00000000-0005-0000-0000-000077560000}"/>
    <cellStyle name="Normal 21 2 7" xfId="13863" xr:uid="{00000000-0005-0000-0000-000078560000}"/>
    <cellStyle name="Normal 21 2 8" xfId="29068" xr:uid="{00000000-0005-0000-0000-000079560000}"/>
    <cellStyle name="Normal 21 3" xfId="11468" xr:uid="{00000000-0005-0000-0000-00007A560000}"/>
    <cellStyle name="Normal 21 3 2" xfId="22756" xr:uid="{00000000-0005-0000-0000-00007B560000}"/>
    <cellStyle name="Normal 21 4" xfId="9474" xr:uid="{00000000-0005-0000-0000-00007C560000}"/>
    <cellStyle name="Normal 21 4 2" xfId="20762" xr:uid="{00000000-0005-0000-0000-00007D560000}"/>
    <cellStyle name="Normal 21 5" xfId="7480" xr:uid="{00000000-0005-0000-0000-00007E560000}"/>
    <cellStyle name="Normal 21 5 2" xfId="18768" xr:uid="{00000000-0005-0000-0000-00007F560000}"/>
    <cellStyle name="Normal 21 6" xfId="5486" xr:uid="{00000000-0005-0000-0000-000080560000}"/>
    <cellStyle name="Normal 21 6 2" xfId="16774" xr:uid="{00000000-0005-0000-0000-000081560000}"/>
    <cellStyle name="Normal 21 7" xfId="3251" xr:uid="{00000000-0005-0000-0000-000082560000}"/>
    <cellStyle name="Normal 21 7 2" xfId="14780" xr:uid="{00000000-0005-0000-0000-000083560000}"/>
    <cellStyle name="Normal 21 8" xfId="13779" xr:uid="{00000000-0005-0000-0000-000084560000}"/>
    <cellStyle name="Normal 21 9" xfId="13465" xr:uid="{00000000-0005-0000-0000-000085560000}"/>
    <cellStyle name="Normal 22" xfId="419" xr:uid="{00000000-0005-0000-0000-000086560000}"/>
    <cellStyle name="Normal 22 10" xfId="24314" xr:uid="{00000000-0005-0000-0000-000087560000}"/>
    <cellStyle name="Normal 22 10 2" xfId="27145" xr:uid="{00000000-0005-0000-0000-000088560000}"/>
    <cellStyle name="Normal 22 2" xfId="512" xr:uid="{00000000-0005-0000-0000-000089560000}"/>
    <cellStyle name="Normal 22 2 2" xfId="12466" xr:uid="{00000000-0005-0000-0000-00008A560000}"/>
    <cellStyle name="Normal 22 2 2 2" xfId="23754" xr:uid="{00000000-0005-0000-0000-00008B560000}"/>
    <cellStyle name="Normal 22 2 3" xfId="10472" xr:uid="{00000000-0005-0000-0000-00008C560000}"/>
    <cellStyle name="Normal 22 2 3 2" xfId="21760" xr:uid="{00000000-0005-0000-0000-00008D560000}"/>
    <cellStyle name="Normal 22 2 4" xfId="8478" xr:uid="{00000000-0005-0000-0000-00008E560000}"/>
    <cellStyle name="Normal 22 2 4 2" xfId="19766" xr:uid="{00000000-0005-0000-0000-00008F560000}"/>
    <cellStyle name="Normal 22 2 5" xfId="6484" xr:uid="{00000000-0005-0000-0000-000090560000}"/>
    <cellStyle name="Normal 22 2 5 2" xfId="17772" xr:uid="{00000000-0005-0000-0000-000091560000}"/>
    <cellStyle name="Normal 22 2 6" xfId="4487" xr:uid="{00000000-0005-0000-0000-000092560000}"/>
    <cellStyle name="Normal 22 2 6 2" xfId="15778" xr:uid="{00000000-0005-0000-0000-000093560000}"/>
    <cellStyle name="Normal 22 2 7" xfId="13875" xr:uid="{00000000-0005-0000-0000-000094560000}"/>
    <cellStyle name="Normal 22 2 8" xfId="29069" xr:uid="{00000000-0005-0000-0000-000095560000}"/>
    <cellStyle name="Normal 22 3" xfId="11469" xr:uid="{00000000-0005-0000-0000-000096560000}"/>
    <cellStyle name="Normal 22 3 2" xfId="22757" xr:uid="{00000000-0005-0000-0000-000097560000}"/>
    <cellStyle name="Normal 22 4" xfId="9475" xr:uid="{00000000-0005-0000-0000-000098560000}"/>
    <cellStyle name="Normal 22 4 2" xfId="20763" xr:uid="{00000000-0005-0000-0000-000099560000}"/>
    <cellStyle name="Normal 22 5" xfId="7481" xr:uid="{00000000-0005-0000-0000-00009A560000}"/>
    <cellStyle name="Normal 22 5 2" xfId="18769" xr:uid="{00000000-0005-0000-0000-00009B560000}"/>
    <cellStyle name="Normal 22 6" xfId="5487" xr:uid="{00000000-0005-0000-0000-00009C560000}"/>
    <cellStyle name="Normal 22 6 2" xfId="16775" xr:uid="{00000000-0005-0000-0000-00009D560000}"/>
    <cellStyle name="Normal 22 7" xfId="3252" xr:uid="{00000000-0005-0000-0000-00009E560000}"/>
    <cellStyle name="Normal 22 7 2" xfId="14781" xr:uid="{00000000-0005-0000-0000-00009F560000}"/>
    <cellStyle name="Normal 22 8" xfId="13798" xr:uid="{00000000-0005-0000-0000-0000A0560000}"/>
    <cellStyle name="Normal 22 9" xfId="13466" xr:uid="{00000000-0005-0000-0000-0000A1560000}"/>
    <cellStyle name="Normal 23" xfId="52" xr:uid="{00000000-0005-0000-0000-0000A2560000}"/>
    <cellStyle name="Normal 23 10" xfId="24478" xr:uid="{00000000-0005-0000-0000-0000A3560000}"/>
    <cellStyle name="Normal 23 10 2" xfId="27173" xr:uid="{00000000-0005-0000-0000-0000A4560000}"/>
    <cellStyle name="Normal 23 2" xfId="4488" xr:uid="{00000000-0005-0000-0000-0000A5560000}"/>
    <cellStyle name="Normal 23 2 2" xfId="12467" xr:uid="{00000000-0005-0000-0000-0000A6560000}"/>
    <cellStyle name="Normal 23 2 2 2" xfId="23755" xr:uid="{00000000-0005-0000-0000-0000A7560000}"/>
    <cellStyle name="Normal 23 2 3" xfId="10473" xr:uid="{00000000-0005-0000-0000-0000A8560000}"/>
    <cellStyle name="Normal 23 2 3 2" xfId="21761" xr:uid="{00000000-0005-0000-0000-0000A9560000}"/>
    <cellStyle name="Normal 23 2 4" xfId="8479" xr:uid="{00000000-0005-0000-0000-0000AA560000}"/>
    <cellStyle name="Normal 23 2 4 2" xfId="19767" xr:uid="{00000000-0005-0000-0000-0000AB560000}"/>
    <cellStyle name="Normal 23 2 5" xfId="6485" xr:uid="{00000000-0005-0000-0000-0000AC560000}"/>
    <cellStyle name="Normal 23 2 5 2" xfId="17773" xr:uid="{00000000-0005-0000-0000-0000AD560000}"/>
    <cellStyle name="Normal 23 2 6" xfId="15779" xr:uid="{00000000-0005-0000-0000-0000AE560000}"/>
    <cellStyle name="Normal 23 2 7" xfId="29070" xr:uid="{00000000-0005-0000-0000-0000AF560000}"/>
    <cellStyle name="Normal 23 3" xfId="4619" xr:uid="{00000000-0005-0000-0000-0000B0560000}"/>
    <cellStyle name="Normal 23 3 2" xfId="11470" xr:uid="{00000000-0005-0000-0000-0000B1560000}"/>
    <cellStyle name="Normal 23 3 2 2" xfId="22758" xr:uid="{00000000-0005-0000-0000-0000B2560000}"/>
    <cellStyle name="Normal 23 4" xfId="9476" xr:uid="{00000000-0005-0000-0000-0000B3560000}"/>
    <cellStyle name="Normal 23 4 2" xfId="20764" xr:uid="{00000000-0005-0000-0000-0000B4560000}"/>
    <cellStyle name="Normal 23 5" xfId="7482" xr:uid="{00000000-0005-0000-0000-0000B5560000}"/>
    <cellStyle name="Normal 23 5 2" xfId="18770" xr:uid="{00000000-0005-0000-0000-0000B6560000}"/>
    <cellStyle name="Normal 23 6" xfId="5488" xr:uid="{00000000-0005-0000-0000-0000B7560000}"/>
    <cellStyle name="Normal 23 6 2" xfId="16776" xr:uid="{00000000-0005-0000-0000-0000B8560000}"/>
    <cellStyle name="Normal 23 7" xfId="3253" xr:uid="{00000000-0005-0000-0000-0000B9560000}"/>
    <cellStyle name="Normal 23 7 2" xfId="14782" xr:uid="{00000000-0005-0000-0000-0000BA560000}"/>
    <cellStyle name="Normal 23 8" xfId="13611" xr:uid="{00000000-0005-0000-0000-0000BB560000}"/>
    <cellStyle name="Normal 23 9" xfId="13467" xr:uid="{00000000-0005-0000-0000-0000BC560000}"/>
    <cellStyle name="Normal 24" xfId="409" xr:uid="{00000000-0005-0000-0000-0000BD560000}"/>
    <cellStyle name="Normal 24 10" xfId="24500" xr:uid="{00000000-0005-0000-0000-0000BE560000}"/>
    <cellStyle name="Normal 24 10 2" xfId="27188" xr:uid="{00000000-0005-0000-0000-0000BF560000}"/>
    <cellStyle name="Normal 24 2" xfId="509" xr:uid="{00000000-0005-0000-0000-0000C0560000}"/>
    <cellStyle name="Normal 24 2 2" xfId="12468" xr:uid="{00000000-0005-0000-0000-0000C1560000}"/>
    <cellStyle name="Normal 24 2 2 2" xfId="23756" xr:uid="{00000000-0005-0000-0000-0000C2560000}"/>
    <cellStyle name="Normal 24 2 3" xfId="10474" xr:uid="{00000000-0005-0000-0000-0000C3560000}"/>
    <cellStyle name="Normal 24 2 3 2" xfId="21762" xr:uid="{00000000-0005-0000-0000-0000C4560000}"/>
    <cellStyle name="Normal 24 2 4" xfId="8480" xr:uid="{00000000-0005-0000-0000-0000C5560000}"/>
    <cellStyle name="Normal 24 2 4 2" xfId="19768" xr:uid="{00000000-0005-0000-0000-0000C6560000}"/>
    <cellStyle name="Normal 24 2 5" xfId="6486" xr:uid="{00000000-0005-0000-0000-0000C7560000}"/>
    <cellStyle name="Normal 24 2 5 2" xfId="17774" xr:uid="{00000000-0005-0000-0000-0000C8560000}"/>
    <cellStyle name="Normal 24 2 6" xfId="4489" xr:uid="{00000000-0005-0000-0000-0000C9560000}"/>
    <cellStyle name="Normal 24 2 6 2" xfId="15780" xr:uid="{00000000-0005-0000-0000-0000CA560000}"/>
    <cellStyle name="Normal 24 2 7" xfId="13872" xr:uid="{00000000-0005-0000-0000-0000CB560000}"/>
    <cellStyle name="Normal 24 2 8" xfId="29071" xr:uid="{00000000-0005-0000-0000-0000CC560000}"/>
    <cellStyle name="Normal 24 3" xfId="11471" xr:uid="{00000000-0005-0000-0000-0000CD560000}"/>
    <cellStyle name="Normal 24 3 2" xfId="22759" xr:uid="{00000000-0005-0000-0000-0000CE560000}"/>
    <cellStyle name="Normal 24 4" xfId="9477" xr:uid="{00000000-0005-0000-0000-0000CF560000}"/>
    <cellStyle name="Normal 24 4 2" xfId="20765" xr:uid="{00000000-0005-0000-0000-0000D0560000}"/>
    <cellStyle name="Normal 24 5" xfId="7483" xr:uid="{00000000-0005-0000-0000-0000D1560000}"/>
    <cellStyle name="Normal 24 5 2" xfId="18771" xr:uid="{00000000-0005-0000-0000-0000D2560000}"/>
    <cellStyle name="Normal 24 6" xfId="5489" xr:uid="{00000000-0005-0000-0000-0000D3560000}"/>
    <cellStyle name="Normal 24 6 2" xfId="16777" xr:uid="{00000000-0005-0000-0000-0000D4560000}"/>
    <cellStyle name="Normal 24 7" xfId="3254" xr:uid="{00000000-0005-0000-0000-0000D5560000}"/>
    <cellStyle name="Normal 24 7 2" xfId="14783" xr:uid="{00000000-0005-0000-0000-0000D6560000}"/>
    <cellStyle name="Normal 24 8" xfId="13791" xr:uid="{00000000-0005-0000-0000-0000D7560000}"/>
    <cellStyle name="Normal 24 9" xfId="13468" xr:uid="{00000000-0005-0000-0000-0000D8560000}"/>
    <cellStyle name="Normal 25" xfId="451" xr:uid="{00000000-0005-0000-0000-0000D9560000}"/>
    <cellStyle name="Normal 25 10" xfId="24476" xr:uid="{00000000-0005-0000-0000-0000DA560000}"/>
    <cellStyle name="Normal 25 10 2" xfId="27171" xr:uid="{00000000-0005-0000-0000-0000DB560000}"/>
    <cellStyle name="Normal 25 2" xfId="537" xr:uid="{00000000-0005-0000-0000-0000DC560000}"/>
    <cellStyle name="Normal 25 2 2" xfId="12469" xr:uid="{00000000-0005-0000-0000-0000DD560000}"/>
    <cellStyle name="Normal 25 2 2 2" xfId="23757" xr:uid="{00000000-0005-0000-0000-0000DE560000}"/>
    <cellStyle name="Normal 25 2 3" xfId="10475" xr:uid="{00000000-0005-0000-0000-0000DF560000}"/>
    <cellStyle name="Normal 25 2 3 2" xfId="21763" xr:uid="{00000000-0005-0000-0000-0000E0560000}"/>
    <cellStyle name="Normal 25 2 4" xfId="8481" xr:uid="{00000000-0005-0000-0000-0000E1560000}"/>
    <cellStyle name="Normal 25 2 4 2" xfId="19769" xr:uid="{00000000-0005-0000-0000-0000E2560000}"/>
    <cellStyle name="Normal 25 2 5" xfId="6487" xr:uid="{00000000-0005-0000-0000-0000E3560000}"/>
    <cellStyle name="Normal 25 2 5 2" xfId="17775" xr:uid="{00000000-0005-0000-0000-0000E4560000}"/>
    <cellStyle name="Normal 25 2 6" xfId="4490" xr:uid="{00000000-0005-0000-0000-0000E5560000}"/>
    <cellStyle name="Normal 25 2 6 2" xfId="15781" xr:uid="{00000000-0005-0000-0000-0000E6560000}"/>
    <cellStyle name="Normal 25 2 7" xfId="13900" xr:uid="{00000000-0005-0000-0000-0000E7560000}"/>
    <cellStyle name="Normal 25 2 8" xfId="29072" xr:uid="{00000000-0005-0000-0000-0000E8560000}"/>
    <cellStyle name="Normal 25 3" xfId="11472" xr:uid="{00000000-0005-0000-0000-0000E9560000}"/>
    <cellStyle name="Normal 25 3 2" xfId="22760" xr:uid="{00000000-0005-0000-0000-0000EA560000}"/>
    <cellStyle name="Normal 25 4" xfId="9478" xr:uid="{00000000-0005-0000-0000-0000EB560000}"/>
    <cellStyle name="Normal 25 4 2" xfId="20766" xr:uid="{00000000-0005-0000-0000-0000EC560000}"/>
    <cellStyle name="Normal 25 5" xfId="7484" xr:uid="{00000000-0005-0000-0000-0000ED560000}"/>
    <cellStyle name="Normal 25 5 2" xfId="18772" xr:uid="{00000000-0005-0000-0000-0000EE560000}"/>
    <cellStyle name="Normal 25 6" xfId="5490" xr:uid="{00000000-0005-0000-0000-0000EF560000}"/>
    <cellStyle name="Normal 25 6 2" xfId="16778" xr:uid="{00000000-0005-0000-0000-0000F0560000}"/>
    <cellStyle name="Normal 25 7" xfId="3255" xr:uid="{00000000-0005-0000-0000-0000F1560000}"/>
    <cellStyle name="Normal 25 7 2" xfId="14784" xr:uid="{00000000-0005-0000-0000-0000F2560000}"/>
    <cellStyle name="Normal 25 8" xfId="13823" xr:uid="{00000000-0005-0000-0000-0000F3560000}"/>
    <cellStyle name="Normal 25 9" xfId="13469" xr:uid="{00000000-0005-0000-0000-0000F4560000}"/>
    <cellStyle name="Normal 26" xfId="454" xr:uid="{00000000-0005-0000-0000-0000F5560000}"/>
    <cellStyle name="Normal 26 10" xfId="26019" xr:uid="{00000000-0005-0000-0000-0000F6560000}"/>
    <cellStyle name="Normal 26 2" xfId="4491" xr:uid="{00000000-0005-0000-0000-0000F7560000}"/>
    <cellStyle name="Normal 26 2 2" xfId="12470" xr:uid="{00000000-0005-0000-0000-0000F8560000}"/>
    <cellStyle name="Normal 26 2 2 2" xfId="23758" xr:uid="{00000000-0005-0000-0000-0000F9560000}"/>
    <cellStyle name="Normal 26 2 3" xfId="10476" xr:uid="{00000000-0005-0000-0000-0000FA560000}"/>
    <cellStyle name="Normal 26 2 3 2" xfId="21764" xr:uid="{00000000-0005-0000-0000-0000FB560000}"/>
    <cellStyle name="Normal 26 2 4" xfId="8482" xr:uid="{00000000-0005-0000-0000-0000FC560000}"/>
    <cellStyle name="Normal 26 2 4 2" xfId="19770" xr:uid="{00000000-0005-0000-0000-0000FD560000}"/>
    <cellStyle name="Normal 26 2 5" xfId="6488" xr:uid="{00000000-0005-0000-0000-0000FE560000}"/>
    <cellStyle name="Normal 26 2 5 2" xfId="17776" xr:uid="{00000000-0005-0000-0000-0000FF560000}"/>
    <cellStyle name="Normal 26 2 6" xfId="15782" xr:uid="{00000000-0005-0000-0000-000000570000}"/>
    <cellStyle name="Normal 26 3" xfId="11473" xr:uid="{00000000-0005-0000-0000-000001570000}"/>
    <cellStyle name="Normal 26 3 2" xfId="22761" xr:uid="{00000000-0005-0000-0000-000002570000}"/>
    <cellStyle name="Normal 26 4" xfId="9479" xr:uid="{00000000-0005-0000-0000-000003570000}"/>
    <cellStyle name="Normal 26 4 2" xfId="20767" xr:uid="{00000000-0005-0000-0000-000004570000}"/>
    <cellStyle name="Normal 26 5" xfId="7485" xr:uid="{00000000-0005-0000-0000-000005570000}"/>
    <cellStyle name="Normal 26 5 2" xfId="18773" xr:uid="{00000000-0005-0000-0000-000006570000}"/>
    <cellStyle name="Normal 26 6" xfId="5491" xr:uid="{00000000-0005-0000-0000-000007570000}"/>
    <cellStyle name="Normal 26 6 2" xfId="16779" xr:uid="{00000000-0005-0000-0000-000008570000}"/>
    <cellStyle name="Normal 26 7" xfId="3256" xr:uid="{00000000-0005-0000-0000-000009570000}"/>
    <cellStyle name="Normal 26 7 2" xfId="14785" xr:uid="{00000000-0005-0000-0000-00000A570000}"/>
    <cellStyle name="Normal 26 8" xfId="13826" xr:uid="{00000000-0005-0000-0000-00000B570000}"/>
    <cellStyle name="Normal 26 8 2" xfId="26675" xr:uid="{00000000-0005-0000-0000-00000C570000}"/>
    <cellStyle name="Normal 26 9" xfId="13470" xr:uid="{00000000-0005-0000-0000-00000D570000}"/>
    <cellStyle name="Normal 27" xfId="465" xr:uid="{00000000-0005-0000-0000-00000E570000}"/>
    <cellStyle name="Normal 27 10" xfId="26030" xr:uid="{00000000-0005-0000-0000-00000F570000}"/>
    <cellStyle name="Normal 27 2" xfId="4492" xr:uid="{00000000-0005-0000-0000-000010570000}"/>
    <cellStyle name="Normal 27 2 2" xfId="12471" xr:uid="{00000000-0005-0000-0000-000011570000}"/>
    <cellStyle name="Normal 27 2 2 2" xfId="23759" xr:uid="{00000000-0005-0000-0000-000012570000}"/>
    <cellStyle name="Normal 27 2 3" xfId="10477" xr:uid="{00000000-0005-0000-0000-000013570000}"/>
    <cellStyle name="Normal 27 2 3 2" xfId="21765" xr:uid="{00000000-0005-0000-0000-000014570000}"/>
    <cellStyle name="Normal 27 2 4" xfId="8483" xr:uid="{00000000-0005-0000-0000-000015570000}"/>
    <cellStyle name="Normal 27 2 4 2" xfId="19771" xr:uid="{00000000-0005-0000-0000-000016570000}"/>
    <cellStyle name="Normal 27 2 5" xfId="6489" xr:uid="{00000000-0005-0000-0000-000017570000}"/>
    <cellStyle name="Normal 27 2 5 2" xfId="17777" xr:uid="{00000000-0005-0000-0000-000018570000}"/>
    <cellStyle name="Normal 27 2 6" xfId="15783" xr:uid="{00000000-0005-0000-0000-000019570000}"/>
    <cellStyle name="Normal 27 2 7" xfId="29073" xr:uid="{00000000-0005-0000-0000-00001A570000}"/>
    <cellStyle name="Normal 27 3" xfId="11474" xr:uid="{00000000-0005-0000-0000-00001B570000}"/>
    <cellStyle name="Normal 27 3 2" xfId="22762" xr:uid="{00000000-0005-0000-0000-00001C570000}"/>
    <cellStyle name="Normal 27 4" xfId="9480" xr:uid="{00000000-0005-0000-0000-00001D570000}"/>
    <cellStyle name="Normal 27 4 2" xfId="20768" xr:uid="{00000000-0005-0000-0000-00001E570000}"/>
    <cellStyle name="Normal 27 5" xfId="7486" xr:uid="{00000000-0005-0000-0000-00001F570000}"/>
    <cellStyle name="Normal 27 5 2" xfId="18774" xr:uid="{00000000-0005-0000-0000-000020570000}"/>
    <cellStyle name="Normal 27 6" xfId="5492" xr:uid="{00000000-0005-0000-0000-000021570000}"/>
    <cellStyle name="Normal 27 6 2" xfId="16780" xr:uid="{00000000-0005-0000-0000-000022570000}"/>
    <cellStyle name="Normal 27 7" xfId="3257" xr:uid="{00000000-0005-0000-0000-000023570000}"/>
    <cellStyle name="Normal 27 7 2" xfId="14786" xr:uid="{00000000-0005-0000-0000-000024570000}"/>
    <cellStyle name="Normal 27 8" xfId="13829" xr:uid="{00000000-0005-0000-0000-000025570000}"/>
    <cellStyle name="Normal 27 8 2" xfId="26678" xr:uid="{00000000-0005-0000-0000-000026570000}"/>
    <cellStyle name="Normal 27 9" xfId="13471" xr:uid="{00000000-0005-0000-0000-000027570000}"/>
    <cellStyle name="Normal 28" xfId="469" xr:uid="{00000000-0005-0000-0000-000028570000}"/>
    <cellStyle name="Normal 28 10" xfId="26032" xr:uid="{00000000-0005-0000-0000-000029570000}"/>
    <cellStyle name="Normal 28 2" xfId="4493" xr:uid="{00000000-0005-0000-0000-00002A570000}"/>
    <cellStyle name="Normal 28 2 2" xfId="12472" xr:uid="{00000000-0005-0000-0000-00002B570000}"/>
    <cellStyle name="Normal 28 2 2 2" xfId="23760" xr:uid="{00000000-0005-0000-0000-00002C570000}"/>
    <cellStyle name="Normal 28 2 3" xfId="10478" xr:uid="{00000000-0005-0000-0000-00002D570000}"/>
    <cellStyle name="Normal 28 2 3 2" xfId="21766" xr:uid="{00000000-0005-0000-0000-00002E570000}"/>
    <cellStyle name="Normal 28 2 4" xfId="8484" xr:uid="{00000000-0005-0000-0000-00002F570000}"/>
    <cellStyle name="Normal 28 2 4 2" xfId="19772" xr:uid="{00000000-0005-0000-0000-000030570000}"/>
    <cellStyle name="Normal 28 2 5" xfId="6490" xr:uid="{00000000-0005-0000-0000-000031570000}"/>
    <cellStyle name="Normal 28 2 5 2" xfId="17778" xr:uid="{00000000-0005-0000-0000-000032570000}"/>
    <cellStyle name="Normal 28 2 6" xfId="15784" xr:uid="{00000000-0005-0000-0000-000033570000}"/>
    <cellStyle name="Normal 28 3" xfId="11475" xr:uid="{00000000-0005-0000-0000-000034570000}"/>
    <cellStyle name="Normal 28 3 2" xfId="22763" xr:uid="{00000000-0005-0000-0000-000035570000}"/>
    <cellStyle name="Normal 28 4" xfId="9481" xr:uid="{00000000-0005-0000-0000-000036570000}"/>
    <cellStyle name="Normal 28 4 2" xfId="20769" xr:uid="{00000000-0005-0000-0000-000037570000}"/>
    <cellStyle name="Normal 28 5" xfId="7487" xr:uid="{00000000-0005-0000-0000-000038570000}"/>
    <cellStyle name="Normal 28 5 2" xfId="18775" xr:uid="{00000000-0005-0000-0000-000039570000}"/>
    <cellStyle name="Normal 28 6" xfId="5493" xr:uid="{00000000-0005-0000-0000-00003A570000}"/>
    <cellStyle name="Normal 28 6 2" xfId="16781" xr:uid="{00000000-0005-0000-0000-00003B570000}"/>
    <cellStyle name="Normal 28 7" xfId="3258" xr:uid="{00000000-0005-0000-0000-00003C570000}"/>
    <cellStyle name="Normal 28 7 2" xfId="14787" xr:uid="{00000000-0005-0000-0000-00003D570000}"/>
    <cellStyle name="Normal 28 8" xfId="13832" xr:uid="{00000000-0005-0000-0000-00003E570000}"/>
    <cellStyle name="Normal 28 8 2" xfId="26679" xr:uid="{00000000-0005-0000-0000-00003F570000}"/>
    <cellStyle name="Normal 28 9" xfId="13472" xr:uid="{00000000-0005-0000-0000-000040570000}"/>
    <cellStyle name="Normal 29" xfId="464" xr:uid="{00000000-0005-0000-0000-000041570000}"/>
    <cellStyle name="Normal 29 10" xfId="26029" xr:uid="{00000000-0005-0000-0000-000042570000}"/>
    <cellStyle name="Normal 29 2" xfId="4494" xr:uid="{00000000-0005-0000-0000-000043570000}"/>
    <cellStyle name="Normal 29 2 2" xfId="12473" xr:uid="{00000000-0005-0000-0000-000044570000}"/>
    <cellStyle name="Normal 29 2 2 2" xfId="23761" xr:uid="{00000000-0005-0000-0000-000045570000}"/>
    <cellStyle name="Normal 29 2 3" xfId="10479" xr:uid="{00000000-0005-0000-0000-000046570000}"/>
    <cellStyle name="Normal 29 2 3 2" xfId="21767" xr:uid="{00000000-0005-0000-0000-000047570000}"/>
    <cellStyle name="Normal 29 2 4" xfId="8485" xr:uid="{00000000-0005-0000-0000-000048570000}"/>
    <cellStyle name="Normal 29 2 4 2" xfId="19773" xr:uid="{00000000-0005-0000-0000-000049570000}"/>
    <cellStyle name="Normal 29 2 5" xfId="6491" xr:uid="{00000000-0005-0000-0000-00004A570000}"/>
    <cellStyle name="Normal 29 2 5 2" xfId="17779" xr:uid="{00000000-0005-0000-0000-00004B570000}"/>
    <cellStyle name="Normal 29 2 6" xfId="15785" xr:uid="{00000000-0005-0000-0000-00004C570000}"/>
    <cellStyle name="Normal 29 3" xfId="11476" xr:uid="{00000000-0005-0000-0000-00004D570000}"/>
    <cellStyle name="Normal 29 3 2" xfId="22764" xr:uid="{00000000-0005-0000-0000-00004E570000}"/>
    <cellStyle name="Normal 29 4" xfId="9482" xr:uid="{00000000-0005-0000-0000-00004F570000}"/>
    <cellStyle name="Normal 29 4 2" xfId="20770" xr:uid="{00000000-0005-0000-0000-000050570000}"/>
    <cellStyle name="Normal 29 5" xfId="7488" xr:uid="{00000000-0005-0000-0000-000051570000}"/>
    <cellStyle name="Normal 29 5 2" xfId="18776" xr:uid="{00000000-0005-0000-0000-000052570000}"/>
    <cellStyle name="Normal 29 6" xfId="5494" xr:uid="{00000000-0005-0000-0000-000053570000}"/>
    <cellStyle name="Normal 29 6 2" xfId="16782" xr:uid="{00000000-0005-0000-0000-000054570000}"/>
    <cellStyle name="Normal 29 7" xfId="3259" xr:uid="{00000000-0005-0000-0000-000055570000}"/>
    <cellStyle name="Normal 29 7 2" xfId="14788" xr:uid="{00000000-0005-0000-0000-000056570000}"/>
    <cellStyle name="Normal 29 8" xfId="13828" xr:uid="{00000000-0005-0000-0000-000057570000}"/>
    <cellStyle name="Normal 29 8 2" xfId="26677" xr:uid="{00000000-0005-0000-0000-000058570000}"/>
    <cellStyle name="Normal 29 9" xfId="13473" xr:uid="{00000000-0005-0000-0000-000059570000}"/>
    <cellStyle name="Normal 3" xfId="53" xr:uid="{00000000-0005-0000-0000-00005A570000}"/>
    <cellStyle name="Normal 3 10" xfId="24143" xr:uid="{00000000-0005-0000-0000-00005B570000}"/>
    <cellStyle name="Normal 3 10 2" xfId="29074" xr:uid="{00000000-0005-0000-0000-00005C570000}"/>
    <cellStyle name="Normal 3 10 3" xfId="28786" xr:uid="{00000000-0005-0000-0000-00005D570000}"/>
    <cellStyle name="Normal 3 11" xfId="25771" xr:uid="{00000000-0005-0000-0000-00005E570000}"/>
    <cellStyle name="Normal 3 11 2" xfId="29075" xr:uid="{00000000-0005-0000-0000-00005F570000}"/>
    <cellStyle name="Normal 3 12" xfId="28787" xr:uid="{00000000-0005-0000-0000-000060570000}"/>
    <cellStyle name="Normal 3 12 2" xfId="29076" xr:uid="{00000000-0005-0000-0000-000061570000}"/>
    <cellStyle name="Normal 3 13" xfId="28788" xr:uid="{00000000-0005-0000-0000-000062570000}"/>
    <cellStyle name="Normal 3 13 2" xfId="29077" xr:uid="{00000000-0005-0000-0000-000063570000}"/>
    <cellStyle name="Normal 3 14" xfId="29058" xr:uid="{00000000-0005-0000-0000-000064570000}"/>
    <cellStyle name="Normal 3 15" xfId="30158" xr:uid="{00000000-0005-0000-0000-000065570000}"/>
    <cellStyle name="Normal 3 2" xfId="54" xr:uid="{00000000-0005-0000-0000-000066570000}"/>
    <cellStyle name="Normal 3 2 2" xfId="11477" xr:uid="{00000000-0005-0000-0000-000067570000}"/>
    <cellStyle name="Normal 3 2 2 2" xfId="22765" xr:uid="{00000000-0005-0000-0000-000068570000}"/>
    <cellStyle name="Normal 3 2 2 3" xfId="29078" xr:uid="{00000000-0005-0000-0000-000069570000}"/>
    <cellStyle name="Normal 3 2 3" xfId="9483" xr:uid="{00000000-0005-0000-0000-00006A570000}"/>
    <cellStyle name="Normal 3 2 3 2" xfId="20771" xr:uid="{00000000-0005-0000-0000-00006B570000}"/>
    <cellStyle name="Normal 3 2 4" xfId="7489" xr:uid="{00000000-0005-0000-0000-00006C570000}"/>
    <cellStyle name="Normal 3 2 4 2" xfId="18777" xr:uid="{00000000-0005-0000-0000-00006D570000}"/>
    <cellStyle name="Normal 3 2 5" xfId="5495" xr:uid="{00000000-0005-0000-0000-00006E570000}"/>
    <cellStyle name="Normal 3 2 5 2" xfId="16783" xr:uid="{00000000-0005-0000-0000-00006F570000}"/>
    <cellStyle name="Normal 3 2 6" xfId="3260" xr:uid="{00000000-0005-0000-0000-000070570000}"/>
    <cellStyle name="Normal 3 2 6 2" xfId="14789" xr:uid="{00000000-0005-0000-0000-000071570000}"/>
    <cellStyle name="Normal 3 2 7" xfId="25785" xr:uid="{00000000-0005-0000-0000-000072570000}"/>
    <cellStyle name="Normal 3 3" xfId="355" xr:uid="{00000000-0005-0000-0000-000073570000}"/>
    <cellStyle name="Normal 3 3 2" xfId="438" xr:uid="{00000000-0005-0000-0000-000074570000}"/>
    <cellStyle name="Normal 3 3 2 2" xfId="524" xr:uid="{00000000-0005-0000-0000-000075570000}"/>
    <cellStyle name="Normal 3 3 2 2 2" xfId="13887" xr:uid="{00000000-0005-0000-0000-000076570000}"/>
    <cellStyle name="Normal 3 3 2 3" xfId="12474" xr:uid="{00000000-0005-0000-0000-000077570000}"/>
    <cellStyle name="Normal 3 3 2 3 2" xfId="23762" xr:uid="{00000000-0005-0000-0000-000078570000}"/>
    <cellStyle name="Normal 3 3 2 4" xfId="13810" xr:uid="{00000000-0005-0000-0000-000079570000}"/>
    <cellStyle name="Normal 3 3 2 5" xfId="29079" xr:uid="{00000000-0005-0000-0000-00007A570000}"/>
    <cellStyle name="Normal 3 3 3" xfId="487" xr:uid="{00000000-0005-0000-0000-00007B570000}"/>
    <cellStyle name="Normal 3 3 3 2" xfId="10480" xr:uid="{00000000-0005-0000-0000-00007C570000}"/>
    <cellStyle name="Normal 3 3 3 2 2" xfId="21768" xr:uid="{00000000-0005-0000-0000-00007D570000}"/>
    <cellStyle name="Normal 3 3 3 3" xfId="13850" xr:uid="{00000000-0005-0000-0000-00007E570000}"/>
    <cellStyle name="Normal 3 3 4" xfId="8486" xr:uid="{00000000-0005-0000-0000-00007F570000}"/>
    <cellStyle name="Normal 3 3 4 2" xfId="19774" xr:uid="{00000000-0005-0000-0000-000080570000}"/>
    <cellStyle name="Normal 3 3 5" xfId="6492" xr:uid="{00000000-0005-0000-0000-000081570000}"/>
    <cellStyle name="Normal 3 3 5 2" xfId="17780" xr:uid="{00000000-0005-0000-0000-000082570000}"/>
    <cellStyle name="Normal 3 3 6" xfId="4495" xr:uid="{00000000-0005-0000-0000-000083570000}"/>
    <cellStyle name="Normal 3 3 6 2" xfId="15786" xr:uid="{00000000-0005-0000-0000-000084570000}"/>
    <cellStyle name="Normal 3 3 7" xfId="13765" xr:uid="{00000000-0005-0000-0000-000085570000}"/>
    <cellStyle name="Normal 3 3 8" xfId="24144" xr:uid="{00000000-0005-0000-0000-000086570000}"/>
    <cellStyle name="Normal 3 3 8 2" xfId="27079" xr:uid="{00000000-0005-0000-0000-000087570000}"/>
    <cellStyle name="Normal 3 4" xfId="407" xr:uid="{00000000-0005-0000-0000-000088570000}"/>
    <cellStyle name="Normal 3 4 2" xfId="507" xr:uid="{00000000-0005-0000-0000-000089570000}"/>
    <cellStyle name="Normal 3 4 2 2" xfId="13870" xr:uid="{00000000-0005-0000-0000-00008A570000}"/>
    <cellStyle name="Normal 3 4 2 3" xfId="24419" xr:uid="{00000000-0005-0000-0000-00008B570000}"/>
    <cellStyle name="Normal 3 4 2 4" xfId="24863" xr:uid="{00000000-0005-0000-0000-00008C570000}"/>
    <cellStyle name="Normal 3 4 2 5" xfId="25226" xr:uid="{00000000-0005-0000-0000-00008D570000}"/>
    <cellStyle name="Normal 3 4 2 6" xfId="29080" xr:uid="{00000000-0005-0000-0000-00008E570000}"/>
    <cellStyle name="Normal 3 4 3" xfId="13789" xr:uid="{00000000-0005-0000-0000-00008F570000}"/>
    <cellStyle name="Normal 3 4 4" xfId="24145" xr:uid="{00000000-0005-0000-0000-000090570000}"/>
    <cellStyle name="Normal 3 4 5" xfId="24716" xr:uid="{00000000-0005-0000-0000-000091570000}"/>
    <cellStyle name="Normal 3 4 6" xfId="25032" xr:uid="{00000000-0005-0000-0000-000092570000}"/>
    <cellStyle name="Normal 3 4 7" xfId="28789" xr:uid="{00000000-0005-0000-0000-000093570000}"/>
    <cellStyle name="Normal 3 5" xfId="386" xr:uid="{00000000-0005-0000-0000-000094570000}"/>
    <cellStyle name="Normal 3 5 2" xfId="29081" xr:uid="{00000000-0005-0000-0000-000095570000}"/>
    <cellStyle name="Normal 3 5 3" xfId="28790" xr:uid="{00000000-0005-0000-0000-000096570000}"/>
    <cellStyle name="Normal 3 6" xfId="472" xr:uid="{00000000-0005-0000-0000-000097570000}"/>
    <cellStyle name="Normal 3 6 2" xfId="13835" xr:uid="{00000000-0005-0000-0000-000098570000}"/>
    <cellStyle name="Normal 3 6 2 2" xfId="29082" xr:uid="{00000000-0005-0000-0000-000099570000}"/>
    <cellStyle name="Normal 3 6 3" xfId="28791" xr:uid="{00000000-0005-0000-0000-00009A570000}"/>
    <cellStyle name="Normal 3 7" xfId="658" xr:uid="{00000000-0005-0000-0000-00009B570000}"/>
    <cellStyle name="Normal 3 7 2" xfId="13911" xr:uid="{00000000-0005-0000-0000-00009C570000}"/>
    <cellStyle name="Normal 3 7 2 2" xfId="29083" xr:uid="{00000000-0005-0000-0000-00009D570000}"/>
    <cellStyle name="Normal 3 7 3" xfId="28792" xr:uid="{00000000-0005-0000-0000-00009E570000}"/>
    <cellStyle name="Normal 3 8" xfId="13612" xr:uid="{00000000-0005-0000-0000-00009F570000}"/>
    <cellStyle name="Normal 3 8 2" xfId="29084" xr:uid="{00000000-0005-0000-0000-0000A0570000}"/>
    <cellStyle name="Normal 3 8 3" xfId="28793" xr:uid="{00000000-0005-0000-0000-0000A1570000}"/>
    <cellStyle name="Normal 3 9" xfId="12599" xr:uid="{00000000-0005-0000-0000-0000A2570000}"/>
    <cellStyle name="Normal 3 9 2" xfId="29085" xr:uid="{00000000-0005-0000-0000-0000A3570000}"/>
    <cellStyle name="Normal 3 9 3" xfId="28794" xr:uid="{00000000-0005-0000-0000-0000A4570000}"/>
    <cellStyle name="Normal 30" xfId="470" xr:uid="{00000000-0005-0000-0000-0000A5570000}"/>
    <cellStyle name="Normal 30 10" xfId="27907" xr:uid="{00000000-0005-0000-0000-0000A6570000}"/>
    <cellStyle name="Normal 30 11" xfId="26033" xr:uid="{00000000-0005-0000-0000-0000A7570000}"/>
    <cellStyle name="Normal 30 2" xfId="4496" xr:uid="{00000000-0005-0000-0000-0000A8570000}"/>
    <cellStyle name="Normal 30 2 2" xfId="12475" xr:uid="{00000000-0005-0000-0000-0000A9570000}"/>
    <cellStyle name="Normal 30 2 2 2" xfId="23763" xr:uid="{00000000-0005-0000-0000-0000AA570000}"/>
    <cellStyle name="Normal 30 2 3" xfId="10481" xr:uid="{00000000-0005-0000-0000-0000AB570000}"/>
    <cellStyle name="Normal 30 2 3 2" xfId="21769" xr:uid="{00000000-0005-0000-0000-0000AC570000}"/>
    <cellStyle name="Normal 30 2 4" xfId="8487" xr:uid="{00000000-0005-0000-0000-0000AD570000}"/>
    <cellStyle name="Normal 30 2 4 2" xfId="19775" xr:uid="{00000000-0005-0000-0000-0000AE570000}"/>
    <cellStyle name="Normal 30 2 5" xfId="6493" xr:uid="{00000000-0005-0000-0000-0000AF570000}"/>
    <cellStyle name="Normal 30 2 5 2" xfId="17781" xr:uid="{00000000-0005-0000-0000-0000B0570000}"/>
    <cellStyle name="Normal 30 2 6" xfId="15787" xr:uid="{00000000-0005-0000-0000-0000B1570000}"/>
    <cellStyle name="Normal 30 2 7" xfId="29086" xr:uid="{00000000-0005-0000-0000-0000B2570000}"/>
    <cellStyle name="Normal 30 3" xfId="11478" xr:uid="{00000000-0005-0000-0000-0000B3570000}"/>
    <cellStyle name="Normal 30 3 2" xfId="22766" xr:uid="{00000000-0005-0000-0000-0000B4570000}"/>
    <cellStyle name="Normal 30 4" xfId="9484" xr:uid="{00000000-0005-0000-0000-0000B5570000}"/>
    <cellStyle name="Normal 30 4 2" xfId="20772" xr:uid="{00000000-0005-0000-0000-0000B6570000}"/>
    <cellStyle name="Normal 30 5" xfId="7490" xr:uid="{00000000-0005-0000-0000-0000B7570000}"/>
    <cellStyle name="Normal 30 5 2" xfId="18778" xr:uid="{00000000-0005-0000-0000-0000B8570000}"/>
    <cellStyle name="Normal 30 6" xfId="5496" xr:uid="{00000000-0005-0000-0000-0000B9570000}"/>
    <cellStyle name="Normal 30 6 2" xfId="16784" xr:uid="{00000000-0005-0000-0000-0000BA570000}"/>
    <cellStyle name="Normal 30 7" xfId="3261" xr:uid="{00000000-0005-0000-0000-0000BB570000}"/>
    <cellStyle name="Normal 30 7 2" xfId="14790" xr:uid="{00000000-0005-0000-0000-0000BC570000}"/>
    <cellStyle name="Normal 30 8" xfId="13833" xr:uid="{00000000-0005-0000-0000-0000BD570000}"/>
    <cellStyle name="Normal 30 8 2" xfId="26680" xr:uid="{00000000-0005-0000-0000-0000BE570000}"/>
    <cellStyle name="Normal 30 9" xfId="13474" xr:uid="{00000000-0005-0000-0000-0000BF570000}"/>
    <cellStyle name="Normal 31" xfId="3262" xr:uid="{00000000-0005-0000-0000-0000C0570000}"/>
    <cellStyle name="Normal 31 2" xfId="4497" xr:uid="{00000000-0005-0000-0000-0000C1570000}"/>
    <cellStyle name="Normal 31 2 2" xfId="12476" xr:uid="{00000000-0005-0000-0000-0000C2570000}"/>
    <cellStyle name="Normal 31 2 2 2" xfId="23764" xr:uid="{00000000-0005-0000-0000-0000C3570000}"/>
    <cellStyle name="Normal 31 2 3" xfId="10482" xr:uid="{00000000-0005-0000-0000-0000C4570000}"/>
    <cellStyle name="Normal 31 2 3 2" xfId="21770" xr:uid="{00000000-0005-0000-0000-0000C5570000}"/>
    <cellStyle name="Normal 31 2 4" xfId="8488" xr:uid="{00000000-0005-0000-0000-0000C6570000}"/>
    <cellStyle name="Normal 31 2 4 2" xfId="19776" xr:uid="{00000000-0005-0000-0000-0000C7570000}"/>
    <cellStyle name="Normal 31 2 5" xfId="6494" xr:uid="{00000000-0005-0000-0000-0000C8570000}"/>
    <cellStyle name="Normal 31 2 5 2" xfId="17782" xr:uid="{00000000-0005-0000-0000-0000C9570000}"/>
    <cellStyle name="Normal 31 2 6" xfId="15788" xr:uid="{00000000-0005-0000-0000-0000CA570000}"/>
    <cellStyle name="Normal 31 2 7" xfId="29087" xr:uid="{00000000-0005-0000-0000-0000CB570000}"/>
    <cellStyle name="Normal 31 3" xfId="11479" xr:uid="{00000000-0005-0000-0000-0000CC570000}"/>
    <cellStyle name="Normal 31 3 2" xfId="22767" xr:uid="{00000000-0005-0000-0000-0000CD570000}"/>
    <cellStyle name="Normal 31 4" xfId="9485" xr:uid="{00000000-0005-0000-0000-0000CE570000}"/>
    <cellStyle name="Normal 31 4 2" xfId="20773" xr:uid="{00000000-0005-0000-0000-0000CF570000}"/>
    <cellStyle name="Normal 31 5" xfId="7491" xr:uid="{00000000-0005-0000-0000-0000D0570000}"/>
    <cellStyle name="Normal 31 5 2" xfId="18779" xr:uid="{00000000-0005-0000-0000-0000D1570000}"/>
    <cellStyle name="Normal 31 6" xfId="5497" xr:uid="{00000000-0005-0000-0000-0000D2570000}"/>
    <cellStyle name="Normal 31 6 2" xfId="16785" xr:uid="{00000000-0005-0000-0000-0000D3570000}"/>
    <cellStyle name="Normal 31 7" xfId="14791" xr:uid="{00000000-0005-0000-0000-0000D4570000}"/>
    <cellStyle name="Normal 31 8" xfId="13475" xr:uid="{00000000-0005-0000-0000-0000D5570000}"/>
    <cellStyle name="Normal 31 9" xfId="24471" xr:uid="{00000000-0005-0000-0000-0000D6570000}"/>
    <cellStyle name="Normal 31 9 2" xfId="27169" xr:uid="{00000000-0005-0000-0000-0000D7570000}"/>
    <cellStyle name="Normal 32" xfId="3263" xr:uid="{00000000-0005-0000-0000-0000D8570000}"/>
    <cellStyle name="Normal 32 2" xfId="4498" xr:uid="{00000000-0005-0000-0000-0000D9570000}"/>
    <cellStyle name="Normal 32 2 2" xfId="12477" xr:uid="{00000000-0005-0000-0000-0000DA570000}"/>
    <cellStyle name="Normal 32 2 2 2" xfId="23765" xr:uid="{00000000-0005-0000-0000-0000DB570000}"/>
    <cellStyle name="Normal 32 2 3" xfId="10483" xr:uid="{00000000-0005-0000-0000-0000DC570000}"/>
    <cellStyle name="Normal 32 2 3 2" xfId="21771" xr:uid="{00000000-0005-0000-0000-0000DD570000}"/>
    <cellStyle name="Normal 32 2 4" xfId="8489" xr:uid="{00000000-0005-0000-0000-0000DE570000}"/>
    <cellStyle name="Normal 32 2 4 2" xfId="19777" xr:uid="{00000000-0005-0000-0000-0000DF570000}"/>
    <cellStyle name="Normal 32 2 5" xfId="6495" xr:uid="{00000000-0005-0000-0000-0000E0570000}"/>
    <cellStyle name="Normal 32 2 5 2" xfId="17783" xr:uid="{00000000-0005-0000-0000-0000E1570000}"/>
    <cellStyle name="Normal 32 2 6" xfId="15789" xr:uid="{00000000-0005-0000-0000-0000E2570000}"/>
    <cellStyle name="Normal 32 2 7" xfId="29088" xr:uid="{00000000-0005-0000-0000-0000E3570000}"/>
    <cellStyle name="Normal 32 3" xfId="11480" xr:uid="{00000000-0005-0000-0000-0000E4570000}"/>
    <cellStyle name="Normal 32 3 2" xfId="22768" xr:uid="{00000000-0005-0000-0000-0000E5570000}"/>
    <cellStyle name="Normal 32 4" xfId="9486" xr:uid="{00000000-0005-0000-0000-0000E6570000}"/>
    <cellStyle name="Normal 32 4 2" xfId="20774" xr:uid="{00000000-0005-0000-0000-0000E7570000}"/>
    <cellStyle name="Normal 32 5" xfId="7492" xr:uid="{00000000-0005-0000-0000-0000E8570000}"/>
    <cellStyle name="Normal 32 5 2" xfId="18780" xr:uid="{00000000-0005-0000-0000-0000E9570000}"/>
    <cellStyle name="Normal 32 6" xfId="5498" xr:uid="{00000000-0005-0000-0000-0000EA570000}"/>
    <cellStyle name="Normal 32 6 2" xfId="16786" xr:uid="{00000000-0005-0000-0000-0000EB570000}"/>
    <cellStyle name="Normal 32 7" xfId="14792" xr:uid="{00000000-0005-0000-0000-0000EC570000}"/>
    <cellStyle name="Normal 32 8" xfId="13476" xr:uid="{00000000-0005-0000-0000-0000ED570000}"/>
    <cellStyle name="Normal 32 9" xfId="24392" xr:uid="{00000000-0005-0000-0000-0000EE570000}"/>
    <cellStyle name="Normal 32 9 2" xfId="27150" xr:uid="{00000000-0005-0000-0000-0000EF570000}"/>
    <cellStyle name="Normal 33" xfId="3264" xr:uid="{00000000-0005-0000-0000-0000F0570000}"/>
    <cellStyle name="Normal 33 2" xfId="4499" xr:uid="{00000000-0005-0000-0000-0000F1570000}"/>
    <cellStyle name="Normal 33 2 2" xfId="12478" xr:uid="{00000000-0005-0000-0000-0000F2570000}"/>
    <cellStyle name="Normal 33 2 2 2" xfId="23766" xr:uid="{00000000-0005-0000-0000-0000F3570000}"/>
    <cellStyle name="Normal 33 2 3" xfId="10484" xr:uid="{00000000-0005-0000-0000-0000F4570000}"/>
    <cellStyle name="Normal 33 2 3 2" xfId="21772" xr:uid="{00000000-0005-0000-0000-0000F5570000}"/>
    <cellStyle name="Normal 33 2 4" xfId="8490" xr:uid="{00000000-0005-0000-0000-0000F6570000}"/>
    <cellStyle name="Normal 33 2 4 2" xfId="19778" xr:uid="{00000000-0005-0000-0000-0000F7570000}"/>
    <cellStyle name="Normal 33 2 5" xfId="6496" xr:uid="{00000000-0005-0000-0000-0000F8570000}"/>
    <cellStyle name="Normal 33 2 5 2" xfId="17784" xr:uid="{00000000-0005-0000-0000-0000F9570000}"/>
    <cellStyle name="Normal 33 2 6" xfId="15790" xr:uid="{00000000-0005-0000-0000-0000FA570000}"/>
    <cellStyle name="Normal 33 2 7" xfId="29089" xr:uid="{00000000-0005-0000-0000-0000FB570000}"/>
    <cellStyle name="Normal 33 3" xfId="11481" xr:uid="{00000000-0005-0000-0000-0000FC570000}"/>
    <cellStyle name="Normal 33 3 2" xfId="22769" xr:uid="{00000000-0005-0000-0000-0000FD570000}"/>
    <cellStyle name="Normal 33 4" xfId="9487" xr:uid="{00000000-0005-0000-0000-0000FE570000}"/>
    <cellStyle name="Normal 33 4 2" xfId="20775" xr:uid="{00000000-0005-0000-0000-0000FF570000}"/>
    <cellStyle name="Normal 33 5" xfId="7493" xr:uid="{00000000-0005-0000-0000-000000580000}"/>
    <cellStyle name="Normal 33 5 2" xfId="18781" xr:uid="{00000000-0005-0000-0000-000001580000}"/>
    <cellStyle name="Normal 33 6" xfId="5499" xr:uid="{00000000-0005-0000-0000-000002580000}"/>
    <cellStyle name="Normal 33 6 2" xfId="16787" xr:uid="{00000000-0005-0000-0000-000003580000}"/>
    <cellStyle name="Normal 33 7" xfId="14793" xr:uid="{00000000-0005-0000-0000-000004580000}"/>
    <cellStyle name="Normal 33 8" xfId="13477" xr:uid="{00000000-0005-0000-0000-000005580000}"/>
    <cellStyle name="Normal 33 9" xfId="24487" xr:uid="{00000000-0005-0000-0000-000006580000}"/>
    <cellStyle name="Normal 33 9 2" xfId="27177" xr:uid="{00000000-0005-0000-0000-000007580000}"/>
    <cellStyle name="Normal 34" xfId="3265" xr:uid="{00000000-0005-0000-0000-000008580000}"/>
    <cellStyle name="Normal 34 2" xfId="4500" xr:uid="{00000000-0005-0000-0000-000009580000}"/>
    <cellStyle name="Normal 34 2 2" xfId="12479" xr:uid="{00000000-0005-0000-0000-00000A580000}"/>
    <cellStyle name="Normal 34 2 2 2" xfId="23767" xr:uid="{00000000-0005-0000-0000-00000B580000}"/>
    <cellStyle name="Normal 34 2 3" xfId="10485" xr:uid="{00000000-0005-0000-0000-00000C580000}"/>
    <cellStyle name="Normal 34 2 3 2" xfId="21773" xr:uid="{00000000-0005-0000-0000-00000D580000}"/>
    <cellStyle name="Normal 34 2 4" xfId="8491" xr:uid="{00000000-0005-0000-0000-00000E580000}"/>
    <cellStyle name="Normal 34 2 4 2" xfId="19779" xr:uid="{00000000-0005-0000-0000-00000F580000}"/>
    <cellStyle name="Normal 34 2 5" xfId="6497" xr:uid="{00000000-0005-0000-0000-000010580000}"/>
    <cellStyle name="Normal 34 2 5 2" xfId="17785" xr:uid="{00000000-0005-0000-0000-000011580000}"/>
    <cellStyle name="Normal 34 2 6" xfId="15791" xr:uid="{00000000-0005-0000-0000-000012580000}"/>
    <cellStyle name="Normal 34 2 7" xfId="29090" xr:uid="{00000000-0005-0000-0000-000013580000}"/>
    <cellStyle name="Normal 34 3" xfId="11482" xr:uid="{00000000-0005-0000-0000-000014580000}"/>
    <cellStyle name="Normal 34 3 2" xfId="22770" xr:uid="{00000000-0005-0000-0000-000015580000}"/>
    <cellStyle name="Normal 34 4" xfId="9488" xr:uid="{00000000-0005-0000-0000-000016580000}"/>
    <cellStyle name="Normal 34 4 2" xfId="20776" xr:uid="{00000000-0005-0000-0000-000017580000}"/>
    <cellStyle name="Normal 34 5" xfId="7494" xr:uid="{00000000-0005-0000-0000-000018580000}"/>
    <cellStyle name="Normal 34 5 2" xfId="18782" xr:uid="{00000000-0005-0000-0000-000019580000}"/>
    <cellStyle name="Normal 34 6" xfId="5500" xr:uid="{00000000-0005-0000-0000-00001A580000}"/>
    <cellStyle name="Normal 34 6 2" xfId="16788" xr:uid="{00000000-0005-0000-0000-00001B580000}"/>
    <cellStyle name="Normal 34 7" xfId="14794" xr:uid="{00000000-0005-0000-0000-00001C580000}"/>
    <cellStyle name="Normal 34 8" xfId="13478" xr:uid="{00000000-0005-0000-0000-00001D580000}"/>
    <cellStyle name="Normal 34 9" xfId="24470" xr:uid="{00000000-0005-0000-0000-00001E580000}"/>
    <cellStyle name="Normal 34 9 2" xfId="27168" xr:uid="{00000000-0005-0000-0000-00001F580000}"/>
    <cellStyle name="Normal 35" xfId="3266" xr:uid="{00000000-0005-0000-0000-000020580000}"/>
    <cellStyle name="Normal 35 2" xfId="4501" xr:uid="{00000000-0005-0000-0000-000021580000}"/>
    <cellStyle name="Normal 35 2 2" xfId="12480" xr:uid="{00000000-0005-0000-0000-000022580000}"/>
    <cellStyle name="Normal 35 2 2 2" xfId="23768" xr:uid="{00000000-0005-0000-0000-000023580000}"/>
    <cellStyle name="Normal 35 2 3" xfId="10486" xr:uid="{00000000-0005-0000-0000-000024580000}"/>
    <cellStyle name="Normal 35 2 3 2" xfId="21774" xr:uid="{00000000-0005-0000-0000-000025580000}"/>
    <cellStyle name="Normal 35 2 4" xfId="8492" xr:uid="{00000000-0005-0000-0000-000026580000}"/>
    <cellStyle name="Normal 35 2 4 2" xfId="19780" xr:uid="{00000000-0005-0000-0000-000027580000}"/>
    <cellStyle name="Normal 35 2 5" xfId="6498" xr:uid="{00000000-0005-0000-0000-000028580000}"/>
    <cellStyle name="Normal 35 2 5 2" xfId="17786" xr:uid="{00000000-0005-0000-0000-000029580000}"/>
    <cellStyle name="Normal 35 2 6" xfId="15792" xr:uid="{00000000-0005-0000-0000-00002A580000}"/>
    <cellStyle name="Normal 35 2 7" xfId="29091" xr:uid="{00000000-0005-0000-0000-00002B580000}"/>
    <cellStyle name="Normal 35 3" xfId="11483" xr:uid="{00000000-0005-0000-0000-00002C580000}"/>
    <cellStyle name="Normal 35 3 2" xfId="22771" xr:uid="{00000000-0005-0000-0000-00002D580000}"/>
    <cellStyle name="Normal 35 4" xfId="9489" xr:uid="{00000000-0005-0000-0000-00002E580000}"/>
    <cellStyle name="Normal 35 4 2" xfId="20777" xr:uid="{00000000-0005-0000-0000-00002F580000}"/>
    <cellStyle name="Normal 35 5" xfId="7495" xr:uid="{00000000-0005-0000-0000-000030580000}"/>
    <cellStyle name="Normal 35 5 2" xfId="18783" xr:uid="{00000000-0005-0000-0000-000031580000}"/>
    <cellStyle name="Normal 35 6" xfId="5501" xr:uid="{00000000-0005-0000-0000-000032580000}"/>
    <cellStyle name="Normal 35 6 2" xfId="16789" xr:uid="{00000000-0005-0000-0000-000033580000}"/>
    <cellStyle name="Normal 35 7" xfId="14795" xr:uid="{00000000-0005-0000-0000-000034580000}"/>
    <cellStyle name="Normal 35 8" xfId="13479" xr:uid="{00000000-0005-0000-0000-000035580000}"/>
    <cellStyle name="Normal 35 9" xfId="24501" xr:uid="{00000000-0005-0000-0000-000036580000}"/>
    <cellStyle name="Normal 35 9 2" xfId="27189" xr:uid="{00000000-0005-0000-0000-000037580000}"/>
    <cellStyle name="Normal 36" xfId="3267" xr:uid="{00000000-0005-0000-0000-000038580000}"/>
    <cellStyle name="Normal 36 10" xfId="28795" xr:uid="{00000000-0005-0000-0000-000039580000}"/>
    <cellStyle name="Normal 36 2" xfId="4502" xr:uid="{00000000-0005-0000-0000-00003A580000}"/>
    <cellStyle name="Normal 36 2 2" xfId="12481" xr:uid="{00000000-0005-0000-0000-00003B580000}"/>
    <cellStyle name="Normal 36 2 2 2" xfId="23769" xr:uid="{00000000-0005-0000-0000-00003C580000}"/>
    <cellStyle name="Normal 36 2 3" xfId="10487" xr:uid="{00000000-0005-0000-0000-00003D580000}"/>
    <cellStyle name="Normal 36 2 3 2" xfId="21775" xr:uid="{00000000-0005-0000-0000-00003E580000}"/>
    <cellStyle name="Normal 36 2 4" xfId="8493" xr:uid="{00000000-0005-0000-0000-00003F580000}"/>
    <cellStyle name="Normal 36 2 4 2" xfId="19781" xr:uid="{00000000-0005-0000-0000-000040580000}"/>
    <cellStyle name="Normal 36 2 5" xfId="6499" xr:uid="{00000000-0005-0000-0000-000041580000}"/>
    <cellStyle name="Normal 36 2 5 2" xfId="17787" xr:uid="{00000000-0005-0000-0000-000042580000}"/>
    <cellStyle name="Normal 36 2 6" xfId="15793" xr:uid="{00000000-0005-0000-0000-000043580000}"/>
    <cellStyle name="Normal 36 3" xfId="11484" xr:uid="{00000000-0005-0000-0000-000044580000}"/>
    <cellStyle name="Normal 36 3 2" xfId="22772" xr:uid="{00000000-0005-0000-0000-000045580000}"/>
    <cellStyle name="Normal 36 4" xfId="9490" xr:uid="{00000000-0005-0000-0000-000046580000}"/>
    <cellStyle name="Normal 36 4 2" xfId="20778" xr:uid="{00000000-0005-0000-0000-000047580000}"/>
    <cellStyle name="Normal 36 5" xfId="7496" xr:uid="{00000000-0005-0000-0000-000048580000}"/>
    <cellStyle name="Normal 36 5 2" xfId="18784" xr:uid="{00000000-0005-0000-0000-000049580000}"/>
    <cellStyle name="Normal 36 6" xfId="5502" xr:uid="{00000000-0005-0000-0000-00004A580000}"/>
    <cellStyle name="Normal 36 6 2" xfId="16790" xr:uid="{00000000-0005-0000-0000-00004B580000}"/>
    <cellStyle name="Normal 36 7" xfId="14796" xr:uid="{00000000-0005-0000-0000-00004C580000}"/>
    <cellStyle name="Normal 36 8" xfId="13480" xr:uid="{00000000-0005-0000-0000-00004D580000}"/>
    <cellStyle name="Normal 36 9" xfId="24485" xr:uid="{00000000-0005-0000-0000-00004E580000}"/>
    <cellStyle name="Normal 36 9 2" xfId="27176" xr:uid="{00000000-0005-0000-0000-00004F580000}"/>
    <cellStyle name="Normal 37" xfId="3268" xr:uid="{00000000-0005-0000-0000-000050580000}"/>
    <cellStyle name="Normal 37 2" xfId="4503" xr:uid="{00000000-0005-0000-0000-000051580000}"/>
    <cellStyle name="Normal 37 2 2" xfId="12482" xr:uid="{00000000-0005-0000-0000-000052580000}"/>
    <cellStyle name="Normal 37 2 2 2" xfId="23770" xr:uid="{00000000-0005-0000-0000-000053580000}"/>
    <cellStyle name="Normal 37 2 3" xfId="10488" xr:uid="{00000000-0005-0000-0000-000054580000}"/>
    <cellStyle name="Normal 37 2 3 2" xfId="21776" xr:uid="{00000000-0005-0000-0000-000055580000}"/>
    <cellStyle name="Normal 37 2 4" xfId="8494" xr:uid="{00000000-0005-0000-0000-000056580000}"/>
    <cellStyle name="Normal 37 2 4 2" xfId="19782" xr:uid="{00000000-0005-0000-0000-000057580000}"/>
    <cellStyle name="Normal 37 2 5" xfId="6500" xr:uid="{00000000-0005-0000-0000-000058580000}"/>
    <cellStyle name="Normal 37 2 5 2" xfId="17788" xr:uid="{00000000-0005-0000-0000-000059580000}"/>
    <cellStyle name="Normal 37 2 6" xfId="15794" xr:uid="{00000000-0005-0000-0000-00005A580000}"/>
    <cellStyle name="Normal 37 3" xfId="11485" xr:uid="{00000000-0005-0000-0000-00005B580000}"/>
    <cellStyle name="Normal 37 3 2" xfId="22773" xr:uid="{00000000-0005-0000-0000-00005C580000}"/>
    <cellStyle name="Normal 37 4" xfId="9491" xr:uid="{00000000-0005-0000-0000-00005D580000}"/>
    <cellStyle name="Normal 37 4 2" xfId="20779" xr:uid="{00000000-0005-0000-0000-00005E580000}"/>
    <cellStyle name="Normal 37 5" xfId="7497" xr:uid="{00000000-0005-0000-0000-00005F580000}"/>
    <cellStyle name="Normal 37 5 2" xfId="18785" xr:uid="{00000000-0005-0000-0000-000060580000}"/>
    <cellStyle name="Normal 37 6" xfId="5503" xr:uid="{00000000-0005-0000-0000-000061580000}"/>
    <cellStyle name="Normal 37 6 2" xfId="16791" xr:uid="{00000000-0005-0000-0000-000062580000}"/>
    <cellStyle name="Normal 37 7" xfId="14797" xr:uid="{00000000-0005-0000-0000-000063580000}"/>
    <cellStyle name="Normal 37 8" xfId="13481" xr:uid="{00000000-0005-0000-0000-000064580000}"/>
    <cellStyle name="Normal 37 9" xfId="24498" xr:uid="{00000000-0005-0000-0000-000065580000}"/>
    <cellStyle name="Normal 37 9 2" xfId="27187" xr:uid="{00000000-0005-0000-0000-000066580000}"/>
    <cellStyle name="Normal 38" xfId="3269" xr:uid="{00000000-0005-0000-0000-000067580000}"/>
    <cellStyle name="Normal 38 2" xfId="4504" xr:uid="{00000000-0005-0000-0000-000068580000}"/>
    <cellStyle name="Normal 38 2 2" xfId="12483" xr:uid="{00000000-0005-0000-0000-000069580000}"/>
    <cellStyle name="Normal 38 2 2 2" xfId="23771" xr:uid="{00000000-0005-0000-0000-00006A580000}"/>
    <cellStyle name="Normal 38 2 3" xfId="10489" xr:uid="{00000000-0005-0000-0000-00006B580000}"/>
    <cellStyle name="Normal 38 2 3 2" xfId="21777" xr:uid="{00000000-0005-0000-0000-00006C580000}"/>
    <cellStyle name="Normal 38 2 4" xfId="8495" xr:uid="{00000000-0005-0000-0000-00006D580000}"/>
    <cellStyle name="Normal 38 2 4 2" xfId="19783" xr:uid="{00000000-0005-0000-0000-00006E580000}"/>
    <cellStyle name="Normal 38 2 5" xfId="6501" xr:uid="{00000000-0005-0000-0000-00006F580000}"/>
    <cellStyle name="Normal 38 2 5 2" xfId="17789" xr:uid="{00000000-0005-0000-0000-000070580000}"/>
    <cellStyle name="Normal 38 2 6" xfId="15795" xr:uid="{00000000-0005-0000-0000-000071580000}"/>
    <cellStyle name="Normal 38 3" xfId="11486" xr:uid="{00000000-0005-0000-0000-000072580000}"/>
    <cellStyle name="Normal 38 3 2" xfId="22774" xr:uid="{00000000-0005-0000-0000-000073580000}"/>
    <cellStyle name="Normal 38 4" xfId="9492" xr:uid="{00000000-0005-0000-0000-000074580000}"/>
    <cellStyle name="Normal 38 4 2" xfId="20780" xr:uid="{00000000-0005-0000-0000-000075580000}"/>
    <cellStyle name="Normal 38 5" xfId="7498" xr:uid="{00000000-0005-0000-0000-000076580000}"/>
    <cellStyle name="Normal 38 5 2" xfId="18786" xr:uid="{00000000-0005-0000-0000-000077580000}"/>
    <cellStyle name="Normal 38 6" xfId="5504" xr:uid="{00000000-0005-0000-0000-000078580000}"/>
    <cellStyle name="Normal 38 6 2" xfId="16792" xr:uid="{00000000-0005-0000-0000-000079580000}"/>
    <cellStyle name="Normal 38 7" xfId="14798" xr:uid="{00000000-0005-0000-0000-00007A580000}"/>
    <cellStyle name="Normal 38 8" xfId="13482" xr:uid="{00000000-0005-0000-0000-00007B580000}"/>
    <cellStyle name="Normal 38 9" xfId="24459" xr:uid="{00000000-0005-0000-0000-00007C580000}"/>
    <cellStyle name="Normal 38 9 2" xfId="27165" xr:uid="{00000000-0005-0000-0000-00007D580000}"/>
    <cellStyle name="Normal 39" xfId="3270" xr:uid="{00000000-0005-0000-0000-00007E580000}"/>
    <cellStyle name="Normal 39 2" xfId="4505" xr:uid="{00000000-0005-0000-0000-00007F580000}"/>
    <cellStyle name="Normal 39 2 2" xfId="12484" xr:uid="{00000000-0005-0000-0000-000080580000}"/>
    <cellStyle name="Normal 39 2 2 2" xfId="23772" xr:uid="{00000000-0005-0000-0000-000081580000}"/>
    <cellStyle name="Normal 39 2 3" xfId="10490" xr:uid="{00000000-0005-0000-0000-000082580000}"/>
    <cellStyle name="Normal 39 2 3 2" xfId="21778" xr:uid="{00000000-0005-0000-0000-000083580000}"/>
    <cellStyle name="Normal 39 2 4" xfId="8496" xr:uid="{00000000-0005-0000-0000-000084580000}"/>
    <cellStyle name="Normal 39 2 4 2" xfId="19784" xr:uid="{00000000-0005-0000-0000-000085580000}"/>
    <cellStyle name="Normal 39 2 5" xfId="6502" xr:uid="{00000000-0005-0000-0000-000086580000}"/>
    <cellStyle name="Normal 39 2 5 2" xfId="17790" xr:uid="{00000000-0005-0000-0000-000087580000}"/>
    <cellStyle name="Normal 39 2 6" xfId="15796" xr:uid="{00000000-0005-0000-0000-000088580000}"/>
    <cellStyle name="Normal 39 3" xfId="11487" xr:uid="{00000000-0005-0000-0000-000089580000}"/>
    <cellStyle name="Normal 39 3 2" xfId="22775" xr:uid="{00000000-0005-0000-0000-00008A580000}"/>
    <cellStyle name="Normal 39 4" xfId="9493" xr:uid="{00000000-0005-0000-0000-00008B580000}"/>
    <cellStyle name="Normal 39 4 2" xfId="20781" xr:uid="{00000000-0005-0000-0000-00008C580000}"/>
    <cellStyle name="Normal 39 5" xfId="7499" xr:uid="{00000000-0005-0000-0000-00008D580000}"/>
    <cellStyle name="Normal 39 5 2" xfId="18787" xr:uid="{00000000-0005-0000-0000-00008E580000}"/>
    <cellStyle name="Normal 39 6" xfId="5505" xr:uid="{00000000-0005-0000-0000-00008F580000}"/>
    <cellStyle name="Normal 39 6 2" xfId="16793" xr:uid="{00000000-0005-0000-0000-000090580000}"/>
    <cellStyle name="Normal 39 7" xfId="14799" xr:uid="{00000000-0005-0000-0000-000091580000}"/>
    <cellStyle name="Normal 39 8" xfId="13483" xr:uid="{00000000-0005-0000-0000-000092580000}"/>
    <cellStyle name="Normal 39 9" xfId="24494" xr:uid="{00000000-0005-0000-0000-000093580000}"/>
    <cellStyle name="Normal 39 9 2" xfId="27183" xr:uid="{00000000-0005-0000-0000-000094580000}"/>
    <cellStyle name="Normal 4" xfId="55" xr:uid="{00000000-0005-0000-0000-000095580000}"/>
    <cellStyle name="Normal 4 10" xfId="24146" xr:uid="{00000000-0005-0000-0000-000096580000}"/>
    <cellStyle name="Normal 4 10 2" xfId="29092" xr:uid="{00000000-0005-0000-0000-000097580000}"/>
    <cellStyle name="Normal 4 10 3" xfId="28796" xr:uid="{00000000-0005-0000-0000-000098580000}"/>
    <cellStyle name="Normal 4 11" xfId="24717" xr:uid="{00000000-0005-0000-0000-000099580000}"/>
    <cellStyle name="Normal 4 11 2" xfId="29093" xr:uid="{00000000-0005-0000-0000-00009A580000}"/>
    <cellStyle name="Normal 4 11 3" xfId="28797" xr:uid="{00000000-0005-0000-0000-00009B580000}"/>
    <cellStyle name="Normal 4 12" xfId="25033" xr:uid="{00000000-0005-0000-0000-00009C580000}"/>
    <cellStyle name="Normal 4 12 2" xfId="29094" xr:uid="{00000000-0005-0000-0000-00009D580000}"/>
    <cellStyle name="Normal 4 12 3" xfId="28798" xr:uid="{00000000-0005-0000-0000-00009E580000}"/>
    <cellStyle name="Normal 4 13" xfId="25772" xr:uid="{00000000-0005-0000-0000-00009F580000}"/>
    <cellStyle name="Normal 4 13 2" xfId="29095" xr:uid="{00000000-0005-0000-0000-0000A0580000}"/>
    <cellStyle name="Normal 4 14" xfId="29164" xr:uid="{00000000-0005-0000-0000-0000A1580000}"/>
    <cellStyle name="Normal 4 2" xfId="164" xr:uid="{00000000-0005-0000-0000-0000A2580000}"/>
    <cellStyle name="Normal 4 2 10" xfId="25786" xr:uid="{00000000-0005-0000-0000-0000A3580000}"/>
    <cellStyle name="Normal 4 2 2" xfId="420" xr:uid="{00000000-0005-0000-0000-0000A4580000}"/>
    <cellStyle name="Normal 4 2 2 2" xfId="12485" xr:uid="{00000000-0005-0000-0000-0000A5580000}"/>
    <cellStyle name="Normal 4 2 2 2 2" xfId="23773" xr:uid="{00000000-0005-0000-0000-0000A6580000}"/>
    <cellStyle name="Normal 4 2 2 2 3" xfId="24422" xr:uid="{00000000-0005-0000-0000-0000A7580000}"/>
    <cellStyle name="Normal 4 2 2 2 4" xfId="24866" xr:uid="{00000000-0005-0000-0000-0000A8580000}"/>
    <cellStyle name="Normal 4 2 2 2 5" xfId="25229" xr:uid="{00000000-0005-0000-0000-0000A9580000}"/>
    <cellStyle name="Normal 4 2 2 3" xfId="24148" xr:uid="{00000000-0005-0000-0000-0000AA580000}"/>
    <cellStyle name="Normal 4 2 2 4" xfId="24719" xr:uid="{00000000-0005-0000-0000-0000AB580000}"/>
    <cellStyle name="Normal 4 2 2 5" xfId="25035" xr:uid="{00000000-0005-0000-0000-0000AC580000}"/>
    <cellStyle name="Normal 4 2 2 6" xfId="26013" xr:uid="{00000000-0005-0000-0000-0000AD580000}"/>
    <cellStyle name="Normal 4 2 2 6 2" xfId="29096" xr:uid="{00000000-0005-0000-0000-0000AE580000}"/>
    <cellStyle name="Normal 4 2 3" xfId="387" xr:uid="{00000000-0005-0000-0000-0000AF580000}"/>
    <cellStyle name="Normal 4 2 3 2" xfId="503" xr:uid="{00000000-0005-0000-0000-0000B0580000}"/>
    <cellStyle name="Normal 4 2 3 2 2" xfId="13866" xr:uid="{00000000-0005-0000-0000-0000B1580000}"/>
    <cellStyle name="Normal 4 2 3 3" xfId="10491" xr:uid="{00000000-0005-0000-0000-0000B2580000}"/>
    <cellStyle name="Normal 4 2 3 3 2" xfId="21779" xr:uid="{00000000-0005-0000-0000-0000B3580000}"/>
    <cellStyle name="Normal 4 2 3 4" xfId="13783" xr:uid="{00000000-0005-0000-0000-0000B4580000}"/>
    <cellStyle name="Normal 4 2 3 5" xfId="24421" xr:uid="{00000000-0005-0000-0000-0000B5580000}"/>
    <cellStyle name="Normal 4 2 3 6" xfId="24865" xr:uid="{00000000-0005-0000-0000-0000B6580000}"/>
    <cellStyle name="Normal 4 2 3 7" xfId="25228" xr:uid="{00000000-0005-0000-0000-0000B7580000}"/>
    <cellStyle name="Normal 4 2 4" xfId="8497" xr:uid="{00000000-0005-0000-0000-0000B8580000}"/>
    <cellStyle name="Normal 4 2 4 2" xfId="19785" xr:uid="{00000000-0005-0000-0000-0000B9580000}"/>
    <cellStyle name="Normal 4 2 5" xfId="6503" xr:uid="{00000000-0005-0000-0000-0000BA580000}"/>
    <cellStyle name="Normal 4 2 5 2" xfId="17791" xr:uid="{00000000-0005-0000-0000-0000BB580000}"/>
    <cellStyle name="Normal 4 2 6" xfId="4506" xr:uid="{00000000-0005-0000-0000-0000BC580000}"/>
    <cellStyle name="Normal 4 2 6 2" xfId="15797" xr:uid="{00000000-0005-0000-0000-0000BD580000}"/>
    <cellStyle name="Normal 4 2 7" xfId="24147" xr:uid="{00000000-0005-0000-0000-0000BE580000}"/>
    <cellStyle name="Normal 4 2 8" xfId="24718" xr:uid="{00000000-0005-0000-0000-0000BF580000}"/>
    <cellStyle name="Normal 4 2 9" xfId="25034" xr:uid="{00000000-0005-0000-0000-0000C0580000}"/>
    <cellStyle name="Normal 4 3" xfId="170" xr:uid="{00000000-0005-0000-0000-0000C1580000}"/>
    <cellStyle name="Normal 4 3 10" xfId="28799" xr:uid="{00000000-0005-0000-0000-0000C2580000}"/>
    <cellStyle name="Normal 4 3 2" xfId="361" xr:uid="{00000000-0005-0000-0000-0000C3580000}"/>
    <cellStyle name="Normal 4 3 2 2" xfId="443" xr:uid="{00000000-0005-0000-0000-0000C4580000}"/>
    <cellStyle name="Normal 4 3 2 2 2" xfId="529" xr:uid="{00000000-0005-0000-0000-0000C5580000}"/>
    <cellStyle name="Normal 4 3 2 2 2 2" xfId="13892" xr:uid="{00000000-0005-0000-0000-0000C6580000}"/>
    <cellStyle name="Normal 4 3 2 2 3" xfId="13815" xr:uid="{00000000-0005-0000-0000-0000C7580000}"/>
    <cellStyle name="Normal 4 3 2 2 4" xfId="24424" xr:uid="{00000000-0005-0000-0000-0000C8580000}"/>
    <cellStyle name="Normal 4 3 2 2 5" xfId="24868" xr:uid="{00000000-0005-0000-0000-0000C9580000}"/>
    <cellStyle name="Normal 4 3 2 2 6" xfId="25231" xr:uid="{00000000-0005-0000-0000-0000CA580000}"/>
    <cellStyle name="Normal 4 3 2 3" xfId="492" xr:uid="{00000000-0005-0000-0000-0000CB580000}"/>
    <cellStyle name="Normal 4 3 2 3 2" xfId="13855" xr:uid="{00000000-0005-0000-0000-0000CC580000}"/>
    <cellStyle name="Normal 4 3 2 4" xfId="13771" xr:uid="{00000000-0005-0000-0000-0000CD580000}"/>
    <cellStyle name="Normal 4 3 2 5" xfId="24150" xr:uid="{00000000-0005-0000-0000-0000CE580000}"/>
    <cellStyle name="Normal 4 3 2 6" xfId="24721" xr:uid="{00000000-0005-0000-0000-0000CF580000}"/>
    <cellStyle name="Normal 4 3 2 7" xfId="25037" xr:uid="{00000000-0005-0000-0000-0000D0580000}"/>
    <cellStyle name="Normal 4 3 2 8" xfId="29097" xr:uid="{00000000-0005-0000-0000-0000D1580000}"/>
    <cellStyle name="Normal 4 3 3" xfId="423" xr:uid="{00000000-0005-0000-0000-0000D2580000}"/>
    <cellStyle name="Normal 4 3 3 2" xfId="514" xr:uid="{00000000-0005-0000-0000-0000D3580000}"/>
    <cellStyle name="Normal 4 3 3 2 2" xfId="13877" xr:uid="{00000000-0005-0000-0000-0000D4580000}"/>
    <cellStyle name="Normal 4 3 3 3" xfId="13800" xr:uid="{00000000-0005-0000-0000-0000D5580000}"/>
    <cellStyle name="Normal 4 3 3 4" xfId="24423" xr:uid="{00000000-0005-0000-0000-0000D6580000}"/>
    <cellStyle name="Normal 4 3 3 5" xfId="24867" xr:uid="{00000000-0005-0000-0000-0000D7580000}"/>
    <cellStyle name="Normal 4 3 3 6" xfId="25230" xr:uid="{00000000-0005-0000-0000-0000D8580000}"/>
    <cellStyle name="Normal 4 3 4" xfId="477" xr:uid="{00000000-0005-0000-0000-0000D9580000}"/>
    <cellStyle name="Normal 4 3 4 2" xfId="13840" xr:uid="{00000000-0005-0000-0000-0000DA580000}"/>
    <cellStyle name="Normal 4 3 5" xfId="11488" xr:uid="{00000000-0005-0000-0000-0000DB580000}"/>
    <cellStyle name="Normal 4 3 5 2" xfId="22776" xr:uid="{00000000-0005-0000-0000-0000DC580000}"/>
    <cellStyle name="Normal 4 3 6" xfId="13685" xr:uid="{00000000-0005-0000-0000-0000DD580000}"/>
    <cellStyle name="Normal 4 3 7" xfId="24149" xr:uid="{00000000-0005-0000-0000-0000DE580000}"/>
    <cellStyle name="Normal 4 3 8" xfId="24720" xr:uid="{00000000-0005-0000-0000-0000DF580000}"/>
    <cellStyle name="Normal 4 3 9" xfId="25036" xr:uid="{00000000-0005-0000-0000-0000E0580000}"/>
    <cellStyle name="Normal 4 4" xfId="356" xr:uid="{00000000-0005-0000-0000-0000E1580000}"/>
    <cellStyle name="Normal 4 4 2" xfId="439" xr:uid="{00000000-0005-0000-0000-0000E2580000}"/>
    <cellStyle name="Normal 4 4 2 2" xfId="525" xr:uid="{00000000-0005-0000-0000-0000E3580000}"/>
    <cellStyle name="Normal 4 4 2 2 2" xfId="13888" xr:uid="{00000000-0005-0000-0000-0000E4580000}"/>
    <cellStyle name="Normal 4 4 2 3" xfId="13811" xr:uid="{00000000-0005-0000-0000-0000E5580000}"/>
    <cellStyle name="Normal 4 4 2 4" xfId="29098" xr:uid="{00000000-0005-0000-0000-0000E6580000}"/>
    <cellStyle name="Normal 4 4 3" xfId="488" xr:uid="{00000000-0005-0000-0000-0000E7580000}"/>
    <cellStyle name="Normal 4 4 3 2" xfId="13851" xr:uid="{00000000-0005-0000-0000-0000E8580000}"/>
    <cellStyle name="Normal 4 4 4" xfId="9494" xr:uid="{00000000-0005-0000-0000-0000E9580000}"/>
    <cellStyle name="Normal 4 4 4 2" xfId="20782" xr:uid="{00000000-0005-0000-0000-0000EA580000}"/>
    <cellStyle name="Normal 4 4 5" xfId="13766" xr:uid="{00000000-0005-0000-0000-0000EB580000}"/>
    <cellStyle name="Normal 4 4 6" xfId="24151" xr:uid="{00000000-0005-0000-0000-0000EC580000}"/>
    <cellStyle name="Normal 4 4 6 2" xfId="27080" xr:uid="{00000000-0005-0000-0000-0000ED580000}"/>
    <cellStyle name="Normal 4 5" xfId="473" xr:uid="{00000000-0005-0000-0000-0000EE580000}"/>
    <cellStyle name="Normal 4 5 2" xfId="7500" xr:uid="{00000000-0005-0000-0000-0000EF580000}"/>
    <cellStyle name="Normal 4 5 2 2" xfId="18788" xr:uid="{00000000-0005-0000-0000-0000F0580000}"/>
    <cellStyle name="Normal 4 5 2 3" xfId="29099" xr:uid="{00000000-0005-0000-0000-0000F1580000}"/>
    <cellStyle name="Normal 4 5 3" xfId="13836" xr:uid="{00000000-0005-0000-0000-0000F2580000}"/>
    <cellStyle name="Normal 4 5 4" xfId="24152" xr:uid="{00000000-0005-0000-0000-0000F3580000}"/>
    <cellStyle name="Normal 4 5 4 2" xfId="27081" xr:uid="{00000000-0005-0000-0000-0000F4580000}"/>
    <cellStyle name="Normal 4 6" xfId="659" xr:uid="{00000000-0005-0000-0000-0000F5580000}"/>
    <cellStyle name="Normal 4 6 2" xfId="5506" xr:uid="{00000000-0005-0000-0000-0000F6580000}"/>
    <cellStyle name="Normal 4 6 2 2" xfId="16794" xr:uid="{00000000-0005-0000-0000-0000F7580000}"/>
    <cellStyle name="Normal 4 6 2 3" xfId="24425" xr:uid="{00000000-0005-0000-0000-0000F8580000}"/>
    <cellStyle name="Normal 4 6 2 4" xfId="24869" xr:uid="{00000000-0005-0000-0000-0000F9580000}"/>
    <cellStyle name="Normal 4 6 2 5" xfId="25232" xr:uid="{00000000-0005-0000-0000-0000FA580000}"/>
    <cellStyle name="Normal 4 6 2 6" xfId="29100" xr:uid="{00000000-0005-0000-0000-0000FB580000}"/>
    <cellStyle name="Normal 4 6 3" xfId="13912" xr:uid="{00000000-0005-0000-0000-0000FC580000}"/>
    <cellStyle name="Normal 4 6 4" xfId="24153" xr:uid="{00000000-0005-0000-0000-0000FD580000}"/>
    <cellStyle name="Normal 4 6 5" xfId="24722" xr:uid="{00000000-0005-0000-0000-0000FE580000}"/>
    <cellStyle name="Normal 4 6 6" xfId="25038" xr:uid="{00000000-0005-0000-0000-0000FF580000}"/>
    <cellStyle name="Normal 4 6 7" xfId="28800" xr:uid="{00000000-0005-0000-0000-000000590000}"/>
    <cellStyle name="Normal 4 7" xfId="3271" xr:uid="{00000000-0005-0000-0000-000001590000}"/>
    <cellStyle name="Normal 4 7 2" xfId="14800" xr:uid="{00000000-0005-0000-0000-000002590000}"/>
    <cellStyle name="Normal 4 7 2 2" xfId="29101" xr:uid="{00000000-0005-0000-0000-000003590000}"/>
    <cellStyle name="Normal 4 7 3" xfId="24420" xr:uid="{00000000-0005-0000-0000-000004590000}"/>
    <cellStyle name="Normal 4 7 4" xfId="24864" xr:uid="{00000000-0005-0000-0000-000005590000}"/>
    <cellStyle name="Normal 4 7 5" xfId="25227" xr:uid="{00000000-0005-0000-0000-000006590000}"/>
    <cellStyle name="Normal 4 7 6" xfId="28801" xr:uid="{00000000-0005-0000-0000-000007590000}"/>
    <cellStyle name="Normal 4 8" xfId="13613" xr:uid="{00000000-0005-0000-0000-000008590000}"/>
    <cellStyle name="Normal 4 8 2" xfId="29102" xr:uid="{00000000-0005-0000-0000-000009590000}"/>
    <cellStyle name="Normal 4 8 3" xfId="28802" xr:uid="{00000000-0005-0000-0000-00000A590000}"/>
    <cellStyle name="Normal 4 9" xfId="13484" xr:uid="{00000000-0005-0000-0000-00000B590000}"/>
    <cellStyle name="Normal 4 9 2" xfId="29103" xr:uid="{00000000-0005-0000-0000-00000C590000}"/>
    <cellStyle name="Normal 4 9 3" xfId="28803" xr:uid="{00000000-0005-0000-0000-00000D590000}"/>
    <cellStyle name="Normal 40" xfId="3272" xr:uid="{00000000-0005-0000-0000-00000E590000}"/>
    <cellStyle name="Normal 40 10" xfId="24479" xr:uid="{00000000-0005-0000-0000-00000F590000}"/>
    <cellStyle name="Normal 40 10 2" xfId="27174" xr:uid="{00000000-0005-0000-0000-000010590000}"/>
    <cellStyle name="Normal 40 2" xfId="3273" xr:uid="{00000000-0005-0000-0000-000011590000}"/>
    <cellStyle name="Normal 40 2 2" xfId="4508" xr:uid="{00000000-0005-0000-0000-000012590000}"/>
    <cellStyle name="Normal 40 2 2 2" xfId="12487" xr:uid="{00000000-0005-0000-0000-000013590000}"/>
    <cellStyle name="Normal 40 2 2 2 2" xfId="23775" xr:uid="{00000000-0005-0000-0000-000014590000}"/>
    <cellStyle name="Normal 40 2 2 3" xfId="10493" xr:uid="{00000000-0005-0000-0000-000015590000}"/>
    <cellStyle name="Normal 40 2 2 3 2" xfId="21781" xr:uid="{00000000-0005-0000-0000-000016590000}"/>
    <cellStyle name="Normal 40 2 2 4" xfId="8499" xr:uid="{00000000-0005-0000-0000-000017590000}"/>
    <cellStyle name="Normal 40 2 2 4 2" xfId="19787" xr:uid="{00000000-0005-0000-0000-000018590000}"/>
    <cellStyle name="Normal 40 2 2 5" xfId="6505" xr:uid="{00000000-0005-0000-0000-000019590000}"/>
    <cellStyle name="Normal 40 2 2 5 2" xfId="17793" xr:uid="{00000000-0005-0000-0000-00001A590000}"/>
    <cellStyle name="Normal 40 2 2 6" xfId="15799" xr:uid="{00000000-0005-0000-0000-00001B590000}"/>
    <cellStyle name="Normal 40 2 3" xfId="11490" xr:uid="{00000000-0005-0000-0000-00001C590000}"/>
    <cellStyle name="Normal 40 2 3 2" xfId="22778" xr:uid="{00000000-0005-0000-0000-00001D590000}"/>
    <cellStyle name="Normal 40 2 4" xfId="9496" xr:uid="{00000000-0005-0000-0000-00001E590000}"/>
    <cellStyle name="Normal 40 2 4 2" xfId="20784" xr:uid="{00000000-0005-0000-0000-00001F590000}"/>
    <cellStyle name="Normal 40 2 5" xfId="7502" xr:uid="{00000000-0005-0000-0000-000020590000}"/>
    <cellStyle name="Normal 40 2 5 2" xfId="18790" xr:uid="{00000000-0005-0000-0000-000021590000}"/>
    <cellStyle name="Normal 40 2 6" xfId="5508" xr:uid="{00000000-0005-0000-0000-000022590000}"/>
    <cellStyle name="Normal 40 2 6 2" xfId="16796" xr:uid="{00000000-0005-0000-0000-000023590000}"/>
    <cellStyle name="Normal 40 2 7" xfId="14802" xr:uid="{00000000-0005-0000-0000-000024590000}"/>
    <cellStyle name="Normal 40 2 8" xfId="13486" xr:uid="{00000000-0005-0000-0000-000025590000}"/>
    <cellStyle name="Normal 40 3" xfId="4507" xr:uid="{00000000-0005-0000-0000-000026590000}"/>
    <cellStyle name="Normal 40 3 2" xfId="12486" xr:uid="{00000000-0005-0000-0000-000027590000}"/>
    <cellStyle name="Normal 40 3 2 2" xfId="23774" xr:uid="{00000000-0005-0000-0000-000028590000}"/>
    <cellStyle name="Normal 40 3 3" xfId="10492" xr:uid="{00000000-0005-0000-0000-000029590000}"/>
    <cellStyle name="Normal 40 3 3 2" xfId="21780" xr:uid="{00000000-0005-0000-0000-00002A590000}"/>
    <cellStyle name="Normal 40 3 4" xfId="8498" xr:uid="{00000000-0005-0000-0000-00002B590000}"/>
    <cellStyle name="Normal 40 3 4 2" xfId="19786" xr:uid="{00000000-0005-0000-0000-00002C590000}"/>
    <cellStyle name="Normal 40 3 5" xfId="6504" xr:uid="{00000000-0005-0000-0000-00002D590000}"/>
    <cellStyle name="Normal 40 3 5 2" xfId="17792" xr:uid="{00000000-0005-0000-0000-00002E590000}"/>
    <cellStyle name="Normal 40 3 6" xfId="15798" xr:uid="{00000000-0005-0000-0000-00002F590000}"/>
    <cellStyle name="Normal 40 4" xfId="11489" xr:uid="{00000000-0005-0000-0000-000030590000}"/>
    <cellStyle name="Normal 40 4 2" xfId="22777" xr:uid="{00000000-0005-0000-0000-000031590000}"/>
    <cellStyle name="Normal 40 5" xfId="9495" xr:uid="{00000000-0005-0000-0000-000032590000}"/>
    <cellStyle name="Normal 40 5 2" xfId="20783" xr:uid="{00000000-0005-0000-0000-000033590000}"/>
    <cellStyle name="Normal 40 6" xfId="7501" xr:uid="{00000000-0005-0000-0000-000034590000}"/>
    <cellStyle name="Normal 40 6 2" xfId="18789" xr:uid="{00000000-0005-0000-0000-000035590000}"/>
    <cellStyle name="Normal 40 7" xfId="5507" xr:uid="{00000000-0005-0000-0000-000036590000}"/>
    <cellStyle name="Normal 40 7 2" xfId="16795" xr:uid="{00000000-0005-0000-0000-000037590000}"/>
    <cellStyle name="Normal 40 8" xfId="14801" xr:uid="{00000000-0005-0000-0000-000038590000}"/>
    <cellStyle name="Normal 40 9" xfId="13485" xr:uid="{00000000-0005-0000-0000-000039590000}"/>
    <cellStyle name="Normal 41" xfId="3274" xr:uid="{00000000-0005-0000-0000-00003A590000}"/>
    <cellStyle name="Normal 41 10" xfId="33368" xr:uid="{35C486FB-E6D0-4D75-8515-30F4BA5B5647}"/>
    <cellStyle name="Normal 41 2" xfId="4509" xr:uid="{00000000-0005-0000-0000-00003B590000}"/>
    <cellStyle name="Normal 41 2 2" xfId="12488" xr:uid="{00000000-0005-0000-0000-00003C590000}"/>
    <cellStyle name="Normal 41 2 2 2" xfId="23776" xr:uid="{00000000-0005-0000-0000-00003D590000}"/>
    <cellStyle name="Normal 41 2 3" xfId="10494" xr:uid="{00000000-0005-0000-0000-00003E590000}"/>
    <cellStyle name="Normal 41 2 3 2" xfId="21782" xr:uid="{00000000-0005-0000-0000-00003F590000}"/>
    <cellStyle name="Normal 41 2 4" xfId="8500" xr:uid="{00000000-0005-0000-0000-000040590000}"/>
    <cellStyle name="Normal 41 2 4 2" xfId="19788" xr:uid="{00000000-0005-0000-0000-000041590000}"/>
    <cellStyle name="Normal 41 2 5" xfId="6506" xr:uid="{00000000-0005-0000-0000-000042590000}"/>
    <cellStyle name="Normal 41 2 5 2" xfId="17794" xr:uid="{00000000-0005-0000-0000-000043590000}"/>
    <cellStyle name="Normal 41 2 6" xfId="15800" xr:uid="{00000000-0005-0000-0000-000044590000}"/>
    <cellStyle name="Normal 41 3" xfId="11491" xr:uid="{00000000-0005-0000-0000-000045590000}"/>
    <cellStyle name="Normal 41 3 2" xfId="22779" xr:uid="{00000000-0005-0000-0000-000046590000}"/>
    <cellStyle name="Normal 41 4" xfId="9497" xr:uid="{00000000-0005-0000-0000-000047590000}"/>
    <cellStyle name="Normal 41 4 2" xfId="20785" xr:uid="{00000000-0005-0000-0000-000048590000}"/>
    <cellStyle name="Normal 41 5" xfId="7503" xr:uid="{00000000-0005-0000-0000-000049590000}"/>
    <cellStyle name="Normal 41 5 2" xfId="18791" xr:uid="{00000000-0005-0000-0000-00004A590000}"/>
    <cellStyle name="Normal 41 6" xfId="5509" xr:uid="{00000000-0005-0000-0000-00004B590000}"/>
    <cellStyle name="Normal 41 6 2" xfId="16797" xr:uid="{00000000-0005-0000-0000-00004C590000}"/>
    <cellStyle name="Normal 41 7" xfId="14803" xr:uid="{00000000-0005-0000-0000-00004D590000}"/>
    <cellStyle name="Normal 41 8" xfId="13487" xr:uid="{00000000-0005-0000-0000-00004E590000}"/>
    <cellStyle name="Normal 41 9" xfId="24490" xr:uid="{00000000-0005-0000-0000-00004F590000}"/>
    <cellStyle name="Normal 41 9 2" xfId="27180" xr:uid="{00000000-0005-0000-0000-000050590000}"/>
    <cellStyle name="Normal 42" xfId="3275" xr:uid="{00000000-0005-0000-0000-000051590000}"/>
    <cellStyle name="Normal 42 2" xfId="4510" xr:uid="{00000000-0005-0000-0000-000052590000}"/>
    <cellStyle name="Normal 42 2 2" xfId="12489" xr:uid="{00000000-0005-0000-0000-000053590000}"/>
    <cellStyle name="Normal 42 2 2 2" xfId="23777" xr:uid="{00000000-0005-0000-0000-000054590000}"/>
    <cellStyle name="Normal 42 2 3" xfId="10495" xr:uid="{00000000-0005-0000-0000-000055590000}"/>
    <cellStyle name="Normal 42 2 3 2" xfId="21783" xr:uid="{00000000-0005-0000-0000-000056590000}"/>
    <cellStyle name="Normal 42 2 4" xfId="8501" xr:uid="{00000000-0005-0000-0000-000057590000}"/>
    <cellStyle name="Normal 42 2 4 2" xfId="19789" xr:uid="{00000000-0005-0000-0000-000058590000}"/>
    <cellStyle name="Normal 42 2 5" xfId="6507" xr:uid="{00000000-0005-0000-0000-000059590000}"/>
    <cellStyle name="Normal 42 2 5 2" xfId="17795" xr:uid="{00000000-0005-0000-0000-00005A590000}"/>
    <cellStyle name="Normal 42 2 6" xfId="15801" xr:uid="{00000000-0005-0000-0000-00005B590000}"/>
    <cellStyle name="Normal 42 3" xfId="11492" xr:uid="{00000000-0005-0000-0000-00005C590000}"/>
    <cellStyle name="Normal 42 3 2" xfId="22780" xr:uid="{00000000-0005-0000-0000-00005D590000}"/>
    <cellStyle name="Normal 42 4" xfId="9498" xr:uid="{00000000-0005-0000-0000-00005E590000}"/>
    <cellStyle name="Normal 42 4 2" xfId="20786" xr:uid="{00000000-0005-0000-0000-00005F590000}"/>
    <cellStyle name="Normal 42 5" xfId="7504" xr:uid="{00000000-0005-0000-0000-000060590000}"/>
    <cellStyle name="Normal 42 5 2" xfId="18792" xr:uid="{00000000-0005-0000-0000-000061590000}"/>
    <cellStyle name="Normal 42 6" xfId="5510" xr:uid="{00000000-0005-0000-0000-000062590000}"/>
    <cellStyle name="Normal 42 6 2" xfId="16798" xr:uid="{00000000-0005-0000-0000-000063590000}"/>
    <cellStyle name="Normal 42 7" xfId="14804" xr:uid="{00000000-0005-0000-0000-000064590000}"/>
    <cellStyle name="Normal 42 8" xfId="13488" xr:uid="{00000000-0005-0000-0000-000065590000}"/>
    <cellStyle name="Normal 42 9" xfId="24506" xr:uid="{00000000-0005-0000-0000-000066590000}"/>
    <cellStyle name="Normal 42 9 2" xfId="27192" xr:uid="{00000000-0005-0000-0000-000067590000}"/>
    <cellStyle name="Normal 43" xfId="3276" xr:uid="{00000000-0005-0000-0000-000068590000}"/>
    <cellStyle name="Normal 43 2" xfId="4511" xr:uid="{00000000-0005-0000-0000-000069590000}"/>
    <cellStyle name="Normal 43 2 2" xfId="12490" xr:uid="{00000000-0005-0000-0000-00006A590000}"/>
    <cellStyle name="Normal 43 2 2 2" xfId="23778" xr:uid="{00000000-0005-0000-0000-00006B590000}"/>
    <cellStyle name="Normal 43 2 3" xfId="10496" xr:uid="{00000000-0005-0000-0000-00006C590000}"/>
    <cellStyle name="Normal 43 2 3 2" xfId="21784" xr:uid="{00000000-0005-0000-0000-00006D590000}"/>
    <cellStyle name="Normal 43 2 4" xfId="8502" xr:uid="{00000000-0005-0000-0000-00006E590000}"/>
    <cellStyle name="Normal 43 2 4 2" xfId="19790" xr:uid="{00000000-0005-0000-0000-00006F590000}"/>
    <cellStyle name="Normal 43 2 5" xfId="6508" xr:uid="{00000000-0005-0000-0000-000070590000}"/>
    <cellStyle name="Normal 43 2 5 2" xfId="17796" xr:uid="{00000000-0005-0000-0000-000071590000}"/>
    <cellStyle name="Normal 43 2 6" xfId="15802" xr:uid="{00000000-0005-0000-0000-000072590000}"/>
    <cellStyle name="Normal 43 3" xfId="11493" xr:uid="{00000000-0005-0000-0000-000073590000}"/>
    <cellStyle name="Normal 43 3 2" xfId="22781" xr:uid="{00000000-0005-0000-0000-000074590000}"/>
    <cellStyle name="Normal 43 4" xfId="9499" xr:uid="{00000000-0005-0000-0000-000075590000}"/>
    <cellStyle name="Normal 43 4 2" xfId="20787" xr:uid="{00000000-0005-0000-0000-000076590000}"/>
    <cellStyle name="Normal 43 5" xfId="7505" xr:uid="{00000000-0005-0000-0000-000077590000}"/>
    <cellStyle name="Normal 43 5 2" xfId="18793" xr:uid="{00000000-0005-0000-0000-000078590000}"/>
    <cellStyle name="Normal 43 6" xfId="5511" xr:uid="{00000000-0005-0000-0000-000079590000}"/>
    <cellStyle name="Normal 43 6 2" xfId="16799" xr:uid="{00000000-0005-0000-0000-00007A590000}"/>
    <cellStyle name="Normal 43 7" xfId="14805" xr:uid="{00000000-0005-0000-0000-00007B590000}"/>
    <cellStyle name="Normal 43 8" xfId="13489" xr:uid="{00000000-0005-0000-0000-00007C590000}"/>
    <cellStyle name="Normal 43 9" xfId="24511" xr:uid="{00000000-0005-0000-0000-00007D590000}"/>
    <cellStyle name="Normal 43 9 2" xfId="27197" xr:uid="{00000000-0005-0000-0000-00007E590000}"/>
    <cellStyle name="Normal 44" xfId="3277" xr:uid="{00000000-0005-0000-0000-00007F590000}"/>
    <cellStyle name="Normal 44 2" xfId="4512" xr:uid="{00000000-0005-0000-0000-000080590000}"/>
    <cellStyle name="Normal 44 2 2" xfId="12491" xr:uid="{00000000-0005-0000-0000-000081590000}"/>
    <cellStyle name="Normal 44 2 2 2" xfId="23779" xr:uid="{00000000-0005-0000-0000-000082590000}"/>
    <cellStyle name="Normal 44 2 3" xfId="10497" xr:uid="{00000000-0005-0000-0000-000083590000}"/>
    <cellStyle name="Normal 44 2 3 2" xfId="21785" xr:uid="{00000000-0005-0000-0000-000084590000}"/>
    <cellStyle name="Normal 44 2 4" xfId="8503" xr:uid="{00000000-0005-0000-0000-000085590000}"/>
    <cellStyle name="Normal 44 2 4 2" xfId="19791" xr:uid="{00000000-0005-0000-0000-000086590000}"/>
    <cellStyle name="Normal 44 2 5" xfId="6509" xr:uid="{00000000-0005-0000-0000-000087590000}"/>
    <cellStyle name="Normal 44 2 5 2" xfId="17797" xr:uid="{00000000-0005-0000-0000-000088590000}"/>
    <cellStyle name="Normal 44 2 6" xfId="15803" xr:uid="{00000000-0005-0000-0000-000089590000}"/>
    <cellStyle name="Normal 44 3" xfId="11494" xr:uid="{00000000-0005-0000-0000-00008A590000}"/>
    <cellStyle name="Normal 44 3 2" xfId="22782" xr:uid="{00000000-0005-0000-0000-00008B590000}"/>
    <cellStyle name="Normal 44 4" xfId="9500" xr:uid="{00000000-0005-0000-0000-00008C590000}"/>
    <cellStyle name="Normal 44 4 2" xfId="20788" xr:uid="{00000000-0005-0000-0000-00008D590000}"/>
    <cellStyle name="Normal 44 5" xfId="7506" xr:uid="{00000000-0005-0000-0000-00008E590000}"/>
    <cellStyle name="Normal 44 5 2" xfId="18794" xr:uid="{00000000-0005-0000-0000-00008F590000}"/>
    <cellStyle name="Normal 44 6" xfId="5512" xr:uid="{00000000-0005-0000-0000-000090590000}"/>
    <cellStyle name="Normal 44 6 2" xfId="16800" xr:uid="{00000000-0005-0000-0000-000091590000}"/>
    <cellStyle name="Normal 44 7" xfId="14806" xr:uid="{00000000-0005-0000-0000-000092590000}"/>
    <cellStyle name="Normal 44 8" xfId="13490" xr:uid="{00000000-0005-0000-0000-000093590000}"/>
    <cellStyle name="Normal 45" xfId="3278" xr:uid="{00000000-0005-0000-0000-000094590000}"/>
    <cellStyle name="Normal 45 2" xfId="4513" xr:uid="{00000000-0005-0000-0000-000095590000}"/>
    <cellStyle name="Normal 45 2 2" xfId="12492" xr:uid="{00000000-0005-0000-0000-000096590000}"/>
    <cellStyle name="Normal 45 2 2 2" xfId="23780" xr:uid="{00000000-0005-0000-0000-000097590000}"/>
    <cellStyle name="Normal 45 2 3" xfId="10498" xr:uid="{00000000-0005-0000-0000-000098590000}"/>
    <cellStyle name="Normal 45 2 3 2" xfId="21786" xr:uid="{00000000-0005-0000-0000-000099590000}"/>
    <cellStyle name="Normal 45 2 4" xfId="8504" xr:uid="{00000000-0005-0000-0000-00009A590000}"/>
    <cellStyle name="Normal 45 2 4 2" xfId="19792" xr:uid="{00000000-0005-0000-0000-00009B590000}"/>
    <cellStyle name="Normal 45 2 5" xfId="6510" xr:uid="{00000000-0005-0000-0000-00009C590000}"/>
    <cellStyle name="Normal 45 2 5 2" xfId="17798" xr:uid="{00000000-0005-0000-0000-00009D590000}"/>
    <cellStyle name="Normal 45 2 6" xfId="15804" xr:uid="{00000000-0005-0000-0000-00009E590000}"/>
    <cellStyle name="Normal 45 3" xfId="11495" xr:uid="{00000000-0005-0000-0000-00009F590000}"/>
    <cellStyle name="Normal 45 3 2" xfId="22783" xr:uid="{00000000-0005-0000-0000-0000A0590000}"/>
    <cellStyle name="Normal 45 4" xfId="9501" xr:uid="{00000000-0005-0000-0000-0000A1590000}"/>
    <cellStyle name="Normal 45 4 2" xfId="20789" xr:uid="{00000000-0005-0000-0000-0000A2590000}"/>
    <cellStyle name="Normal 45 5" xfId="7507" xr:uid="{00000000-0005-0000-0000-0000A3590000}"/>
    <cellStyle name="Normal 45 5 2" xfId="18795" xr:uid="{00000000-0005-0000-0000-0000A4590000}"/>
    <cellStyle name="Normal 45 6" xfId="5513" xr:uid="{00000000-0005-0000-0000-0000A5590000}"/>
    <cellStyle name="Normal 45 6 2" xfId="16801" xr:uid="{00000000-0005-0000-0000-0000A6590000}"/>
    <cellStyle name="Normal 45 7" xfId="14807" xr:uid="{00000000-0005-0000-0000-0000A7590000}"/>
    <cellStyle name="Normal 45 8" xfId="13491" xr:uid="{00000000-0005-0000-0000-0000A8590000}"/>
    <cellStyle name="Normal 46" xfId="3279" xr:uid="{00000000-0005-0000-0000-0000A9590000}"/>
    <cellStyle name="Normal 46 2" xfId="4514" xr:uid="{00000000-0005-0000-0000-0000AA590000}"/>
    <cellStyle name="Normal 46 2 2" xfId="12493" xr:uid="{00000000-0005-0000-0000-0000AB590000}"/>
    <cellStyle name="Normal 46 2 2 2" xfId="23781" xr:uid="{00000000-0005-0000-0000-0000AC590000}"/>
    <cellStyle name="Normal 46 2 3" xfId="10499" xr:uid="{00000000-0005-0000-0000-0000AD590000}"/>
    <cellStyle name="Normal 46 2 3 2" xfId="21787" xr:uid="{00000000-0005-0000-0000-0000AE590000}"/>
    <cellStyle name="Normal 46 2 4" xfId="8505" xr:uid="{00000000-0005-0000-0000-0000AF590000}"/>
    <cellStyle name="Normal 46 2 4 2" xfId="19793" xr:uid="{00000000-0005-0000-0000-0000B0590000}"/>
    <cellStyle name="Normal 46 2 5" xfId="6511" xr:uid="{00000000-0005-0000-0000-0000B1590000}"/>
    <cellStyle name="Normal 46 2 5 2" xfId="17799" xr:uid="{00000000-0005-0000-0000-0000B2590000}"/>
    <cellStyle name="Normal 46 2 6" xfId="15805" xr:uid="{00000000-0005-0000-0000-0000B3590000}"/>
    <cellStyle name="Normal 46 3" xfId="11496" xr:uid="{00000000-0005-0000-0000-0000B4590000}"/>
    <cellStyle name="Normal 46 3 2" xfId="22784" xr:uid="{00000000-0005-0000-0000-0000B5590000}"/>
    <cellStyle name="Normal 46 4" xfId="9502" xr:uid="{00000000-0005-0000-0000-0000B6590000}"/>
    <cellStyle name="Normal 46 4 2" xfId="20790" xr:uid="{00000000-0005-0000-0000-0000B7590000}"/>
    <cellStyle name="Normal 46 5" xfId="7508" xr:uid="{00000000-0005-0000-0000-0000B8590000}"/>
    <cellStyle name="Normal 46 5 2" xfId="18796" xr:uid="{00000000-0005-0000-0000-0000B9590000}"/>
    <cellStyle name="Normal 46 6" xfId="5514" xr:uid="{00000000-0005-0000-0000-0000BA590000}"/>
    <cellStyle name="Normal 46 6 2" xfId="16802" xr:uid="{00000000-0005-0000-0000-0000BB590000}"/>
    <cellStyle name="Normal 46 7" xfId="14808" xr:uid="{00000000-0005-0000-0000-0000BC590000}"/>
    <cellStyle name="Normal 46 8" xfId="13492" xr:uid="{00000000-0005-0000-0000-0000BD590000}"/>
    <cellStyle name="Normal 47" xfId="3280" xr:uid="{00000000-0005-0000-0000-0000BE590000}"/>
    <cellStyle name="Normal 47 2" xfId="4515" xr:uid="{00000000-0005-0000-0000-0000BF590000}"/>
    <cellStyle name="Normal 47 2 2" xfId="12494" xr:uid="{00000000-0005-0000-0000-0000C0590000}"/>
    <cellStyle name="Normal 47 2 2 2" xfId="23782" xr:uid="{00000000-0005-0000-0000-0000C1590000}"/>
    <cellStyle name="Normal 47 2 3" xfId="10500" xr:uid="{00000000-0005-0000-0000-0000C2590000}"/>
    <cellStyle name="Normal 47 2 3 2" xfId="21788" xr:uid="{00000000-0005-0000-0000-0000C3590000}"/>
    <cellStyle name="Normal 47 2 4" xfId="8506" xr:uid="{00000000-0005-0000-0000-0000C4590000}"/>
    <cellStyle name="Normal 47 2 4 2" xfId="19794" xr:uid="{00000000-0005-0000-0000-0000C5590000}"/>
    <cellStyle name="Normal 47 2 5" xfId="6512" xr:uid="{00000000-0005-0000-0000-0000C6590000}"/>
    <cellStyle name="Normal 47 2 5 2" xfId="17800" xr:uid="{00000000-0005-0000-0000-0000C7590000}"/>
    <cellStyle name="Normal 47 2 6" xfId="15806" xr:uid="{00000000-0005-0000-0000-0000C8590000}"/>
    <cellStyle name="Normal 47 3" xfId="11497" xr:uid="{00000000-0005-0000-0000-0000C9590000}"/>
    <cellStyle name="Normal 47 3 2" xfId="22785" xr:uid="{00000000-0005-0000-0000-0000CA590000}"/>
    <cellStyle name="Normal 47 4" xfId="9503" xr:uid="{00000000-0005-0000-0000-0000CB590000}"/>
    <cellStyle name="Normal 47 4 2" xfId="20791" xr:uid="{00000000-0005-0000-0000-0000CC590000}"/>
    <cellStyle name="Normal 47 5" xfId="7509" xr:uid="{00000000-0005-0000-0000-0000CD590000}"/>
    <cellStyle name="Normal 47 5 2" xfId="18797" xr:uid="{00000000-0005-0000-0000-0000CE590000}"/>
    <cellStyle name="Normal 47 6" xfId="5515" xr:uid="{00000000-0005-0000-0000-0000CF590000}"/>
    <cellStyle name="Normal 47 6 2" xfId="16803" xr:uid="{00000000-0005-0000-0000-0000D0590000}"/>
    <cellStyle name="Normal 47 7" xfId="14809" xr:uid="{00000000-0005-0000-0000-0000D1590000}"/>
    <cellStyle name="Normal 47 8" xfId="13493" xr:uid="{00000000-0005-0000-0000-0000D2590000}"/>
    <cellStyle name="Normal 48" xfId="3281" xr:uid="{00000000-0005-0000-0000-0000D3590000}"/>
    <cellStyle name="Normal 48 2" xfId="4516" xr:uid="{00000000-0005-0000-0000-0000D4590000}"/>
    <cellStyle name="Normal 48 2 2" xfId="12495" xr:uid="{00000000-0005-0000-0000-0000D5590000}"/>
    <cellStyle name="Normal 48 2 2 2" xfId="23783" xr:uid="{00000000-0005-0000-0000-0000D6590000}"/>
    <cellStyle name="Normal 48 2 3" xfId="10501" xr:uid="{00000000-0005-0000-0000-0000D7590000}"/>
    <cellStyle name="Normal 48 2 3 2" xfId="21789" xr:uid="{00000000-0005-0000-0000-0000D8590000}"/>
    <cellStyle name="Normal 48 2 4" xfId="8507" xr:uid="{00000000-0005-0000-0000-0000D9590000}"/>
    <cellStyle name="Normal 48 2 4 2" xfId="19795" xr:uid="{00000000-0005-0000-0000-0000DA590000}"/>
    <cellStyle name="Normal 48 2 5" xfId="6513" xr:uid="{00000000-0005-0000-0000-0000DB590000}"/>
    <cellStyle name="Normal 48 2 5 2" xfId="17801" xr:uid="{00000000-0005-0000-0000-0000DC590000}"/>
    <cellStyle name="Normal 48 2 6" xfId="15807" xr:uid="{00000000-0005-0000-0000-0000DD590000}"/>
    <cellStyle name="Normal 48 3" xfId="11498" xr:uid="{00000000-0005-0000-0000-0000DE590000}"/>
    <cellStyle name="Normal 48 3 2" xfId="22786" xr:uid="{00000000-0005-0000-0000-0000DF590000}"/>
    <cellStyle name="Normal 48 4" xfId="9504" xr:uid="{00000000-0005-0000-0000-0000E0590000}"/>
    <cellStyle name="Normal 48 4 2" xfId="20792" xr:uid="{00000000-0005-0000-0000-0000E1590000}"/>
    <cellStyle name="Normal 48 5" xfId="7510" xr:uid="{00000000-0005-0000-0000-0000E2590000}"/>
    <cellStyle name="Normal 48 5 2" xfId="18798" xr:uid="{00000000-0005-0000-0000-0000E3590000}"/>
    <cellStyle name="Normal 48 6" xfId="5516" xr:uid="{00000000-0005-0000-0000-0000E4590000}"/>
    <cellStyle name="Normal 48 6 2" xfId="16804" xr:uid="{00000000-0005-0000-0000-0000E5590000}"/>
    <cellStyle name="Normal 48 7" xfId="14810" xr:uid="{00000000-0005-0000-0000-0000E6590000}"/>
    <cellStyle name="Normal 48 8" xfId="13494" xr:uid="{00000000-0005-0000-0000-0000E7590000}"/>
    <cellStyle name="Normal 49" xfId="3282" xr:uid="{00000000-0005-0000-0000-0000E8590000}"/>
    <cellStyle name="Normal 49 2" xfId="4517" xr:uid="{00000000-0005-0000-0000-0000E9590000}"/>
    <cellStyle name="Normal 49 2 2" xfId="12496" xr:uid="{00000000-0005-0000-0000-0000EA590000}"/>
    <cellStyle name="Normal 49 2 2 2" xfId="23784" xr:uid="{00000000-0005-0000-0000-0000EB590000}"/>
    <cellStyle name="Normal 49 2 3" xfId="10502" xr:uid="{00000000-0005-0000-0000-0000EC590000}"/>
    <cellStyle name="Normal 49 2 3 2" xfId="21790" xr:uid="{00000000-0005-0000-0000-0000ED590000}"/>
    <cellStyle name="Normal 49 2 4" xfId="8508" xr:uid="{00000000-0005-0000-0000-0000EE590000}"/>
    <cellStyle name="Normal 49 2 4 2" xfId="19796" xr:uid="{00000000-0005-0000-0000-0000EF590000}"/>
    <cellStyle name="Normal 49 2 5" xfId="6514" xr:uid="{00000000-0005-0000-0000-0000F0590000}"/>
    <cellStyle name="Normal 49 2 5 2" xfId="17802" xr:uid="{00000000-0005-0000-0000-0000F1590000}"/>
    <cellStyle name="Normal 49 2 6" xfId="15808" xr:uid="{00000000-0005-0000-0000-0000F2590000}"/>
    <cellStyle name="Normal 49 3" xfId="11499" xr:uid="{00000000-0005-0000-0000-0000F3590000}"/>
    <cellStyle name="Normal 49 3 2" xfId="22787" xr:uid="{00000000-0005-0000-0000-0000F4590000}"/>
    <cellStyle name="Normal 49 4" xfId="9505" xr:uid="{00000000-0005-0000-0000-0000F5590000}"/>
    <cellStyle name="Normal 49 4 2" xfId="20793" xr:uid="{00000000-0005-0000-0000-0000F6590000}"/>
    <cellStyle name="Normal 49 5" xfId="7511" xr:uid="{00000000-0005-0000-0000-0000F7590000}"/>
    <cellStyle name="Normal 49 5 2" xfId="18799" xr:uid="{00000000-0005-0000-0000-0000F8590000}"/>
    <cellStyle name="Normal 49 6" xfId="5517" xr:uid="{00000000-0005-0000-0000-0000F9590000}"/>
    <cellStyle name="Normal 49 6 2" xfId="16805" xr:uid="{00000000-0005-0000-0000-0000FA590000}"/>
    <cellStyle name="Normal 49 7" xfId="14811" xr:uid="{00000000-0005-0000-0000-0000FB590000}"/>
    <cellStyle name="Normal 49 8" xfId="13495" xr:uid="{00000000-0005-0000-0000-0000FC590000}"/>
    <cellStyle name="Normal 5" xfId="56" xr:uid="{00000000-0005-0000-0000-0000FD590000}"/>
    <cellStyle name="Normal 5 10" xfId="13496" xr:uid="{00000000-0005-0000-0000-0000FE590000}"/>
    <cellStyle name="Normal 5 10 2" xfId="29104" xr:uid="{00000000-0005-0000-0000-0000FF590000}"/>
    <cellStyle name="Normal 5 10 3" xfId="28804" xr:uid="{00000000-0005-0000-0000-0000005A0000}"/>
    <cellStyle name="Normal 5 11" xfId="24154" xr:uid="{00000000-0005-0000-0000-0000015A0000}"/>
    <cellStyle name="Normal 5 11 2" xfId="29105" xr:uid="{00000000-0005-0000-0000-0000025A0000}"/>
    <cellStyle name="Normal 5 11 3" xfId="28805" xr:uid="{00000000-0005-0000-0000-0000035A0000}"/>
    <cellStyle name="Normal 5 12" xfId="24723" xr:uid="{00000000-0005-0000-0000-0000045A0000}"/>
    <cellStyle name="Normal 5 12 2" xfId="29106" xr:uid="{00000000-0005-0000-0000-0000055A0000}"/>
    <cellStyle name="Normal 5 12 3" xfId="28806" xr:uid="{00000000-0005-0000-0000-0000065A0000}"/>
    <cellStyle name="Normal 5 13" xfId="25039" xr:uid="{00000000-0005-0000-0000-0000075A0000}"/>
    <cellStyle name="Normal 5 13 2" xfId="29107" xr:uid="{00000000-0005-0000-0000-0000085A0000}"/>
    <cellStyle name="Normal 5 13 3" xfId="28807" xr:uid="{00000000-0005-0000-0000-0000095A0000}"/>
    <cellStyle name="Normal 5 14" xfId="25773" xr:uid="{00000000-0005-0000-0000-00000A5A0000}"/>
    <cellStyle name="Normal 5 15" xfId="29165" xr:uid="{00000000-0005-0000-0000-00000B5A0000}"/>
    <cellStyle name="Normal 5 2" xfId="203" xr:uid="{00000000-0005-0000-0000-00000C5A0000}"/>
    <cellStyle name="Normal 5 2 10" xfId="25787" xr:uid="{00000000-0005-0000-0000-00000D5A0000}"/>
    <cellStyle name="Normal 5 2 2" xfId="661" xr:uid="{00000000-0005-0000-0000-00000E5A0000}"/>
    <cellStyle name="Normal 5 2 2 2" xfId="12497" xr:uid="{00000000-0005-0000-0000-00000F5A0000}"/>
    <cellStyle name="Normal 5 2 2 2 2" xfId="23785" xr:uid="{00000000-0005-0000-0000-0000105A0000}"/>
    <cellStyle name="Normal 5 2 2 2 3" xfId="24428" xr:uid="{00000000-0005-0000-0000-0000115A0000}"/>
    <cellStyle name="Normal 5 2 2 2 4" xfId="24872" xr:uid="{00000000-0005-0000-0000-0000125A0000}"/>
    <cellStyle name="Normal 5 2 2 2 5" xfId="25235" xr:uid="{00000000-0005-0000-0000-0000135A0000}"/>
    <cellStyle name="Normal 5 2 2 3" xfId="24156" xr:uid="{00000000-0005-0000-0000-0000145A0000}"/>
    <cellStyle name="Normal 5 2 2 4" xfId="24725" xr:uid="{00000000-0005-0000-0000-0000155A0000}"/>
    <cellStyle name="Normal 5 2 2 5" xfId="25041" xr:uid="{00000000-0005-0000-0000-0000165A0000}"/>
    <cellStyle name="Normal 5 2 2 6" xfId="29108" xr:uid="{00000000-0005-0000-0000-0000175A0000}"/>
    <cellStyle name="Normal 5 2 3" xfId="10503" xr:uid="{00000000-0005-0000-0000-0000185A0000}"/>
    <cellStyle name="Normal 5 2 3 2" xfId="21791" xr:uid="{00000000-0005-0000-0000-0000195A0000}"/>
    <cellStyle name="Normal 5 2 3 3" xfId="24427" xr:uid="{00000000-0005-0000-0000-00001A5A0000}"/>
    <cellStyle name="Normal 5 2 3 4" xfId="24871" xr:uid="{00000000-0005-0000-0000-00001B5A0000}"/>
    <cellStyle name="Normal 5 2 3 5" xfId="25234" xr:uid="{00000000-0005-0000-0000-00001C5A0000}"/>
    <cellStyle name="Normal 5 2 4" xfId="8509" xr:uid="{00000000-0005-0000-0000-00001D5A0000}"/>
    <cellStyle name="Normal 5 2 4 2" xfId="19797" xr:uid="{00000000-0005-0000-0000-00001E5A0000}"/>
    <cellStyle name="Normal 5 2 5" xfId="6515" xr:uid="{00000000-0005-0000-0000-00001F5A0000}"/>
    <cellStyle name="Normal 5 2 5 2" xfId="17803" xr:uid="{00000000-0005-0000-0000-0000205A0000}"/>
    <cellStyle name="Normal 5 2 6" xfId="4518" xr:uid="{00000000-0005-0000-0000-0000215A0000}"/>
    <cellStyle name="Normal 5 2 6 2" xfId="15809" xr:uid="{00000000-0005-0000-0000-0000225A0000}"/>
    <cellStyle name="Normal 5 2 7" xfId="24155" xr:uid="{00000000-0005-0000-0000-0000235A0000}"/>
    <cellStyle name="Normal 5 2 8" xfId="24724" xr:uid="{00000000-0005-0000-0000-0000245A0000}"/>
    <cellStyle name="Normal 5 2 9" xfId="25040" xr:uid="{00000000-0005-0000-0000-0000255A0000}"/>
    <cellStyle name="Normal 5 3" xfId="357" xr:uid="{00000000-0005-0000-0000-0000265A0000}"/>
    <cellStyle name="Normal 5 3 2" xfId="440" xr:uid="{00000000-0005-0000-0000-0000275A0000}"/>
    <cellStyle name="Normal 5 3 2 2" xfId="526" xr:uid="{00000000-0005-0000-0000-0000285A0000}"/>
    <cellStyle name="Normal 5 3 2 2 2" xfId="13889" xr:uid="{00000000-0005-0000-0000-0000295A0000}"/>
    <cellStyle name="Normal 5 3 2 2 3" xfId="24430" xr:uid="{00000000-0005-0000-0000-00002A5A0000}"/>
    <cellStyle name="Normal 5 3 2 2 4" xfId="24874" xr:uid="{00000000-0005-0000-0000-00002B5A0000}"/>
    <cellStyle name="Normal 5 3 2 2 5" xfId="25237" xr:uid="{00000000-0005-0000-0000-00002C5A0000}"/>
    <cellStyle name="Normal 5 3 2 3" xfId="13812" xr:uid="{00000000-0005-0000-0000-00002D5A0000}"/>
    <cellStyle name="Normal 5 3 2 4" xfId="24158" xr:uid="{00000000-0005-0000-0000-00002E5A0000}"/>
    <cellStyle name="Normal 5 3 2 5" xfId="24727" xr:uid="{00000000-0005-0000-0000-00002F5A0000}"/>
    <cellStyle name="Normal 5 3 2 6" xfId="25043" xr:uid="{00000000-0005-0000-0000-0000305A0000}"/>
    <cellStyle name="Normal 5 3 2 7" xfId="29109" xr:uid="{00000000-0005-0000-0000-0000315A0000}"/>
    <cellStyle name="Normal 5 3 3" xfId="489" xr:uid="{00000000-0005-0000-0000-0000325A0000}"/>
    <cellStyle name="Normal 5 3 3 2" xfId="13852" xr:uid="{00000000-0005-0000-0000-0000335A0000}"/>
    <cellStyle name="Normal 5 3 3 3" xfId="24429" xr:uid="{00000000-0005-0000-0000-0000345A0000}"/>
    <cellStyle name="Normal 5 3 3 4" xfId="24873" xr:uid="{00000000-0005-0000-0000-0000355A0000}"/>
    <cellStyle name="Normal 5 3 3 5" xfId="25236" xr:uid="{00000000-0005-0000-0000-0000365A0000}"/>
    <cellStyle name="Normal 5 3 4" xfId="11500" xr:uid="{00000000-0005-0000-0000-0000375A0000}"/>
    <cellStyle name="Normal 5 3 4 2" xfId="22788" xr:uid="{00000000-0005-0000-0000-0000385A0000}"/>
    <cellStyle name="Normal 5 3 5" xfId="13767" xr:uid="{00000000-0005-0000-0000-0000395A0000}"/>
    <cellStyle name="Normal 5 3 6" xfId="24157" xr:uid="{00000000-0005-0000-0000-00003A5A0000}"/>
    <cellStyle name="Normal 5 3 7" xfId="24726" xr:uid="{00000000-0005-0000-0000-00003B5A0000}"/>
    <cellStyle name="Normal 5 3 8" xfId="25042" xr:uid="{00000000-0005-0000-0000-00003C5A0000}"/>
    <cellStyle name="Normal 5 3 9" xfId="28808" xr:uid="{00000000-0005-0000-0000-00003D5A0000}"/>
    <cellStyle name="Normal 5 4" xfId="408" xr:uid="{00000000-0005-0000-0000-00003E5A0000}"/>
    <cellStyle name="Normal 5 4 2" xfId="508" xr:uid="{00000000-0005-0000-0000-00003F5A0000}"/>
    <cellStyle name="Normal 5 4 2 2" xfId="13871" xr:uid="{00000000-0005-0000-0000-0000405A0000}"/>
    <cellStyle name="Normal 5 4 2 3" xfId="24431" xr:uid="{00000000-0005-0000-0000-0000415A0000}"/>
    <cellStyle name="Normal 5 4 2 4" xfId="24875" xr:uid="{00000000-0005-0000-0000-0000425A0000}"/>
    <cellStyle name="Normal 5 4 2 5" xfId="25238" xr:uid="{00000000-0005-0000-0000-0000435A0000}"/>
    <cellStyle name="Normal 5 4 2 6" xfId="29110" xr:uid="{00000000-0005-0000-0000-0000445A0000}"/>
    <cellStyle name="Normal 5 4 3" xfId="9506" xr:uid="{00000000-0005-0000-0000-0000455A0000}"/>
    <cellStyle name="Normal 5 4 3 2" xfId="20794" xr:uid="{00000000-0005-0000-0000-0000465A0000}"/>
    <cellStyle name="Normal 5 4 4" xfId="13790" xr:uid="{00000000-0005-0000-0000-0000475A0000}"/>
    <cellStyle name="Normal 5 4 5" xfId="24159" xr:uid="{00000000-0005-0000-0000-0000485A0000}"/>
    <cellStyle name="Normal 5 4 6" xfId="24728" xr:uid="{00000000-0005-0000-0000-0000495A0000}"/>
    <cellStyle name="Normal 5 4 7" xfId="25044" xr:uid="{00000000-0005-0000-0000-00004A5A0000}"/>
    <cellStyle name="Normal 5 4 8" xfId="28809" xr:uid="{00000000-0005-0000-0000-00004B5A0000}"/>
    <cellStyle name="Normal 5 5" xfId="392" xr:uid="{00000000-0005-0000-0000-00004C5A0000}"/>
    <cellStyle name="Normal 5 5 2" xfId="7512" xr:uid="{00000000-0005-0000-0000-00004D5A0000}"/>
    <cellStyle name="Normal 5 5 2 2" xfId="18800" xr:uid="{00000000-0005-0000-0000-00004E5A0000}"/>
    <cellStyle name="Normal 5 5 2 3" xfId="29111" xr:uid="{00000000-0005-0000-0000-00004F5A0000}"/>
    <cellStyle name="Normal 5 5 3" xfId="24426" xr:uid="{00000000-0005-0000-0000-0000505A0000}"/>
    <cellStyle name="Normal 5 5 4" xfId="24870" xr:uid="{00000000-0005-0000-0000-0000515A0000}"/>
    <cellStyle name="Normal 5 5 5" xfId="25233" xr:uid="{00000000-0005-0000-0000-0000525A0000}"/>
    <cellStyle name="Normal 5 5 6" xfId="26002" xr:uid="{00000000-0005-0000-0000-0000535A0000}"/>
    <cellStyle name="Normal 5 6" xfId="474" xr:uid="{00000000-0005-0000-0000-0000545A0000}"/>
    <cellStyle name="Normal 5 6 2" xfId="5518" xr:uid="{00000000-0005-0000-0000-0000555A0000}"/>
    <cellStyle name="Normal 5 6 2 2" xfId="16806" xr:uid="{00000000-0005-0000-0000-0000565A0000}"/>
    <cellStyle name="Normal 5 6 2 3" xfId="29112" xr:uid="{00000000-0005-0000-0000-0000575A0000}"/>
    <cellStyle name="Normal 5 6 3" xfId="13837" xr:uid="{00000000-0005-0000-0000-0000585A0000}"/>
    <cellStyle name="Normal 5 6 4" xfId="28810" xr:uid="{00000000-0005-0000-0000-0000595A0000}"/>
    <cellStyle name="Normal 5 7" xfId="660" xr:uid="{00000000-0005-0000-0000-00005A5A0000}"/>
    <cellStyle name="Normal 5 7 2" xfId="13913" xr:uid="{00000000-0005-0000-0000-00005B5A0000}"/>
    <cellStyle name="Normal 5 7 2 2" xfId="29113" xr:uid="{00000000-0005-0000-0000-00005C5A0000}"/>
    <cellStyle name="Normal 5 7 3" xfId="28811" xr:uid="{00000000-0005-0000-0000-00005D5A0000}"/>
    <cellStyle name="Normal 5 8" xfId="3283" xr:uid="{00000000-0005-0000-0000-00005E5A0000}"/>
    <cellStyle name="Normal 5 8 2" xfId="14812" xr:uid="{00000000-0005-0000-0000-00005F5A0000}"/>
    <cellStyle name="Normal 5 8 2 2" xfId="29114" xr:uid="{00000000-0005-0000-0000-0000605A0000}"/>
    <cellStyle name="Normal 5 8 3" xfId="28812" xr:uid="{00000000-0005-0000-0000-0000615A0000}"/>
    <cellStyle name="Normal 5 9" xfId="13614" xr:uid="{00000000-0005-0000-0000-0000625A0000}"/>
    <cellStyle name="Normal 5 9 2" xfId="29115" xr:uid="{00000000-0005-0000-0000-0000635A0000}"/>
    <cellStyle name="Normal 5 9 3" xfId="28813" xr:uid="{00000000-0005-0000-0000-0000645A0000}"/>
    <cellStyle name="Normal 50" xfId="3284" xr:uid="{00000000-0005-0000-0000-0000655A0000}"/>
    <cellStyle name="Normal 50 2" xfId="3285" xr:uid="{00000000-0005-0000-0000-0000665A0000}"/>
    <cellStyle name="Normal 50 2 2" xfId="4520" xr:uid="{00000000-0005-0000-0000-0000675A0000}"/>
    <cellStyle name="Normal 50 2 2 2" xfId="12499" xr:uid="{00000000-0005-0000-0000-0000685A0000}"/>
    <cellStyle name="Normal 50 2 2 2 2" xfId="23787" xr:uid="{00000000-0005-0000-0000-0000695A0000}"/>
    <cellStyle name="Normal 50 2 2 3" xfId="10505" xr:uid="{00000000-0005-0000-0000-00006A5A0000}"/>
    <cellStyle name="Normal 50 2 2 3 2" xfId="21793" xr:uid="{00000000-0005-0000-0000-00006B5A0000}"/>
    <cellStyle name="Normal 50 2 2 4" xfId="8511" xr:uid="{00000000-0005-0000-0000-00006C5A0000}"/>
    <cellStyle name="Normal 50 2 2 4 2" xfId="19799" xr:uid="{00000000-0005-0000-0000-00006D5A0000}"/>
    <cellStyle name="Normal 50 2 2 5" xfId="6517" xr:uid="{00000000-0005-0000-0000-00006E5A0000}"/>
    <cellStyle name="Normal 50 2 2 5 2" xfId="17805" xr:uid="{00000000-0005-0000-0000-00006F5A0000}"/>
    <cellStyle name="Normal 50 2 2 6" xfId="15811" xr:uid="{00000000-0005-0000-0000-0000705A0000}"/>
    <cellStyle name="Normal 50 2 3" xfId="11502" xr:uid="{00000000-0005-0000-0000-0000715A0000}"/>
    <cellStyle name="Normal 50 2 3 2" xfId="22790" xr:uid="{00000000-0005-0000-0000-0000725A0000}"/>
    <cellStyle name="Normal 50 2 4" xfId="9508" xr:uid="{00000000-0005-0000-0000-0000735A0000}"/>
    <cellStyle name="Normal 50 2 4 2" xfId="20796" xr:uid="{00000000-0005-0000-0000-0000745A0000}"/>
    <cellStyle name="Normal 50 2 5" xfId="7514" xr:uid="{00000000-0005-0000-0000-0000755A0000}"/>
    <cellStyle name="Normal 50 2 5 2" xfId="18802" xr:uid="{00000000-0005-0000-0000-0000765A0000}"/>
    <cellStyle name="Normal 50 2 6" xfId="5520" xr:uid="{00000000-0005-0000-0000-0000775A0000}"/>
    <cellStyle name="Normal 50 2 6 2" xfId="16808" xr:uid="{00000000-0005-0000-0000-0000785A0000}"/>
    <cellStyle name="Normal 50 2 7" xfId="14814" xr:uid="{00000000-0005-0000-0000-0000795A0000}"/>
    <cellStyle name="Normal 50 2 8" xfId="13498" xr:uid="{00000000-0005-0000-0000-00007A5A0000}"/>
    <cellStyle name="Normal 50 3" xfId="4519" xr:uid="{00000000-0005-0000-0000-00007B5A0000}"/>
    <cellStyle name="Normal 50 3 2" xfId="12498" xr:uid="{00000000-0005-0000-0000-00007C5A0000}"/>
    <cellStyle name="Normal 50 3 2 2" xfId="23786" xr:uid="{00000000-0005-0000-0000-00007D5A0000}"/>
    <cellStyle name="Normal 50 3 3" xfId="10504" xr:uid="{00000000-0005-0000-0000-00007E5A0000}"/>
    <cellStyle name="Normal 50 3 3 2" xfId="21792" xr:uid="{00000000-0005-0000-0000-00007F5A0000}"/>
    <cellStyle name="Normal 50 3 4" xfId="8510" xr:uid="{00000000-0005-0000-0000-0000805A0000}"/>
    <cellStyle name="Normal 50 3 4 2" xfId="19798" xr:uid="{00000000-0005-0000-0000-0000815A0000}"/>
    <cellStyle name="Normal 50 3 5" xfId="6516" xr:uid="{00000000-0005-0000-0000-0000825A0000}"/>
    <cellStyle name="Normal 50 3 5 2" xfId="17804" xr:uid="{00000000-0005-0000-0000-0000835A0000}"/>
    <cellStyle name="Normal 50 3 6" xfId="15810" xr:uid="{00000000-0005-0000-0000-0000845A0000}"/>
    <cellStyle name="Normal 50 4" xfId="11501" xr:uid="{00000000-0005-0000-0000-0000855A0000}"/>
    <cellStyle name="Normal 50 4 2" xfId="22789" xr:uid="{00000000-0005-0000-0000-0000865A0000}"/>
    <cellStyle name="Normal 50 5" xfId="9507" xr:uid="{00000000-0005-0000-0000-0000875A0000}"/>
    <cellStyle name="Normal 50 5 2" xfId="20795" xr:uid="{00000000-0005-0000-0000-0000885A0000}"/>
    <cellStyle name="Normal 50 6" xfId="7513" xr:uid="{00000000-0005-0000-0000-0000895A0000}"/>
    <cellStyle name="Normal 50 6 2" xfId="18801" xr:uid="{00000000-0005-0000-0000-00008A5A0000}"/>
    <cellStyle name="Normal 50 7" xfId="5519" xr:uid="{00000000-0005-0000-0000-00008B5A0000}"/>
    <cellStyle name="Normal 50 7 2" xfId="16807" xr:uid="{00000000-0005-0000-0000-00008C5A0000}"/>
    <cellStyle name="Normal 50 8" xfId="14813" xr:uid="{00000000-0005-0000-0000-00008D5A0000}"/>
    <cellStyle name="Normal 50 9" xfId="13497" xr:uid="{00000000-0005-0000-0000-00008E5A0000}"/>
    <cellStyle name="Normal 51" xfId="3286" xr:uid="{00000000-0005-0000-0000-00008F5A0000}"/>
    <cellStyle name="Normal 51 2" xfId="4521" xr:uid="{00000000-0005-0000-0000-0000905A0000}"/>
    <cellStyle name="Normal 51 2 2" xfId="12500" xr:uid="{00000000-0005-0000-0000-0000915A0000}"/>
    <cellStyle name="Normal 51 2 2 2" xfId="23788" xr:uid="{00000000-0005-0000-0000-0000925A0000}"/>
    <cellStyle name="Normal 51 2 3" xfId="10506" xr:uid="{00000000-0005-0000-0000-0000935A0000}"/>
    <cellStyle name="Normal 51 2 3 2" xfId="21794" xr:uid="{00000000-0005-0000-0000-0000945A0000}"/>
    <cellStyle name="Normal 51 2 4" xfId="8512" xr:uid="{00000000-0005-0000-0000-0000955A0000}"/>
    <cellStyle name="Normal 51 2 4 2" xfId="19800" xr:uid="{00000000-0005-0000-0000-0000965A0000}"/>
    <cellStyle name="Normal 51 2 5" xfId="6518" xr:uid="{00000000-0005-0000-0000-0000975A0000}"/>
    <cellStyle name="Normal 51 2 5 2" xfId="17806" xr:uid="{00000000-0005-0000-0000-0000985A0000}"/>
    <cellStyle name="Normal 51 2 6" xfId="15812" xr:uid="{00000000-0005-0000-0000-0000995A0000}"/>
    <cellStyle name="Normal 51 3" xfId="11503" xr:uid="{00000000-0005-0000-0000-00009A5A0000}"/>
    <cellStyle name="Normal 51 3 2" xfId="22791" xr:uid="{00000000-0005-0000-0000-00009B5A0000}"/>
    <cellStyle name="Normal 51 4" xfId="9509" xr:uid="{00000000-0005-0000-0000-00009C5A0000}"/>
    <cellStyle name="Normal 51 4 2" xfId="20797" xr:uid="{00000000-0005-0000-0000-00009D5A0000}"/>
    <cellStyle name="Normal 51 5" xfId="7515" xr:uid="{00000000-0005-0000-0000-00009E5A0000}"/>
    <cellStyle name="Normal 51 5 2" xfId="18803" xr:uid="{00000000-0005-0000-0000-00009F5A0000}"/>
    <cellStyle name="Normal 51 6" xfId="5521" xr:uid="{00000000-0005-0000-0000-0000A05A0000}"/>
    <cellStyle name="Normal 51 6 2" xfId="16809" xr:uid="{00000000-0005-0000-0000-0000A15A0000}"/>
    <cellStyle name="Normal 51 7" xfId="14815" xr:uid="{00000000-0005-0000-0000-0000A25A0000}"/>
    <cellStyle name="Normal 51 8" xfId="13499" xr:uid="{00000000-0005-0000-0000-0000A35A0000}"/>
    <cellStyle name="Normal 52" xfId="3287" xr:uid="{00000000-0005-0000-0000-0000A45A0000}"/>
    <cellStyle name="Normal 52 2" xfId="4522" xr:uid="{00000000-0005-0000-0000-0000A55A0000}"/>
    <cellStyle name="Normal 52 2 2" xfId="12501" xr:uid="{00000000-0005-0000-0000-0000A65A0000}"/>
    <cellStyle name="Normal 52 2 2 2" xfId="23789" xr:uid="{00000000-0005-0000-0000-0000A75A0000}"/>
    <cellStyle name="Normal 52 2 3" xfId="10507" xr:uid="{00000000-0005-0000-0000-0000A85A0000}"/>
    <cellStyle name="Normal 52 2 3 2" xfId="21795" xr:uid="{00000000-0005-0000-0000-0000A95A0000}"/>
    <cellStyle name="Normal 52 2 4" xfId="8513" xr:uid="{00000000-0005-0000-0000-0000AA5A0000}"/>
    <cellStyle name="Normal 52 2 4 2" xfId="19801" xr:uid="{00000000-0005-0000-0000-0000AB5A0000}"/>
    <cellStyle name="Normal 52 2 5" xfId="6519" xr:uid="{00000000-0005-0000-0000-0000AC5A0000}"/>
    <cellStyle name="Normal 52 2 5 2" xfId="17807" xr:uid="{00000000-0005-0000-0000-0000AD5A0000}"/>
    <cellStyle name="Normal 52 2 6" xfId="15813" xr:uid="{00000000-0005-0000-0000-0000AE5A0000}"/>
    <cellStyle name="Normal 52 3" xfId="11504" xr:uid="{00000000-0005-0000-0000-0000AF5A0000}"/>
    <cellStyle name="Normal 52 3 2" xfId="22792" xr:uid="{00000000-0005-0000-0000-0000B05A0000}"/>
    <cellStyle name="Normal 52 4" xfId="9510" xr:uid="{00000000-0005-0000-0000-0000B15A0000}"/>
    <cellStyle name="Normal 52 4 2" xfId="20798" xr:uid="{00000000-0005-0000-0000-0000B25A0000}"/>
    <cellStyle name="Normal 52 5" xfId="7516" xr:uid="{00000000-0005-0000-0000-0000B35A0000}"/>
    <cellStyle name="Normal 52 5 2" xfId="18804" xr:uid="{00000000-0005-0000-0000-0000B45A0000}"/>
    <cellStyle name="Normal 52 6" xfId="5522" xr:uid="{00000000-0005-0000-0000-0000B55A0000}"/>
    <cellStyle name="Normal 52 6 2" xfId="16810" xr:uid="{00000000-0005-0000-0000-0000B65A0000}"/>
    <cellStyle name="Normal 52 7" xfId="14816" xr:uid="{00000000-0005-0000-0000-0000B75A0000}"/>
    <cellStyle name="Normal 52 8" xfId="13500" xr:uid="{00000000-0005-0000-0000-0000B85A0000}"/>
    <cellStyle name="Normal 53" xfId="3288" xr:uid="{00000000-0005-0000-0000-0000B95A0000}"/>
    <cellStyle name="Normal 53 2" xfId="4523" xr:uid="{00000000-0005-0000-0000-0000BA5A0000}"/>
    <cellStyle name="Normal 53 2 2" xfId="12502" xr:uid="{00000000-0005-0000-0000-0000BB5A0000}"/>
    <cellStyle name="Normal 53 2 2 2" xfId="23790" xr:uid="{00000000-0005-0000-0000-0000BC5A0000}"/>
    <cellStyle name="Normal 53 2 3" xfId="10508" xr:uid="{00000000-0005-0000-0000-0000BD5A0000}"/>
    <cellStyle name="Normal 53 2 3 2" xfId="21796" xr:uid="{00000000-0005-0000-0000-0000BE5A0000}"/>
    <cellStyle name="Normal 53 2 4" xfId="8514" xr:uid="{00000000-0005-0000-0000-0000BF5A0000}"/>
    <cellStyle name="Normal 53 2 4 2" xfId="19802" xr:uid="{00000000-0005-0000-0000-0000C05A0000}"/>
    <cellStyle name="Normal 53 2 5" xfId="6520" xr:uid="{00000000-0005-0000-0000-0000C15A0000}"/>
    <cellStyle name="Normal 53 2 5 2" xfId="17808" xr:uid="{00000000-0005-0000-0000-0000C25A0000}"/>
    <cellStyle name="Normal 53 2 6" xfId="15814" xr:uid="{00000000-0005-0000-0000-0000C35A0000}"/>
    <cellStyle name="Normal 53 3" xfId="11505" xr:uid="{00000000-0005-0000-0000-0000C45A0000}"/>
    <cellStyle name="Normal 53 3 2" xfId="22793" xr:uid="{00000000-0005-0000-0000-0000C55A0000}"/>
    <cellStyle name="Normal 53 4" xfId="9511" xr:uid="{00000000-0005-0000-0000-0000C65A0000}"/>
    <cellStyle name="Normal 53 4 2" xfId="20799" xr:uid="{00000000-0005-0000-0000-0000C75A0000}"/>
    <cellStyle name="Normal 53 5" xfId="7517" xr:uid="{00000000-0005-0000-0000-0000C85A0000}"/>
    <cellStyle name="Normal 53 5 2" xfId="18805" xr:uid="{00000000-0005-0000-0000-0000C95A0000}"/>
    <cellStyle name="Normal 53 6" xfId="5523" xr:uid="{00000000-0005-0000-0000-0000CA5A0000}"/>
    <cellStyle name="Normal 53 6 2" xfId="16811" xr:uid="{00000000-0005-0000-0000-0000CB5A0000}"/>
    <cellStyle name="Normal 53 7" xfId="14817" xr:uid="{00000000-0005-0000-0000-0000CC5A0000}"/>
    <cellStyle name="Normal 53 8" xfId="13501" xr:uid="{00000000-0005-0000-0000-0000CD5A0000}"/>
    <cellStyle name="Normal 54" xfId="3289" xr:uid="{00000000-0005-0000-0000-0000CE5A0000}"/>
    <cellStyle name="Normal 54 2" xfId="4524" xr:uid="{00000000-0005-0000-0000-0000CF5A0000}"/>
    <cellStyle name="Normal 54 2 2" xfId="12503" xr:uid="{00000000-0005-0000-0000-0000D05A0000}"/>
    <cellStyle name="Normal 54 2 2 2" xfId="23791" xr:uid="{00000000-0005-0000-0000-0000D15A0000}"/>
    <cellStyle name="Normal 54 2 3" xfId="10509" xr:uid="{00000000-0005-0000-0000-0000D25A0000}"/>
    <cellStyle name="Normal 54 2 3 2" xfId="21797" xr:uid="{00000000-0005-0000-0000-0000D35A0000}"/>
    <cellStyle name="Normal 54 2 4" xfId="8515" xr:uid="{00000000-0005-0000-0000-0000D45A0000}"/>
    <cellStyle name="Normal 54 2 4 2" xfId="19803" xr:uid="{00000000-0005-0000-0000-0000D55A0000}"/>
    <cellStyle name="Normal 54 2 5" xfId="6521" xr:uid="{00000000-0005-0000-0000-0000D65A0000}"/>
    <cellStyle name="Normal 54 2 5 2" xfId="17809" xr:uid="{00000000-0005-0000-0000-0000D75A0000}"/>
    <cellStyle name="Normal 54 2 6" xfId="15815" xr:uid="{00000000-0005-0000-0000-0000D85A0000}"/>
    <cellStyle name="Normal 54 3" xfId="11506" xr:uid="{00000000-0005-0000-0000-0000D95A0000}"/>
    <cellStyle name="Normal 54 3 2" xfId="22794" xr:uid="{00000000-0005-0000-0000-0000DA5A0000}"/>
    <cellStyle name="Normal 54 4" xfId="9512" xr:uid="{00000000-0005-0000-0000-0000DB5A0000}"/>
    <cellStyle name="Normal 54 4 2" xfId="20800" xr:uid="{00000000-0005-0000-0000-0000DC5A0000}"/>
    <cellStyle name="Normal 54 5" xfId="7518" xr:uid="{00000000-0005-0000-0000-0000DD5A0000}"/>
    <cellStyle name="Normal 54 5 2" xfId="18806" xr:uid="{00000000-0005-0000-0000-0000DE5A0000}"/>
    <cellStyle name="Normal 54 6" xfId="5524" xr:uid="{00000000-0005-0000-0000-0000DF5A0000}"/>
    <cellStyle name="Normal 54 6 2" xfId="16812" xr:uid="{00000000-0005-0000-0000-0000E05A0000}"/>
    <cellStyle name="Normal 54 7" xfId="14818" xr:uid="{00000000-0005-0000-0000-0000E15A0000}"/>
    <cellStyle name="Normal 54 8" xfId="13502" xr:uid="{00000000-0005-0000-0000-0000E25A0000}"/>
    <cellStyle name="Normal 55" xfId="3290" xr:uid="{00000000-0005-0000-0000-0000E35A0000}"/>
    <cellStyle name="Normal 55 2" xfId="4525" xr:uid="{00000000-0005-0000-0000-0000E45A0000}"/>
    <cellStyle name="Normal 55 2 2" xfId="12504" xr:uid="{00000000-0005-0000-0000-0000E55A0000}"/>
    <cellStyle name="Normal 55 2 2 2" xfId="23792" xr:uid="{00000000-0005-0000-0000-0000E65A0000}"/>
    <cellStyle name="Normal 55 2 3" xfId="10510" xr:uid="{00000000-0005-0000-0000-0000E75A0000}"/>
    <cellStyle name="Normal 55 2 3 2" xfId="21798" xr:uid="{00000000-0005-0000-0000-0000E85A0000}"/>
    <cellStyle name="Normal 55 2 4" xfId="8516" xr:uid="{00000000-0005-0000-0000-0000E95A0000}"/>
    <cellStyle name="Normal 55 2 4 2" xfId="19804" xr:uid="{00000000-0005-0000-0000-0000EA5A0000}"/>
    <cellStyle name="Normal 55 2 5" xfId="6522" xr:uid="{00000000-0005-0000-0000-0000EB5A0000}"/>
    <cellStyle name="Normal 55 2 5 2" xfId="17810" xr:uid="{00000000-0005-0000-0000-0000EC5A0000}"/>
    <cellStyle name="Normal 55 2 6" xfId="15816" xr:uid="{00000000-0005-0000-0000-0000ED5A0000}"/>
    <cellStyle name="Normal 55 3" xfId="11507" xr:uid="{00000000-0005-0000-0000-0000EE5A0000}"/>
    <cellStyle name="Normal 55 3 2" xfId="22795" xr:uid="{00000000-0005-0000-0000-0000EF5A0000}"/>
    <cellStyle name="Normal 55 4" xfId="9513" xr:uid="{00000000-0005-0000-0000-0000F05A0000}"/>
    <cellStyle name="Normal 55 4 2" xfId="20801" xr:uid="{00000000-0005-0000-0000-0000F15A0000}"/>
    <cellStyle name="Normal 55 5" xfId="7519" xr:uid="{00000000-0005-0000-0000-0000F25A0000}"/>
    <cellStyle name="Normal 55 5 2" xfId="18807" xr:uid="{00000000-0005-0000-0000-0000F35A0000}"/>
    <cellStyle name="Normal 55 6" xfId="5525" xr:uid="{00000000-0005-0000-0000-0000F45A0000}"/>
    <cellStyle name="Normal 55 6 2" xfId="16813" xr:uid="{00000000-0005-0000-0000-0000F55A0000}"/>
    <cellStyle name="Normal 55 7" xfId="14819" xr:uid="{00000000-0005-0000-0000-0000F65A0000}"/>
    <cellStyle name="Normal 55 8" xfId="13503" xr:uid="{00000000-0005-0000-0000-0000F75A0000}"/>
    <cellStyle name="Normal 56" xfId="3291" xr:uid="{00000000-0005-0000-0000-0000F85A0000}"/>
    <cellStyle name="Normal 56 2" xfId="4526" xr:uid="{00000000-0005-0000-0000-0000F95A0000}"/>
    <cellStyle name="Normal 56 2 2" xfId="12505" xr:uid="{00000000-0005-0000-0000-0000FA5A0000}"/>
    <cellStyle name="Normal 56 2 2 2" xfId="23793" xr:uid="{00000000-0005-0000-0000-0000FB5A0000}"/>
    <cellStyle name="Normal 56 2 3" xfId="10511" xr:uid="{00000000-0005-0000-0000-0000FC5A0000}"/>
    <cellStyle name="Normal 56 2 3 2" xfId="21799" xr:uid="{00000000-0005-0000-0000-0000FD5A0000}"/>
    <cellStyle name="Normal 56 2 4" xfId="8517" xr:uid="{00000000-0005-0000-0000-0000FE5A0000}"/>
    <cellStyle name="Normal 56 2 4 2" xfId="19805" xr:uid="{00000000-0005-0000-0000-0000FF5A0000}"/>
    <cellStyle name="Normal 56 2 5" xfId="6523" xr:uid="{00000000-0005-0000-0000-0000005B0000}"/>
    <cellStyle name="Normal 56 2 5 2" xfId="17811" xr:uid="{00000000-0005-0000-0000-0000015B0000}"/>
    <cellStyle name="Normal 56 2 6" xfId="15817" xr:uid="{00000000-0005-0000-0000-0000025B0000}"/>
    <cellStyle name="Normal 56 3" xfId="11508" xr:uid="{00000000-0005-0000-0000-0000035B0000}"/>
    <cellStyle name="Normal 56 3 2" xfId="22796" xr:uid="{00000000-0005-0000-0000-0000045B0000}"/>
    <cellStyle name="Normal 56 4" xfId="9514" xr:uid="{00000000-0005-0000-0000-0000055B0000}"/>
    <cellStyle name="Normal 56 4 2" xfId="20802" xr:uid="{00000000-0005-0000-0000-0000065B0000}"/>
    <cellStyle name="Normal 56 5" xfId="7520" xr:uid="{00000000-0005-0000-0000-0000075B0000}"/>
    <cellStyle name="Normal 56 5 2" xfId="18808" xr:uid="{00000000-0005-0000-0000-0000085B0000}"/>
    <cellStyle name="Normal 56 6" xfId="5526" xr:uid="{00000000-0005-0000-0000-0000095B0000}"/>
    <cellStyle name="Normal 56 6 2" xfId="16814" xr:uid="{00000000-0005-0000-0000-00000A5B0000}"/>
    <cellStyle name="Normal 56 7" xfId="14820" xr:uid="{00000000-0005-0000-0000-00000B5B0000}"/>
    <cellStyle name="Normal 56 8" xfId="13504" xr:uid="{00000000-0005-0000-0000-00000C5B0000}"/>
    <cellStyle name="Normal 57" xfId="3292" xr:uid="{00000000-0005-0000-0000-00000D5B0000}"/>
    <cellStyle name="Normal 57 2" xfId="4527" xr:uid="{00000000-0005-0000-0000-00000E5B0000}"/>
    <cellStyle name="Normal 57 2 2" xfId="12506" xr:uid="{00000000-0005-0000-0000-00000F5B0000}"/>
    <cellStyle name="Normal 57 2 2 2" xfId="23794" xr:uid="{00000000-0005-0000-0000-0000105B0000}"/>
    <cellStyle name="Normal 57 2 3" xfId="10512" xr:uid="{00000000-0005-0000-0000-0000115B0000}"/>
    <cellStyle name="Normal 57 2 3 2" xfId="21800" xr:uid="{00000000-0005-0000-0000-0000125B0000}"/>
    <cellStyle name="Normal 57 2 4" xfId="8518" xr:uid="{00000000-0005-0000-0000-0000135B0000}"/>
    <cellStyle name="Normal 57 2 4 2" xfId="19806" xr:uid="{00000000-0005-0000-0000-0000145B0000}"/>
    <cellStyle name="Normal 57 2 5" xfId="6524" xr:uid="{00000000-0005-0000-0000-0000155B0000}"/>
    <cellStyle name="Normal 57 2 5 2" xfId="17812" xr:uid="{00000000-0005-0000-0000-0000165B0000}"/>
    <cellStyle name="Normal 57 2 6" xfId="15818" xr:uid="{00000000-0005-0000-0000-0000175B0000}"/>
    <cellStyle name="Normal 57 3" xfId="11509" xr:uid="{00000000-0005-0000-0000-0000185B0000}"/>
    <cellStyle name="Normal 57 3 2" xfId="22797" xr:uid="{00000000-0005-0000-0000-0000195B0000}"/>
    <cellStyle name="Normal 57 4" xfId="9515" xr:uid="{00000000-0005-0000-0000-00001A5B0000}"/>
    <cellStyle name="Normal 57 4 2" xfId="20803" xr:uid="{00000000-0005-0000-0000-00001B5B0000}"/>
    <cellStyle name="Normal 57 5" xfId="7521" xr:uid="{00000000-0005-0000-0000-00001C5B0000}"/>
    <cellStyle name="Normal 57 5 2" xfId="18809" xr:uid="{00000000-0005-0000-0000-00001D5B0000}"/>
    <cellStyle name="Normal 57 6" xfId="5527" xr:uid="{00000000-0005-0000-0000-00001E5B0000}"/>
    <cellStyle name="Normal 57 6 2" xfId="16815" xr:uid="{00000000-0005-0000-0000-00001F5B0000}"/>
    <cellStyle name="Normal 57 7" xfId="14821" xr:uid="{00000000-0005-0000-0000-0000205B0000}"/>
    <cellStyle name="Normal 57 8" xfId="13505" xr:uid="{00000000-0005-0000-0000-0000215B0000}"/>
    <cellStyle name="Normal 58" xfId="3293" xr:uid="{00000000-0005-0000-0000-0000225B0000}"/>
    <cellStyle name="Normal 58 2" xfId="4528" xr:uid="{00000000-0005-0000-0000-0000235B0000}"/>
    <cellStyle name="Normal 58 2 2" xfId="12507" xr:uid="{00000000-0005-0000-0000-0000245B0000}"/>
    <cellStyle name="Normal 58 2 2 2" xfId="23795" xr:uid="{00000000-0005-0000-0000-0000255B0000}"/>
    <cellStyle name="Normal 58 2 3" xfId="10513" xr:uid="{00000000-0005-0000-0000-0000265B0000}"/>
    <cellStyle name="Normal 58 2 3 2" xfId="21801" xr:uid="{00000000-0005-0000-0000-0000275B0000}"/>
    <cellStyle name="Normal 58 2 4" xfId="8519" xr:uid="{00000000-0005-0000-0000-0000285B0000}"/>
    <cellStyle name="Normal 58 2 4 2" xfId="19807" xr:uid="{00000000-0005-0000-0000-0000295B0000}"/>
    <cellStyle name="Normal 58 2 5" xfId="6525" xr:uid="{00000000-0005-0000-0000-00002A5B0000}"/>
    <cellStyle name="Normal 58 2 5 2" xfId="17813" xr:uid="{00000000-0005-0000-0000-00002B5B0000}"/>
    <cellStyle name="Normal 58 2 6" xfId="15819" xr:uid="{00000000-0005-0000-0000-00002C5B0000}"/>
    <cellStyle name="Normal 58 3" xfId="11510" xr:uid="{00000000-0005-0000-0000-00002D5B0000}"/>
    <cellStyle name="Normal 58 3 2" xfId="22798" xr:uid="{00000000-0005-0000-0000-00002E5B0000}"/>
    <cellStyle name="Normal 58 4" xfId="9516" xr:uid="{00000000-0005-0000-0000-00002F5B0000}"/>
    <cellStyle name="Normal 58 4 2" xfId="20804" xr:uid="{00000000-0005-0000-0000-0000305B0000}"/>
    <cellStyle name="Normal 58 5" xfId="7522" xr:uid="{00000000-0005-0000-0000-0000315B0000}"/>
    <cellStyle name="Normal 58 5 2" xfId="18810" xr:uid="{00000000-0005-0000-0000-0000325B0000}"/>
    <cellStyle name="Normal 58 6" xfId="5528" xr:uid="{00000000-0005-0000-0000-0000335B0000}"/>
    <cellStyle name="Normal 58 6 2" xfId="16816" xr:uid="{00000000-0005-0000-0000-0000345B0000}"/>
    <cellStyle name="Normal 58 7" xfId="14822" xr:uid="{00000000-0005-0000-0000-0000355B0000}"/>
    <cellStyle name="Normal 58 8" xfId="13506" xr:uid="{00000000-0005-0000-0000-0000365B0000}"/>
    <cellStyle name="Normal 59" xfId="3294" xr:uid="{00000000-0005-0000-0000-0000375B0000}"/>
    <cellStyle name="Normal 59 2" xfId="4529" xr:uid="{00000000-0005-0000-0000-0000385B0000}"/>
    <cellStyle name="Normal 59 2 2" xfId="12508" xr:uid="{00000000-0005-0000-0000-0000395B0000}"/>
    <cellStyle name="Normal 59 2 2 2" xfId="23796" xr:uid="{00000000-0005-0000-0000-00003A5B0000}"/>
    <cellStyle name="Normal 59 2 3" xfId="10514" xr:uid="{00000000-0005-0000-0000-00003B5B0000}"/>
    <cellStyle name="Normal 59 2 3 2" xfId="21802" xr:uid="{00000000-0005-0000-0000-00003C5B0000}"/>
    <cellStyle name="Normal 59 2 4" xfId="8520" xr:uid="{00000000-0005-0000-0000-00003D5B0000}"/>
    <cellStyle name="Normal 59 2 4 2" xfId="19808" xr:uid="{00000000-0005-0000-0000-00003E5B0000}"/>
    <cellStyle name="Normal 59 2 5" xfId="6526" xr:uid="{00000000-0005-0000-0000-00003F5B0000}"/>
    <cellStyle name="Normal 59 2 5 2" xfId="17814" xr:uid="{00000000-0005-0000-0000-0000405B0000}"/>
    <cellStyle name="Normal 59 2 6" xfId="15820" xr:uid="{00000000-0005-0000-0000-0000415B0000}"/>
    <cellStyle name="Normal 59 3" xfId="11511" xr:uid="{00000000-0005-0000-0000-0000425B0000}"/>
    <cellStyle name="Normal 59 3 2" xfId="22799" xr:uid="{00000000-0005-0000-0000-0000435B0000}"/>
    <cellStyle name="Normal 59 4" xfId="9517" xr:uid="{00000000-0005-0000-0000-0000445B0000}"/>
    <cellStyle name="Normal 59 4 2" xfId="20805" xr:uid="{00000000-0005-0000-0000-0000455B0000}"/>
    <cellStyle name="Normal 59 5" xfId="7523" xr:uid="{00000000-0005-0000-0000-0000465B0000}"/>
    <cellStyle name="Normal 59 5 2" xfId="18811" xr:uid="{00000000-0005-0000-0000-0000475B0000}"/>
    <cellStyle name="Normal 59 6" xfId="5529" xr:uid="{00000000-0005-0000-0000-0000485B0000}"/>
    <cellStyle name="Normal 59 6 2" xfId="16817" xr:uid="{00000000-0005-0000-0000-0000495B0000}"/>
    <cellStyle name="Normal 59 7" xfId="14823" xr:uid="{00000000-0005-0000-0000-00004A5B0000}"/>
    <cellStyle name="Normal 59 8" xfId="13507" xr:uid="{00000000-0005-0000-0000-00004B5B0000}"/>
    <cellStyle name="Normal 6" xfId="57" xr:uid="{00000000-0005-0000-0000-00004C5B0000}"/>
    <cellStyle name="Normal 6 10" xfId="25774" xr:uid="{00000000-0005-0000-0000-00004D5B0000}"/>
    <cellStyle name="Normal 6 10 2" xfId="29116" xr:uid="{00000000-0005-0000-0000-00004E5B0000}"/>
    <cellStyle name="Normal 6 11" xfId="28814" xr:uid="{00000000-0005-0000-0000-00004F5B0000}"/>
    <cellStyle name="Normal 6 11 2" xfId="29117" xr:uid="{00000000-0005-0000-0000-0000505B0000}"/>
    <cellStyle name="Normal 6 12" xfId="28815" xr:uid="{00000000-0005-0000-0000-0000515B0000}"/>
    <cellStyle name="Normal 6 12 2" xfId="29118" xr:uid="{00000000-0005-0000-0000-0000525B0000}"/>
    <cellStyle name="Normal 6 13" xfId="28816" xr:uid="{00000000-0005-0000-0000-0000535B0000}"/>
    <cellStyle name="Normal 6 13 2" xfId="29119" xr:uid="{00000000-0005-0000-0000-0000545B0000}"/>
    <cellStyle name="Normal 6 14" xfId="29166" xr:uid="{00000000-0005-0000-0000-0000555B0000}"/>
    <cellStyle name="Normal 6 2" xfId="204" xr:uid="{00000000-0005-0000-0000-0000565B0000}"/>
    <cellStyle name="Normal 6 2 10" xfId="25046" xr:uid="{00000000-0005-0000-0000-0000575B0000}"/>
    <cellStyle name="Normal 6 2 11" xfId="25788" xr:uid="{00000000-0005-0000-0000-0000585B0000}"/>
    <cellStyle name="Normal 6 2 2" xfId="367" xr:uid="{00000000-0005-0000-0000-0000595B0000}"/>
    <cellStyle name="Normal 6 2 2 2" xfId="449" xr:uid="{00000000-0005-0000-0000-00005A5B0000}"/>
    <cellStyle name="Normal 6 2 2 2 2" xfId="535" xr:uid="{00000000-0005-0000-0000-00005B5B0000}"/>
    <cellStyle name="Normal 6 2 2 2 2 2" xfId="13898" xr:uid="{00000000-0005-0000-0000-00005C5B0000}"/>
    <cellStyle name="Normal 6 2 2 2 3" xfId="13821" xr:uid="{00000000-0005-0000-0000-00005D5B0000}"/>
    <cellStyle name="Normal 6 2 2 2 4" xfId="24434" xr:uid="{00000000-0005-0000-0000-00005E5B0000}"/>
    <cellStyle name="Normal 6 2 2 2 5" xfId="24878" xr:uid="{00000000-0005-0000-0000-00005F5B0000}"/>
    <cellStyle name="Normal 6 2 2 2 6" xfId="25241" xr:uid="{00000000-0005-0000-0000-0000605B0000}"/>
    <cellStyle name="Normal 6 2 2 3" xfId="498" xr:uid="{00000000-0005-0000-0000-0000615B0000}"/>
    <cellStyle name="Normal 6 2 2 3 2" xfId="13861" xr:uid="{00000000-0005-0000-0000-0000625B0000}"/>
    <cellStyle name="Normal 6 2 2 4" xfId="11512" xr:uid="{00000000-0005-0000-0000-0000635B0000}"/>
    <cellStyle name="Normal 6 2 2 4 2" xfId="22800" xr:uid="{00000000-0005-0000-0000-0000645B0000}"/>
    <cellStyle name="Normal 6 2 2 5" xfId="13777" xr:uid="{00000000-0005-0000-0000-0000655B0000}"/>
    <cellStyle name="Normal 6 2 2 6" xfId="24162" xr:uid="{00000000-0005-0000-0000-0000665B0000}"/>
    <cellStyle name="Normal 6 2 2 7" xfId="24731" xr:uid="{00000000-0005-0000-0000-0000675B0000}"/>
    <cellStyle name="Normal 6 2 2 8" xfId="25047" xr:uid="{00000000-0005-0000-0000-0000685B0000}"/>
    <cellStyle name="Normal 6 2 2 9" xfId="29120" xr:uid="{00000000-0005-0000-0000-0000695B0000}"/>
    <cellStyle name="Normal 6 2 3" xfId="429" xr:uid="{00000000-0005-0000-0000-00006A5B0000}"/>
    <cellStyle name="Normal 6 2 3 2" xfId="520" xr:uid="{00000000-0005-0000-0000-00006B5B0000}"/>
    <cellStyle name="Normal 6 2 3 2 2" xfId="13883" xr:uid="{00000000-0005-0000-0000-00006C5B0000}"/>
    <cellStyle name="Normal 6 2 3 3" xfId="9518" xr:uid="{00000000-0005-0000-0000-00006D5B0000}"/>
    <cellStyle name="Normal 6 2 3 3 2" xfId="20806" xr:uid="{00000000-0005-0000-0000-00006E5B0000}"/>
    <cellStyle name="Normal 6 2 3 4" xfId="13806" xr:uid="{00000000-0005-0000-0000-00006F5B0000}"/>
    <cellStyle name="Normal 6 2 3 5" xfId="24433" xr:uid="{00000000-0005-0000-0000-0000705B0000}"/>
    <cellStyle name="Normal 6 2 3 6" xfId="24877" xr:uid="{00000000-0005-0000-0000-0000715B0000}"/>
    <cellStyle name="Normal 6 2 3 7" xfId="25240" xr:uid="{00000000-0005-0000-0000-0000725B0000}"/>
    <cellStyle name="Normal 6 2 4" xfId="483" xr:uid="{00000000-0005-0000-0000-0000735B0000}"/>
    <cellStyle name="Normal 6 2 4 2" xfId="7524" xr:uid="{00000000-0005-0000-0000-0000745B0000}"/>
    <cellStyle name="Normal 6 2 4 2 2" xfId="18812" xr:uid="{00000000-0005-0000-0000-0000755B0000}"/>
    <cellStyle name="Normal 6 2 4 3" xfId="13846" xr:uid="{00000000-0005-0000-0000-0000765B0000}"/>
    <cellStyle name="Normal 6 2 5" xfId="5530" xr:uid="{00000000-0005-0000-0000-0000775B0000}"/>
    <cellStyle name="Normal 6 2 5 2" xfId="16818" xr:uid="{00000000-0005-0000-0000-0000785B0000}"/>
    <cellStyle name="Normal 6 2 6" xfId="3296" xr:uid="{00000000-0005-0000-0000-0000795B0000}"/>
    <cellStyle name="Normal 6 2 6 2" xfId="14824" xr:uid="{00000000-0005-0000-0000-00007A5B0000}"/>
    <cellStyle name="Normal 6 2 7" xfId="13703" xr:uid="{00000000-0005-0000-0000-00007B5B0000}"/>
    <cellStyle name="Normal 6 2 8" xfId="24161" xr:uid="{00000000-0005-0000-0000-00007C5B0000}"/>
    <cellStyle name="Normal 6 2 9" xfId="24730" xr:uid="{00000000-0005-0000-0000-00007D5B0000}"/>
    <cellStyle name="Normal 6 3" xfId="4530" xr:uid="{00000000-0005-0000-0000-00007E5B0000}"/>
    <cellStyle name="Normal 6 3 10" xfId="28817" xr:uid="{00000000-0005-0000-0000-00007F5B0000}"/>
    <cellStyle name="Normal 6 3 2" xfId="12509" xr:uid="{00000000-0005-0000-0000-0000805B0000}"/>
    <cellStyle name="Normal 6 3 2 2" xfId="23797" xr:uid="{00000000-0005-0000-0000-0000815B0000}"/>
    <cellStyle name="Normal 6 3 2 2 2" xfId="24436" xr:uid="{00000000-0005-0000-0000-0000825B0000}"/>
    <cellStyle name="Normal 6 3 2 2 3" xfId="24880" xr:uid="{00000000-0005-0000-0000-0000835B0000}"/>
    <cellStyle name="Normal 6 3 2 2 4" xfId="25243" xr:uid="{00000000-0005-0000-0000-0000845B0000}"/>
    <cellStyle name="Normal 6 3 2 3" xfId="24164" xr:uid="{00000000-0005-0000-0000-0000855B0000}"/>
    <cellStyle name="Normal 6 3 2 4" xfId="24733" xr:uid="{00000000-0005-0000-0000-0000865B0000}"/>
    <cellStyle name="Normal 6 3 2 5" xfId="25049" xr:uid="{00000000-0005-0000-0000-0000875B0000}"/>
    <cellStyle name="Normal 6 3 2 6" xfId="29121" xr:uid="{00000000-0005-0000-0000-0000885B0000}"/>
    <cellStyle name="Normal 6 3 3" xfId="10515" xr:uid="{00000000-0005-0000-0000-0000895B0000}"/>
    <cellStyle name="Normal 6 3 3 2" xfId="21803" xr:uid="{00000000-0005-0000-0000-00008A5B0000}"/>
    <cellStyle name="Normal 6 3 3 3" xfId="24435" xr:uid="{00000000-0005-0000-0000-00008B5B0000}"/>
    <cellStyle name="Normal 6 3 3 4" xfId="24879" xr:uid="{00000000-0005-0000-0000-00008C5B0000}"/>
    <cellStyle name="Normal 6 3 3 5" xfId="25242" xr:uid="{00000000-0005-0000-0000-00008D5B0000}"/>
    <cellStyle name="Normal 6 3 4" xfId="8521" xr:uid="{00000000-0005-0000-0000-00008E5B0000}"/>
    <cellStyle name="Normal 6 3 4 2" xfId="19809" xr:uid="{00000000-0005-0000-0000-00008F5B0000}"/>
    <cellStyle name="Normal 6 3 5" xfId="6527" xr:uid="{00000000-0005-0000-0000-0000905B0000}"/>
    <cellStyle name="Normal 6 3 5 2" xfId="17815" xr:uid="{00000000-0005-0000-0000-0000915B0000}"/>
    <cellStyle name="Normal 6 3 6" xfId="15821" xr:uid="{00000000-0005-0000-0000-0000925B0000}"/>
    <cellStyle name="Normal 6 3 7" xfId="24163" xr:uid="{00000000-0005-0000-0000-0000935B0000}"/>
    <cellStyle name="Normal 6 3 8" xfId="24732" xr:uid="{00000000-0005-0000-0000-0000945B0000}"/>
    <cellStyle name="Normal 6 3 9" xfId="25048" xr:uid="{00000000-0005-0000-0000-0000955B0000}"/>
    <cellStyle name="Normal 6 4" xfId="3295" xr:uid="{00000000-0005-0000-0000-0000965B0000}"/>
    <cellStyle name="Normal 6 4 2" xfId="24437" xr:uid="{00000000-0005-0000-0000-0000975B0000}"/>
    <cellStyle name="Normal 6 4 2 2" xfId="24881" xr:uid="{00000000-0005-0000-0000-0000985B0000}"/>
    <cellStyle name="Normal 6 4 2 3" xfId="25244" xr:uid="{00000000-0005-0000-0000-0000995B0000}"/>
    <cellStyle name="Normal 6 4 2 4" xfId="29122" xr:uid="{00000000-0005-0000-0000-00009A5B0000}"/>
    <cellStyle name="Normal 6 4 3" xfId="24165" xr:uid="{00000000-0005-0000-0000-00009B5B0000}"/>
    <cellStyle name="Normal 6 4 4" xfId="24734" xr:uid="{00000000-0005-0000-0000-00009C5B0000}"/>
    <cellStyle name="Normal 6 4 5" xfId="25050" xr:uid="{00000000-0005-0000-0000-00009D5B0000}"/>
    <cellStyle name="Normal 6 4 6" xfId="26181" xr:uid="{00000000-0005-0000-0000-00009E5B0000}"/>
    <cellStyle name="Normal 6 5" xfId="13615" xr:uid="{00000000-0005-0000-0000-00009F5B0000}"/>
    <cellStyle name="Normal 6 5 2" xfId="24432" xr:uid="{00000000-0005-0000-0000-0000A05B0000}"/>
    <cellStyle name="Normal 6 5 2 2" xfId="29123" xr:uid="{00000000-0005-0000-0000-0000A15B0000}"/>
    <cellStyle name="Normal 6 5 3" xfId="24876" xr:uid="{00000000-0005-0000-0000-0000A25B0000}"/>
    <cellStyle name="Normal 6 5 4" xfId="25239" xr:uid="{00000000-0005-0000-0000-0000A35B0000}"/>
    <cellStyle name="Normal 6 5 5" xfId="28818" xr:uid="{00000000-0005-0000-0000-0000A45B0000}"/>
    <cellStyle name="Normal 6 6" xfId="13508" xr:uid="{00000000-0005-0000-0000-0000A55B0000}"/>
    <cellStyle name="Normal 6 6 2" xfId="29124" xr:uid="{00000000-0005-0000-0000-0000A65B0000}"/>
    <cellStyle name="Normal 6 6 3" xfId="28819" xr:uid="{00000000-0005-0000-0000-0000A75B0000}"/>
    <cellStyle name="Normal 6 7" xfId="24160" xr:uid="{00000000-0005-0000-0000-0000A85B0000}"/>
    <cellStyle name="Normal 6 7 2" xfId="29125" xr:uid="{00000000-0005-0000-0000-0000A95B0000}"/>
    <cellStyle name="Normal 6 7 3" xfId="28820" xr:uid="{00000000-0005-0000-0000-0000AA5B0000}"/>
    <cellStyle name="Normal 6 8" xfId="24729" xr:uid="{00000000-0005-0000-0000-0000AB5B0000}"/>
    <cellStyle name="Normal 6 8 2" xfId="29126" xr:uid="{00000000-0005-0000-0000-0000AC5B0000}"/>
    <cellStyle name="Normal 6 8 3" xfId="28821" xr:uid="{00000000-0005-0000-0000-0000AD5B0000}"/>
    <cellStyle name="Normal 6 9" xfId="25045" xr:uid="{00000000-0005-0000-0000-0000AE5B0000}"/>
    <cellStyle name="Normal 6 9 2" xfId="29127" xr:uid="{00000000-0005-0000-0000-0000AF5B0000}"/>
    <cellStyle name="Normal 6 9 3" xfId="28822" xr:uid="{00000000-0005-0000-0000-0000B05B0000}"/>
    <cellStyle name="Normal 60" xfId="3297" xr:uid="{00000000-0005-0000-0000-0000B15B0000}"/>
    <cellStyle name="Normal 60 2" xfId="3298" xr:uid="{00000000-0005-0000-0000-0000B25B0000}"/>
    <cellStyle name="Normal 60 2 2" xfId="4532" xr:uid="{00000000-0005-0000-0000-0000B35B0000}"/>
    <cellStyle name="Normal 60 2 2 2" xfId="12511" xr:uid="{00000000-0005-0000-0000-0000B45B0000}"/>
    <cellStyle name="Normal 60 2 2 2 2" xfId="23799" xr:uid="{00000000-0005-0000-0000-0000B55B0000}"/>
    <cellStyle name="Normal 60 2 2 3" xfId="10517" xr:uid="{00000000-0005-0000-0000-0000B65B0000}"/>
    <cellStyle name="Normal 60 2 2 3 2" xfId="21805" xr:uid="{00000000-0005-0000-0000-0000B75B0000}"/>
    <cellStyle name="Normal 60 2 2 4" xfId="8523" xr:uid="{00000000-0005-0000-0000-0000B85B0000}"/>
    <cellStyle name="Normal 60 2 2 4 2" xfId="19811" xr:uid="{00000000-0005-0000-0000-0000B95B0000}"/>
    <cellStyle name="Normal 60 2 2 5" xfId="6529" xr:uid="{00000000-0005-0000-0000-0000BA5B0000}"/>
    <cellStyle name="Normal 60 2 2 5 2" xfId="17817" xr:uid="{00000000-0005-0000-0000-0000BB5B0000}"/>
    <cellStyle name="Normal 60 2 2 6" xfId="15823" xr:uid="{00000000-0005-0000-0000-0000BC5B0000}"/>
    <cellStyle name="Normal 60 2 3" xfId="11514" xr:uid="{00000000-0005-0000-0000-0000BD5B0000}"/>
    <cellStyle name="Normal 60 2 3 2" xfId="22802" xr:uid="{00000000-0005-0000-0000-0000BE5B0000}"/>
    <cellStyle name="Normal 60 2 4" xfId="9520" xr:uid="{00000000-0005-0000-0000-0000BF5B0000}"/>
    <cellStyle name="Normal 60 2 4 2" xfId="20808" xr:uid="{00000000-0005-0000-0000-0000C05B0000}"/>
    <cellStyle name="Normal 60 2 5" xfId="7526" xr:uid="{00000000-0005-0000-0000-0000C15B0000}"/>
    <cellStyle name="Normal 60 2 5 2" xfId="18814" xr:uid="{00000000-0005-0000-0000-0000C25B0000}"/>
    <cellStyle name="Normal 60 2 6" xfId="5532" xr:uid="{00000000-0005-0000-0000-0000C35B0000}"/>
    <cellStyle name="Normal 60 2 6 2" xfId="16820" xr:uid="{00000000-0005-0000-0000-0000C45B0000}"/>
    <cellStyle name="Normal 60 2 7" xfId="14826" xr:uid="{00000000-0005-0000-0000-0000C55B0000}"/>
    <cellStyle name="Normal 60 2 8" xfId="13510" xr:uid="{00000000-0005-0000-0000-0000C65B0000}"/>
    <cellStyle name="Normal 60 3" xfId="4531" xr:uid="{00000000-0005-0000-0000-0000C75B0000}"/>
    <cellStyle name="Normal 60 3 2" xfId="12510" xr:uid="{00000000-0005-0000-0000-0000C85B0000}"/>
    <cellStyle name="Normal 60 3 2 2" xfId="23798" xr:uid="{00000000-0005-0000-0000-0000C95B0000}"/>
    <cellStyle name="Normal 60 3 3" xfId="10516" xr:uid="{00000000-0005-0000-0000-0000CA5B0000}"/>
    <cellStyle name="Normal 60 3 3 2" xfId="21804" xr:uid="{00000000-0005-0000-0000-0000CB5B0000}"/>
    <cellStyle name="Normal 60 3 4" xfId="8522" xr:uid="{00000000-0005-0000-0000-0000CC5B0000}"/>
    <cellStyle name="Normal 60 3 4 2" xfId="19810" xr:uid="{00000000-0005-0000-0000-0000CD5B0000}"/>
    <cellStyle name="Normal 60 3 5" xfId="6528" xr:uid="{00000000-0005-0000-0000-0000CE5B0000}"/>
    <cellStyle name="Normal 60 3 5 2" xfId="17816" xr:uid="{00000000-0005-0000-0000-0000CF5B0000}"/>
    <cellStyle name="Normal 60 3 6" xfId="15822" xr:uid="{00000000-0005-0000-0000-0000D05B0000}"/>
    <cellStyle name="Normal 60 4" xfId="11513" xr:uid="{00000000-0005-0000-0000-0000D15B0000}"/>
    <cellStyle name="Normal 60 4 2" xfId="22801" xr:uid="{00000000-0005-0000-0000-0000D25B0000}"/>
    <cellStyle name="Normal 60 5" xfId="9519" xr:uid="{00000000-0005-0000-0000-0000D35B0000}"/>
    <cellStyle name="Normal 60 5 2" xfId="20807" xr:uid="{00000000-0005-0000-0000-0000D45B0000}"/>
    <cellStyle name="Normal 60 6" xfId="7525" xr:uid="{00000000-0005-0000-0000-0000D55B0000}"/>
    <cellStyle name="Normal 60 6 2" xfId="18813" xr:uid="{00000000-0005-0000-0000-0000D65B0000}"/>
    <cellStyle name="Normal 60 7" xfId="5531" xr:uid="{00000000-0005-0000-0000-0000D75B0000}"/>
    <cellStyle name="Normal 60 7 2" xfId="16819" xr:uid="{00000000-0005-0000-0000-0000D85B0000}"/>
    <cellStyle name="Normal 60 8" xfId="14825" xr:uid="{00000000-0005-0000-0000-0000D95B0000}"/>
    <cellStyle name="Normal 60 9" xfId="13509" xr:uid="{00000000-0005-0000-0000-0000DA5B0000}"/>
    <cellStyle name="Normal 604" xfId="25794" xr:uid="{00000000-0005-0000-0000-0000DB5B0000}"/>
    <cellStyle name="Normal 61" xfId="3299" xr:uid="{00000000-0005-0000-0000-0000DC5B0000}"/>
    <cellStyle name="Normal 61 2" xfId="4533" xr:uid="{00000000-0005-0000-0000-0000DD5B0000}"/>
    <cellStyle name="Normal 61 2 2" xfId="12512" xr:uid="{00000000-0005-0000-0000-0000DE5B0000}"/>
    <cellStyle name="Normal 61 2 2 2" xfId="23800" xr:uid="{00000000-0005-0000-0000-0000DF5B0000}"/>
    <cellStyle name="Normal 61 2 3" xfId="10518" xr:uid="{00000000-0005-0000-0000-0000E05B0000}"/>
    <cellStyle name="Normal 61 2 3 2" xfId="21806" xr:uid="{00000000-0005-0000-0000-0000E15B0000}"/>
    <cellStyle name="Normal 61 2 4" xfId="8524" xr:uid="{00000000-0005-0000-0000-0000E25B0000}"/>
    <cellStyle name="Normal 61 2 4 2" xfId="19812" xr:uid="{00000000-0005-0000-0000-0000E35B0000}"/>
    <cellStyle name="Normal 61 2 5" xfId="6530" xr:uid="{00000000-0005-0000-0000-0000E45B0000}"/>
    <cellStyle name="Normal 61 2 5 2" xfId="17818" xr:uid="{00000000-0005-0000-0000-0000E55B0000}"/>
    <cellStyle name="Normal 61 2 6" xfId="15824" xr:uid="{00000000-0005-0000-0000-0000E65B0000}"/>
    <cellStyle name="Normal 61 3" xfId="11515" xr:uid="{00000000-0005-0000-0000-0000E75B0000}"/>
    <cellStyle name="Normal 61 3 2" xfId="22803" xr:uid="{00000000-0005-0000-0000-0000E85B0000}"/>
    <cellStyle name="Normal 61 4" xfId="9521" xr:uid="{00000000-0005-0000-0000-0000E95B0000}"/>
    <cellStyle name="Normal 61 4 2" xfId="20809" xr:uid="{00000000-0005-0000-0000-0000EA5B0000}"/>
    <cellStyle name="Normal 61 5" xfId="7527" xr:uid="{00000000-0005-0000-0000-0000EB5B0000}"/>
    <cellStyle name="Normal 61 5 2" xfId="18815" xr:uid="{00000000-0005-0000-0000-0000EC5B0000}"/>
    <cellStyle name="Normal 61 6" xfId="5533" xr:uid="{00000000-0005-0000-0000-0000ED5B0000}"/>
    <cellStyle name="Normal 61 6 2" xfId="16821" xr:uid="{00000000-0005-0000-0000-0000EE5B0000}"/>
    <cellStyle name="Normal 61 7" xfId="14827" xr:uid="{00000000-0005-0000-0000-0000EF5B0000}"/>
    <cellStyle name="Normal 61 8" xfId="13511" xr:uid="{00000000-0005-0000-0000-0000F05B0000}"/>
    <cellStyle name="Normal 62" xfId="3300" xr:uid="{00000000-0005-0000-0000-0000F15B0000}"/>
    <cellStyle name="Normal 62 2" xfId="4534" xr:uid="{00000000-0005-0000-0000-0000F25B0000}"/>
    <cellStyle name="Normal 62 2 2" xfId="12513" xr:uid="{00000000-0005-0000-0000-0000F35B0000}"/>
    <cellStyle name="Normal 62 2 2 2" xfId="23801" xr:uid="{00000000-0005-0000-0000-0000F45B0000}"/>
    <cellStyle name="Normal 62 2 3" xfId="10519" xr:uid="{00000000-0005-0000-0000-0000F55B0000}"/>
    <cellStyle name="Normal 62 2 3 2" xfId="21807" xr:uid="{00000000-0005-0000-0000-0000F65B0000}"/>
    <cellStyle name="Normal 62 2 4" xfId="8525" xr:uid="{00000000-0005-0000-0000-0000F75B0000}"/>
    <cellStyle name="Normal 62 2 4 2" xfId="19813" xr:uid="{00000000-0005-0000-0000-0000F85B0000}"/>
    <cellStyle name="Normal 62 2 5" xfId="6531" xr:uid="{00000000-0005-0000-0000-0000F95B0000}"/>
    <cellStyle name="Normal 62 2 5 2" xfId="17819" xr:uid="{00000000-0005-0000-0000-0000FA5B0000}"/>
    <cellStyle name="Normal 62 2 6" xfId="15825" xr:uid="{00000000-0005-0000-0000-0000FB5B0000}"/>
    <cellStyle name="Normal 62 3" xfId="11516" xr:uid="{00000000-0005-0000-0000-0000FC5B0000}"/>
    <cellStyle name="Normal 62 3 2" xfId="22804" xr:uid="{00000000-0005-0000-0000-0000FD5B0000}"/>
    <cellStyle name="Normal 62 4" xfId="9522" xr:uid="{00000000-0005-0000-0000-0000FE5B0000}"/>
    <cellStyle name="Normal 62 4 2" xfId="20810" xr:uid="{00000000-0005-0000-0000-0000FF5B0000}"/>
    <cellStyle name="Normal 62 5" xfId="7528" xr:uid="{00000000-0005-0000-0000-0000005C0000}"/>
    <cellStyle name="Normal 62 5 2" xfId="18816" xr:uid="{00000000-0005-0000-0000-0000015C0000}"/>
    <cellStyle name="Normal 62 6" xfId="5534" xr:uid="{00000000-0005-0000-0000-0000025C0000}"/>
    <cellStyle name="Normal 62 6 2" xfId="16822" xr:uid="{00000000-0005-0000-0000-0000035C0000}"/>
    <cellStyle name="Normal 62 7" xfId="14828" xr:uid="{00000000-0005-0000-0000-0000045C0000}"/>
    <cellStyle name="Normal 62 8" xfId="13512" xr:uid="{00000000-0005-0000-0000-0000055C0000}"/>
    <cellStyle name="Normal 63" xfId="3301" xr:uid="{00000000-0005-0000-0000-0000065C0000}"/>
    <cellStyle name="Normal 63 2" xfId="4535" xr:uid="{00000000-0005-0000-0000-0000075C0000}"/>
    <cellStyle name="Normal 63 2 2" xfId="12514" xr:uid="{00000000-0005-0000-0000-0000085C0000}"/>
    <cellStyle name="Normal 63 2 2 2" xfId="23802" xr:uid="{00000000-0005-0000-0000-0000095C0000}"/>
    <cellStyle name="Normal 63 2 3" xfId="10520" xr:uid="{00000000-0005-0000-0000-00000A5C0000}"/>
    <cellStyle name="Normal 63 2 3 2" xfId="21808" xr:uid="{00000000-0005-0000-0000-00000B5C0000}"/>
    <cellStyle name="Normal 63 2 4" xfId="8526" xr:uid="{00000000-0005-0000-0000-00000C5C0000}"/>
    <cellStyle name="Normal 63 2 4 2" xfId="19814" xr:uid="{00000000-0005-0000-0000-00000D5C0000}"/>
    <cellStyle name="Normal 63 2 5" xfId="6532" xr:uid="{00000000-0005-0000-0000-00000E5C0000}"/>
    <cellStyle name="Normal 63 2 5 2" xfId="17820" xr:uid="{00000000-0005-0000-0000-00000F5C0000}"/>
    <cellStyle name="Normal 63 2 6" xfId="15826" xr:uid="{00000000-0005-0000-0000-0000105C0000}"/>
    <cellStyle name="Normal 63 3" xfId="11517" xr:uid="{00000000-0005-0000-0000-0000115C0000}"/>
    <cellStyle name="Normal 63 3 2" xfId="22805" xr:uid="{00000000-0005-0000-0000-0000125C0000}"/>
    <cellStyle name="Normal 63 4" xfId="9523" xr:uid="{00000000-0005-0000-0000-0000135C0000}"/>
    <cellStyle name="Normal 63 4 2" xfId="20811" xr:uid="{00000000-0005-0000-0000-0000145C0000}"/>
    <cellStyle name="Normal 63 5" xfId="7529" xr:uid="{00000000-0005-0000-0000-0000155C0000}"/>
    <cellStyle name="Normal 63 5 2" xfId="18817" xr:uid="{00000000-0005-0000-0000-0000165C0000}"/>
    <cellStyle name="Normal 63 6" xfId="5535" xr:uid="{00000000-0005-0000-0000-0000175C0000}"/>
    <cellStyle name="Normal 63 6 2" xfId="16823" xr:uid="{00000000-0005-0000-0000-0000185C0000}"/>
    <cellStyle name="Normal 63 7" xfId="14829" xr:uid="{00000000-0005-0000-0000-0000195C0000}"/>
    <cellStyle name="Normal 63 8" xfId="13513" xr:uid="{00000000-0005-0000-0000-00001A5C0000}"/>
    <cellStyle name="Normal 64" xfId="3302" xr:uid="{00000000-0005-0000-0000-00001B5C0000}"/>
    <cellStyle name="Normal 64 2" xfId="4536" xr:uid="{00000000-0005-0000-0000-00001C5C0000}"/>
    <cellStyle name="Normal 64 2 2" xfId="12515" xr:uid="{00000000-0005-0000-0000-00001D5C0000}"/>
    <cellStyle name="Normal 64 2 2 2" xfId="23803" xr:uid="{00000000-0005-0000-0000-00001E5C0000}"/>
    <cellStyle name="Normal 64 2 3" xfId="10521" xr:uid="{00000000-0005-0000-0000-00001F5C0000}"/>
    <cellStyle name="Normal 64 2 3 2" xfId="21809" xr:uid="{00000000-0005-0000-0000-0000205C0000}"/>
    <cellStyle name="Normal 64 2 4" xfId="8527" xr:uid="{00000000-0005-0000-0000-0000215C0000}"/>
    <cellStyle name="Normal 64 2 4 2" xfId="19815" xr:uid="{00000000-0005-0000-0000-0000225C0000}"/>
    <cellStyle name="Normal 64 2 5" xfId="6533" xr:uid="{00000000-0005-0000-0000-0000235C0000}"/>
    <cellStyle name="Normal 64 2 5 2" xfId="17821" xr:uid="{00000000-0005-0000-0000-0000245C0000}"/>
    <cellStyle name="Normal 64 2 6" xfId="15827" xr:uid="{00000000-0005-0000-0000-0000255C0000}"/>
    <cellStyle name="Normal 64 3" xfId="11518" xr:uid="{00000000-0005-0000-0000-0000265C0000}"/>
    <cellStyle name="Normal 64 3 2" xfId="22806" xr:uid="{00000000-0005-0000-0000-0000275C0000}"/>
    <cellStyle name="Normal 64 4" xfId="9524" xr:uid="{00000000-0005-0000-0000-0000285C0000}"/>
    <cellStyle name="Normal 64 4 2" xfId="20812" xr:uid="{00000000-0005-0000-0000-0000295C0000}"/>
    <cellStyle name="Normal 64 5" xfId="7530" xr:uid="{00000000-0005-0000-0000-00002A5C0000}"/>
    <cellStyle name="Normal 64 5 2" xfId="18818" xr:uid="{00000000-0005-0000-0000-00002B5C0000}"/>
    <cellStyle name="Normal 64 6" xfId="5536" xr:uid="{00000000-0005-0000-0000-00002C5C0000}"/>
    <cellStyle name="Normal 64 6 2" xfId="16824" xr:uid="{00000000-0005-0000-0000-00002D5C0000}"/>
    <cellStyle name="Normal 64 7" xfId="14830" xr:uid="{00000000-0005-0000-0000-00002E5C0000}"/>
    <cellStyle name="Normal 64 8" xfId="13514" xr:uid="{00000000-0005-0000-0000-00002F5C0000}"/>
    <cellStyle name="Normal 65" xfId="3303" xr:uid="{00000000-0005-0000-0000-0000305C0000}"/>
    <cellStyle name="Normal 65 2" xfId="4537" xr:uid="{00000000-0005-0000-0000-0000315C0000}"/>
    <cellStyle name="Normal 65 2 2" xfId="12516" xr:uid="{00000000-0005-0000-0000-0000325C0000}"/>
    <cellStyle name="Normal 65 2 2 2" xfId="23804" xr:uid="{00000000-0005-0000-0000-0000335C0000}"/>
    <cellStyle name="Normal 65 2 3" xfId="10522" xr:uid="{00000000-0005-0000-0000-0000345C0000}"/>
    <cellStyle name="Normal 65 2 3 2" xfId="21810" xr:uid="{00000000-0005-0000-0000-0000355C0000}"/>
    <cellStyle name="Normal 65 2 4" xfId="8528" xr:uid="{00000000-0005-0000-0000-0000365C0000}"/>
    <cellStyle name="Normal 65 2 4 2" xfId="19816" xr:uid="{00000000-0005-0000-0000-0000375C0000}"/>
    <cellStyle name="Normal 65 2 5" xfId="6534" xr:uid="{00000000-0005-0000-0000-0000385C0000}"/>
    <cellStyle name="Normal 65 2 5 2" xfId="17822" xr:uid="{00000000-0005-0000-0000-0000395C0000}"/>
    <cellStyle name="Normal 65 2 6" xfId="15828" xr:uid="{00000000-0005-0000-0000-00003A5C0000}"/>
    <cellStyle name="Normal 65 3" xfId="11519" xr:uid="{00000000-0005-0000-0000-00003B5C0000}"/>
    <cellStyle name="Normal 65 3 2" xfId="22807" xr:uid="{00000000-0005-0000-0000-00003C5C0000}"/>
    <cellStyle name="Normal 65 4" xfId="9525" xr:uid="{00000000-0005-0000-0000-00003D5C0000}"/>
    <cellStyle name="Normal 65 4 2" xfId="20813" xr:uid="{00000000-0005-0000-0000-00003E5C0000}"/>
    <cellStyle name="Normal 65 5" xfId="7531" xr:uid="{00000000-0005-0000-0000-00003F5C0000}"/>
    <cellStyle name="Normal 65 5 2" xfId="18819" xr:uid="{00000000-0005-0000-0000-0000405C0000}"/>
    <cellStyle name="Normal 65 6" xfId="5537" xr:uid="{00000000-0005-0000-0000-0000415C0000}"/>
    <cellStyle name="Normal 65 6 2" xfId="16825" xr:uid="{00000000-0005-0000-0000-0000425C0000}"/>
    <cellStyle name="Normal 65 7" xfId="14831" xr:uid="{00000000-0005-0000-0000-0000435C0000}"/>
    <cellStyle name="Normal 65 8" xfId="13515" xr:uid="{00000000-0005-0000-0000-0000445C0000}"/>
    <cellStyle name="Normal 66" xfId="3304" xr:uid="{00000000-0005-0000-0000-0000455C0000}"/>
    <cellStyle name="Normal 66 2" xfId="3305" xr:uid="{00000000-0005-0000-0000-0000465C0000}"/>
    <cellStyle name="Normal 66 2 2" xfId="4539" xr:uid="{00000000-0005-0000-0000-0000475C0000}"/>
    <cellStyle name="Normal 66 2 2 2" xfId="12518" xr:uid="{00000000-0005-0000-0000-0000485C0000}"/>
    <cellStyle name="Normal 66 2 2 2 2" xfId="23806" xr:uid="{00000000-0005-0000-0000-0000495C0000}"/>
    <cellStyle name="Normal 66 2 2 3" xfId="10524" xr:uid="{00000000-0005-0000-0000-00004A5C0000}"/>
    <cellStyle name="Normal 66 2 2 3 2" xfId="21812" xr:uid="{00000000-0005-0000-0000-00004B5C0000}"/>
    <cellStyle name="Normal 66 2 2 4" xfId="8530" xr:uid="{00000000-0005-0000-0000-00004C5C0000}"/>
    <cellStyle name="Normal 66 2 2 4 2" xfId="19818" xr:uid="{00000000-0005-0000-0000-00004D5C0000}"/>
    <cellStyle name="Normal 66 2 2 5" xfId="6536" xr:uid="{00000000-0005-0000-0000-00004E5C0000}"/>
    <cellStyle name="Normal 66 2 2 5 2" xfId="17824" xr:uid="{00000000-0005-0000-0000-00004F5C0000}"/>
    <cellStyle name="Normal 66 2 2 6" xfId="15830" xr:uid="{00000000-0005-0000-0000-0000505C0000}"/>
    <cellStyle name="Normal 66 2 3" xfId="11521" xr:uid="{00000000-0005-0000-0000-0000515C0000}"/>
    <cellStyle name="Normal 66 2 3 2" xfId="22809" xr:uid="{00000000-0005-0000-0000-0000525C0000}"/>
    <cellStyle name="Normal 66 2 4" xfId="9527" xr:uid="{00000000-0005-0000-0000-0000535C0000}"/>
    <cellStyle name="Normal 66 2 4 2" xfId="20815" xr:uid="{00000000-0005-0000-0000-0000545C0000}"/>
    <cellStyle name="Normal 66 2 5" xfId="7533" xr:uid="{00000000-0005-0000-0000-0000555C0000}"/>
    <cellStyle name="Normal 66 2 5 2" xfId="18821" xr:uid="{00000000-0005-0000-0000-0000565C0000}"/>
    <cellStyle name="Normal 66 2 6" xfId="5539" xr:uid="{00000000-0005-0000-0000-0000575C0000}"/>
    <cellStyle name="Normal 66 2 6 2" xfId="16827" xr:uid="{00000000-0005-0000-0000-0000585C0000}"/>
    <cellStyle name="Normal 66 2 7" xfId="14833" xr:uid="{00000000-0005-0000-0000-0000595C0000}"/>
    <cellStyle name="Normal 66 2 8" xfId="13517" xr:uid="{00000000-0005-0000-0000-00005A5C0000}"/>
    <cellStyle name="Normal 66 3" xfId="4538" xr:uid="{00000000-0005-0000-0000-00005B5C0000}"/>
    <cellStyle name="Normal 66 3 2" xfId="12517" xr:uid="{00000000-0005-0000-0000-00005C5C0000}"/>
    <cellStyle name="Normal 66 3 2 2" xfId="23805" xr:uid="{00000000-0005-0000-0000-00005D5C0000}"/>
    <cellStyle name="Normal 66 3 3" xfId="10523" xr:uid="{00000000-0005-0000-0000-00005E5C0000}"/>
    <cellStyle name="Normal 66 3 3 2" xfId="21811" xr:uid="{00000000-0005-0000-0000-00005F5C0000}"/>
    <cellStyle name="Normal 66 3 4" xfId="8529" xr:uid="{00000000-0005-0000-0000-0000605C0000}"/>
    <cellStyle name="Normal 66 3 4 2" xfId="19817" xr:uid="{00000000-0005-0000-0000-0000615C0000}"/>
    <cellStyle name="Normal 66 3 5" xfId="6535" xr:uid="{00000000-0005-0000-0000-0000625C0000}"/>
    <cellStyle name="Normal 66 3 5 2" xfId="17823" xr:uid="{00000000-0005-0000-0000-0000635C0000}"/>
    <cellStyle name="Normal 66 3 6" xfId="15829" xr:uid="{00000000-0005-0000-0000-0000645C0000}"/>
    <cellStyle name="Normal 66 4" xfId="11520" xr:uid="{00000000-0005-0000-0000-0000655C0000}"/>
    <cellStyle name="Normal 66 4 2" xfId="22808" xr:uid="{00000000-0005-0000-0000-0000665C0000}"/>
    <cellStyle name="Normal 66 5" xfId="9526" xr:uid="{00000000-0005-0000-0000-0000675C0000}"/>
    <cellStyle name="Normal 66 5 2" xfId="20814" xr:uid="{00000000-0005-0000-0000-0000685C0000}"/>
    <cellStyle name="Normal 66 6" xfId="7532" xr:uid="{00000000-0005-0000-0000-0000695C0000}"/>
    <cellStyle name="Normal 66 6 2" xfId="18820" xr:uid="{00000000-0005-0000-0000-00006A5C0000}"/>
    <cellStyle name="Normal 66 7" xfId="5538" xr:uid="{00000000-0005-0000-0000-00006B5C0000}"/>
    <cellStyle name="Normal 66 7 2" xfId="16826" xr:uid="{00000000-0005-0000-0000-00006C5C0000}"/>
    <cellStyle name="Normal 66 8" xfId="14832" xr:uid="{00000000-0005-0000-0000-00006D5C0000}"/>
    <cellStyle name="Normal 66 9" xfId="13516" xr:uid="{00000000-0005-0000-0000-00006E5C0000}"/>
    <cellStyle name="Normal 67" xfId="3306" xr:uid="{00000000-0005-0000-0000-00006F5C0000}"/>
    <cellStyle name="Normal 67 2" xfId="4540" xr:uid="{00000000-0005-0000-0000-0000705C0000}"/>
    <cellStyle name="Normal 67 2 2" xfId="12519" xr:uid="{00000000-0005-0000-0000-0000715C0000}"/>
    <cellStyle name="Normal 67 2 2 2" xfId="23807" xr:uid="{00000000-0005-0000-0000-0000725C0000}"/>
    <cellStyle name="Normal 67 2 3" xfId="10525" xr:uid="{00000000-0005-0000-0000-0000735C0000}"/>
    <cellStyle name="Normal 67 2 3 2" xfId="21813" xr:uid="{00000000-0005-0000-0000-0000745C0000}"/>
    <cellStyle name="Normal 67 2 4" xfId="8531" xr:uid="{00000000-0005-0000-0000-0000755C0000}"/>
    <cellStyle name="Normal 67 2 4 2" xfId="19819" xr:uid="{00000000-0005-0000-0000-0000765C0000}"/>
    <cellStyle name="Normal 67 2 5" xfId="6537" xr:uid="{00000000-0005-0000-0000-0000775C0000}"/>
    <cellStyle name="Normal 67 2 5 2" xfId="17825" xr:uid="{00000000-0005-0000-0000-0000785C0000}"/>
    <cellStyle name="Normal 67 2 6" xfId="15831" xr:uid="{00000000-0005-0000-0000-0000795C0000}"/>
    <cellStyle name="Normal 67 3" xfId="11522" xr:uid="{00000000-0005-0000-0000-00007A5C0000}"/>
    <cellStyle name="Normal 67 3 2" xfId="22810" xr:uid="{00000000-0005-0000-0000-00007B5C0000}"/>
    <cellStyle name="Normal 67 4" xfId="9528" xr:uid="{00000000-0005-0000-0000-00007C5C0000}"/>
    <cellStyle name="Normal 67 4 2" xfId="20816" xr:uid="{00000000-0005-0000-0000-00007D5C0000}"/>
    <cellStyle name="Normal 67 5" xfId="7534" xr:uid="{00000000-0005-0000-0000-00007E5C0000}"/>
    <cellStyle name="Normal 67 5 2" xfId="18822" xr:uid="{00000000-0005-0000-0000-00007F5C0000}"/>
    <cellStyle name="Normal 67 6" xfId="5540" xr:uid="{00000000-0005-0000-0000-0000805C0000}"/>
    <cellStyle name="Normal 67 6 2" xfId="16828" xr:uid="{00000000-0005-0000-0000-0000815C0000}"/>
    <cellStyle name="Normal 67 7" xfId="14834" xr:uid="{00000000-0005-0000-0000-0000825C0000}"/>
    <cellStyle name="Normal 67 8" xfId="13518" xr:uid="{00000000-0005-0000-0000-0000835C0000}"/>
    <cellStyle name="Normal 68" xfId="3307" xr:uid="{00000000-0005-0000-0000-0000845C0000}"/>
    <cellStyle name="Normal 68 2" xfId="4541" xr:uid="{00000000-0005-0000-0000-0000855C0000}"/>
    <cellStyle name="Normal 68 2 2" xfId="12520" xr:uid="{00000000-0005-0000-0000-0000865C0000}"/>
    <cellStyle name="Normal 68 2 2 2" xfId="23808" xr:uid="{00000000-0005-0000-0000-0000875C0000}"/>
    <cellStyle name="Normal 68 2 3" xfId="10526" xr:uid="{00000000-0005-0000-0000-0000885C0000}"/>
    <cellStyle name="Normal 68 2 3 2" xfId="21814" xr:uid="{00000000-0005-0000-0000-0000895C0000}"/>
    <cellStyle name="Normal 68 2 4" xfId="8532" xr:uid="{00000000-0005-0000-0000-00008A5C0000}"/>
    <cellStyle name="Normal 68 2 4 2" xfId="19820" xr:uid="{00000000-0005-0000-0000-00008B5C0000}"/>
    <cellStyle name="Normal 68 2 5" xfId="6538" xr:uid="{00000000-0005-0000-0000-00008C5C0000}"/>
    <cellStyle name="Normal 68 2 5 2" xfId="17826" xr:uid="{00000000-0005-0000-0000-00008D5C0000}"/>
    <cellStyle name="Normal 68 2 6" xfId="15832" xr:uid="{00000000-0005-0000-0000-00008E5C0000}"/>
    <cellStyle name="Normal 68 3" xfId="11523" xr:uid="{00000000-0005-0000-0000-00008F5C0000}"/>
    <cellStyle name="Normal 68 3 2" xfId="22811" xr:uid="{00000000-0005-0000-0000-0000905C0000}"/>
    <cellStyle name="Normal 68 4" xfId="9529" xr:uid="{00000000-0005-0000-0000-0000915C0000}"/>
    <cellStyle name="Normal 68 4 2" xfId="20817" xr:uid="{00000000-0005-0000-0000-0000925C0000}"/>
    <cellStyle name="Normal 68 5" xfId="7535" xr:uid="{00000000-0005-0000-0000-0000935C0000}"/>
    <cellStyle name="Normal 68 5 2" xfId="18823" xr:uid="{00000000-0005-0000-0000-0000945C0000}"/>
    <cellStyle name="Normal 68 6" xfId="5541" xr:uid="{00000000-0005-0000-0000-0000955C0000}"/>
    <cellStyle name="Normal 68 6 2" xfId="16829" xr:uid="{00000000-0005-0000-0000-0000965C0000}"/>
    <cellStyle name="Normal 68 7" xfId="14835" xr:uid="{00000000-0005-0000-0000-0000975C0000}"/>
    <cellStyle name="Normal 68 8" xfId="13519" xr:uid="{00000000-0005-0000-0000-0000985C0000}"/>
    <cellStyle name="Normal 69" xfId="3308" xr:uid="{00000000-0005-0000-0000-0000995C0000}"/>
    <cellStyle name="Normal 69 2" xfId="4542" xr:uid="{00000000-0005-0000-0000-00009A5C0000}"/>
    <cellStyle name="Normal 69 2 2" xfId="12521" xr:uid="{00000000-0005-0000-0000-00009B5C0000}"/>
    <cellStyle name="Normal 69 2 2 2" xfId="23809" xr:uid="{00000000-0005-0000-0000-00009C5C0000}"/>
    <cellStyle name="Normal 69 2 3" xfId="10527" xr:uid="{00000000-0005-0000-0000-00009D5C0000}"/>
    <cellStyle name="Normal 69 2 3 2" xfId="21815" xr:uid="{00000000-0005-0000-0000-00009E5C0000}"/>
    <cellStyle name="Normal 69 2 4" xfId="8533" xr:uid="{00000000-0005-0000-0000-00009F5C0000}"/>
    <cellStyle name="Normal 69 2 4 2" xfId="19821" xr:uid="{00000000-0005-0000-0000-0000A05C0000}"/>
    <cellStyle name="Normal 69 2 5" xfId="6539" xr:uid="{00000000-0005-0000-0000-0000A15C0000}"/>
    <cellStyle name="Normal 69 2 5 2" xfId="17827" xr:uid="{00000000-0005-0000-0000-0000A25C0000}"/>
    <cellStyle name="Normal 69 2 6" xfId="15833" xr:uid="{00000000-0005-0000-0000-0000A35C0000}"/>
    <cellStyle name="Normal 69 3" xfId="11524" xr:uid="{00000000-0005-0000-0000-0000A45C0000}"/>
    <cellStyle name="Normal 69 3 2" xfId="22812" xr:uid="{00000000-0005-0000-0000-0000A55C0000}"/>
    <cellStyle name="Normal 69 4" xfId="9530" xr:uid="{00000000-0005-0000-0000-0000A65C0000}"/>
    <cellStyle name="Normal 69 4 2" xfId="20818" xr:uid="{00000000-0005-0000-0000-0000A75C0000}"/>
    <cellStyle name="Normal 69 5" xfId="7536" xr:uid="{00000000-0005-0000-0000-0000A85C0000}"/>
    <cellStyle name="Normal 69 5 2" xfId="18824" xr:uid="{00000000-0005-0000-0000-0000A95C0000}"/>
    <cellStyle name="Normal 69 6" xfId="5542" xr:uid="{00000000-0005-0000-0000-0000AA5C0000}"/>
    <cellStyle name="Normal 69 6 2" xfId="16830" xr:uid="{00000000-0005-0000-0000-0000AB5C0000}"/>
    <cellStyle name="Normal 69 7" xfId="14836" xr:uid="{00000000-0005-0000-0000-0000AC5C0000}"/>
    <cellStyle name="Normal 69 8" xfId="13520" xr:uid="{00000000-0005-0000-0000-0000AD5C0000}"/>
    <cellStyle name="Normal 7" xfId="58" xr:uid="{00000000-0005-0000-0000-0000AE5C0000}"/>
    <cellStyle name="Normal 7 10" xfId="24166" xr:uid="{00000000-0005-0000-0000-0000AF5C0000}"/>
    <cellStyle name="Normal 7 10 2" xfId="29128" xr:uid="{00000000-0005-0000-0000-0000B05C0000}"/>
    <cellStyle name="Normal 7 10 3" xfId="28823" xr:uid="{00000000-0005-0000-0000-0000B15C0000}"/>
    <cellStyle name="Normal 7 11" xfId="24735" xr:uid="{00000000-0005-0000-0000-0000B25C0000}"/>
    <cellStyle name="Normal 7 11 2" xfId="29129" xr:uid="{00000000-0005-0000-0000-0000B35C0000}"/>
    <cellStyle name="Normal 7 11 3" xfId="28824" xr:uid="{00000000-0005-0000-0000-0000B45C0000}"/>
    <cellStyle name="Normal 7 12" xfId="25051" xr:uid="{00000000-0005-0000-0000-0000B55C0000}"/>
    <cellStyle name="Normal 7 12 2" xfId="29130" xr:uid="{00000000-0005-0000-0000-0000B65C0000}"/>
    <cellStyle name="Normal 7 12 3" xfId="28825" xr:uid="{00000000-0005-0000-0000-0000B75C0000}"/>
    <cellStyle name="Normal 7 13" xfId="25775" xr:uid="{00000000-0005-0000-0000-0000B85C0000}"/>
    <cellStyle name="Normal 7 13 2" xfId="29131" xr:uid="{00000000-0005-0000-0000-0000B95C0000}"/>
    <cellStyle name="Normal 7 14" xfId="29167" xr:uid="{00000000-0005-0000-0000-0000BA5C0000}"/>
    <cellStyle name="Normal 7 2" xfId="4543" xr:uid="{00000000-0005-0000-0000-0000BB5C0000}"/>
    <cellStyle name="Normal 7 2 10" xfId="28826" xr:uid="{00000000-0005-0000-0000-0000BC5C0000}"/>
    <cellStyle name="Normal 7 2 2" xfId="12522" xr:uid="{00000000-0005-0000-0000-0000BD5C0000}"/>
    <cellStyle name="Normal 7 2 2 2" xfId="23810" xr:uid="{00000000-0005-0000-0000-0000BE5C0000}"/>
    <cellStyle name="Normal 7 2 2 2 2" xfId="24440" xr:uid="{00000000-0005-0000-0000-0000BF5C0000}"/>
    <cellStyle name="Normal 7 2 2 2 3" xfId="24884" xr:uid="{00000000-0005-0000-0000-0000C05C0000}"/>
    <cellStyle name="Normal 7 2 2 2 4" xfId="25247" xr:uid="{00000000-0005-0000-0000-0000C15C0000}"/>
    <cellStyle name="Normal 7 2 2 3" xfId="24168" xr:uid="{00000000-0005-0000-0000-0000C25C0000}"/>
    <cellStyle name="Normal 7 2 2 4" xfId="24737" xr:uid="{00000000-0005-0000-0000-0000C35C0000}"/>
    <cellStyle name="Normal 7 2 2 5" xfId="25053" xr:uid="{00000000-0005-0000-0000-0000C45C0000}"/>
    <cellStyle name="Normal 7 2 2 6" xfId="29132" xr:uid="{00000000-0005-0000-0000-0000C55C0000}"/>
    <cellStyle name="Normal 7 2 3" xfId="10528" xr:uid="{00000000-0005-0000-0000-0000C65C0000}"/>
    <cellStyle name="Normal 7 2 3 2" xfId="21816" xr:uid="{00000000-0005-0000-0000-0000C75C0000}"/>
    <cellStyle name="Normal 7 2 3 3" xfId="24439" xr:uid="{00000000-0005-0000-0000-0000C85C0000}"/>
    <cellStyle name="Normal 7 2 3 4" xfId="24883" xr:uid="{00000000-0005-0000-0000-0000C95C0000}"/>
    <cellStyle name="Normal 7 2 3 5" xfId="25246" xr:uid="{00000000-0005-0000-0000-0000CA5C0000}"/>
    <cellStyle name="Normal 7 2 4" xfId="8534" xr:uid="{00000000-0005-0000-0000-0000CB5C0000}"/>
    <cellStyle name="Normal 7 2 4 2" xfId="19822" xr:uid="{00000000-0005-0000-0000-0000CC5C0000}"/>
    <cellStyle name="Normal 7 2 5" xfId="6540" xr:uid="{00000000-0005-0000-0000-0000CD5C0000}"/>
    <cellStyle name="Normal 7 2 5 2" xfId="17828" xr:uid="{00000000-0005-0000-0000-0000CE5C0000}"/>
    <cellStyle name="Normal 7 2 6" xfId="15834" xr:uid="{00000000-0005-0000-0000-0000CF5C0000}"/>
    <cellStyle name="Normal 7 2 7" xfId="24167" xr:uid="{00000000-0005-0000-0000-0000D05C0000}"/>
    <cellStyle name="Normal 7 2 8" xfId="24736" xr:uid="{00000000-0005-0000-0000-0000D15C0000}"/>
    <cellStyle name="Normal 7 2 9" xfId="25052" xr:uid="{00000000-0005-0000-0000-0000D25C0000}"/>
    <cellStyle name="Normal 7 3" xfId="11525" xr:uid="{00000000-0005-0000-0000-0000D35C0000}"/>
    <cellStyle name="Normal 7 3 2" xfId="22813" xr:uid="{00000000-0005-0000-0000-0000D45C0000}"/>
    <cellStyle name="Normal 7 3 2 2" xfId="24442" xr:uid="{00000000-0005-0000-0000-0000D55C0000}"/>
    <cellStyle name="Normal 7 3 2 2 2" xfId="24886" xr:uid="{00000000-0005-0000-0000-0000D65C0000}"/>
    <cellStyle name="Normal 7 3 2 2 3" xfId="25249" xr:uid="{00000000-0005-0000-0000-0000D75C0000}"/>
    <cellStyle name="Normal 7 3 2 3" xfId="24170" xr:uid="{00000000-0005-0000-0000-0000D85C0000}"/>
    <cellStyle name="Normal 7 3 2 4" xfId="24739" xr:uid="{00000000-0005-0000-0000-0000D95C0000}"/>
    <cellStyle name="Normal 7 3 2 5" xfId="25055" xr:uid="{00000000-0005-0000-0000-0000DA5C0000}"/>
    <cellStyle name="Normal 7 3 2 6" xfId="29133" xr:uid="{00000000-0005-0000-0000-0000DB5C0000}"/>
    <cellStyle name="Normal 7 3 3" xfId="24441" xr:uid="{00000000-0005-0000-0000-0000DC5C0000}"/>
    <cellStyle name="Normal 7 3 3 2" xfId="24885" xr:uid="{00000000-0005-0000-0000-0000DD5C0000}"/>
    <cellStyle name="Normal 7 3 3 3" xfId="25248" xr:uid="{00000000-0005-0000-0000-0000DE5C0000}"/>
    <cellStyle name="Normal 7 3 4" xfId="24169" xr:uid="{00000000-0005-0000-0000-0000DF5C0000}"/>
    <cellStyle name="Normal 7 3 5" xfId="24738" xr:uid="{00000000-0005-0000-0000-0000E05C0000}"/>
    <cellStyle name="Normal 7 3 6" xfId="25054" xr:uid="{00000000-0005-0000-0000-0000E15C0000}"/>
    <cellStyle name="Normal 7 3 7" xfId="28827" xr:uid="{00000000-0005-0000-0000-0000E25C0000}"/>
    <cellStyle name="Normal 7 4" xfId="9531" xr:uid="{00000000-0005-0000-0000-0000E35C0000}"/>
    <cellStyle name="Normal 7 4 2" xfId="20819" xr:uid="{00000000-0005-0000-0000-0000E45C0000}"/>
    <cellStyle name="Normal 7 4 2 2" xfId="24443" xr:uid="{00000000-0005-0000-0000-0000E55C0000}"/>
    <cellStyle name="Normal 7 4 2 3" xfId="24887" xr:uid="{00000000-0005-0000-0000-0000E65C0000}"/>
    <cellStyle name="Normal 7 4 2 4" xfId="25250" xr:uid="{00000000-0005-0000-0000-0000E75C0000}"/>
    <cellStyle name="Normal 7 4 2 5" xfId="29134" xr:uid="{00000000-0005-0000-0000-0000E85C0000}"/>
    <cellStyle name="Normal 7 4 3" xfId="24171" xr:uid="{00000000-0005-0000-0000-0000E95C0000}"/>
    <cellStyle name="Normal 7 4 4" xfId="24740" xr:uid="{00000000-0005-0000-0000-0000EA5C0000}"/>
    <cellStyle name="Normal 7 4 5" xfId="25056" xr:uid="{00000000-0005-0000-0000-0000EB5C0000}"/>
    <cellStyle name="Normal 7 4 6" xfId="28828" xr:uid="{00000000-0005-0000-0000-0000EC5C0000}"/>
    <cellStyle name="Normal 7 5" xfId="7537" xr:uid="{00000000-0005-0000-0000-0000ED5C0000}"/>
    <cellStyle name="Normal 7 5 2" xfId="18825" xr:uid="{00000000-0005-0000-0000-0000EE5C0000}"/>
    <cellStyle name="Normal 7 5 2 2" xfId="29135" xr:uid="{00000000-0005-0000-0000-0000EF5C0000}"/>
    <cellStyle name="Normal 7 5 3" xfId="24438" xr:uid="{00000000-0005-0000-0000-0000F05C0000}"/>
    <cellStyle name="Normal 7 5 4" xfId="24882" xr:uid="{00000000-0005-0000-0000-0000F15C0000}"/>
    <cellStyle name="Normal 7 5 5" xfId="25245" xr:uid="{00000000-0005-0000-0000-0000F25C0000}"/>
    <cellStyle name="Normal 7 5 6" xfId="28829" xr:uid="{00000000-0005-0000-0000-0000F35C0000}"/>
    <cellStyle name="Normal 7 6" xfId="5543" xr:uid="{00000000-0005-0000-0000-0000F45C0000}"/>
    <cellStyle name="Normal 7 6 2" xfId="16831" xr:uid="{00000000-0005-0000-0000-0000F55C0000}"/>
    <cellStyle name="Normal 7 6 2 2" xfId="29136" xr:uid="{00000000-0005-0000-0000-0000F65C0000}"/>
    <cellStyle name="Normal 7 6 3" xfId="28830" xr:uid="{00000000-0005-0000-0000-0000F75C0000}"/>
    <cellStyle name="Normal 7 7" xfId="3309" xr:uid="{00000000-0005-0000-0000-0000F85C0000}"/>
    <cellStyle name="Normal 7 7 2" xfId="14837" xr:uid="{00000000-0005-0000-0000-0000F95C0000}"/>
    <cellStyle name="Normal 7 7 2 2" xfId="29137" xr:uid="{00000000-0005-0000-0000-0000FA5C0000}"/>
    <cellStyle name="Normal 7 7 3" xfId="28831" xr:uid="{00000000-0005-0000-0000-0000FB5C0000}"/>
    <cellStyle name="Normal 7 8" xfId="13616" xr:uid="{00000000-0005-0000-0000-0000FC5C0000}"/>
    <cellStyle name="Normal 7 8 2" xfId="29138" xr:uid="{00000000-0005-0000-0000-0000FD5C0000}"/>
    <cellStyle name="Normal 7 8 3" xfId="28832" xr:uid="{00000000-0005-0000-0000-0000FE5C0000}"/>
    <cellStyle name="Normal 7 9" xfId="13521" xr:uid="{00000000-0005-0000-0000-0000FF5C0000}"/>
    <cellStyle name="Normal 7 9 2" xfId="29139" xr:uid="{00000000-0005-0000-0000-0000005D0000}"/>
    <cellStyle name="Normal 7 9 3" xfId="28833" xr:uid="{00000000-0005-0000-0000-0000015D0000}"/>
    <cellStyle name="Normal 70" xfId="3310" xr:uid="{00000000-0005-0000-0000-0000025D0000}"/>
    <cellStyle name="Normal 70 2" xfId="4544" xr:uid="{00000000-0005-0000-0000-0000035D0000}"/>
    <cellStyle name="Normal 70 2 2" xfId="12523" xr:uid="{00000000-0005-0000-0000-0000045D0000}"/>
    <cellStyle name="Normal 70 2 2 2" xfId="23811" xr:uid="{00000000-0005-0000-0000-0000055D0000}"/>
    <cellStyle name="Normal 70 2 3" xfId="10529" xr:uid="{00000000-0005-0000-0000-0000065D0000}"/>
    <cellStyle name="Normal 70 2 3 2" xfId="21817" xr:uid="{00000000-0005-0000-0000-0000075D0000}"/>
    <cellStyle name="Normal 70 2 4" xfId="8535" xr:uid="{00000000-0005-0000-0000-0000085D0000}"/>
    <cellStyle name="Normal 70 2 4 2" xfId="19823" xr:uid="{00000000-0005-0000-0000-0000095D0000}"/>
    <cellStyle name="Normal 70 2 5" xfId="6541" xr:uid="{00000000-0005-0000-0000-00000A5D0000}"/>
    <cellStyle name="Normal 70 2 5 2" xfId="17829" xr:uid="{00000000-0005-0000-0000-00000B5D0000}"/>
    <cellStyle name="Normal 70 2 6" xfId="15835" xr:uid="{00000000-0005-0000-0000-00000C5D0000}"/>
    <cellStyle name="Normal 70 3" xfId="11526" xr:uid="{00000000-0005-0000-0000-00000D5D0000}"/>
    <cellStyle name="Normal 70 3 2" xfId="22814" xr:uid="{00000000-0005-0000-0000-00000E5D0000}"/>
    <cellStyle name="Normal 70 4" xfId="9532" xr:uid="{00000000-0005-0000-0000-00000F5D0000}"/>
    <cellStyle name="Normal 70 4 2" xfId="20820" xr:uid="{00000000-0005-0000-0000-0000105D0000}"/>
    <cellStyle name="Normal 70 5" xfId="7538" xr:uid="{00000000-0005-0000-0000-0000115D0000}"/>
    <cellStyle name="Normal 70 5 2" xfId="18826" xr:uid="{00000000-0005-0000-0000-0000125D0000}"/>
    <cellStyle name="Normal 70 6" xfId="5544" xr:uid="{00000000-0005-0000-0000-0000135D0000}"/>
    <cellStyle name="Normal 70 6 2" xfId="16832" xr:uid="{00000000-0005-0000-0000-0000145D0000}"/>
    <cellStyle name="Normal 70 7" xfId="14838" xr:uid="{00000000-0005-0000-0000-0000155D0000}"/>
    <cellStyle name="Normal 70 8" xfId="13522" xr:uid="{00000000-0005-0000-0000-0000165D0000}"/>
    <cellStyle name="Normal 71" xfId="3311" xr:uid="{00000000-0005-0000-0000-0000175D0000}"/>
    <cellStyle name="Normal 71 2" xfId="4545" xr:uid="{00000000-0005-0000-0000-0000185D0000}"/>
    <cellStyle name="Normal 71 2 2" xfId="12524" xr:uid="{00000000-0005-0000-0000-0000195D0000}"/>
    <cellStyle name="Normal 71 2 2 2" xfId="23812" xr:uid="{00000000-0005-0000-0000-00001A5D0000}"/>
    <cellStyle name="Normal 71 2 3" xfId="10530" xr:uid="{00000000-0005-0000-0000-00001B5D0000}"/>
    <cellStyle name="Normal 71 2 3 2" xfId="21818" xr:uid="{00000000-0005-0000-0000-00001C5D0000}"/>
    <cellStyle name="Normal 71 2 4" xfId="8536" xr:uid="{00000000-0005-0000-0000-00001D5D0000}"/>
    <cellStyle name="Normal 71 2 4 2" xfId="19824" xr:uid="{00000000-0005-0000-0000-00001E5D0000}"/>
    <cellStyle name="Normal 71 2 5" xfId="6542" xr:uid="{00000000-0005-0000-0000-00001F5D0000}"/>
    <cellStyle name="Normal 71 2 5 2" xfId="17830" xr:uid="{00000000-0005-0000-0000-0000205D0000}"/>
    <cellStyle name="Normal 71 2 6" xfId="15836" xr:uid="{00000000-0005-0000-0000-0000215D0000}"/>
    <cellStyle name="Normal 71 3" xfId="11527" xr:uid="{00000000-0005-0000-0000-0000225D0000}"/>
    <cellStyle name="Normal 71 3 2" xfId="22815" xr:uid="{00000000-0005-0000-0000-0000235D0000}"/>
    <cellStyle name="Normal 71 4" xfId="9533" xr:uid="{00000000-0005-0000-0000-0000245D0000}"/>
    <cellStyle name="Normal 71 4 2" xfId="20821" xr:uid="{00000000-0005-0000-0000-0000255D0000}"/>
    <cellStyle name="Normal 71 5" xfId="7539" xr:uid="{00000000-0005-0000-0000-0000265D0000}"/>
    <cellStyle name="Normal 71 5 2" xfId="18827" xr:uid="{00000000-0005-0000-0000-0000275D0000}"/>
    <cellStyle name="Normal 71 6" xfId="5545" xr:uid="{00000000-0005-0000-0000-0000285D0000}"/>
    <cellStyle name="Normal 71 6 2" xfId="16833" xr:uid="{00000000-0005-0000-0000-0000295D0000}"/>
    <cellStyle name="Normal 71 7" xfId="14839" xr:uid="{00000000-0005-0000-0000-00002A5D0000}"/>
    <cellStyle name="Normal 71 8" xfId="13523" xr:uid="{00000000-0005-0000-0000-00002B5D0000}"/>
    <cellStyle name="Normal 72" xfId="665" xr:uid="{00000000-0005-0000-0000-00002C5D0000}"/>
    <cellStyle name="Normal 72 2" xfId="13915" xr:uid="{00000000-0005-0000-0000-00002D5D0000}"/>
    <cellStyle name="Normal 72 2 2" xfId="26684" xr:uid="{00000000-0005-0000-0000-00002E5D0000}"/>
    <cellStyle name="Normal 72 3" xfId="13597" xr:uid="{00000000-0005-0000-0000-00002F5D0000}"/>
    <cellStyle name="Normal 72 4" xfId="26054" xr:uid="{00000000-0005-0000-0000-0000305D0000}"/>
    <cellStyle name="Normal 73" xfId="23888" xr:uid="{00000000-0005-0000-0000-0000315D0000}"/>
    <cellStyle name="Normal 74" xfId="23893" xr:uid="{00000000-0005-0000-0000-0000325D0000}"/>
    <cellStyle name="Normal 75" xfId="12598" xr:uid="{00000000-0005-0000-0000-0000335D0000}"/>
    <cellStyle name="Normal 75 2" xfId="26519" xr:uid="{00000000-0005-0000-0000-0000345D0000}"/>
    <cellStyle name="Normal 76" xfId="23900" xr:uid="{00000000-0005-0000-0000-0000355D0000}"/>
    <cellStyle name="Normal 76 2" xfId="27029" xr:uid="{00000000-0005-0000-0000-0000365D0000}"/>
    <cellStyle name="Normal 77" xfId="23901" xr:uid="{00000000-0005-0000-0000-0000375D0000}"/>
    <cellStyle name="Normal 77 2" xfId="27030" xr:uid="{00000000-0005-0000-0000-0000385D0000}"/>
    <cellStyle name="Normal 78" xfId="23902" xr:uid="{00000000-0005-0000-0000-0000395D0000}"/>
    <cellStyle name="Normal 78 2" xfId="27031" xr:uid="{00000000-0005-0000-0000-00003A5D0000}"/>
    <cellStyle name="Normal 79" xfId="24543" xr:uid="{00000000-0005-0000-0000-00003B5D0000}"/>
    <cellStyle name="Normal 79 2" xfId="27217" xr:uid="{00000000-0005-0000-0000-00003C5D0000}"/>
    <cellStyle name="Normal 8" xfId="59" xr:uid="{00000000-0005-0000-0000-00003D5D0000}"/>
    <cellStyle name="Normal 8 10" xfId="24172" xr:uid="{00000000-0005-0000-0000-00003E5D0000}"/>
    <cellStyle name="Normal 8 10 2" xfId="29140" xr:uid="{00000000-0005-0000-0000-00003F5D0000}"/>
    <cellStyle name="Normal 8 10 3" xfId="28834" xr:uid="{00000000-0005-0000-0000-0000405D0000}"/>
    <cellStyle name="Normal 8 11" xfId="24741" xr:uid="{00000000-0005-0000-0000-0000415D0000}"/>
    <cellStyle name="Normal 8 11 2" xfId="29141" xr:uid="{00000000-0005-0000-0000-0000425D0000}"/>
    <cellStyle name="Normal 8 11 3" xfId="28835" xr:uid="{00000000-0005-0000-0000-0000435D0000}"/>
    <cellStyle name="Normal 8 12" xfId="25057" xr:uid="{00000000-0005-0000-0000-0000445D0000}"/>
    <cellStyle name="Normal 8 12 2" xfId="29142" xr:uid="{00000000-0005-0000-0000-0000455D0000}"/>
    <cellStyle name="Normal 8 12 3" xfId="28836" xr:uid="{00000000-0005-0000-0000-0000465D0000}"/>
    <cellStyle name="Normal 8 13" xfId="25776" xr:uid="{00000000-0005-0000-0000-0000475D0000}"/>
    <cellStyle name="Normal 8 13 2" xfId="29143" xr:uid="{00000000-0005-0000-0000-0000485D0000}"/>
    <cellStyle name="Normal 8 14" xfId="29168" xr:uid="{00000000-0005-0000-0000-0000495D0000}"/>
    <cellStyle name="Normal 8 2" xfId="4546" xr:uid="{00000000-0005-0000-0000-00004A5D0000}"/>
    <cellStyle name="Normal 8 2 10" xfId="28837" xr:uid="{00000000-0005-0000-0000-00004B5D0000}"/>
    <cellStyle name="Normal 8 2 2" xfId="12525" xr:uid="{00000000-0005-0000-0000-00004C5D0000}"/>
    <cellStyle name="Normal 8 2 2 2" xfId="23813" xr:uid="{00000000-0005-0000-0000-00004D5D0000}"/>
    <cellStyle name="Normal 8 2 2 2 2" xfId="24446" xr:uid="{00000000-0005-0000-0000-00004E5D0000}"/>
    <cellStyle name="Normal 8 2 2 2 3" xfId="24890" xr:uid="{00000000-0005-0000-0000-00004F5D0000}"/>
    <cellStyle name="Normal 8 2 2 2 4" xfId="25253" xr:uid="{00000000-0005-0000-0000-0000505D0000}"/>
    <cellStyle name="Normal 8 2 2 3" xfId="24174" xr:uid="{00000000-0005-0000-0000-0000515D0000}"/>
    <cellStyle name="Normal 8 2 2 4" xfId="24743" xr:uid="{00000000-0005-0000-0000-0000525D0000}"/>
    <cellStyle name="Normal 8 2 2 5" xfId="25059" xr:uid="{00000000-0005-0000-0000-0000535D0000}"/>
    <cellStyle name="Normal 8 2 2 6" xfId="29144" xr:uid="{00000000-0005-0000-0000-0000545D0000}"/>
    <cellStyle name="Normal 8 2 3" xfId="10531" xr:uid="{00000000-0005-0000-0000-0000555D0000}"/>
    <cellStyle name="Normal 8 2 3 2" xfId="21819" xr:uid="{00000000-0005-0000-0000-0000565D0000}"/>
    <cellStyle name="Normal 8 2 3 3" xfId="24445" xr:uid="{00000000-0005-0000-0000-0000575D0000}"/>
    <cellStyle name="Normal 8 2 3 4" xfId="24889" xr:uid="{00000000-0005-0000-0000-0000585D0000}"/>
    <cellStyle name="Normal 8 2 3 5" xfId="25252" xr:uid="{00000000-0005-0000-0000-0000595D0000}"/>
    <cellStyle name="Normal 8 2 4" xfId="8537" xr:uid="{00000000-0005-0000-0000-00005A5D0000}"/>
    <cellStyle name="Normal 8 2 4 2" xfId="19825" xr:uid="{00000000-0005-0000-0000-00005B5D0000}"/>
    <cellStyle name="Normal 8 2 5" xfId="6543" xr:uid="{00000000-0005-0000-0000-00005C5D0000}"/>
    <cellStyle name="Normal 8 2 5 2" xfId="17831" xr:uid="{00000000-0005-0000-0000-00005D5D0000}"/>
    <cellStyle name="Normal 8 2 6" xfId="15837" xr:uid="{00000000-0005-0000-0000-00005E5D0000}"/>
    <cellStyle name="Normal 8 2 7" xfId="24173" xr:uid="{00000000-0005-0000-0000-00005F5D0000}"/>
    <cellStyle name="Normal 8 2 8" xfId="24742" xr:uid="{00000000-0005-0000-0000-0000605D0000}"/>
    <cellStyle name="Normal 8 2 9" xfId="25058" xr:uid="{00000000-0005-0000-0000-0000615D0000}"/>
    <cellStyle name="Normal 8 3" xfId="11528" xr:uid="{00000000-0005-0000-0000-0000625D0000}"/>
    <cellStyle name="Normal 8 3 2" xfId="22816" xr:uid="{00000000-0005-0000-0000-0000635D0000}"/>
    <cellStyle name="Normal 8 3 2 2" xfId="24448" xr:uid="{00000000-0005-0000-0000-0000645D0000}"/>
    <cellStyle name="Normal 8 3 2 2 2" xfId="24892" xr:uid="{00000000-0005-0000-0000-0000655D0000}"/>
    <cellStyle name="Normal 8 3 2 2 3" xfId="25255" xr:uid="{00000000-0005-0000-0000-0000665D0000}"/>
    <cellStyle name="Normal 8 3 2 3" xfId="24176" xr:uid="{00000000-0005-0000-0000-0000675D0000}"/>
    <cellStyle name="Normal 8 3 2 4" xfId="24745" xr:uid="{00000000-0005-0000-0000-0000685D0000}"/>
    <cellStyle name="Normal 8 3 2 5" xfId="25061" xr:uid="{00000000-0005-0000-0000-0000695D0000}"/>
    <cellStyle name="Normal 8 3 2 6" xfId="29145" xr:uid="{00000000-0005-0000-0000-00006A5D0000}"/>
    <cellStyle name="Normal 8 3 3" xfId="24447" xr:uid="{00000000-0005-0000-0000-00006B5D0000}"/>
    <cellStyle name="Normal 8 3 3 2" xfId="24891" xr:uid="{00000000-0005-0000-0000-00006C5D0000}"/>
    <cellStyle name="Normal 8 3 3 3" xfId="25254" xr:uid="{00000000-0005-0000-0000-00006D5D0000}"/>
    <cellStyle name="Normal 8 3 4" xfId="24175" xr:uid="{00000000-0005-0000-0000-00006E5D0000}"/>
    <cellStyle name="Normal 8 3 5" xfId="24744" xr:uid="{00000000-0005-0000-0000-00006F5D0000}"/>
    <cellStyle name="Normal 8 3 6" xfId="25060" xr:uid="{00000000-0005-0000-0000-0000705D0000}"/>
    <cellStyle name="Normal 8 3 7" xfId="28838" xr:uid="{00000000-0005-0000-0000-0000715D0000}"/>
    <cellStyle name="Normal 8 4" xfId="9534" xr:uid="{00000000-0005-0000-0000-0000725D0000}"/>
    <cellStyle name="Normal 8 4 2" xfId="20822" xr:uid="{00000000-0005-0000-0000-0000735D0000}"/>
    <cellStyle name="Normal 8 4 2 2" xfId="24449" xr:uid="{00000000-0005-0000-0000-0000745D0000}"/>
    <cellStyle name="Normal 8 4 2 3" xfId="24893" xr:uid="{00000000-0005-0000-0000-0000755D0000}"/>
    <cellStyle name="Normal 8 4 2 4" xfId="25256" xr:uid="{00000000-0005-0000-0000-0000765D0000}"/>
    <cellStyle name="Normal 8 4 2 5" xfId="29146" xr:uid="{00000000-0005-0000-0000-0000775D0000}"/>
    <cellStyle name="Normal 8 4 3" xfId="24177" xr:uid="{00000000-0005-0000-0000-0000785D0000}"/>
    <cellStyle name="Normal 8 4 4" xfId="24746" xr:uid="{00000000-0005-0000-0000-0000795D0000}"/>
    <cellStyle name="Normal 8 4 5" xfId="25062" xr:uid="{00000000-0005-0000-0000-00007A5D0000}"/>
    <cellStyle name="Normal 8 4 6" xfId="28839" xr:uid="{00000000-0005-0000-0000-00007B5D0000}"/>
    <cellStyle name="Normal 8 5" xfId="7540" xr:uid="{00000000-0005-0000-0000-00007C5D0000}"/>
    <cellStyle name="Normal 8 5 2" xfId="18828" xr:uid="{00000000-0005-0000-0000-00007D5D0000}"/>
    <cellStyle name="Normal 8 5 2 2" xfId="29147" xr:uid="{00000000-0005-0000-0000-00007E5D0000}"/>
    <cellStyle name="Normal 8 5 3" xfId="24444" xr:uid="{00000000-0005-0000-0000-00007F5D0000}"/>
    <cellStyle name="Normal 8 5 4" xfId="24888" xr:uid="{00000000-0005-0000-0000-0000805D0000}"/>
    <cellStyle name="Normal 8 5 5" xfId="25251" xr:uid="{00000000-0005-0000-0000-0000815D0000}"/>
    <cellStyle name="Normal 8 5 6" xfId="28840" xr:uid="{00000000-0005-0000-0000-0000825D0000}"/>
    <cellStyle name="Normal 8 6" xfId="5546" xr:uid="{00000000-0005-0000-0000-0000835D0000}"/>
    <cellStyle name="Normal 8 6 2" xfId="16834" xr:uid="{00000000-0005-0000-0000-0000845D0000}"/>
    <cellStyle name="Normal 8 6 2 2" xfId="29148" xr:uid="{00000000-0005-0000-0000-0000855D0000}"/>
    <cellStyle name="Normal 8 6 3" xfId="28841" xr:uid="{00000000-0005-0000-0000-0000865D0000}"/>
    <cellStyle name="Normal 8 7" xfId="3312" xr:uid="{00000000-0005-0000-0000-0000875D0000}"/>
    <cellStyle name="Normal 8 7 2" xfId="14840" xr:uid="{00000000-0005-0000-0000-0000885D0000}"/>
    <cellStyle name="Normal 8 7 2 2" xfId="29149" xr:uid="{00000000-0005-0000-0000-0000895D0000}"/>
    <cellStyle name="Normal 8 7 3" xfId="28842" xr:uid="{00000000-0005-0000-0000-00008A5D0000}"/>
    <cellStyle name="Normal 8 8" xfId="13617" xr:uid="{00000000-0005-0000-0000-00008B5D0000}"/>
    <cellStyle name="Normal 8 8 2" xfId="26560" xr:uid="{00000000-0005-0000-0000-00008C5D0000}"/>
    <cellStyle name="Normal 8 8 2 2" xfId="29150" xr:uid="{00000000-0005-0000-0000-00008D5D0000}"/>
    <cellStyle name="Normal 8 9" xfId="13524" xr:uid="{00000000-0005-0000-0000-00008E5D0000}"/>
    <cellStyle name="Normal 8 9 2" xfId="29151" xr:uid="{00000000-0005-0000-0000-00008F5D0000}"/>
    <cellStyle name="Normal 8 9 3" xfId="28844" xr:uid="{00000000-0005-0000-0000-0000905D0000}"/>
    <cellStyle name="Normal 80" xfId="24554" xr:uid="{00000000-0005-0000-0000-0000915D0000}"/>
    <cellStyle name="Normal 80 2" xfId="27222" xr:uid="{00000000-0005-0000-0000-0000925D0000}"/>
    <cellStyle name="Normal 81" xfId="24767" xr:uid="{00000000-0005-0000-0000-0000935D0000}"/>
    <cellStyle name="Normal 81 2" xfId="27309" xr:uid="{00000000-0005-0000-0000-0000945D0000}"/>
    <cellStyle name="Normal 82" xfId="24903" xr:uid="{00000000-0005-0000-0000-0000955D0000}"/>
    <cellStyle name="Normal 82 2" xfId="27325" xr:uid="{00000000-0005-0000-0000-0000965D0000}"/>
    <cellStyle name="Normal 83" xfId="24935" xr:uid="{00000000-0005-0000-0000-0000975D0000}"/>
    <cellStyle name="Normal 83 2" xfId="27342" xr:uid="{00000000-0005-0000-0000-0000985D0000}"/>
    <cellStyle name="Normal 84" xfId="24705" xr:uid="{00000000-0005-0000-0000-0000995D0000}"/>
    <cellStyle name="Normal 84 2" xfId="27292" xr:uid="{00000000-0005-0000-0000-00009A5D0000}"/>
    <cellStyle name="Normal 85" xfId="24926" xr:uid="{00000000-0005-0000-0000-00009B5D0000}"/>
    <cellStyle name="Normal 85 2" xfId="27335" xr:uid="{00000000-0005-0000-0000-00009C5D0000}"/>
    <cellStyle name="Normal 86" xfId="24768" xr:uid="{00000000-0005-0000-0000-00009D5D0000}"/>
    <cellStyle name="Normal 86 2" xfId="27310" xr:uid="{00000000-0005-0000-0000-00009E5D0000}"/>
    <cellStyle name="Normal 87" xfId="24933" xr:uid="{00000000-0005-0000-0000-00009F5D0000}"/>
    <cellStyle name="Normal 87 2" xfId="27340" xr:uid="{00000000-0005-0000-0000-0000A05D0000}"/>
    <cellStyle name="Normal 88" xfId="24689" xr:uid="{00000000-0005-0000-0000-0000A15D0000}"/>
    <cellStyle name="Normal 88 2" xfId="27279" xr:uid="{00000000-0005-0000-0000-0000A25D0000}"/>
    <cellStyle name="Normal 89" xfId="24690" xr:uid="{00000000-0005-0000-0000-0000A35D0000}"/>
    <cellStyle name="Normal 89 2" xfId="27280" xr:uid="{00000000-0005-0000-0000-0000A45D0000}"/>
    <cellStyle name="Normal 9" xfId="60" xr:uid="{00000000-0005-0000-0000-0000A55D0000}"/>
    <cellStyle name="Normal 9 10" xfId="24178" xr:uid="{00000000-0005-0000-0000-0000A65D0000}"/>
    <cellStyle name="Normal 9 10 2" xfId="29152" xr:uid="{00000000-0005-0000-0000-0000A75D0000}"/>
    <cellStyle name="Normal 9 10 3" xfId="28845" xr:uid="{00000000-0005-0000-0000-0000A85D0000}"/>
    <cellStyle name="Normal 9 11" xfId="24747" xr:uid="{00000000-0005-0000-0000-0000A95D0000}"/>
    <cellStyle name="Normal 9 11 2" xfId="29153" xr:uid="{00000000-0005-0000-0000-0000AA5D0000}"/>
    <cellStyle name="Normal 9 11 3" xfId="28846" xr:uid="{00000000-0005-0000-0000-0000AB5D0000}"/>
    <cellStyle name="Normal 9 12" xfId="25063" xr:uid="{00000000-0005-0000-0000-0000AC5D0000}"/>
    <cellStyle name="Normal 9 12 2" xfId="29154" xr:uid="{00000000-0005-0000-0000-0000AD5D0000}"/>
    <cellStyle name="Normal 9 12 3" xfId="28847" xr:uid="{00000000-0005-0000-0000-0000AE5D0000}"/>
    <cellStyle name="Normal 9 13" xfId="25812" xr:uid="{00000000-0005-0000-0000-0000AF5D0000}"/>
    <cellStyle name="Normal 9 13 2" xfId="29155" xr:uid="{00000000-0005-0000-0000-0000B05D0000}"/>
    <cellStyle name="Normal 9 14" xfId="25765" xr:uid="{00000000-0005-0000-0000-0000B15D0000}"/>
    <cellStyle name="Normal 9 2" xfId="4547" xr:uid="{00000000-0005-0000-0000-0000B25D0000}"/>
    <cellStyle name="Normal 9 2 10" xfId="28848" xr:uid="{00000000-0005-0000-0000-0000B35D0000}"/>
    <cellStyle name="Normal 9 2 2" xfId="12526" xr:uid="{00000000-0005-0000-0000-0000B45D0000}"/>
    <cellStyle name="Normal 9 2 2 2" xfId="23814" xr:uid="{00000000-0005-0000-0000-0000B55D0000}"/>
    <cellStyle name="Normal 9 2 2 2 2" xfId="24452" xr:uid="{00000000-0005-0000-0000-0000B65D0000}"/>
    <cellStyle name="Normal 9 2 2 2 3" xfId="24896" xr:uid="{00000000-0005-0000-0000-0000B75D0000}"/>
    <cellStyle name="Normal 9 2 2 2 4" xfId="25259" xr:uid="{00000000-0005-0000-0000-0000B85D0000}"/>
    <cellStyle name="Normal 9 2 2 3" xfId="24180" xr:uid="{00000000-0005-0000-0000-0000B95D0000}"/>
    <cellStyle name="Normal 9 2 2 4" xfId="24749" xr:uid="{00000000-0005-0000-0000-0000BA5D0000}"/>
    <cellStyle name="Normal 9 2 2 5" xfId="25065" xr:uid="{00000000-0005-0000-0000-0000BB5D0000}"/>
    <cellStyle name="Normal 9 2 2 6" xfId="29156" xr:uid="{00000000-0005-0000-0000-0000BC5D0000}"/>
    <cellStyle name="Normal 9 2 3" xfId="10532" xr:uid="{00000000-0005-0000-0000-0000BD5D0000}"/>
    <cellStyle name="Normal 9 2 3 2" xfId="21820" xr:uid="{00000000-0005-0000-0000-0000BE5D0000}"/>
    <cellStyle name="Normal 9 2 3 3" xfId="24451" xr:uid="{00000000-0005-0000-0000-0000BF5D0000}"/>
    <cellStyle name="Normal 9 2 3 4" xfId="24895" xr:uid="{00000000-0005-0000-0000-0000C05D0000}"/>
    <cellStyle name="Normal 9 2 3 5" xfId="25258" xr:uid="{00000000-0005-0000-0000-0000C15D0000}"/>
    <cellStyle name="Normal 9 2 4" xfId="8538" xr:uid="{00000000-0005-0000-0000-0000C25D0000}"/>
    <cellStyle name="Normal 9 2 4 2" xfId="19826" xr:uid="{00000000-0005-0000-0000-0000C35D0000}"/>
    <cellStyle name="Normal 9 2 5" xfId="6544" xr:uid="{00000000-0005-0000-0000-0000C45D0000}"/>
    <cellStyle name="Normal 9 2 5 2" xfId="17832" xr:uid="{00000000-0005-0000-0000-0000C55D0000}"/>
    <cellStyle name="Normal 9 2 6" xfId="15838" xr:uid="{00000000-0005-0000-0000-0000C65D0000}"/>
    <cellStyle name="Normal 9 2 7" xfId="24179" xr:uid="{00000000-0005-0000-0000-0000C75D0000}"/>
    <cellStyle name="Normal 9 2 8" xfId="24748" xr:uid="{00000000-0005-0000-0000-0000C85D0000}"/>
    <cellStyle name="Normal 9 2 9" xfId="25064" xr:uid="{00000000-0005-0000-0000-0000C95D0000}"/>
    <cellStyle name="Normal 9 3" xfId="11529" xr:uid="{00000000-0005-0000-0000-0000CA5D0000}"/>
    <cellStyle name="Normal 9 3 2" xfId="22817" xr:uid="{00000000-0005-0000-0000-0000CB5D0000}"/>
    <cellStyle name="Normal 9 3 2 2" xfId="24454" xr:uid="{00000000-0005-0000-0000-0000CC5D0000}"/>
    <cellStyle name="Normal 9 3 2 2 2" xfId="24898" xr:uid="{00000000-0005-0000-0000-0000CD5D0000}"/>
    <cellStyle name="Normal 9 3 2 2 3" xfId="25261" xr:uid="{00000000-0005-0000-0000-0000CE5D0000}"/>
    <cellStyle name="Normal 9 3 2 3" xfId="24182" xr:uid="{00000000-0005-0000-0000-0000CF5D0000}"/>
    <cellStyle name="Normal 9 3 2 4" xfId="24751" xr:uid="{00000000-0005-0000-0000-0000D05D0000}"/>
    <cellStyle name="Normal 9 3 2 5" xfId="25067" xr:uid="{00000000-0005-0000-0000-0000D15D0000}"/>
    <cellStyle name="Normal 9 3 2 6" xfId="29157" xr:uid="{00000000-0005-0000-0000-0000D25D0000}"/>
    <cellStyle name="Normal 9 3 3" xfId="24453" xr:uid="{00000000-0005-0000-0000-0000D35D0000}"/>
    <cellStyle name="Normal 9 3 3 2" xfId="24897" xr:uid="{00000000-0005-0000-0000-0000D45D0000}"/>
    <cellStyle name="Normal 9 3 3 3" xfId="25260" xr:uid="{00000000-0005-0000-0000-0000D55D0000}"/>
    <cellStyle name="Normal 9 3 4" xfId="24181" xr:uid="{00000000-0005-0000-0000-0000D65D0000}"/>
    <cellStyle name="Normal 9 3 5" xfId="24750" xr:uid="{00000000-0005-0000-0000-0000D75D0000}"/>
    <cellStyle name="Normal 9 3 6" xfId="25066" xr:uid="{00000000-0005-0000-0000-0000D85D0000}"/>
    <cellStyle name="Normal 9 3 7" xfId="28849" xr:uid="{00000000-0005-0000-0000-0000D95D0000}"/>
    <cellStyle name="Normal 9 4" xfId="9535" xr:uid="{00000000-0005-0000-0000-0000DA5D0000}"/>
    <cellStyle name="Normal 9 4 2" xfId="20823" xr:uid="{00000000-0005-0000-0000-0000DB5D0000}"/>
    <cellStyle name="Normal 9 4 2 2" xfId="24455" xr:uid="{00000000-0005-0000-0000-0000DC5D0000}"/>
    <cellStyle name="Normal 9 4 2 3" xfId="24899" xr:uid="{00000000-0005-0000-0000-0000DD5D0000}"/>
    <cellStyle name="Normal 9 4 2 4" xfId="25262" xr:uid="{00000000-0005-0000-0000-0000DE5D0000}"/>
    <cellStyle name="Normal 9 4 2 5" xfId="29158" xr:uid="{00000000-0005-0000-0000-0000DF5D0000}"/>
    <cellStyle name="Normal 9 4 3" xfId="24183" xr:uid="{00000000-0005-0000-0000-0000E05D0000}"/>
    <cellStyle name="Normal 9 4 4" xfId="24752" xr:uid="{00000000-0005-0000-0000-0000E15D0000}"/>
    <cellStyle name="Normal 9 4 5" xfId="25068" xr:uid="{00000000-0005-0000-0000-0000E25D0000}"/>
    <cellStyle name="Normal 9 4 6" xfId="28850" xr:uid="{00000000-0005-0000-0000-0000E35D0000}"/>
    <cellStyle name="Normal 9 5" xfId="7541" xr:uid="{00000000-0005-0000-0000-0000E45D0000}"/>
    <cellStyle name="Normal 9 5 2" xfId="18829" xr:uid="{00000000-0005-0000-0000-0000E55D0000}"/>
    <cellStyle name="Normal 9 5 2 2" xfId="29159" xr:uid="{00000000-0005-0000-0000-0000E65D0000}"/>
    <cellStyle name="Normal 9 5 3" xfId="24450" xr:uid="{00000000-0005-0000-0000-0000E75D0000}"/>
    <cellStyle name="Normal 9 5 4" xfId="24894" xr:uid="{00000000-0005-0000-0000-0000E85D0000}"/>
    <cellStyle name="Normal 9 5 5" xfId="25257" xr:uid="{00000000-0005-0000-0000-0000E95D0000}"/>
    <cellStyle name="Normal 9 5 6" xfId="28851" xr:uid="{00000000-0005-0000-0000-0000EA5D0000}"/>
    <cellStyle name="Normal 9 6" xfId="5547" xr:uid="{00000000-0005-0000-0000-0000EB5D0000}"/>
    <cellStyle name="Normal 9 6 2" xfId="16835" xr:uid="{00000000-0005-0000-0000-0000EC5D0000}"/>
    <cellStyle name="Normal 9 6 2 2" xfId="29160" xr:uid="{00000000-0005-0000-0000-0000ED5D0000}"/>
    <cellStyle name="Normal 9 6 3" xfId="28852" xr:uid="{00000000-0005-0000-0000-0000EE5D0000}"/>
    <cellStyle name="Normal 9 7" xfId="3313" xr:uid="{00000000-0005-0000-0000-0000EF5D0000}"/>
    <cellStyle name="Normal 9 7 2" xfId="14841" xr:uid="{00000000-0005-0000-0000-0000F05D0000}"/>
    <cellStyle name="Normal 9 7 2 2" xfId="29161" xr:uid="{00000000-0005-0000-0000-0000F15D0000}"/>
    <cellStyle name="Normal 9 7 3" xfId="28853" xr:uid="{00000000-0005-0000-0000-0000F25D0000}"/>
    <cellStyle name="Normal 9 8" xfId="13618" xr:uid="{00000000-0005-0000-0000-0000F35D0000}"/>
    <cellStyle name="Normal 9 8 2" xfId="26561" xr:uid="{00000000-0005-0000-0000-0000F45D0000}"/>
    <cellStyle name="Normal 9 8 2 2" xfId="29162" xr:uid="{00000000-0005-0000-0000-0000F55D0000}"/>
    <cellStyle name="Normal 9 9" xfId="13525" xr:uid="{00000000-0005-0000-0000-0000F65D0000}"/>
    <cellStyle name="Normal 9 9 2" xfId="29163" xr:uid="{00000000-0005-0000-0000-0000F75D0000}"/>
    <cellStyle name="Normal 9 9 3" xfId="28854" xr:uid="{00000000-0005-0000-0000-0000F85D0000}"/>
    <cellStyle name="Normal 90" xfId="24941" xr:uid="{00000000-0005-0000-0000-0000F95D0000}"/>
    <cellStyle name="Normal 90 2" xfId="27345" xr:uid="{00000000-0005-0000-0000-0000FA5D0000}"/>
    <cellStyle name="Normal 91" xfId="24545" xr:uid="{00000000-0005-0000-0000-0000FB5D0000}"/>
    <cellStyle name="Normal 91 2" xfId="27218" xr:uid="{00000000-0005-0000-0000-0000FC5D0000}"/>
    <cellStyle name="Normal 92" xfId="1" xr:uid="{00000000-0005-0000-0000-0000FD5D0000}"/>
    <cellStyle name="Normal 93" xfId="25276" xr:uid="{00000000-0005-0000-0000-0000FE5D0000}"/>
    <cellStyle name="Normal 94" xfId="25295" xr:uid="{00000000-0005-0000-0000-0000FF5D0000}"/>
    <cellStyle name="Normal 95" xfId="25455" xr:uid="{00000000-0005-0000-0000-0000005E0000}"/>
    <cellStyle name="Normal 96" xfId="25746" xr:uid="{00000000-0005-0000-0000-0000015E0000}"/>
    <cellStyle name="Normal 96 2" xfId="27895" xr:uid="{00000000-0005-0000-0000-0000025E0000}"/>
    <cellStyle name="Normal 97" xfId="25752" xr:uid="{00000000-0005-0000-0000-0000035E0000}"/>
    <cellStyle name="Normal 97 2" xfId="27896" xr:uid="{00000000-0005-0000-0000-0000045E0000}"/>
    <cellStyle name="Normal 98" xfId="25755" xr:uid="{00000000-0005-0000-0000-0000055E0000}"/>
    <cellStyle name="Normal 98 2" xfId="27897" xr:uid="{00000000-0005-0000-0000-0000065E0000}"/>
    <cellStyle name="Normal 99" xfId="25757" xr:uid="{00000000-0005-0000-0000-0000075E0000}"/>
    <cellStyle name="Normal 99 2" xfId="27898" xr:uid="{00000000-0005-0000-0000-0000085E0000}"/>
    <cellStyle name="Normal(0)" xfId="61" xr:uid="{00000000-0005-0000-0000-0000095E0000}"/>
    <cellStyle name="Normal_Jan 08" xfId="25743" xr:uid="{00000000-0005-0000-0000-00000A5E0000}"/>
    <cellStyle name="Normal_RD2001" xfId="33354" xr:uid="{B79C8DB9-2993-4247-9CA2-D28350A35F52}"/>
    <cellStyle name="Normal_vcap1299" xfId="25741" xr:uid="{00000000-0005-0000-0000-00000B5E0000}"/>
    <cellStyle name="NormalHelv" xfId="577" xr:uid="{00000000-0005-0000-0000-00000C5E0000}"/>
    <cellStyle name="Note 10" xfId="3314" xr:uid="{00000000-0005-0000-0000-00000D5E0000}"/>
    <cellStyle name="Note 10 10" xfId="24753" xr:uid="{00000000-0005-0000-0000-00000E5E0000}"/>
    <cellStyle name="Note 10 11" xfId="25069" xr:uid="{00000000-0005-0000-0000-00000F5E0000}"/>
    <cellStyle name="Note 10 2" xfId="4548" xr:uid="{00000000-0005-0000-0000-0000105E0000}"/>
    <cellStyle name="Note 10 2 2" xfId="12527" xr:uid="{00000000-0005-0000-0000-0000115E0000}"/>
    <cellStyle name="Note 10 2 2 2" xfId="23815" xr:uid="{00000000-0005-0000-0000-0000125E0000}"/>
    <cellStyle name="Note 10 2 3" xfId="10533" xr:uid="{00000000-0005-0000-0000-0000135E0000}"/>
    <cellStyle name="Note 10 2 3 2" xfId="21821" xr:uid="{00000000-0005-0000-0000-0000145E0000}"/>
    <cellStyle name="Note 10 2 4" xfId="8539" xr:uid="{00000000-0005-0000-0000-0000155E0000}"/>
    <cellStyle name="Note 10 2 4 2" xfId="19827" xr:uid="{00000000-0005-0000-0000-0000165E0000}"/>
    <cellStyle name="Note 10 2 5" xfId="6545" xr:uid="{00000000-0005-0000-0000-0000175E0000}"/>
    <cellStyle name="Note 10 2 5 2" xfId="17833" xr:uid="{00000000-0005-0000-0000-0000185E0000}"/>
    <cellStyle name="Note 10 2 6" xfId="15839" xr:uid="{00000000-0005-0000-0000-0000195E0000}"/>
    <cellStyle name="Note 10 2 7" xfId="24456" xr:uid="{00000000-0005-0000-0000-00001A5E0000}"/>
    <cellStyle name="Note 10 2 8" xfId="24900" xr:uid="{00000000-0005-0000-0000-00001B5E0000}"/>
    <cellStyle name="Note 10 2 9" xfId="25263" xr:uid="{00000000-0005-0000-0000-00001C5E0000}"/>
    <cellStyle name="Note 10 3" xfId="11530" xr:uid="{00000000-0005-0000-0000-00001D5E0000}"/>
    <cellStyle name="Note 10 3 2" xfId="22818" xr:uid="{00000000-0005-0000-0000-00001E5E0000}"/>
    <cellStyle name="Note 10 4" xfId="9536" xr:uid="{00000000-0005-0000-0000-00001F5E0000}"/>
    <cellStyle name="Note 10 4 2" xfId="20824" xr:uid="{00000000-0005-0000-0000-0000205E0000}"/>
    <cellStyle name="Note 10 5" xfId="7542" xr:uid="{00000000-0005-0000-0000-0000215E0000}"/>
    <cellStyle name="Note 10 5 2" xfId="18830" xr:uid="{00000000-0005-0000-0000-0000225E0000}"/>
    <cellStyle name="Note 10 6" xfId="5548" xr:uid="{00000000-0005-0000-0000-0000235E0000}"/>
    <cellStyle name="Note 10 6 2" xfId="16836" xr:uid="{00000000-0005-0000-0000-0000245E0000}"/>
    <cellStyle name="Note 10 7" xfId="14842" xr:uid="{00000000-0005-0000-0000-0000255E0000}"/>
    <cellStyle name="Note 10 8" xfId="13526" xr:uid="{00000000-0005-0000-0000-0000265E0000}"/>
    <cellStyle name="Note 10 9" xfId="24185" xr:uid="{00000000-0005-0000-0000-0000275E0000}"/>
    <cellStyle name="Note 11" xfId="3315" xr:uid="{00000000-0005-0000-0000-0000285E0000}"/>
    <cellStyle name="Note 11 10" xfId="24754" xr:uid="{00000000-0005-0000-0000-0000295E0000}"/>
    <cellStyle name="Note 11 11" xfId="25070" xr:uid="{00000000-0005-0000-0000-00002A5E0000}"/>
    <cellStyle name="Note 11 2" xfId="4549" xr:uid="{00000000-0005-0000-0000-00002B5E0000}"/>
    <cellStyle name="Note 11 2 2" xfId="12528" xr:uid="{00000000-0005-0000-0000-00002C5E0000}"/>
    <cellStyle name="Note 11 2 2 2" xfId="23816" xr:uid="{00000000-0005-0000-0000-00002D5E0000}"/>
    <cellStyle name="Note 11 2 3" xfId="10534" xr:uid="{00000000-0005-0000-0000-00002E5E0000}"/>
    <cellStyle name="Note 11 2 3 2" xfId="21822" xr:uid="{00000000-0005-0000-0000-00002F5E0000}"/>
    <cellStyle name="Note 11 2 4" xfId="8540" xr:uid="{00000000-0005-0000-0000-0000305E0000}"/>
    <cellStyle name="Note 11 2 4 2" xfId="19828" xr:uid="{00000000-0005-0000-0000-0000315E0000}"/>
    <cellStyle name="Note 11 2 5" xfId="6546" xr:uid="{00000000-0005-0000-0000-0000325E0000}"/>
    <cellStyle name="Note 11 2 5 2" xfId="17834" xr:uid="{00000000-0005-0000-0000-0000335E0000}"/>
    <cellStyle name="Note 11 2 6" xfId="15840" xr:uid="{00000000-0005-0000-0000-0000345E0000}"/>
    <cellStyle name="Note 11 2 7" xfId="24457" xr:uid="{00000000-0005-0000-0000-0000355E0000}"/>
    <cellStyle name="Note 11 2 8" xfId="24901" xr:uid="{00000000-0005-0000-0000-0000365E0000}"/>
    <cellStyle name="Note 11 2 9" xfId="25264" xr:uid="{00000000-0005-0000-0000-0000375E0000}"/>
    <cellStyle name="Note 11 3" xfId="11531" xr:uid="{00000000-0005-0000-0000-0000385E0000}"/>
    <cellStyle name="Note 11 3 2" xfId="22819" xr:uid="{00000000-0005-0000-0000-0000395E0000}"/>
    <cellStyle name="Note 11 4" xfId="9537" xr:uid="{00000000-0005-0000-0000-00003A5E0000}"/>
    <cellStyle name="Note 11 4 2" xfId="20825" xr:uid="{00000000-0005-0000-0000-00003B5E0000}"/>
    <cellStyle name="Note 11 5" xfId="7543" xr:uid="{00000000-0005-0000-0000-00003C5E0000}"/>
    <cellStyle name="Note 11 5 2" xfId="18831" xr:uid="{00000000-0005-0000-0000-00003D5E0000}"/>
    <cellStyle name="Note 11 6" xfId="5549" xr:uid="{00000000-0005-0000-0000-00003E5E0000}"/>
    <cellStyle name="Note 11 6 2" xfId="16837" xr:uid="{00000000-0005-0000-0000-00003F5E0000}"/>
    <cellStyle name="Note 11 7" xfId="14843" xr:uid="{00000000-0005-0000-0000-0000405E0000}"/>
    <cellStyle name="Note 11 8" xfId="13527" xr:uid="{00000000-0005-0000-0000-0000415E0000}"/>
    <cellStyle name="Note 11 9" xfId="24186" xr:uid="{00000000-0005-0000-0000-0000425E0000}"/>
    <cellStyle name="Note 12" xfId="3316" xr:uid="{00000000-0005-0000-0000-0000435E0000}"/>
    <cellStyle name="Note 12 10" xfId="24755" xr:uid="{00000000-0005-0000-0000-0000445E0000}"/>
    <cellStyle name="Note 12 11" xfId="25071" xr:uid="{00000000-0005-0000-0000-0000455E0000}"/>
    <cellStyle name="Note 12 2" xfId="4550" xr:uid="{00000000-0005-0000-0000-0000465E0000}"/>
    <cellStyle name="Note 12 2 2" xfId="12529" xr:uid="{00000000-0005-0000-0000-0000475E0000}"/>
    <cellStyle name="Note 12 2 2 2" xfId="23817" xr:uid="{00000000-0005-0000-0000-0000485E0000}"/>
    <cellStyle name="Note 12 2 3" xfId="10535" xr:uid="{00000000-0005-0000-0000-0000495E0000}"/>
    <cellStyle name="Note 12 2 3 2" xfId="21823" xr:uid="{00000000-0005-0000-0000-00004A5E0000}"/>
    <cellStyle name="Note 12 2 4" xfId="8541" xr:uid="{00000000-0005-0000-0000-00004B5E0000}"/>
    <cellStyle name="Note 12 2 4 2" xfId="19829" xr:uid="{00000000-0005-0000-0000-00004C5E0000}"/>
    <cellStyle name="Note 12 2 5" xfId="6547" xr:uid="{00000000-0005-0000-0000-00004D5E0000}"/>
    <cellStyle name="Note 12 2 5 2" xfId="17835" xr:uid="{00000000-0005-0000-0000-00004E5E0000}"/>
    <cellStyle name="Note 12 2 6" xfId="15841" xr:uid="{00000000-0005-0000-0000-00004F5E0000}"/>
    <cellStyle name="Note 12 2 7" xfId="24458" xr:uid="{00000000-0005-0000-0000-0000505E0000}"/>
    <cellStyle name="Note 12 2 8" xfId="24902" xr:uid="{00000000-0005-0000-0000-0000515E0000}"/>
    <cellStyle name="Note 12 2 9" xfId="25265" xr:uid="{00000000-0005-0000-0000-0000525E0000}"/>
    <cellStyle name="Note 12 3" xfId="11532" xr:uid="{00000000-0005-0000-0000-0000535E0000}"/>
    <cellStyle name="Note 12 3 2" xfId="22820" xr:uid="{00000000-0005-0000-0000-0000545E0000}"/>
    <cellStyle name="Note 12 4" xfId="9538" xr:uid="{00000000-0005-0000-0000-0000555E0000}"/>
    <cellStyle name="Note 12 4 2" xfId="20826" xr:uid="{00000000-0005-0000-0000-0000565E0000}"/>
    <cellStyle name="Note 12 5" xfId="7544" xr:uid="{00000000-0005-0000-0000-0000575E0000}"/>
    <cellStyle name="Note 12 5 2" xfId="18832" xr:uid="{00000000-0005-0000-0000-0000585E0000}"/>
    <cellStyle name="Note 12 6" xfId="5550" xr:uid="{00000000-0005-0000-0000-0000595E0000}"/>
    <cellStyle name="Note 12 6 2" xfId="16838" xr:uid="{00000000-0005-0000-0000-00005A5E0000}"/>
    <cellStyle name="Note 12 7" xfId="14844" xr:uid="{00000000-0005-0000-0000-00005B5E0000}"/>
    <cellStyle name="Note 12 8" xfId="13528" xr:uid="{00000000-0005-0000-0000-00005C5E0000}"/>
    <cellStyle name="Note 12 9" xfId="24187" xr:uid="{00000000-0005-0000-0000-00005D5E0000}"/>
    <cellStyle name="Note 13" xfId="3317" xr:uid="{00000000-0005-0000-0000-00005E5E0000}"/>
    <cellStyle name="Note 13 2" xfId="4551" xr:uid="{00000000-0005-0000-0000-00005F5E0000}"/>
    <cellStyle name="Note 13 2 2" xfId="12530" xr:uid="{00000000-0005-0000-0000-0000605E0000}"/>
    <cellStyle name="Note 13 2 2 2" xfId="23818" xr:uid="{00000000-0005-0000-0000-0000615E0000}"/>
    <cellStyle name="Note 13 2 3" xfId="10536" xr:uid="{00000000-0005-0000-0000-0000625E0000}"/>
    <cellStyle name="Note 13 2 3 2" xfId="21824" xr:uid="{00000000-0005-0000-0000-0000635E0000}"/>
    <cellStyle name="Note 13 2 4" xfId="8542" xr:uid="{00000000-0005-0000-0000-0000645E0000}"/>
    <cellStyle name="Note 13 2 4 2" xfId="19830" xr:uid="{00000000-0005-0000-0000-0000655E0000}"/>
    <cellStyle name="Note 13 2 5" xfId="6548" xr:uid="{00000000-0005-0000-0000-0000665E0000}"/>
    <cellStyle name="Note 13 2 5 2" xfId="17836" xr:uid="{00000000-0005-0000-0000-0000675E0000}"/>
    <cellStyle name="Note 13 2 6" xfId="15842" xr:uid="{00000000-0005-0000-0000-0000685E0000}"/>
    <cellStyle name="Note 13 3" xfId="11533" xr:uid="{00000000-0005-0000-0000-0000695E0000}"/>
    <cellStyle name="Note 13 3 2" xfId="22821" xr:uid="{00000000-0005-0000-0000-00006A5E0000}"/>
    <cellStyle name="Note 13 4" xfId="9539" xr:uid="{00000000-0005-0000-0000-00006B5E0000}"/>
    <cellStyle name="Note 13 4 2" xfId="20827" xr:uid="{00000000-0005-0000-0000-00006C5E0000}"/>
    <cellStyle name="Note 13 5" xfId="7545" xr:uid="{00000000-0005-0000-0000-00006D5E0000}"/>
    <cellStyle name="Note 13 5 2" xfId="18833" xr:uid="{00000000-0005-0000-0000-00006E5E0000}"/>
    <cellStyle name="Note 13 6" xfId="5551" xr:uid="{00000000-0005-0000-0000-00006F5E0000}"/>
    <cellStyle name="Note 13 6 2" xfId="16839" xr:uid="{00000000-0005-0000-0000-0000705E0000}"/>
    <cellStyle name="Note 13 7" xfId="14845" xr:uid="{00000000-0005-0000-0000-0000715E0000}"/>
    <cellStyle name="Note 13 8" xfId="13529" xr:uid="{00000000-0005-0000-0000-0000725E0000}"/>
    <cellStyle name="Note 14" xfId="3318" xr:uid="{00000000-0005-0000-0000-0000735E0000}"/>
    <cellStyle name="Note 14 2" xfId="4552" xr:uid="{00000000-0005-0000-0000-0000745E0000}"/>
    <cellStyle name="Note 14 2 2" xfId="12531" xr:uid="{00000000-0005-0000-0000-0000755E0000}"/>
    <cellStyle name="Note 14 2 2 2" xfId="23819" xr:uid="{00000000-0005-0000-0000-0000765E0000}"/>
    <cellStyle name="Note 14 2 3" xfId="10537" xr:uid="{00000000-0005-0000-0000-0000775E0000}"/>
    <cellStyle name="Note 14 2 3 2" xfId="21825" xr:uid="{00000000-0005-0000-0000-0000785E0000}"/>
    <cellStyle name="Note 14 2 4" xfId="8543" xr:uid="{00000000-0005-0000-0000-0000795E0000}"/>
    <cellStyle name="Note 14 2 4 2" xfId="19831" xr:uid="{00000000-0005-0000-0000-00007A5E0000}"/>
    <cellStyle name="Note 14 2 5" xfId="6549" xr:uid="{00000000-0005-0000-0000-00007B5E0000}"/>
    <cellStyle name="Note 14 2 5 2" xfId="17837" xr:uid="{00000000-0005-0000-0000-00007C5E0000}"/>
    <cellStyle name="Note 14 2 6" xfId="15843" xr:uid="{00000000-0005-0000-0000-00007D5E0000}"/>
    <cellStyle name="Note 14 3" xfId="11534" xr:uid="{00000000-0005-0000-0000-00007E5E0000}"/>
    <cellStyle name="Note 14 3 2" xfId="22822" xr:uid="{00000000-0005-0000-0000-00007F5E0000}"/>
    <cellStyle name="Note 14 4" xfId="9540" xr:uid="{00000000-0005-0000-0000-0000805E0000}"/>
    <cellStyle name="Note 14 4 2" xfId="20828" xr:uid="{00000000-0005-0000-0000-0000815E0000}"/>
    <cellStyle name="Note 14 5" xfId="7546" xr:uid="{00000000-0005-0000-0000-0000825E0000}"/>
    <cellStyle name="Note 14 5 2" xfId="18834" xr:uid="{00000000-0005-0000-0000-0000835E0000}"/>
    <cellStyle name="Note 14 6" xfId="5552" xr:uid="{00000000-0005-0000-0000-0000845E0000}"/>
    <cellStyle name="Note 14 6 2" xfId="16840" xr:uid="{00000000-0005-0000-0000-0000855E0000}"/>
    <cellStyle name="Note 14 7" xfId="14846" xr:uid="{00000000-0005-0000-0000-0000865E0000}"/>
    <cellStyle name="Note 14 8" xfId="13530" xr:uid="{00000000-0005-0000-0000-0000875E0000}"/>
    <cellStyle name="Note 15" xfId="3319" xr:uid="{00000000-0005-0000-0000-0000885E0000}"/>
    <cellStyle name="Note 15 2" xfId="4553" xr:uid="{00000000-0005-0000-0000-0000895E0000}"/>
    <cellStyle name="Note 15 2 2" xfId="12532" xr:uid="{00000000-0005-0000-0000-00008A5E0000}"/>
    <cellStyle name="Note 15 2 2 2" xfId="23820" xr:uid="{00000000-0005-0000-0000-00008B5E0000}"/>
    <cellStyle name="Note 15 2 3" xfId="10538" xr:uid="{00000000-0005-0000-0000-00008C5E0000}"/>
    <cellStyle name="Note 15 2 3 2" xfId="21826" xr:uid="{00000000-0005-0000-0000-00008D5E0000}"/>
    <cellStyle name="Note 15 2 4" xfId="8544" xr:uid="{00000000-0005-0000-0000-00008E5E0000}"/>
    <cellStyle name="Note 15 2 4 2" xfId="19832" xr:uid="{00000000-0005-0000-0000-00008F5E0000}"/>
    <cellStyle name="Note 15 2 5" xfId="6550" xr:uid="{00000000-0005-0000-0000-0000905E0000}"/>
    <cellStyle name="Note 15 2 5 2" xfId="17838" xr:uid="{00000000-0005-0000-0000-0000915E0000}"/>
    <cellStyle name="Note 15 2 6" xfId="15844" xr:uid="{00000000-0005-0000-0000-0000925E0000}"/>
    <cellStyle name="Note 15 3" xfId="11535" xr:uid="{00000000-0005-0000-0000-0000935E0000}"/>
    <cellStyle name="Note 15 3 2" xfId="22823" xr:uid="{00000000-0005-0000-0000-0000945E0000}"/>
    <cellStyle name="Note 15 4" xfId="9541" xr:uid="{00000000-0005-0000-0000-0000955E0000}"/>
    <cellStyle name="Note 15 4 2" xfId="20829" xr:uid="{00000000-0005-0000-0000-0000965E0000}"/>
    <cellStyle name="Note 15 5" xfId="7547" xr:uid="{00000000-0005-0000-0000-0000975E0000}"/>
    <cellStyle name="Note 15 5 2" xfId="18835" xr:uid="{00000000-0005-0000-0000-0000985E0000}"/>
    <cellStyle name="Note 15 6" xfId="5553" xr:uid="{00000000-0005-0000-0000-0000995E0000}"/>
    <cellStyle name="Note 15 6 2" xfId="16841" xr:uid="{00000000-0005-0000-0000-00009A5E0000}"/>
    <cellStyle name="Note 15 7" xfId="14847" xr:uid="{00000000-0005-0000-0000-00009B5E0000}"/>
    <cellStyle name="Note 15 8" xfId="13531" xr:uid="{00000000-0005-0000-0000-00009C5E0000}"/>
    <cellStyle name="Note 16" xfId="3320" xr:uid="{00000000-0005-0000-0000-00009D5E0000}"/>
    <cellStyle name="Note 16 2" xfId="4554" xr:uid="{00000000-0005-0000-0000-00009E5E0000}"/>
    <cellStyle name="Note 16 2 2" xfId="12533" xr:uid="{00000000-0005-0000-0000-00009F5E0000}"/>
    <cellStyle name="Note 16 2 2 2" xfId="23821" xr:uid="{00000000-0005-0000-0000-0000A05E0000}"/>
    <cellStyle name="Note 16 2 3" xfId="10539" xr:uid="{00000000-0005-0000-0000-0000A15E0000}"/>
    <cellStyle name="Note 16 2 3 2" xfId="21827" xr:uid="{00000000-0005-0000-0000-0000A25E0000}"/>
    <cellStyle name="Note 16 2 4" xfId="8545" xr:uid="{00000000-0005-0000-0000-0000A35E0000}"/>
    <cellStyle name="Note 16 2 4 2" xfId="19833" xr:uid="{00000000-0005-0000-0000-0000A45E0000}"/>
    <cellStyle name="Note 16 2 5" xfId="6551" xr:uid="{00000000-0005-0000-0000-0000A55E0000}"/>
    <cellStyle name="Note 16 2 5 2" xfId="17839" xr:uid="{00000000-0005-0000-0000-0000A65E0000}"/>
    <cellStyle name="Note 16 2 6" xfId="15845" xr:uid="{00000000-0005-0000-0000-0000A75E0000}"/>
    <cellStyle name="Note 16 3" xfId="11536" xr:uid="{00000000-0005-0000-0000-0000A85E0000}"/>
    <cellStyle name="Note 16 3 2" xfId="22824" xr:uid="{00000000-0005-0000-0000-0000A95E0000}"/>
    <cellStyle name="Note 16 4" xfId="9542" xr:uid="{00000000-0005-0000-0000-0000AA5E0000}"/>
    <cellStyle name="Note 16 4 2" xfId="20830" xr:uid="{00000000-0005-0000-0000-0000AB5E0000}"/>
    <cellStyle name="Note 16 5" xfId="7548" xr:uid="{00000000-0005-0000-0000-0000AC5E0000}"/>
    <cellStyle name="Note 16 5 2" xfId="18836" xr:uid="{00000000-0005-0000-0000-0000AD5E0000}"/>
    <cellStyle name="Note 16 6" xfId="5554" xr:uid="{00000000-0005-0000-0000-0000AE5E0000}"/>
    <cellStyle name="Note 16 6 2" xfId="16842" xr:uid="{00000000-0005-0000-0000-0000AF5E0000}"/>
    <cellStyle name="Note 16 7" xfId="14848" xr:uid="{00000000-0005-0000-0000-0000B05E0000}"/>
    <cellStyle name="Note 16 8" xfId="13532" xr:uid="{00000000-0005-0000-0000-0000B15E0000}"/>
    <cellStyle name="Note 17" xfId="3321" xr:uid="{00000000-0005-0000-0000-0000B25E0000}"/>
    <cellStyle name="Note 17 2" xfId="4555" xr:uid="{00000000-0005-0000-0000-0000B35E0000}"/>
    <cellStyle name="Note 17 2 2" xfId="12534" xr:uid="{00000000-0005-0000-0000-0000B45E0000}"/>
    <cellStyle name="Note 17 2 2 2" xfId="23822" xr:uid="{00000000-0005-0000-0000-0000B55E0000}"/>
    <cellStyle name="Note 17 2 3" xfId="10540" xr:uid="{00000000-0005-0000-0000-0000B65E0000}"/>
    <cellStyle name="Note 17 2 3 2" xfId="21828" xr:uid="{00000000-0005-0000-0000-0000B75E0000}"/>
    <cellStyle name="Note 17 2 4" xfId="8546" xr:uid="{00000000-0005-0000-0000-0000B85E0000}"/>
    <cellStyle name="Note 17 2 4 2" xfId="19834" xr:uid="{00000000-0005-0000-0000-0000B95E0000}"/>
    <cellStyle name="Note 17 2 5" xfId="6552" xr:uid="{00000000-0005-0000-0000-0000BA5E0000}"/>
    <cellStyle name="Note 17 2 5 2" xfId="17840" xr:uid="{00000000-0005-0000-0000-0000BB5E0000}"/>
    <cellStyle name="Note 17 2 6" xfId="15846" xr:uid="{00000000-0005-0000-0000-0000BC5E0000}"/>
    <cellStyle name="Note 17 3" xfId="11537" xr:uid="{00000000-0005-0000-0000-0000BD5E0000}"/>
    <cellStyle name="Note 17 3 2" xfId="22825" xr:uid="{00000000-0005-0000-0000-0000BE5E0000}"/>
    <cellStyle name="Note 17 4" xfId="9543" xr:uid="{00000000-0005-0000-0000-0000BF5E0000}"/>
    <cellStyle name="Note 17 4 2" xfId="20831" xr:uid="{00000000-0005-0000-0000-0000C05E0000}"/>
    <cellStyle name="Note 17 5" xfId="7549" xr:uid="{00000000-0005-0000-0000-0000C15E0000}"/>
    <cellStyle name="Note 17 5 2" xfId="18837" xr:uid="{00000000-0005-0000-0000-0000C25E0000}"/>
    <cellStyle name="Note 17 6" xfId="5555" xr:uid="{00000000-0005-0000-0000-0000C35E0000}"/>
    <cellStyle name="Note 17 6 2" xfId="16843" xr:uid="{00000000-0005-0000-0000-0000C45E0000}"/>
    <cellStyle name="Note 17 7" xfId="14849" xr:uid="{00000000-0005-0000-0000-0000C55E0000}"/>
    <cellStyle name="Note 17 8" xfId="13533" xr:uid="{00000000-0005-0000-0000-0000C65E0000}"/>
    <cellStyle name="Note 18" xfId="3322" xr:uid="{00000000-0005-0000-0000-0000C75E0000}"/>
    <cellStyle name="Note 18 2" xfId="4556" xr:uid="{00000000-0005-0000-0000-0000C85E0000}"/>
    <cellStyle name="Note 18 2 2" xfId="12535" xr:uid="{00000000-0005-0000-0000-0000C95E0000}"/>
    <cellStyle name="Note 18 2 2 2" xfId="23823" xr:uid="{00000000-0005-0000-0000-0000CA5E0000}"/>
    <cellStyle name="Note 18 2 3" xfId="10541" xr:uid="{00000000-0005-0000-0000-0000CB5E0000}"/>
    <cellStyle name="Note 18 2 3 2" xfId="21829" xr:uid="{00000000-0005-0000-0000-0000CC5E0000}"/>
    <cellStyle name="Note 18 2 4" xfId="8547" xr:uid="{00000000-0005-0000-0000-0000CD5E0000}"/>
    <cellStyle name="Note 18 2 4 2" xfId="19835" xr:uid="{00000000-0005-0000-0000-0000CE5E0000}"/>
    <cellStyle name="Note 18 2 5" xfId="6553" xr:uid="{00000000-0005-0000-0000-0000CF5E0000}"/>
    <cellStyle name="Note 18 2 5 2" xfId="17841" xr:uid="{00000000-0005-0000-0000-0000D05E0000}"/>
    <cellStyle name="Note 18 2 6" xfId="15847" xr:uid="{00000000-0005-0000-0000-0000D15E0000}"/>
    <cellStyle name="Note 18 3" xfId="11538" xr:uid="{00000000-0005-0000-0000-0000D25E0000}"/>
    <cellStyle name="Note 18 3 2" xfId="22826" xr:uid="{00000000-0005-0000-0000-0000D35E0000}"/>
    <cellStyle name="Note 18 4" xfId="9544" xr:uid="{00000000-0005-0000-0000-0000D45E0000}"/>
    <cellStyle name="Note 18 4 2" xfId="20832" xr:uid="{00000000-0005-0000-0000-0000D55E0000}"/>
    <cellStyle name="Note 18 5" xfId="7550" xr:uid="{00000000-0005-0000-0000-0000D65E0000}"/>
    <cellStyle name="Note 18 5 2" xfId="18838" xr:uid="{00000000-0005-0000-0000-0000D75E0000}"/>
    <cellStyle name="Note 18 6" xfId="5556" xr:uid="{00000000-0005-0000-0000-0000D85E0000}"/>
    <cellStyle name="Note 18 6 2" xfId="16844" xr:uid="{00000000-0005-0000-0000-0000D95E0000}"/>
    <cellStyle name="Note 18 7" xfId="14850" xr:uid="{00000000-0005-0000-0000-0000DA5E0000}"/>
    <cellStyle name="Note 18 8" xfId="13534" xr:uid="{00000000-0005-0000-0000-0000DB5E0000}"/>
    <cellStyle name="Note 19" xfId="3323" xr:uid="{00000000-0005-0000-0000-0000DC5E0000}"/>
    <cellStyle name="Note 19 2" xfId="4557" xr:uid="{00000000-0005-0000-0000-0000DD5E0000}"/>
    <cellStyle name="Note 19 2 2" xfId="12536" xr:uid="{00000000-0005-0000-0000-0000DE5E0000}"/>
    <cellStyle name="Note 19 2 2 2" xfId="23824" xr:uid="{00000000-0005-0000-0000-0000DF5E0000}"/>
    <cellStyle name="Note 19 2 3" xfId="10542" xr:uid="{00000000-0005-0000-0000-0000E05E0000}"/>
    <cellStyle name="Note 19 2 3 2" xfId="21830" xr:uid="{00000000-0005-0000-0000-0000E15E0000}"/>
    <cellStyle name="Note 19 2 4" xfId="8548" xr:uid="{00000000-0005-0000-0000-0000E25E0000}"/>
    <cellStyle name="Note 19 2 4 2" xfId="19836" xr:uid="{00000000-0005-0000-0000-0000E35E0000}"/>
    <cellStyle name="Note 19 2 5" xfId="6554" xr:uid="{00000000-0005-0000-0000-0000E45E0000}"/>
    <cellStyle name="Note 19 2 5 2" xfId="17842" xr:uid="{00000000-0005-0000-0000-0000E55E0000}"/>
    <cellStyle name="Note 19 2 6" xfId="15848" xr:uid="{00000000-0005-0000-0000-0000E65E0000}"/>
    <cellStyle name="Note 19 3" xfId="11539" xr:uid="{00000000-0005-0000-0000-0000E75E0000}"/>
    <cellStyle name="Note 19 3 2" xfId="22827" xr:uid="{00000000-0005-0000-0000-0000E85E0000}"/>
    <cellStyle name="Note 19 4" xfId="9545" xr:uid="{00000000-0005-0000-0000-0000E95E0000}"/>
    <cellStyle name="Note 19 4 2" xfId="20833" xr:uid="{00000000-0005-0000-0000-0000EA5E0000}"/>
    <cellStyle name="Note 19 5" xfId="7551" xr:uid="{00000000-0005-0000-0000-0000EB5E0000}"/>
    <cellStyle name="Note 19 5 2" xfId="18839" xr:uid="{00000000-0005-0000-0000-0000EC5E0000}"/>
    <cellStyle name="Note 19 6" xfId="5557" xr:uid="{00000000-0005-0000-0000-0000ED5E0000}"/>
    <cellStyle name="Note 19 6 2" xfId="16845" xr:uid="{00000000-0005-0000-0000-0000EE5E0000}"/>
    <cellStyle name="Note 19 7" xfId="14851" xr:uid="{00000000-0005-0000-0000-0000EF5E0000}"/>
    <cellStyle name="Note 19 8" xfId="13535" xr:uid="{00000000-0005-0000-0000-0000F05E0000}"/>
    <cellStyle name="Note 2" xfId="3324" xr:uid="{00000000-0005-0000-0000-0000F15E0000}"/>
    <cellStyle name="Note 2 10" xfId="25072" xr:uid="{00000000-0005-0000-0000-0000F25E0000}"/>
    <cellStyle name="Note 2 10 2" xfId="25396" xr:uid="{00000000-0005-0000-0000-0000F35E0000}"/>
    <cellStyle name="Note 2 10 2 2" xfId="27550" xr:uid="{00000000-0005-0000-0000-0000F45E0000}"/>
    <cellStyle name="Note 2 10 2 2 2" xfId="32141" xr:uid="{ED795074-B4B2-4DEB-9864-3BEC659C2323}"/>
    <cellStyle name="Note 2 10 2 3" xfId="26995" xr:uid="{00000000-0005-0000-0000-0000F55E0000}"/>
    <cellStyle name="Note 2 10 2 3 2" xfId="31756" xr:uid="{E3ED3DC2-EA43-4EDA-B768-D85FFEA8460A}"/>
    <cellStyle name="Note 2 10 2 4" xfId="27022" xr:uid="{00000000-0005-0000-0000-0000F65E0000}"/>
    <cellStyle name="Note 2 10 2 4 2" xfId="31782" xr:uid="{95DD3BD0-AADC-42A6-8647-9EE1F767CE7A}"/>
    <cellStyle name="Note 2 10 2 5" xfId="29314" xr:uid="{00000000-0005-0000-0000-0000F75E0000}"/>
    <cellStyle name="Note 2 10 2 5 2" xfId="33279" xr:uid="{12A2F255-3763-427C-B3D1-D51101DB3453}"/>
    <cellStyle name="Note 2 10 2 6" xfId="30554" xr:uid="{DB5B7E35-8A43-4EB6-8AC8-D2C86280612A}"/>
    <cellStyle name="Note 2 10 3" xfId="25676" xr:uid="{00000000-0005-0000-0000-0000F85E0000}"/>
    <cellStyle name="Note 2 10 3 2" xfId="27829" xr:uid="{00000000-0005-0000-0000-0000F95E0000}"/>
    <cellStyle name="Note 2 10 3 2 2" xfId="32416" xr:uid="{803D59E6-E361-4913-97AB-1E2382A01DEC}"/>
    <cellStyle name="Note 2 10 3 3" xfId="26488" xr:uid="{00000000-0005-0000-0000-0000FA5E0000}"/>
    <cellStyle name="Note 2 10 3 3 2" xfId="31276" xr:uid="{E7654906-ECE5-41D5-B07C-7C34E53F33AB}"/>
    <cellStyle name="Note 2 10 3 4" xfId="26208" xr:uid="{00000000-0005-0000-0000-0000FB5E0000}"/>
    <cellStyle name="Note 2 10 3 4 2" xfId="30996" xr:uid="{BE4F8778-6736-43B5-9773-1266BE68FD56}"/>
    <cellStyle name="Note 2 10 3 5" xfId="29313" xr:uid="{00000000-0005-0000-0000-0000FC5E0000}"/>
    <cellStyle name="Note 2 10 3 5 2" xfId="33278" xr:uid="{AE71FB73-1C04-4406-9E95-AC8B3CC87E05}"/>
    <cellStyle name="Note 2 10 3 6" xfId="30670" xr:uid="{2A5ECE81-5927-460E-B513-2404887CCA4E}"/>
    <cellStyle name="Note 2 10 4" xfId="27363" xr:uid="{00000000-0005-0000-0000-0000FD5E0000}"/>
    <cellStyle name="Note 2 10 4 2" xfId="31961" xr:uid="{65D60B22-CBB4-400A-AC3A-2DED091C8A2B}"/>
    <cellStyle name="Note 2 10 5" xfId="26412" xr:uid="{00000000-0005-0000-0000-0000FE5E0000}"/>
    <cellStyle name="Note 2 10 5 2" xfId="31200" xr:uid="{23F341C7-712E-4D2C-AE5B-DE6A4243D440}"/>
    <cellStyle name="Note 2 10 6" xfId="26234" xr:uid="{00000000-0005-0000-0000-0000FF5E0000}"/>
    <cellStyle name="Note 2 10 6 2" xfId="31022" xr:uid="{95B47169-799D-4793-816C-844DDB67347E}"/>
    <cellStyle name="Note 2 10 7" xfId="29315" xr:uid="{00000000-0005-0000-0000-0000005F0000}"/>
    <cellStyle name="Note 2 10 7 2" xfId="33280" xr:uid="{E52D3C94-8A03-47EC-B69C-65D064DE55EF}"/>
    <cellStyle name="Note 2 10 8" xfId="30378" xr:uid="{67981270-B86C-4BCD-A34E-12A5DE36C781}"/>
    <cellStyle name="Note 2 2" xfId="4558" xr:uid="{00000000-0005-0000-0000-0000015F0000}"/>
    <cellStyle name="Note 2 2 2" xfId="12537" xr:uid="{00000000-0005-0000-0000-0000025F0000}"/>
    <cellStyle name="Note 2 2 2 2" xfId="23825" xr:uid="{00000000-0005-0000-0000-0000035F0000}"/>
    <cellStyle name="Note 2 2 3" xfId="10543" xr:uid="{00000000-0005-0000-0000-0000045F0000}"/>
    <cellStyle name="Note 2 2 3 2" xfId="21831" xr:uid="{00000000-0005-0000-0000-0000055F0000}"/>
    <cellStyle name="Note 2 2 4" xfId="8549" xr:uid="{00000000-0005-0000-0000-0000065F0000}"/>
    <cellStyle name="Note 2 2 4 2" xfId="19837" xr:uid="{00000000-0005-0000-0000-0000075F0000}"/>
    <cellStyle name="Note 2 2 5" xfId="6555" xr:uid="{00000000-0005-0000-0000-0000085F0000}"/>
    <cellStyle name="Note 2 2 5 2" xfId="17843" xr:uid="{00000000-0005-0000-0000-0000095F0000}"/>
    <cellStyle name="Note 2 2 6" xfId="15849" xr:uid="{00000000-0005-0000-0000-00000A5F0000}"/>
    <cellStyle name="Note 2 2 7" xfId="24189" xr:uid="{00000000-0005-0000-0000-00000B5F0000}"/>
    <cellStyle name="Note 2 2 7 2" xfId="25413" xr:uid="{00000000-0005-0000-0000-00000C5F0000}"/>
    <cellStyle name="Note 2 2 7 2 2" xfId="27567" xr:uid="{00000000-0005-0000-0000-00000D5F0000}"/>
    <cellStyle name="Note 2 2 7 2 2 2" xfId="32158" xr:uid="{169D7C43-7A16-489C-9055-F5928126142E}"/>
    <cellStyle name="Note 2 2 7 2 3" xfId="26449" xr:uid="{00000000-0005-0000-0000-00000E5F0000}"/>
    <cellStyle name="Note 2 2 7 2 3 2" xfId="31237" xr:uid="{7A97FE70-2EF5-4225-BBF2-314E19A2FB53}"/>
    <cellStyle name="Note 2 2 7 2 4" xfId="26692" xr:uid="{00000000-0005-0000-0000-00000F5F0000}"/>
    <cellStyle name="Note 2 2 7 2 4 2" xfId="31454" xr:uid="{EC1FEF2A-F609-4CC8-B19E-2820CFD460B4}"/>
    <cellStyle name="Note 2 2 7 2 5" xfId="29311" xr:uid="{00000000-0005-0000-0000-0000105F0000}"/>
    <cellStyle name="Note 2 2 7 2 5 2" xfId="33276" xr:uid="{0BEE830D-C87E-43CF-A79B-1800BE0F3648}"/>
    <cellStyle name="Note 2 2 7 2 6" xfId="30571" xr:uid="{E4C56B17-1813-48AC-BEE6-9B19141E1375}"/>
    <cellStyle name="Note 2 2 7 3" xfId="25564" xr:uid="{00000000-0005-0000-0000-0000115F0000}"/>
    <cellStyle name="Note 2 2 7 3 2" xfId="27717" xr:uid="{00000000-0005-0000-0000-0000125F0000}"/>
    <cellStyle name="Note 2 2 7 3 2 2" xfId="32304" xr:uid="{432BFCAB-7922-44BD-938F-95BBE0249034}"/>
    <cellStyle name="Note 2 2 7 3 3" xfId="26725" xr:uid="{00000000-0005-0000-0000-0000135F0000}"/>
    <cellStyle name="Note 2 2 7 3 3 2" xfId="31486" xr:uid="{F163B9E1-29DA-4E41-81D9-C9582A11C23A}"/>
    <cellStyle name="Note 2 2 7 3 4" xfId="26483" xr:uid="{00000000-0005-0000-0000-0000145F0000}"/>
    <cellStyle name="Note 2 2 7 3 4 2" xfId="31271" xr:uid="{2648E547-47F7-4FE0-AB43-3B4CB4A483E4}"/>
    <cellStyle name="Note 2 2 7 3 5" xfId="29310" xr:uid="{00000000-0005-0000-0000-0000155F0000}"/>
    <cellStyle name="Note 2 2 7 3 5 2" xfId="33275" xr:uid="{1F0ED3A2-0841-4A8B-AFE0-122FA7EAB477}"/>
    <cellStyle name="Note 2 2 7 3 6" xfId="30621" xr:uid="{B54B5947-01C3-4320-827A-4170B89D4A2E}"/>
    <cellStyle name="Note 2 2 7 4" xfId="27089" xr:uid="{00000000-0005-0000-0000-0000165F0000}"/>
    <cellStyle name="Note 2 2 7 4 2" xfId="31813" xr:uid="{3C2F7081-3DAC-452E-B2C9-67543035D0DE}"/>
    <cellStyle name="Note 2 2 7 5" xfId="26967" xr:uid="{00000000-0005-0000-0000-0000175F0000}"/>
    <cellStyle name="Note 2 2 7 5 2" xfId="31728" xr:uid="{7A6AC54E-225A-456C-A992-255426DC1D3A}"/>
    <cellStyle name="Note 2 2 7 6" xfId="26787" xr:uid="{00000000-0005-0000-0000-0000185F0000}"/>
    <cellStyle name="Note 2 2 7 6 2" xfId="31548" xr:uid="{7368A84E-74F8-42A5-866A-141DCF4E1C55}"/>
    <cellStyle name="Note 2 2 7 7" xfId="29312" xr:uid="{00000000-0005-0000-0000-0000195F0000}"/>
    <cellStyle name="Note 2 2 7 7 2" xfId="33277" xr:uid="{4A48E003-899A-4635-A0EE-908E495A489C}"/>
    <cellStyle name="Note 2 2 7 8" xfId="30266" xr:uid="{A8C89ABE-37AC-43B4-A160-C6171A84BDCD}"/>
    <cellStyle name="Note 2 2 8" xfId="25073" xr:uid="{00000000-0005-0000-0000-00001A5F0000}"/>
    <cellStyle name="Note 2 2 8 2" xfId="25305" xr:uid="{00000000-0005-0000-0000-00001B5F0000}"/>
    <cellStyle name="Note 2 2 8 2 2" xfId="27459" xr:uid="{00000000-0005-0000-0000-00001C5F0000}"/>
    <cellStyle name="Note 2 2 8 2 2 2" xfId="32051" xr:uid="{7E7D7BC4-4FF5-4124-A7EB-41943EB6FC6F}"/>
    <cellStyle name="Note 2 2 8 2 3" xfId="26276" xr:uid="{00000000-0005-0000-0000-00001D5F0000}"/>
    <cellStyle name="Note 2 2 8 2 3 2" xfId="31064" xr:uid="{E2F65BB5-69C2-43D6-93D5-FBFE9ECA6728}"/>
    <cellStyle name="Note 2 2 8 2 4" xfId="26501" xr:uid="{00000000-0005-0000-0000-00001E5F0000}"/>
    <cellStyle name="Note 2 2 8 2 4 2" xfId="31289" xr:uid="{E8F2CDAF-71DF-41A5-AA52-50FAD1FA1604}"/>
    <cellStyle name="Note 2 2 8 2 5" xfId="29308" xr:uid="{00000000-0005-0000-0000-00001F5F0000}"/>
    <cellStyle name="Note 2 2 8 2 5 2" xfId="33273" xr:uid="{9502271A-FC77-450B-8BC6-57FECE1FD012}"/>
    <cellStyle name="Note 2 2 8 2 6" xfId="30464" xr:uid="{ED1A8589-C2DD-4525-ABA0-58B9E98F5659}"/>
    <cellStyle name="Note 2 2 8 3" xfId="25677" xr:uid="{00000000-0005-0000-0000-0000205F0000}"/>
    <cellStyle name="Note 2 2 8 3 2" xfId="27830" xr:uid="{00000000-0005-0000-0000-0000215F0000}"/>
    <cellStyle name="Note 2 2 8 3 2 2" xfId="32417" xr:uid="{660D9830-CD92-42FD-8F1B-3A0F9D88FEBD}"/>
    <cellStyle name="Note 2 2 8 3 3" xfId="26871" xr:uid="{00000000-0005-0000-0000-0000225F0000}"/>
    <cellStyle name="Note 2 2 8 3 3 2" xfId="31632" xr:uid="{F444B97D-740D-4D3D-BFA5-35257F062E93}"/>
    <cellStyle name="Note 2 2 8 3 4" xfId="26439" xr:uid="{00000000-0005-0000-0000-0000235F0000}"/>
    <cellStyle name="Note 2 2 8 3 4 2" xfId="31227" xr:uid="{9E32C757-93CD-45CF-805A-EF9C37E64678}"/>
    <cellStyle name="Note 2 2 8 3 5" xfId="29307" xr:uid="{00000000-0005-0000-0000-0000245F0000}"/>
    <cellStyle name="Note 2 2 8 3 5 2" xfId="33272" xr:uid="{BC2B08EC-FC95-4850-953F-262B9AF9911F}"/>
    <cellStyle name="Note 2 2 8 3 6" xfId="30671" xr:uid="{1AEB03C2-F7E1-41A8-B6CD-D9D9FE73473C}"/>
    <cellStyle name="Note 2 2 8 4" xfId="27364" xr:uid="{00000000-0005-0000-0000-0000255F0000}"/>
    <cellStyle name="Note 2 2 8 4 2" xfId="31962" xr:uid="{11C8F833-72BE-4190-A28D-D7173BBC7D9C}"/>
    <cellStyle name="Note 2 2 8 5" xfId="26802" xr:uid="{00000000-0005-0000-0000-0000265F0000}"/>
    <cellStyle name="Note 2 2 8 5 2" xfId="31563" xr:uid="{158345EE-2391-4F34-8E83-E268C7A71CD1}"/>
    <cellStyle name="Note 2 2 8 6" xfId="26854" xr:uid="{00000000-0005-0000-0000-0000275F0000}"/>
    <cellStyle name="Note 2 2 8 6 2" xfId="31615" xr:uid="{A56DD33B-52FF-4AD4-9133-822FED9FF235}"/>
    <cellStyle name="Note 2 2 8 7" xfId="29309" xr:uid="{00000000-0005-0000-0000-0000285F0000}"/>
    <cellStyle name="Note 2 2 8 7 2" xfId="33274" xr:uid="{12E43B7D-1D4F-490D-B6A0-773843719E12}"/>
    <cellStyle name="Note 2 2 8 8" xfId="30379" xr:uid="{018F3373-B5F4-4D1B-AEF7-889B9FC86EA8}"/>
    <cellStyle name="Note 2 3" xfId="11540" xr:uid="{00000000-0005-0000-0000-0000295F0000}"/>
    <cellStyle name="Note 2 3 2" xfId="22828" xr:uid="{00000000-0005-0000-0000-00002A5F0000}"/>
    <cellStyle name="Note 2 4" xfId="9546" xr:uid="{00000000-0005-0000-0000-00002B5F0000}"/>
    <cellStyle name="Note 2 4 2" xfId="20834" xr:uid="{00000000-0005-0000-0000-00002C5F0000}"/>
    <cellStyle name="Note 2 5" xfId="7552" xr:uid="{00000000-0005-0000-0000-00002D5F0000}"/>
    <cellStyle name="Note 2 5 2" xfId="18840" xr:uid="{00000000-0005-0000-0000-00002E5F0000}"/>
    <cellStyle name="Note 2 6" xfId="5558" xr:uid="{00000000-0005-0000-0000-00002F5F0000}"/>
    <cellStyle name="Note 2 6 2" xfId="16846" xr:uid="{00000000-0005-0000-0000-0000305F0000}"/>
    <cellStyle name="Note 2 7" xfId="14852" xr:uid="{00000000-0005-0000-0000-0000315F0000}"/>
    <cellStyle name="Note 2 8" xfId="13536" xr:uid="{00000000-0005-0000-0000-0000325F0000}"/>
    <cellStyle name="Note 2 9" xfId="24188" xr:uid="{00000000-0005-0000-0000-0000335F0000}"/>
    <cellStyle name="Note 2 9 2" xfId="25311" xr:uid="{00000000-0005-0000-0000-0000345F0000}"/>
    <cellStyle name="Note 2 9 2 2" xfId="27465" xr:uid="{00000000-0005-0000-0000-0000355F0000}"/>
    <cellStyle name="Note 2 9 2 2 2" xfId="32057" xr:uid="{75138C7E-A1CF-4881-A064-E8B5D64E8FAA}"/>
    <cellStyle name="Note 2 9 2 3" xfId="26837" xr:uid="{00000000-0005-0000-0000-0000365F0000}"/>
    <cellStyle name="Note 2 9 2 3 2" xfId="31598" xr:uid="{3D56A009-D419-402E-81FD-EC1F04BBE60A}"/>
    <cellStyle name="Note 2 9 2 4" xfId="26293" xr:uid="{00000000-0005-0000-0000-0000375F0000}"/>
    <cellStyle name="Note 2 9 2 4 2" xfId="31081" xr:uid="{55896BA1-B9F8-41FB-B1D7-1F6E32C4E237}"/>
    <cellStyle name="Note 2 9 2 5" xfId="29305" xr:uid="{00000000-0005-0000-0000-0000385F0000}"/>
    <cellStyle name="Note 2 9 2 5 2" xfId="33270" xr:uid="{6938A78F-400E-4825-8311-48C0CB394A15}"/>
    <cellStyle name="Note 2 9 2 6" xfId="30470" xr:uid="{4572FE7E-DF9D-4393-9A56-2C5BEFF59353}"/>
    <cellStyle name="Note 2 9 3" xfId="25563" xr:uid="{00000000-0005-0000-0000-0000395F0000}"/>
    <cellStyle name="Note 2 9 3 2" xfId="27716" xr:uid="{00000000-0005-0000-0000-00003A5F0000}"/>
    <cellStyle name="Note 2 9 3 2 2" xfId="32303" xr:uid="{8239A794-E344-4343-A163-EEF6AB8FA92C}"/>
    <cellStyle name="Note 2 9 3 3" xfId="26310" xr:uid="{00000000-0005-0000-0000-00003B5F0000}"/>
    <cellStyle name="Note 2 9 3 3 2" xfId="31098" xr:uid="{CC66EC9F-1811-42EF-82D3-C9F0568470E9}"/>
    <cellStyle name="Note 2 9 3 4" xfId="26463" xr:uid="{00000000-0005-0000-0000-00003C5F0000}"/>
    <cellStyle name="Note 2 9 3 4 2" xfId="31251" xr:uid="{DF6CBA9F-FD3E-440E-A9C7-59B340C8F2FE}"/>
    <cellStyle name="Note 2 9 3 5" xfId="29304" xr:uid="{00000000-0005-0000-0000-00003D5F0000}"/>
    <cellStyle name="Note 2 9 3 5 2" xfId="33269" xr:uid="{3B2C4CC9-886B-4FAC-9C32-AFA20D0CA4ED}"/>
    <cellStyle name="Note 2 9 3 6" xfId="30620" xr:uid="{F66AB64F-E090-4EB6-AA97-C7972D739FDA}"/>
    <cellStyle name="Note 2 9 4" xfId="27088" xr:uid="{00000000-0005-0000-0000-00003E5F0000}"/>
    <cellStyle name="Note 2 9 4 2" xfId="31812" xr:uid="{7E355FD8-1B45-4CB2-A37C-2AF3611778D5}"/>
    <cellStyle name="Note 2 9 5" xfId="26236" xr:uid="{00000000-0005-0000-0000-00003F5F0000}"/>
    <cellStyle name="Note 2 9 5 2" xfId="31024" xr:uid="{8DAA8540-B2FD-4BD6-B7C7-215B2DE70E36}"/>
    <cellStyle name="Note 2 9 6" xfId="26328" xr:uid="{00000000-0005-0000-0000-0000405F0000}"/>
    <cellStyle name="Note 2 9 6 2" xfId="31116" xr:uid="{9C6DF302-F321-49B8-B606-9806BF2E6D01}"/>
    <cellStyle name="Note 2 9 7" xfId="29306" xr:uid="{00000000-0005-0000-0000-0000415F0000}"/>
    <cellStyle name="Note 2 9 7 2" xfId="33271" xr:uid="{8107E51A-3AC4-4C7C-A01C-75FBB883564B}"/>
    <cellStyle name="Note 2 9 8" xfId="30265" xr:uid="{E0763D03-A217-4FF4-8735-C4249CDD5A2E}"/>
    <cellStyle name="Note 20" xfId="3325" xr:uid="{00000000-0005-0000-0000-0000425F0000}"/>
    <cellStyle name="Note 20 2" xfId="4559" xr:uid="{00000000-0005-0000-0000-0000435F0000}"/>
    <cellStyle name="Note 20 2 2" xfId="12538" xr:uid="{00000000-0005-0000-0000-0000445F0000}"/>
    <cellStyle name="Note 20 2 2 2" xfId="23826" xr:uid="{00000000-0005-0000-0000-0000455F0000}"/>
    <cellStyle name="Note 20 2 3" xfId="10544" xr:uid="{00000000-0005-0000-0000-0000465F0000}"/>
    <cellStyle name="Note 20 2 3 2" xfId="21832" xr:uid="{00000000-0005-0000-0000-0000475F0000}"/>
    <cellStyle name="Note 20 2 4" xfId="8550" xr:uid="{00000000-0005-0000-0000-0000485F0000}"/>
    <cellStyle name="Note 20 2 4 2" xfId="19838" xr:uid="{00000000-0005-0000-0000-0000495F0000}"/>
    <cellStyle name="Note 20 2 5" xfId="6556" xr:uid="{00000000-0005-0000-0000-00004A5F0000}"/>
    <cellStyle name="Note 20 2 5 2" xfId="17844" xr:uid="{00000000-0005-0000-0000-00004B5F0000}"/>
    <cellStyle name="Note 20 2 6" xfId="15850" xr:uid="{00000000-0005-0000-0000-00004C5F0000}"/>
    <cellStyle name="Note 20 3" xfId="11541" xr:uid="{00000000-0005-0000-0000-00004D5F0000}"/>
    <cellStyle name="Note 20 3 2" xfId="22829" xr:uid="{00000000-0005-0000-0000-00004E5F0000}"/>
    <cellStyle name="Note 20 4" xfId="9547" xr:uid="{00000000-0005-0000-0000-00004F5F0000}"/>
    <cellStyle name="Note 20 4 2" xfId="20835" xr:uid="{00000000-0005-0000-0000-0000505F0000}"/>
    <cellStyle name="Note 20 5" xfId="7553" xr:uid="{00000000-0005-0000-0000-0000515F0000}"/>
    <cellStyle name="Note 20 5 2" xfId="18841" xr:uid="{00000000-0005-0000-0000-0000525F0000}"/>
    <cellStyle name="Note 20 6" xfId="5559" xr:uid="{00000000-0005-0000-0000-0000535F0000}"/>
    <cellStyle name="Note 20 6 2" xfId="16847" xr:uid="{00000000-0005-0000-0000-0000545F0000}"/>
    <cellStyle name="Note 20 7" xfId="14853" xr:uid="{00000000-0005-0000-0000-0000555F0000}"/>
    <cellStyle name="Note 20 8" xfId="13537" xr:uid="{00000000-0005-0000-0000-0000565F0000}"/>
    <cellStyle name="Note 21" xfId="3326" xr:uid="{00000000-0005-0000-0000-0000575F0000}"/>
    <cellStyle name="Note 21 2" xfId="4560" xr:uid="{00000000-0005-0000-0000-0000585F0000}"/>
    <cellStyle name="Note 21 2 2" xfId="12539" xr:uid="{00000000-0005-0000-0000-0000595F0000}"/>
    <cellStyle name="Note 21 2 2 2" xfId="23827" xr:uid="{00000000-0005-0000-0000-00005A5F0000}"/>
    <cellStyle name="Note 21 2 3" xfId="10545" xr:uid="{00000000-0005-0000-0000-00005B5F0000}"/>
    <cellStyle name="Note 21 2 3 2" xfId="21833" xr:uid="{00000000-0005-0000-0000-00005C5F0000}"/>
    <cellStyle name="Note 21 2 4" xfId="8551" xr:uid="{00000000-0005-0000-0000-00005D5F0000}"/>
    <cellStyle name="Note 21 2 4 2" xfId="19839" xr:uid="{00000000-0005-0000-0000-00005E5F0000}"/>
    <cellStyle name="Note 21 2 5" xfId="6557" xr:uid="{00000000-0005-0000-0000-00005F5F0000}"/>
    <cellStyle name="Note 21 2 5 2" xfId="17845" xr:uid="{00000000-0005-0000-0000-0000605F0000}"/>
    <cellStyle name="Note 21 2 6" xfId="15851" xr:uid="{00000000-0005-0000-0000-0000615F0000}"/>
    <cellStyle name="Note 21 3" xfId="11542" xr:uid="{00000000-0005-0000-0000-0000625F0000}"/>
    <cellStyle name="Note 21 3 2" xfId="22830" xr:uid="{00000000-0005-0000-0000-0000635F0000}"/>
    <cellStyle name="Note 21 4" xfId="9548" xr:uid="{00000000-0005-0000-0000-0000645F0000}"/>
    <cellStyle name="Note 21 4 2" xfId="20836" xr:uid="{00000000-0005-0000-0000-0000655F0000}"/>
    <cellStyle name="Note 21 5" xfId="7554" xr:uid="{00000000-0005-0000-0000-0000665F0000}"/>
    <cellStyle name="Note 21 5 2" xfId="18842" xr:uid="{00000000-0005-0000-0000-0000675F0000}"/>
    <cellStyle name="Note 21 6" xfId="5560" xr:uid="{00000000-0005-0000-0000-0000685F0000}"/>
    <cellStyle name="Note 21 6 2" xfId="16848" xr:uid="{00000000-0005-0000-0000-0000695F0000}"/>
    <cellStyle name="Note 21 7" xfId="14854" xr:uid="{00000000-0005-0000-0000-00006A5F0000}"/>
    <cellStyle name="Note 21 8" xfId="13538" xr:uid="{00000000-0005-0000-0000-00006B5F0000}"/>
    <cellStyle name="Note 22" xfId="3327" xr:uid="{00000000-0005-0000-0000-00006C5F0000}"/>
    <cellStyle name="Note 22 2" xfId="4561" xr:uid="{00000000-0005-0000-0000-00006D5F0000}"/>
    <cellStyle name="Note 22 2 2" xfId="12540" xr:uid="{00000000-0005-0000-0000-00006E5F0000}"/>
    <cellStyle name="Note 22 2 2 2" xfId="23828" xr:uid="{00000000-0005-0000-0000-00006F5F0000}"/>
    <cellStyle name="Note 22 2 3" xfId="10546" xr:uid="{00000000-0005-0000-0000-0000705F0000}"/>
    <cellStyle name="Note 22 2 3 2" xfId="21834" xr:uid="{00000000-0005-0000-0000-0000715F0000}"/>
    <cellStyle name="Note 22 2 4" xfId="8552" xr:uid="{00000000-0005-0000-0000-0000725F0000}"/>
    <cellStyle name="Note 22 2 4 2" xfId="19840" xr:uid="{00000000-0005-0000-0000-0000735F0000}"/>
    <cellStyle name="Note 22 2 5" xfId="6558" xr:uid="{00000000-0005-0000-0000-0000745F0000}"/>
    <cellStyle name="Note 22 2 5 2" xfId="17846" xr:uid="{00000000-0005-0000-0000-0000755F0000}"/>
    <cellStyle name="Note 22 2 6" xfId="15852" xr:uid="{00000000-0005-0000-0000-0000765F0000}"/>
    <cellStyle name="Note 22 3" xfId="11543" xr:uid="{00000000-0005-0000-0000-0000775F0000}"/>
    <cellStyle name="Note 22 3 2" xfId="22831" xr:uid="{00000000-0005-0000-0000-0000785F0000}"/>
    <cellStyle name="Note 22 4" xfId="9549" xr:uid="{00000000-0005-0000-0000-0000795F0000}"/>
    <cellStyle name="Note 22 4 2" xfId="20837" xr:uid="{00000000-0005-0000-0000-00007A5F0000}"/>
    <cellStyle name="Note 22 5" xfId="7555" xr:uid="{00000000-0005-0000-0000-00007B5F0000}"/>
    <cellStyle name="Note 22 5 2" xfId="18843" xr:uid="{00000000-0005-0000-0000-00007C5F0000}"/>
    <cellStyle name="Note 22 6" xfId="5561" xr:uid="{00000000-0005-0000-0000-00007D5F0000}"/>
    <cellStyle name="Note 22 6 2" xfId="16849" xr:uid="{00000000-0005-0000-0000-00007E5F0000}"/>
    <cellStyle name="Note 22 7" xfId="14855" xr:uid="{00000000-0005-0000-0000-00007F5F0000}"/>
    <cellStyle name="Note 22 8" xfId="13539" xr:uid="{00000000-0005-0000-0000-0000805F0000}"/>
    <cellStyle name="Note 23" xfId="3328" xr:uid="{00000000-0005-0000-0000-0000815F0000}"/>
    <cellStyle name="Note 23 2" xfId="4562" xr:uid="{00000000-0005-0000-0000-0000825F0000}"/>
    <cellStyle name="Note 23 2 2" xfId="12541" xr:uid="{00000000-0005-0000-0000-0000835F0000}"/>
    <cellStyle name="Note 23 2 2 2" xfId="23829" xr:uid="{00000000-0005-0000-0000-0000845F0000}"/>
    <cellStyle name="Note 23 2 3" xfId="10547" xr:uid="{00000000-0005-0000-0000-0000855F0000}"/>
    <cellStyle name="Note 23 2 3 2" xfId="21835" xr:uid="{00000000-0005-0000-0000-0000865F0000}"/>
    <cellStyle name="Note 23 2 4" xfId="8553" xr:uid="{00000000-0005-0000-0000-0000875F0000}"/>
    <cellStyle name="Note 23 2 4 2" xfId="19841" xr:uid="{00000000-0005-0000-0000-0000885F0000}"/>
    <cellStyle name="Note 23 2 5" xfId="6559" xr:uid="{00000000-0005-0000-0000-0000895F0000}"/>
    <cellStyle name="Note 23 2 5 2" xfId="17847" xr:uid="{00000000-0005-0000-0000-00008A5F0000}"/>
    <cellStyle name="Note 23 2 6" xfId="15853" xr:uid="{00000000-0005-0000-0000-00008B5F0000}"/>
    <cellStyle name="Note 23 3" xfId="11544" xr:uid="{00000000-0005-0000-0000-00008C5F0000}"/>
    <cellStyle name="Note 23 3 2" xfId="22832" xr:uid="{00000000-0005-0000-0000-00008D5F0000}"/>
    <cellStyle name="Note 23 4" xfId="9550" xr:uid="{00000000-0005-0000-0000-00008E5F0000}"/>
    <cellStyle name="Note 23 4 2" xfId="20838" xr:uid="{00000000-0005-0000-0000-00008F5F0000}"/>
    <cellStyle name="Note 23 5" xfId="7556" xr:uid="{00000000-0005-0000-0000-0000905F0000}"/>
    <cellStyle name="Note 23 5 2" xfId="18844" xr:uid="{00000000-0005-0000-0000-0000915F0000}"/>
    <cellStyle name="Note 23 6" xfId="5562" xr:uid="{00000000-0005-0000-0000-0000925F0000}"/>
    <cellStyle name="Note 23 6 2" xfId="16850" xr:uid="{00000000-0005-0000-0000-0000935F0000}"/>
    <cellStyle name="Note 23 7" xfId="14856" xr:uid="{00000000-0005-0000-0000-0000945F0000}"/>
    <cellStyle name="Note 23 8" xfId="13540" xr:uid="{00000000-0005-0000-0000-0000955F0000}"/>
    <cellStyle name="Note 24" xfId="3329" xr:uid="{00000000-0005-0000-0000-0000965F0000}"/>
    <cellStyle name="Note 24 2" xfId="4563" xr:uid="{00000000-0005-0000-0000-0000975F0000}"/>
    <cellStyle name="Note 24 2 2" xfId="12542" xr:uid="{00000000-0005-0000-0000-0000985F0000}"/>
    <cellStyle name="Note 24 2 2 2" xfId="23830" xr:uid="{00000000-0005-0000-0000-0000995F0000}"/>
    <cellStyle name="Note 24 2 3" xfId="10548" xr:uid="{00000000-0005-0000-0000-00009A5F0000}"/>
    <cellStyle name="Note 24 2 3 2" xfId="21836" xr:uid="{00000000-0005-0000-0000-00009B5F0000}"/>
    <cellStyle name="Note 24 2 4" xfId="8554" xr:uid="{00000000-0005-0000-0000-00009C5F0000}"/>
    <cellStyle name="Note 24 2 4 2" xfId="19842" xr:uid="{00000000-0005-0000-0000-00009D5F0000}"/>
    <cellStyle name="Note 24 2 5" xfId="6560" xr:uid="{00000000-0005-0000-0000-00009E5F0000}"/>
    <cellStyle name="Note 24 2 5 2" xfId="17848" xr:uid="{00000000-0005-0000-0000-00009F5F0000}"/>
    <cellStyle name="Note 24 2 6" xfId="15854" xr:uid="{00000000-0005-0000-0000-0000A05F0000}"/>
    <cellStyle name="Note 24 3" xfId="11545" xr:uid="{00000000-0005-0000-0000-0000A15F0000}"/>
    <cellStyle name="Note 24 3 2" xfId="22833" xr:uid="{00000000-0005-0000-0000-0000A25F0000}"/>
    <cellStyle name="Note 24 4" xfId="9551" xr:uid="{00000000-0005-0000-0000-0000A35F0000}"/>
    <cellStyle name="Note 24 4 2" xfId="20839" xr:uid="{00000000-0005-0000-0000-0000A45F0000}"/>
    <cellStyle name="Note 24 5" xfId="7557" xr:uid="{00000000-0005-0000-0000-0000A55F0000}"/>
    <cellStyle name="Note 24 5 2" xfId="18845" xr:uid="{00000000-0005-0000-0000-0000A65F0000}"/>
    <cellStyle name="Note 24 6" xfId="5563" xr:uid="{00000000-0005-0000-0000-0000A75F0000}"/>
    <cellStyle name="Note 24 6 2" xfId="16851" xr:uid="{00000000-0005-0000-0000-0000A85F0000}"/>
    <cellStyle name="Note 24 7" xfId="14857" xr:uid="{00000000-0005-0000-0000-0000A95F0000}"/>
    <cellStyle name="Note 24 8" xfId="13541" xr:uid="{00000000-0005-0000-0000-0000AA5F0000}"/>
    <cellStyle name="Note 25" xfId="3330" xr:uid="{00000000-0005-0000-0000-0000AB5F0000}"/>
    <cellStyle name="Note 25 2" xfId="4564" xr:uid="{00000000-0005-0000-0000-0000AC5F0000}"/>
    <cellStyle name="Note 25 2 2" xfId="12543" xr:uid="{00000000-0005-0000-0000-0000AD5F0000}"/>
    <cellStyle name="Note 25 2 2 2" xfId="23831" xr:uid="{00000000-0005-0000-0000-0000AE5F0000}"/>
    <cellStyle name="Note 25 2 3" xfId="10549" xr:uid="{00000000-0005-0000-0000-0000AF5F0000}"/>
    <cellStyle name="Note 25 2 3 2" xfId="21837" xr:uid="{00000000-0005-0000-0000-0000B05F0000}"/>
    <cellStyle name="Note 25 2 4" xfId="8555" xr:uid="{00000000-0005-0000-0000-0000B15F0000}"/>
    <cellStyle name="Note 25 2 4 2" xfId="19843" xr:uid="{00000000-0005-0000-0000-0000B25F0000}"/>
    <cellStyle name="Note 25 2 5" xfId="6561" xr:uid="{00000000-0005-0000-0000-0000B35F0000}"/>
    <cellStyle name="Note 25 2 5 2" xfId="17849" xr:uid="{00000000-0005-0000-0000-0000B45F0000}"/>
    <cellStyle name="Note 25 2 6" xfId="15855" xr:uid="{00000000-0005-0000-0000-0000B55F0000}"/>
    <cellStyle name="Note 25 3" xfId="11546" xr:uid="{00000000-0005-0000-0000-0000B65F0000}"/>
    <cellStyle name="Note 25 3 2" xfId="22834" xr:uid="{00000000-0005-0000-0000-0000B75F0000}"/>
    <cellStyle name="Note 25 4" xfId="9552" xr:uid="{00000000-0005-0000-0000-0000B85F0000}"/>
    <cellStyle name="Note 25 4 2" xfId="20840" xr:uid="{00000000-0005-0000-0000-0000B95F0000}"/>
    <cellStyle name="Note 25 5" xfId="7558" xr:uid="{00000000-0005-0000-0000-0000BA5F0000}"/>
    <cellStyle name="Note 25 5 2" xfId="18846" xr:uid="{00000000-0005-0000-0000-0000BB5F0000}"/>
    <cellStyle name="Note 25 6" xfId="5564" xr:uid="{00000000-0005-0000-0000-0000BC5F0000}"/>
    <cellStyle name="Note 25 6 2" xfId="16852" xr:uid="{00000000-0005-0000-0000-0000BD5F0000}"/>
    <cellStyle name="Note 25 7" xfId="14858" xr:uid="{00000000-0005-0000-0000-0000BE5F0000}"/>
    <cellStyle name="Note 25 8" xfId="13542" xr:uid="{00000000-0005-0000-0000-0000BF5F0000}"/>
    <cellStyle name="Note 26" xfId="3331" xr:uid="{00000000-0005-0000-0000-0000C05F0000}"/>
    <cellStyle name="Note 26 2" xfId="4565" xr:uid="{00000000-0005-0000-0000-0000C15F0000}"/>
    <cellStyle name="Note 26 2 2" xfId="12544" xr:uid="{00000000-0005-0000-0000-0000C25F0000}"/>
    <cellStyle name="Note 26 2 2 2" xfId="23832" xr:uid="{00000000-0005-0000-0000-0000C35F0000}"/>
    <cellStyle name="Note 26 2 3" xfId="10550" xr:uid="{00000000-0005-0000-0000-0000C45F0000}"/>
    <cellStyle name="Note 26 2 3 2" xfId="21838" xr:uid="{00000000-0005-0000-0000-0000C55F0000}"/>
    <cellStyle name="Note 26 2 4" xfId="8556" xr:uid="{00000000-0005-0000-0000-0000C65F0000}"/>
    <cellStyle name="Note 26 2 4 2" xfId="19844" xr:uid="{00000000-0005-0000-0000-0000C75F0000}"/>
    <cellStyle name="Note 26 2 5" xfId="6562" xr:uid="{00000000-0005-0000-0000-0000C85F0000}"/>
    <cellStyle name="Note 26 2 5 2" xfId="17850" xr:uid="{00000000-0005-0000-0000-0000C95F0000}"/>
    <cellStyle name="Note 26 2 6" xfId="15856" xr:uid="{00000000-0005-0000-0000-0000CA5F0000}"/>
    <cellStyle name="Note 26 3" xfId="11547" xr:uid="{00000000-0005-0000-0000-0000CB5F0000}"/>
    <cellStyle name="Note 26 3 2" xfId="22835" xr:uid="{00000000-0005-0000-0000-0000CC5F0000}"/>
    <cellStyle name="Note 26 4" xfId="9553" xr:uid="{00000000-0005-0000-0000-0000CD5F0000}"/>
    <cellStyle name="Note 26 4 2" xfId="20841" xr:uid="{00000000-0005-0000-0000-0000CE5F0000}"/>
    <cellStyle name="Note 26 5" xfId="7559" xr:uid="{00000000-0005-0000-0000-0000CF5F0000}"/>
    <cellStyle name="Note 26 5 2" xfId="18847" xr:uid="{00000000-0005-0000-0000-0000D05F0000}"/>
    <cellStyle name="Note 26 6" xfId="5565" xr:uid="{00000000-0005-0000-0000-0000D15F0000}"/>
    <cellStyle name="Note 26 6 2" xfId="16853" xr:uid="{00000000-0005-0000-0000-0000D25F0000}"/>
    <cellStyle name="Note 26 7" xfId="14859" xr:uid="{00000000-0005-0000-0000-0000D35F0000}"/>
    <cellStyle name="Note 26 8" xfId="13543" xr:uid="{00000000-0005-0000-0000-0000D45F0000}"/>
    <cellStyle name="Note 27" xfId="3332" xr:uid="{00000000-0005-0000-0000-0000D55F0000}"/>
    <cellStyle name="Note 27 2" xfId="4566" xr:uid="{00000000-0005-0000-0000-0000D65F0000}"/>
    <cellStyle name="Note 27 2 2" xfId="12545" xr:uid="{00000000-0005-0000-0000-0000D75F0000}"/>
    <cellStyle name="Note 27 2 2 2" xfId="23833" xr:uid="{00000000-0005-0000-0000-0000D85F0000}"/>
    <cellStyle name="Note 27 2 3" xfId="10551" xr:uid="{00000000-0005-0000-0000-0000D95F0000}"/>
    <cellStyle name="Note 27 2 3 2" xfId="21839" xr:uid="{00000000-0005-0000-0000-0000DA5F0000}"/>
    <cellStyle name="Note 27 2 4" xfId="8557" xr:uid="{00000000-0005-0000-0000-0000DB5F0000}"/>
    <cellStyle name="Note 27 2 4 2" xfId="19845" xr:uid="{00000000-0005-0000-0000-0000DC5F0000}"/>
    <cellStyle name="Note 27 2 5" xfId="6563" xr:uid="{00000000-0005-0000-0000-0000DD5F0000}"/>
    <cellStyle name="Note 27 2 5 2" xfId="17851" xr:uid="{00000000-0005-0000-0000-0000DE5F0000}"/>
    <cellStyle name="Note 27 2 6" xfId="15857" xr:uid="{00000000-0005-0000-0000-0000DF5F0000}"/>
    <cellStyle name="Note 27 3" xfId="11548" xr:uid="{00000000-0005-0000-0000-0000E05F0000}"/>
    <cellStyle name="Note 27 3 2" xfId="22836" xr:uid="{00000000-0005-0000-0000-0000E15F0000}"/>
    <cellStyle name="Note 27 4" xfId="9554" xr:uid="{00000000-0005-0000-0000-0000E25F0000}"/>
    <cellStyle name="Note 27 4 2" xfId="20842" xr:uid="{00000000-0005-0000-0000-0000E35F0000}"/>
    <cellStyle name="Note 27 5" xfId="7560" xr:uid="{00000000-0005-0000-0000-0000E45F0000}"/>
    <cellStyle name="Note 27 5 2" xfId="18848" xr:uid="{00000000-0005-0000-0000-0000E55F0000}"/>
    <cellStyle name="Note 27 6" xfId="5566" xr:uid="{00000000-0005-0000-0000-0000E65F0000}"/>
    <cellStyle name="Note 27 6 2" xfId="16854" xr:uid="{00000000-0005-0000-0000-0000E75F0000}"/>
    <cellStyle name="Note 27 7" xfId="14860" xr:uid="{00000000-0005-0000-0000-0000E85F0000}"/>
    <cellStyle name="Note 27 8" xfId="13544" xr:uid="{00000000-0005-0000-0000-0000E95F0000}"/>
    <cellStyle name="Note 28" xfId="3333" xr:uid="{00000000-0005-0000-0000-0000EA5F0000}"/>
    <cellStyle name="Note 28 2" xfId="4567" xr:uid="{00000000-0005-0000-0000-0000EB5F0000}"/>
    <cellStyle name="Note 28 2 2" xfId="12546" xr:uid="{00000000-0005-0000-0000-0000EC5F0000}"/>
    <cellStyle name="Note 28 2 2 2" xfId="23834" xr:uid="{00000000-0005-0000-0000-0000ED5F0000}"/>
    <cellStyle name="Note 28 2 3" xfId="10552" xr:uid="{00000000-0005-0000-0000-0000EE5F0000}"/>
    <cellStyle name="Note 28 2 3 2" xfId="21840" xr:uid="{00000000-0005-0000-0000-0000EF5F0000}"/>
    <cellStyle name="Note 28 2 4" xfId="8558" xr:uid="{00000000-0005-0000-0000-0000F05F0000}"/>
    <cellStyle name="Note 28 2 4 2" xfId="19846" xr:uid="{00000000-0005-0000-0000-0000F15F0000}"/>
    <cellStyle name="Note 28 2 5" xfId="6564" xr:uid="{00000000-0005-0000-0000-0000F25F0000}"/>
    <cellStyle name="Note 28 2 5 2" xfId="17852" xr:uid="{00000000-0005-0000-0000-0000F35F0000}"/>
    <cellStyle name="Note 28 2 6" xfId="15858" xr:uid="{00000000-0005-0000-0000-0000F45F0000}"/>
    <cellStyle name="Note 28 3" xfId="11549" xr:uid="{00000000-0005-0000-0000-0000F55F0000}"/>
    <cellStyle name="Note 28 3 2" xfId="22837" xr:uid="{00000000-0005-0000-0000-0000F65F0000}"/>
    <cellStyle name="Note 28 4" xfId="9555" xr:uid="{00000000-0005-0000-0000-0000F75F0000}"/>
    <cellStyle name="Note 28 4 2" xfId="20843" xr:uid="{00000000-0005-0000-0000-0000F85F0000}"/>
    <cellStyle name="Note 28 5" xfId="7561" xr:uid="{00000000-0005-0000-0000-0000F95F0000}"/>
    <cellStyle name="Note 28 5 2" xfId="18849" xr:uid="{00000000-0005-0000-0000-0000FA5F0000}"/>
    <cellStyle name="Note 28 6" xfId="5567" xr:uid="{00000000-0005-0000-0000-0000FB5F0000}"/>
    <cellStyle name="Note 28 6 2" xfId="16855" xr:uid="{00000000-0005-0000-0000-0000FC5F0000}"/>
    <cellStyle name="Note 28 7" xfId="14861" xr:uid="{00000000-0005-0000-0000-0000FD5F0000}"/>
    <cellStyle name="Note 28 8" xfId="13545" xr:uid="{00000000-0005-0000-0000-0000FE5F0000}"/>
    <cellStyle name="Note 29" xfId="3334" xr:uid="{00000000-0005-0000-0000-0000FF5F0000}"/>
    <cellStyle name="Note 29 2" xfId="4568" xr:uid="{00000000-0005-0000-0000-000000600000}"/>
    <cellStyle name="Note 29 2 2" xfId="12547" xr:uid="{00000000-0005-0000-0000-000001600000}"/>
    <cellStyle name="Note 29 2 2 2" xfId="23835" xr:uid="{00000000-0005-0000-0000-000002600000}"/>
    <cellStyle name="Note 29 2 3" xfId="10553" xr:uid="{00000000-0005-0000-0000-000003600000}"/>
    <cellStyle name="Note 29 2 3 2" xfId="21841" xr:uid="{00000000-0005-0000-0000-000004600000}"/>
    <cellStyle name="Note 29 2 4" xfId="8559" xr:uid="{00000000-0005-0000-0000-000005600000}"/>
    <cellStyle name="Note 29 2 4 2" xfId="19847" xr:uid="{00000000-0005-0000-0000-000006600000}"/>
    <cellStyle name="Note 29 2 5" xfId="6565" xr:uid="{00000000-0005-0000-0000-000007600000}"/>
    <cellStyle name="Note 29 2 5 2" xfId="17853" xr:uid="{00000000-0005-0000-0000-000008600000}"/>
    <cellStyle name="Note 29 2 6" xfId="15859" xr:uid="{00000000-0005-0000-0000-000009600000}"/>
    <cellStyle name="Note 29 3" xfId="11550" xr:uid="{00000000-0005-0000-0000-00000A600000}"/>
    <cellStyle name="Note 29 3 2" xfId="22838" xr:uid="{00000000-0005-0000-0000-00000B600000}"/>
    <cellStyle name="Note 29 4" xfId="9556" xr:uid="{00000000-0005-0000-0000-00000C600000}"/>
    <cellStyle name="Note 29 4 2" xfId="20844" xr:uid="{00000000-0005-0000-0000-00000D600000}"/>
    <cellStyle name="Note 29 5" xfId="7562" xr:uid="{00000000-0005-0000-0000-00000E600000}"/>
    <cellStyle name="Note 29 5 2" xfId="18850" xr:uid="{00000000-0005-0000-0000-00000F600000}"/>
    <cellStyle name="Note 29 6" xfId="5568" xr:uid="{00000000-0005-0000-0000-000010600000}"/>
    <cellStyle name="Note 29 6 2" xfId="16856" xr:uid="{00000000-0005-0000-0000-000011600000}"/>
    <cellStyle name="Note 29 7" xfId="14862" xr:uid="{00000000-0005-0000-0000-000012600000}"/>
    <cellStyle name="Note 29 8" xfId="13546" xr:uid="{00000000-0005-0000-0000-000013600000}"/>
    <cellStyle name="Note 3" xfId="3335" xr:uid="{00000000-0005-0000-0000-000014600000}"/>
    <cellStyle name="Note 3 10" xfId="25074" xr:uid="{00000000-0005-0000-0000-000015600000}"/>
    <cellStyle name="Note 3 10 2" xfId="25408" xr:uid="{00000000-0005-0000-0000-000016600000}"/>
    <cellStyle name="Note 3 10 2 2" xfId="27562" xr:uid="{00000000-0005-0000-0000-000017600000}"/>
    <cellStyle name="Note 3 10 2 2 2" xfId="32153" xr:uid="{A366B345-6D82-4F71-A18C-E41B9F5E9657}"/>
    <cellStyle name="Note 3 10 2 3" xfId="26759" xr:uid="{00000000-0005-0000-0000-000018600000}"/>
    <cellStyle name="Note 3 10 2 3 2" xfId="31520" xr:uid="{3D2653D0-E5C3-4641-A998-C53A1DB0DAC0}"/>
    <cellStyle name="Note 3 10 2 4" xfId="26423" xr:uid="{00000000-0005-0000-0000-000019600000}"/>
    <cellStyle name="Note 3 10 2 4 2" xfId="31211" xr:uid="{547E7D52-B7A2-4086-AD46-279C422F12D8}"/>
    <cellStyle name="Note 3 10 2 5" xfId="29301" xr:uid="{00000000-0005-0000-0000-00001A600000}"/>
    <cellStyle name="Note 3 10 2 5 2" xfId="33267" xr:uid="{2752310F-A3BA-42A0-AAA7-78546D5C9065}"/>
    <cellStyle name="Note 3 10 2 6" xfId="30566" xr:uid="{963690B8-9E82-4078-ABD8-22C5DFAEC475}"/>
    <cellStyle name="Note 3 10 3" xfId="25678" xr:uid="{00000000-0005-0000-0000-00001B600000}"/>
    <cellStyle name="Note 3 10 3 2" xfId="27831" xr:uid="{00000000-0005-0000-0000-00001C600000}"/>
    <cellStyle name="Note 3 10 3 2 2" xfId="32418" xr:uid="{72E2CE9E-8A2D-4DDC-B99C-FCF569D78855}"/>
    <cellStyle name="Note 3 10 3 3" xfId="26235" xr:uid="{00000000-0005-0000-0000-00001D600000}"/>
    <cellStyle name="Note 3 10 3 3 2" xfId="31023" xr:uid="{96DE35A5-6DD2-4870-BE90-5A22281268E5}"/>
    <cellStyle name="Note 3 10 3 4" xfId="26944" xr:uid="{00000000-0005-0000-0000-00001E600000}"/>
    <cellStyle name="Note 3 10 3 4 2" xfId="31705" xr:uid="{8A3B114E-D7C5-4140-82C3-C5D637CE1206}"/>
    <cellStyle name="Note 3 10 3 5" xfId="29300" xr:uid="{00000000-0005-0000-0000-00001F600000}"/>
    <cellStyle name="Note 3 10 3 5 2" xfId="33266" xr:uid="{71C3FEE1-0F10-426B-81AC-947958D9EB50}"/>
    <cellStyle name="Note 3 10 3 6" xfId="30672" xr:uid="{80DFE0A2-D321-4C04-A79D-C32C81AE9D31}"/>
    <cellStyle name="Note 3 10 4" xfId="27365" xr:uid="{00000000-0005-0000-0000-000020600000}"/>
    <cellStyle name="Note 3 10 4 2" xfId="31963" xr:uid="{2D79059B-2A78-4512-ABC8-C986FB8A495C}"/>
    <cellStyle name="Note 3 10 5" xfId="26690" xr:uid="{00000000-0005-0000-0000-000021600000}"/>
    <cellStyle name="Note 3 10 5 2" xfId="31452" xr:uid="{413462B4-7C6A-4293-9E92-1A58728EB3A5}"/>
    <cellStyle name="Note 3 10 6" xfId="26707" xr:uid="{00000000-0005-0000-0000-000022600000}"/>
    <cellStyle name="Note 3 10 6 2" xfId="31469" xr:uid="{636B27FC-54FE-4E39-86CB-F8BEA84F0FB6}"/>
    <cellStyle name="Note 3 10 7" xfId="29302" xr:uid="{00000000-0005-0000-0000-000023600000}"/>
    <cellStyle name="Note 3 10 7 2" xfId="33268" xr:uid="{4C545B38-5C3B-493D-A106-F6171873F57F}"/>
    <cellStyle name="Note 3 10 8" xfId="30380" xr:uid="{6F45C57A-30D3-4853-B379-E37989859524}"/>
    <cellStyle name="Note 3 2" xfId="4569" xr:uid="{00000000-0005-0000-0000-000024600000}"/>
    <cellStyle name="Note 3 2 2" xfId="12548" xr:uid="{00000000-0005-0000-0000-000025600000}"/>
    <cellStyle name="Note 3 2 2 2" xfId="23836" xr:uid="{00000000-0005-0000-0000-000026600000}"/>
    <cellStyle name="Note 3 2 3" xfId="10554" xr:uid="{00000000-0005-0000-0000-000027600000}"/>
    <cellStyle name="Note 3 2 3 2" xfId="21842" xr:uid="{00000000-0005-0000-0000-000028600000}"/>
    <cellStyle name="Note 3 2 4" xfId="8560" xr:uid="{00000000-0005-0000-0000-000029600000}"/>
    <cellStyle name="Note 3 2 4 2" xfId="19848" xr:uid="{00000000-0005-0000-0000-00002A600000}"/>
    <cellStyle name="Note 3 2 5" xfId="6566" xr:uid="{00000000-0005-0000-0000-00002B600000}"/>
    <cellStyle name="Note 3 2 5 2" xfId="17854" xr:uid="{00000000-0005-0000-0000-00002C600000}"/>
    <cellStyle name="Note 3 2 6" xfId="15860" xr:uid="{00000000-0005-0000-0000-00002D600000}"/>
    <cellStyle name="Note 3 2 7" xfId="24191" xr:uid="{00000000-0005-0000-0000-00002E600000}"/>
    <cellStyle name="Note 3 2 7 2" xfId="25427" xr:uid="{00000000-0005-0000-0000-00002F600000}"/>
    <cellStyle name="Note 3 2 7 2 2" xfId="27581" xr:uid="{00000000-0005-0000-0000-000030600000}"/>
    <cellStyle name="Note 3 2 7 2 2 2" xfId="32172" xr:uid="{77C6C6B2-8B1E-400B-ABB7-25C6084AD3CE}"/>
    <cellStyle name="Note 3 2 7 2 3" xfId="26937" xr:uid="{00000000-0005-0000-0000-000031600000}"/>
    <cellStyle name="Note 3 2 7 2 3 2" xfId="31698" xr:uid="{CFAE1C83-8143-43FF-88DA-2B6F917599D5}"/>
    <cellStyle name="Note 3 2 7 2 4" xfId="26806" xr:uid="{00000000-0005-0000-0000-000032600000}"/>
    <cellStyle name="Note 3 2 7 2 4 2" xfId="31567" xr:uid="{6004F847-545C-40B8-89F5-D4CDB3D38419}"/>
    <cellStyle name="Note 3 2 7 2 5" xfId="29298" xr:uid="{00000000-0005-0000-0000-000033600000}"/>
    <cellStyle name="Note 3 2 7 2 5 2" xfId="33264" xr:uid="{E666C166-48D8-484F-B17B-0D570E0E1588}"/>
    <cellStyle name="Note 3 2 7 2 6" xfId="30585" xr:uid="{4FA51C37-F051-4ED6-B905-FE85B9413FA9}"/>
    <cellStyle name="Note 3 2 7 3" xfId="25566" xr:uid="{00000000-0005-0000-0000-000034600000}"/>
    <cellStyle name="Note 3 2 7 3 2" xfId="27719" xr:uid="{00000000-0005-0000-0000-000035600000}"/>
    <cellStyle name="Note 3 2 7 3 2 2" xfId="32306" xr:uid="{B85A7B22-493A-4723-9917-80FA8E74F8D2}"/>
    <cellStyle name="Note 3 2 7 3 3" xfId="26411" xr:uid="{00000000-0005-0000-0000-000036600000}"/>
    <cellStyle name="Note 3 2 7 3 3 2" xfId="31199" xr:uid="{DDDDB268-AB56-4249-8D7E-B69945DC1906}"/>
    <cellStyle name="Note 3 2 7 3 4" xfId="26970" xr:uid="{00000000-0005-0000-0000-000037600000}"/>
    <cellStyle name="Note 3 2 7 3 4 2" xfId="31731" xr:uid="{AAC11EF9-77F3-475B-A26E-BB62CA89F5C3}"/>
    <cellStyle name="Note 3 2 7 3 5" xfId="29297" xr:uid="{00000000-0005-0000-0000-000038600000}"/>
    <cellStyle name="Note 3 2 7 3 5 2" xfId="33263" xr:uid="{1FF06EDD-146C-4C11-8C70-B0CFFD25ACEC}"/>
    <cellStyle name="Note 3 2 7 3 6" xfId="30623" xr:uid="{31CF4295-217E-44F9-A5E6-C3C10B9C91E7}"/>
    <cellStyle name="Note 3 2 7 4" xfId="27091" xr:uid="{00000000-0005-0000-0000-000039600000}"/>
    <cellStyle name="Note 3 2 7 4 2" xfId="31815" xr:uid="{B3FAA655-124B-4C05-AA3F-C044A3ECC3BC}"/>
    <cellStyle name="Note 3 2 7 5" xfId="26345" xr:uid="{00000000-0005-0000-0000-00003A600000}"/>
    <cellStyle name="Note 3 2 7 5 2" xfId="31133" xr:uid="{757F142D-2422-42D7-B59D-78AE6B15CF6A}"/>
    <cellStyle name="Note 3 2 7 6" xfId="26209" xr:uid="{00000000-0005-0000-0000-00003B600000}"/>
    <cellStyle name="Note 3 2 7 6 2" xfId="30997" xr:uid="{CBFDDC88-9464-4097-9359-D5EF637D72ED}"/>
    <cellStyle name="Note 3 2 7 7" xfId="29299" xr:uid="{00000000-0005-0000-0000-00003C600000}"/>
    <cellStyle name="Note 3 2 7 7 2" xfId="33265" xr:uid="{823E9892-415B-418B-AFD1-DE7108AF5F55}"/>
    <cellStyle name="Note 3 2 7 8" xfId="30268" xr:uid="{75267DA3-DD22-4765-B706-5FE88DF474E8}"/>
    <cellStyle name="Note 3 2 8" xfId="25075" xr:uid="{00000000-0005-0000-0000-00003D600000}"/>
    <cellStyle name="Note 3 2 8 2" xfId="25321" xr:uid="{00000000-0005-0000-0000-00003E600000}"/>
    <cellStyle name="Note 3 2 8 2 2" xfId="27475" xr:uid="{00000000-0005-0000-0000-00003F600000}"/>
    <cellStyle name="Note 3 2 8 2 2 2" xfId="32066" xr:uid="{1A2C4882-9653-4D00-B9D1-305748CC77E0}"/>
    <cellStyle name="Note 3 2 8 2 3" xfId="26487" xr:uid="{00000000-0005-0000-0000-000040600000}"/>
    <cellStyle name="Note 3 2 8 2 3 2" xfId="31275" xr:uid="{8B572B87-0BB9-4A38-853C-9B02E527DC54}"/>
    <cellStyle name="Note 3 2 8 2 4" xfId="26930" xr:uid="{00000000-0005-0000-0000-000041600000}"/>
    <cellStyle name="Note 3 2 8 2 4 2" xfId="31691" xr:uid="{029D527A-A52C-4382-A6A2-166F39365209}"/>
    <cellStyle name="Note 3 2 8 2 5" xfId="29295" xr:uid="{00000000-0005-0000-0000-000042600000}"/>
    <cellStyle name="Note 3 2 8 2 5 2" xfId="33261" xr:uid="{D7824601-6CCB-4A25-9F3D-49B3082108E4}"/>
    <cellStyle name="Note 3 2 8 2 6" xfId="30479" xr:uid="{1D77F2B4-72FE-4210-8129-843751FD59C7}"/>
    <cellStyle name="Note 3 2 8 3" xfId="25679" xr:uid="{00000000-0005-0000-0000-000043600000}"/>
    <cellStyle name="Note 3 2 8 3 2" xfId="27832" xr:uid="{00000000-0005-0000-0000-000044600000}"/>
    <cellStyle name="Note 3 2 8 3 2 2" xfId="32419" xr:uid="{C61199BF-D34D-4816-9593-F664F8D902CA}"/>
    <cellStyle name="Note 3 2 8 3 3" xfId="26202" xr:uid="{00000000-0005-0000-0000-000045600000}"/>
    <cellStyle name="Note 3 2 8 3 3 2" xfId="30990" xr:uid="{A49CE6A2-3767-4D72-B6AB-EC40B9587D11}"/>
    <cellStyle name="Note 3 2 8 3 4" xfId="26131" xr:uid="{00000000-0005-0000-0000-000046600000}"/>
    <cellStyle name="Note 3 2 8 3 4 2" xfId="30921" xr:uid="{784DAFF6-9023-4637-A6AE-D366D159CABF}"/>
    <cellStyle name="Note 3 2 8 3 5" xfId="29294" xr:uid="{00000000-0005-0000-0000-000047600000}"/>
    <cellStyle name="Note 3 2 8 3 5 2" xfId="33260" xr:uid="{C081E624-F64C-41B7-AAD2-42B7CF3239A6}"/>
    <cellStyle name="Note 3 2 8 3 6" xfId="30673" xr:uid="{9F3E5BFA-2060-4F40-9C61-200AFE20FEAE}"/>
    <cellStyle name="Note 3 2 8 4" xfId="27366" xr:uid="{00000000-0005-0000-0000-000048600000}"/>
    <cellStyle name="Note 3 2 8 4 2" xfId="31964" xr:uid="{CAF5ED34-7806-4F81-9985-15D6F27B6C86}"/>
    <cellStyle name="Note 3 2 8 5" xfId="26994" xr:uid="{00000000-0005-0000-0000-000049600000}"/>
    <cellStyle name="Note 3 2 8 5 2" xfId="31755" xr:uid="{6FC70D2C-5E19-4633-96F6-F57F12A4B0D1}"/>
    <cellStyle name="Note 3 2 8 6" xfId="26790" xr:uid="{00000000-0005-0000-0000-00004A600000}"/>
    <cellStyle name="Note 3 2 8 6 2" xfId="31551" xr:uid="{0CBA6B8C-7EE5-43FC-A48C-B90D5ED850BC}"/>
    <cellStyle name="Note 3 2 8 7" xfId="29296" xr:uid="{00000000-0005-0000-0000-00004B600000}"/>
    <cellStyle name="Note 3 2 8 7 2" xfId="33262" xr:uid="{12CAD5D8-ACD6-4CD5-A55C-BC87E86B3BD7}"/>
    <cellStyle name="Note 3 2 8 8" xfId="30381" xr:uid="{CC5A578B-056E-461B-BE32-2885B3F885A0}"/>
    <cellStyle name="Note 3 3" xfId="11551" xr:uid="{00000000-0005-0000-0000-00004C600000}"/>
    <cellStyle name="Note 3 3 2" xfId="22839" xr:uid="{00000000-0005-0000-0000-00004D600000}"/>
    <cellStyle name="Note 3 4" xfId="9557" xr:uid="{00000000-0005-0000-0000-00004E600000}"/>
    <cellStyle name="Note 3 4 2" xfId="20845" xr:uid="{00000000-0005-0000-0000-00004F600000}"/>
    <cellStyle name="Note 3 5" xfId="7563" xr:uid="{00000000-0005-0000-0000-000050600000}"/>
    <cellStyle name="Note 3 5 2" xfId="18851" xr:uid="{00000000-0005-0000-0000-000051600000}"/>
    <cellStyle name="Note 3 6" xfId="5569" xr:uid="{00000000-0005-0000-0000-000052600000}"/>
    <cellStyle name="Note 3 6 2" xfId="16857" xr:uid="{00000000-0005-0000-0000-000053600000}"/>
    <cellStyle name="Note 3 7" xfId="14863" xr:uid="{00000000-0005-0000-0000-000054600000}"/>
    <cellStyle name="Note 3 8" xfId="13547" xr:uid="{00000000-0005-0000-0000-000055600000}"/>
    <cellStyle name="Note 3 9" xfId="24190" xr:uid="{00000000-0005-0000-0000-000056600000}"/>
    <cellStyle name="Note 3 9 2" xfId="25326" xr:uid="{00000000-0005-0000-0000-000057600000}"/>
    <cellStyle name="Note 3 9 2 2" xfId="27480" xr:uid="{00000000-0005-0000-0000-000058600000}"/>
    <cellStyle name="Note 3 9 2 2 2" xfId="32071" xr:uid="{D3C542B0-0A73-47C5-AFAD-DB8C08B936EE}"/>
    <cellStyle name="Note 3 9 2 3" xfId="26724" xr:uid="{00000000-0005-0000-0000-000059600000}"/>
    <cellStyle name="Note 3 9 2 3 2" xfId="31485" xr:uid="{D7B53122-C08A-4823-B36E-B54D217CC5F7}"/>
    <cellStyle name="Note 3 9 2 4" xfId="26217" xr:uid="{00000000-0005-0000-0000-00005A600000}"/>
    <cellStyle name="Note 3 9 2 4 2" xfId="31005" xr:uid="{9C801FF2-409D-4BEF-B4B3-31FAAF77605C}"/>
    <cellStyle name="Note 3 9 2 5" xfId="29292" xr:uid="{00000000-0005-0000-0000-00005B600000}"/>
    <cellStyle name="Note 3 9 2 5 2" xfId="33258" xr:uid="{C67E43F6-1FAB-4C85-B035-0BA00BCF61D8}"/>
    <cellStyle name="Note 3 9 2 6" xfId="30484" xr:uid="{96E18685-F095-42F9-9869-56FF008CABCE}"/>
    <cellStyle name="Note 3 9 3" xfId="25565" xr:uid="{00000000-0005-0000-0000-00005C600000}"/>
    <cellStyle name="Note 3 9 3 2" xfId="27718" xr:uid="{00000000-0005-0000-0000-00005D600000}"/>
    <cellStyle name="Note 3 9 3 2 2" xfId="32305" xr:uid="{76172E83-B61E-4856-97DA-18EA1D109B97}"/>
    <cellStyle name="Note 3 9 3 3" xfId="26801" xr:uid="{00000000-0005-0000-0000-00005E600000}"/>
    <cellStyle name="Note 3 9 3 3 2" xfId="31562" xr:uid="{79CB8BB3-49AA-4AFF-A052-EC42B1D63353}"/>
    <cellStyle name="Note 3 9 3 4" xfId="26742" xr:uid="{00000000-0005-0000-0000-00005F600000}"/>
    <cellStyle name="Note 3 9 3 4 2" xfId="31503" xr:uid="{DE82B7DA-8A46-405F-9AB1-5A4938223C96}"/>
    <cellStyle name="Note 3 9 3 5" xfId="29291" xr:uid="{00000000-0005-0000-0000-000060600000}"/>
    <cellStyle name="Note 3 9 3 5 2" xfId="33257" xr:uid="{CAE3FA41-55B2-4801-8DAE-78E7A4056D84}"/>
    <cellStyle name="Note 3 9 3 6" xfId="30622" xr:uid="{6CCD379D-72E8-48FD-9C17-0FE49D8BFC5A}"/>
    <cellStyle name="Note 3 9 4" xfId="27090" xr:uid="{00000000-0005-0000-0000-000061600000}"/>
    <cellStyle name="Note 3 9 4 2" xfId="31814" xr:uid="{D9A01625-89B2-4719-AFC2-4E3D2363803B}"/>
    <cellStyle name="Note 3 9 5" xfId="26448" xr:uid="{00000000-0005-0000-0000-000062600000}"/>
    <cellStyle name="Note 3 9 5 2" xfId="31236" xr:uid="{BD366477-A3D9-4DAB-9DDD-45FE380FBEB0}"/>
    <cellStyle name="Note 3 9 6" xfId="26263" xr:uid="{00000000-0005-0000-0000-000063600000}"/>
    <cellStyle name="Note 3 9 6 2" xfId="31051" xr:uid="{C5DAAABF-8239-4D3B-A72C-F7621D387C95}"/>
    <cellStyle name="Note 3 9 7" xfId="29293" xr:uid="{00000000-0005-0000-0000-000064600000}"/>
    <cellStyle name="Note 3 9 7 2" xfId="33259" xr:uid="{B116FFF4-A1B5-47CF-AF07-21E288CA7037}"/>
    <cellStyle name="Note 3 9 8" xfId="30267" xr:uid="{D6B57AFE-D4BE-46C1-AF6D-105267EAAC00}"/>
    <cellStyle name="Note 30" xfId="3336" xr:uid="{00000000-0005-0000-0000-000065600000}"/>
    <cellStyle name="Note 30 2" xfId="4570" xr:uid="{00000000-0005-0000-0000-000066600000}"/>
    <cellStyle name="Note 30 2 2" xfId="12549" xr:uid="{00000000-0005-0000-0000-000067600000}"/>
    <cellStyle name="Note 30 2 2 2" xfId="23837" xr:uid="{00000000-0005-0000-0000-000068600000}"/>
    <cellStyle name="Note 30 2 3" xfId="10555" xr:uid="{00000000-0005-0000-0000-000069600000}"/>
    <cellStyle name="Note 30 2 3 2" xfId="21843" xr:uid="{00000000-0005-0000-0000-00006A600000}"/>
    <cellStyle name="Note 30 2 4" xfId="8561" xr:uid="{00000000-0005-0000-0000-00006B600000}"/>
    <cellStyle name="Note 30 2 4 2" xfId="19849" xr:uid="{00000000-0005-0000-0000-00006C600000}"/>
    <cellStyle name="Note 30 2 5" xfId="6567" xr:uid="{00000000-0005-0000-0000-00006D600000}"/>
    <cellStyle name="Note 30 2 5 2" xfId="17855" xr:uid="{00000000-0005-0000-0000-00006E600000}"/>
    <cellStyle name="Note 30 2 6" xfId="15861" xr:uid="{00000000-0005-0000-0000-00006F600000}"/>
    <cellStyle name="Note 30 3" xfId="11552" xr:uid="{00000000-0005-0000-0000-000070600000}"/>
    <cellStyle name="Note 30 3 2" xfId="22840" xr:uid="{00000000-0005-0000-0000-000071600000}"/>
    <cellStyle name="Note 30 4" xfId="9558" xr:uid="{00000000-0005-0000-0000-000072600000}"/>
    <cellStyle name="Note 30 4 2" xfId="20846" xr:uid="{00000000-0005-0000-0000-000073600000}"/>
    <cellStyle name="Note 30 5" xfId="7564" xr:uid="{00000000-0005-0000-0000-000074600000}"/>
    <cellStyle name="Note 30 5 2" xfId="18852" xr:uid="{00000000-0005-0000-0000-000075600000}"/>
    <cellStyle name="Note 30 6" xfId="5570" xr:uid="{00000000-0005-0000-0000-000076600000}"/>
    <cellStyle name="Note 30 6 2" xfId="16858" xr:uid="{00000000-0005-0000-0000-000077600000}"/>
    <cellStyle name="Note 30 7" xfId="14864" xr:uid="{00000000-0005-0000-0000-000078600000}"/>
    <cellStyle name="Note 30 8" xfId="13548" xr:uid="{00000000-0005-0000-0000-000079600000}"/>
    <cellStyle name="Note 31" xfId="3337" xr:uid="{00000000-0005-0000-0000-00007A600000}"/>
    <cellStyle name="Note 31 2" xfId="4571" xr:uid="{00000000-0005-0000-0000-00007B600000}"/>
    <cellStyle name="Note 31 2 2" xfId="12550" xr:uid="{00000000-0005-0000-0000-00007C600000}"/>
    <cellStyle name="Note 31 2 2 2" xfId="23838" xr:uid="{00000000-0005-0000-0000-00007D600000}"/>
    <cellStyle name="Note 31 2 3" xfId="10556" xr:uid="{00000000-0005-0000-0000-00007E600000}"/>
    <cellStyle name="Note 31 2 3 2" xfId="21844" xr:uid="{00000000-0005-0000-0000-00007F600000}"/>
    <cellStyle name="Note 31 2 4" xfId="8562" xr:uid="{00000000-0005-0000-0000-000080600000}"/>
    <cellStyle name="Note 31 2 4 2" xfId="19850" xr:uid="{00000000-0005-0000-0000-000081600000}"/>
    <cellStyle name="Note 31 2 5" xfId="6568" xr:uid="{00000000-0005-0000-0000-000082600000}"/>
    <cellStyle name="Note 31 2 5 2" xfId="17856" xr:uid="{00000000-0005-0000-0000-000083600000}"/>
    <cellStyle name="Note 31 2 6" xfId="15862" xr:uid="{00000000-0005-0000-0000-000084600000}"/>
    <cellStyle name="Note 31 3" xfId="11553" xr:uid="{00000000-0005-0000-0000-000085600000}"/>
    <cellStyle name="Note 31 3 2" xfId="22841" xr:uid="{00000000-0005-0000-0000-000086600000}"/>
    <cellStyle name="Note 31 4" xfId="9559" xr:uid="{00000000-0005-0000-0000-000087600000}"/>
    <cellStyle name="Note 31 4 2" xfId="20847" xr:uid="{00000000-0005-0000-0000-000088600000}"/>
    <cellStyle name="Note 31 5" xfId="7565" xr:uid="{00000000-0005-0000-0000-000089600000}"/>
    <cellStyle name="Note 31 5 2" xfId="18853" xr:uid="{00000000-0005-0000-0000-00008A600000}"/>
    <cellStyle name="Note 31 6" xfId="5571" xr:uid="{00000000-0005-0000-0000-00008B600000}"/>
    <cellStyle name="Note 31 6 2" xfId="16859" xr:uid="{00000000-0005-0000-0000-00008C600000}"/>
    <cellStyle name="Note 31 7" xfId="14865" xr:uid="{00000000-0005-0000-0000-00008D600000}"/>
    <cellStyle name="Note 31 8" xfId="13549" xr:uid="{00000000-0005-0000-0000-00008E600000}"/>
    <cellStyle name="Note 32" xfId="3338" xr:uid="{00000000-0005-0000-0000-00008F600000}"/>
    <cellStyle name="Note 32 2" xfId="4572" xr:uid="{00000000-0005-0000-0000-000090600000}"/>
    <cellStyle name="Note 32 2 2" xfId="12551" xr:uid="{00000000-0005-0000-0000-000091600000}"/>
    <cellStyle name="Note 32 2 2 2" xfId="23839" xr:uid="{00000000-0005-0000-0000-000092600000}"/>
    <cellStyle name="Note 32 2 3" xfId="10557" xr:uid="{00000000-0005-0000-0000-000093600000}"/>
    <cellStyle name="Note 32 2 3 2" xfId="21845" xr:uid="{00000000-0005-0000-0000-000094600000}"/>
    <cellStyle name="Note 32 2 4" xfId="8563" xr:uid="{00000000-0005-0000-0000-000095600000}"/>
    <cellStyle name="Note 32 2 4 2" xfId="19851" xr:uid="{00000000-0005-0000-0000-000096600000}"/>
    <cellStyle name="Note 32 2 5" xfId="6569" xr:uid="{00000000-0005-0000-0000-000097600000}"/>
    <cellStyle name="Note 32 2 5 2" xfId="17857" xr:uid="{00000000-0005-0000-0000-000098600000}"/>
    <cellStyle name="Note 32 2 6" xfId="15863" xr:uid="{00000000-0005-0000-0000-000099600000}"/>
    <cellStyle name="Note 32 3" xfId="11554" xr:uid="{00000000-0005-0000-0000-00009A600000}"/>
    <cellStyle name="Note 32 3 2" xfId="22842" xr:uid="{00000000-0005-0000-0000-00009B600000}"/>
    <cellStyle name="Note 32 4" xfId="9560" xr:uid="{00000000-0005-0000-0000-00009C600000}"/>
    <cellStyle name="Note 32 4 2" xfId="20848" xr:uid="{00000000-0005-0000-0000-00009D600000}"/>
    <cellStyle name="Note 32 5" xfId="7566" xr:uid="{00000000-0005-0000-0000-00009E600000}"/>
    <cellStyle name="Note 32 5 2" xfId="18854" xr:uid="{00000000-0005-0000-0000-00009F600000}"/>
    <cellStyle name="Note 32 6" xfId="5572" xr:uid="{00000000-0005-0000-0000-0000A0600000}"/>
    <cellStyle name="Note 32 6 2" xfId="16860" xr:uid="{00000000-0005-0000-0000-0000A1600000}"/>
    <cellStyle name="Note 32 7" xfId="14866" xr:uid="{00000000-0005-0000-0000-0000A2600000}"/>
    <cellStyle name="Note 32 8" xfId="13550" xr:uid="{00000000-0005-0000-0000-0000A3600000}"/>
    <cellStyle name="Note 33" xfId="3339" xr:uid="{00000000-0005-0000-0000-0000A4600000}"/>
    <cellStyle name="Note 33 2" xfId="4573" xr:uid="{00000000-0005-0000-0000-0000A5600000}"/>
    <cellStyle name="Note 33 2 2" xfId="12552" xr:uid="{00000000-0005-0000-0000-0000A6600000}"/>
    <cellStyle name="Note 33 2 2 2" xfId="23840" xr:uid="{00000000-0005-0000-0000-0000A7600000}"/>
    <cellStyle name="Note 33 2 3" xfId="10558" xr:uid="{00000000-0005-0000-0000-0000A8600000}"/>
    <cellStyle name="Note 33 2 3 2" xfId="21846" xr:uid="{00000000-0005-0000-0000-0000A9600000}"/>
    <cellStyle name="Note 33 2 4" xfId="8564" xr:uid="{00000000-0005-0000-0000-0000AA600000}"/>
    <cellStyle name="Note 33 2 4 2" xfId="19852" xr:uid="{00000000-0005-0000-0000-0000AB600000}"/>
    <cellStyle name="Note 33 2 5" xfId="6570" xr:uid="{00000000-0005-0000-0000-0000AC600000}"/>
    <cellStyle name="Note 33 2 5 2" xfId="17858" xr:uid="{00000000-0005-0000-0000-0000AD600000}"/>
    <cellStyle name="Note 33 2 6" xfId="15864" xr:uid="{00000000-0005-0000-0000-0000AE600000}"/>
    <cellStyle name="Note 33 3" xfId="11555" xr:uid="{00000000-0005-0000-0000-0000AF600000}"/>
    <cellStyle name="Note 33 3 2" xfId="22843" xr:uid="{00000000-0005-0000-0000-0000B0600000}"/>
    <cellStyle name="Note 33 4" xfId="9561" xr:uid="{00000000-0005-0000-0000-0000B1600000}"/>
    <cellStyle name="Note 33 4 2" xfId="20849" xr:uid="{00000000-0005-0000-0000-0000B2600000}"/>
    <cellStyle name="Note 33 5" xfId="7567" xr:uid="{00000000-0005-0000-0000-0000B3600000}"/>
    <cellStyle name="Note 33 5 2" xfId="18855" xr:uid="{00000000-0005-0000-0000-0000B4600000}"/>
    <cellStyle name="Note 33 6" xfId="5573" xr:uid="{00000000-0005-0000-0000-0000B5600000}"/>
    <cellStyle name="Note 33 6 2" xfId="16861" xr:uid="{00000000-0005-0000-0000-0000B6600000}"/>
    <cellStyle name="Note 33 7" xfId="14867" xr:uid="{00000000-0005-0000-0000-0000B7600000}"/>
    <cellStyle name="Note 33 8" xfId="13551" xr:uid="{00000000-0005-0000-0000-0000B8600000}"/>
    <cellStyle name="Note 34" xfId="3340" xr:uid="{00000000-0005-0000-0000-0000B9600000}"/>
    <cellStyle name="Note 34 2" xfId="4574" xr:uid="{00000000-0005-0000-0000-0000BA600000}"/>
    <cellStyle name="Note 34 2 2" xfId="12553" xr:uid="{00000000-0005-0000-0000-0000BB600000}"/>
    <cellStyle name="Note 34 2 2 2" xfId="23841" xr:uid="{00000000-0005-0000-0000-0000BC600000}"/>
    <cellStyle name="Note 34 2 3" xfId="10559" xr:uid="{00000000-0005-0000-0000-0000BD600000}"/>
    <cellStyle name="Note 34 2 3 2" xfId="21847" xr:uid="{00000000-0005-0000-0000-0000BE600000}"/>
    <cellStyle name="Note 34 2 4" xfId="8565" xr:uid="{00000000-0005-0000-0000-0000BF600000}"/>
    <cellStyle name="Note 34 2 4 2" xfId="19853" xr:uid="{00000000-0005-0000-0000-0000C0600000}"/>
    <cellStyle name="Note 34 2 5" xfId="6571" xr:uid="{00000000-0005-0000-0000-0000C1600000}"/>
    <cellStyle name="Note 34 2 5 2" xfId="17859" xr:uid="{00000000-0005-0000-0000-0000C2600000}"/>
    <cellStyle name="Note 34 2 6" xfId="15865" xr:uid="{00000000-0005-0000-0000-0000C3600000}"/>
    <cellStyle name="Note 34 3" xfId="11556" xr:uid="{00000000-0005-0000-0000-0000C4600000}"/>
    <cellStyle name="Note 34 3 2" xfId="22844" xr:uid="{00000000-0005-0000-0000-0000C5600000}"/>
    <cellStyle name="Note 34 4" xfId="9562" xr:uid="{00000000-0005-0000-0000-0000C6600000}"/>
    <cellStyle name="Note 34 4 2" xfId="20850" xr:uid="{00000000-0005-0000-0000-0000C7600000}"/>
    <cellStyle name="Note 34 5" xfId="7568" xr:uid="{00000000-0005-0000-0000-0000C8600000}"/>
    <cellStyle name="Note 34 5 2" xfId="18856" xr:uid="{00000000-0005-0000-0000-0000C9600000}"/>
    <cellStyle name="Note 34 6" xfId="5574" xr:uid="{00000000-0005-0000-0000-0000CA600000}"/>
    <cellStyle name="Note 34 6 2" xfId="16862" xr:uid="{00000000-0005-0000-0000-0000CB600000}"/>
    <cellStyle name="Note 34 7" xfId="14868" xr:uid="{00000000-0005-0000-0000-0000CC600000}"/>
    <cellStyle name="Note 34 8" xfId="13552" xr:uid="{00000000-0005-0000-0000-0000CD600000}"/>
    <cellStyle name="Note 35" xfId="3341" xr:uid="{00000000-0005-0000-0000-0000CE600000}"/>
    <cellStyle name="Note 35 2" xfId="4575" xr:uid="{00000000-0005-0000-0000-0000CF600000}"/>
    <cellStyle name="Note 35 2 2" xfId="12554" xr:uid="{00000000-0005-0000-0000-0000D0600000}"/>
    <cellStyle name="Note 35 2 2 2" xfId="23842" xr:uid="{00000000-0005-0000-0000-0000D1600000}"/>
    <cellStyle name="Note 35 2 3" xfId="10560" xr:uid="{00000000-0005-0000-0000-0000D2600000}"/>
    <cellStyle name="Note 35 2 3 2" xfId="21848" xr:uid="{00000000-0005-0000-0000-0000D3600000}"/>
    <cellStyle name="Note 35 2 4" xfId="8566" xr:uid="{00000000-0005-0000-0000-0000D4600000}"/>
    <cellStyle name="Note 35 2 4 2" xfId="19854" xr:uid="{00000000-0005-0000-0000-0000D5600000}"/>
    <cellStyle name="Note 35 2 5" xfId="6572" xr:uid="{00000000-0005-0000-0000-0000D6600000}"/>
    <cellStyle name="Note 35 2 5 2" xfId="17860" xr:uid="{00000000-0005-0000-0000-0000D7600000}"/>
    <cellStyle name="Note 35 2 6" xfId="15866" xr:uid="{00000000-0005-0000-0000-0000D8600000}"/>
    <cellStyle name="Note 35 3" xfId="11557" xr:uid="{00000000-0005-0000-0000-0000D9600000}"/>
    <cellStyle name="Note 35 3 2" xfId="22845" xr:uid="{00000000-0005-0000-0000-0000DA600000}"/>
    <cellStyle name="Note 35 4" xfId="9563" xr:uid="{00000000-0005-0000-0000-0000DB600000}"/>
    <cellStyle name="Note 35 4 2" xfId="20851" xr:uid="{00000000-0005-0000-0000-0000DC600000}"/>
    <cellStyle name="Note 35 5" xfId="7569" xr:uid="{00000000-0005-0000-0000-0000DD600000}"/>
    <cellStyle name="Note 35 5 2" xfId="18857" xr:uid="{00000000-0005-0000-0000-0000DE600000}"/>
    <cellStyle name="Note 35 6" xfId="5575" xr:uid="{00000000-0005-0000-0000-0000DF600000}"/>
    <cellStyle name="Note 35 6 2" xfId="16863" xr:uid="{00000000-0005-0000-0000-0000E0600000}"/>
    <cellStyle name="Note 35 7" xfId="14869" xr:uid="{00000000-0005-0000-0000-0000E1600000}"/>
    <cellStyle name="Note 35 8" xfId="13553" xr:uid="{00000000-0005-0000-0000-0000E2600000}"/>
    <cellStyle name="Note 36" xfId="3342" xr:uid="{00000000-0005-0000-0000-0000E3600000}"/>
    <cellStyle name="Note 36 2" xfId="4576" xr:uid="{00000000-0005-0000-0000-0000E4600000}"/>
    <cellStyle name="Note 36 2 2" xfId="12555" xr:uid="{00000000-0005-0000-0000-0000E5600000}"/>
    <cellStyle name="Note 36 2 2 2" xfId="23843" xr:uid="{00000000-0005-0000-0000-0000E6600000}"/>
    <cellStyle name="Note 36 2 3" xfId="10561" xr:uid="{00000000-0005-0000-0000-0000E7600000}"/>
    <cellStyle name="Note 36 2 3 2" xfId="21849" xr:uid="{00000000-0005-0000-0000-0000E8600000}"/>
    <cellStyle name="Note 36 2 4" xfId="8567" xr:uid="{00000000-0005-0000-0000-0000E9600000}"/>
    <cellStyle name="Note 36 2 4 2" xfId="19855" xr:uid="{00000000-0005-0000-0000-0000EA600000}"/>
    <cellStyle name="Note 36 2 5" xfId="6573" xr:uid="{00000000-0005-0000-0000-0000EB600000}"/>
    <cellStyle name="Note 36 2 5 2" xfId="17861" xr:uid="{00000000-0005-0000-0000-0000EC600000}"/>
    <cellStyle name="Note 36 2 6" xfId="15867" xr:uid="{00000000-0005-0000-0000-0000ED600000}"/>
    <cellStyle name="Note 36 3" xfId="11558" xr:uid="{00000000-0005-0000-0000-0000EE600000}"/>
    <cellStyle name="Note 36 3 2" xfId="22846" xr:uid="{00000000-0005-0000-0000-0000EF600000}"/>
    <cellStyle name="Note 36 4" xfId="9564" xr:uid="{00000000-0005-0000-0000-0000F0600000}"/>
    <cellStyle name="Note 36 4 2" xfId="20852" xr:uid="{00000000-0005-0000-0000-0000F1600000}"/>
    <cellStyle name="Note 36 5" xfId="7570" xr:uid="{00000000-0005-0000-0000-0000F2600000}"/>
    <cellStyle name="Note 36 5 2" xfId="18858" xr:uid="{00000000-0005-0000-0000-0000F3600000}"/>
    <cellStyle name="Note 36 6" xfId="5576" xr:uid="{00000000-0005-0000-0000-0000F4600000}"/>
    <cellStyle name="Note 36 6 2" xfId="16864" xr:uid="{00000000-0005-0000-0000-0000F5600000}"/>
    <cellStyle name="Note 36 7" xfId="14870" xr:uid="{00000000-0005-0000-0000-0000F6600000}"/>
    <cellStyle name="Note 36 8" xfId="13554" xr:uid="{00000000-0005-0000-0000-0000F7600000}"/>
    <cellStyle name="Note 37" xfId="3343" xr:uid="{00000000-0005-0000-0000-0000F8600000}"/>
    <cellStyle name="Note 37 2" xfId="4577" xr:uid="{00000000-0005-0000-0000-0000F9600000}"/>
    <cellStyle name="Note 37 2 2" xfId="12556" xr:uid="{00000000-0005-0000-0000-0000FA600000}"/>
    <cellStyle name="Note 37 2 2 2" xfId="23844" xr:uid="{00000000-0005-0000-0000-0000FB600000}"/>
    <cellStyle name="Note 37 2 3" xfId="10562" xr:uid="{00000000-0005-0000-0000-0000FC600000}"/>
    <cellStyle name="Note 37 2 3 2" xfId="21850" xr:uid="{00000000-0005-0000-0000-0000FD600000}"/>
    <cellStyle name="Note 37 2 4" xfId="8568" xr:uid="{00000000-0005-0000-0000-0000FE600000}"/>
    <cellStyle name="Note 37 2 4 2" xfId="19856" xr:uid="{00000000-0005-0000-0000-0000FF600000}"/>
    <cellStyle name="Note 37 2 5" xfId="6574" xr:uid="{00000000-0005-0000-0000-000000610000}"/>
    <cellStyle name="Note 37 2 5 2" xfId="17862" xr:uid="{00000000-0005-0000-0000-000001610000}"/>
    <cellStyle name="Note 37 2 6" xfId="15868" xr:uid="{00000000-0005-0000-0000-000002610000}"/>
    <cellStyle name="Note 37 3" xfId="11559" xr:uid="{00000000-0005-0000-0000-000003610000}"/>
    <cellStyle name="Note 37 3 2" xfId="22847" xr:uid="{00000000-0005-0000-0000-000004610000}"/>
    <cellStyle name="Note 37 4" xfId="9565" xr:uid="{00000000-0005-0000-0000-000005610000}"/>
    <cellStyle name="Note 37 4 2" xfId="20853" xr:uid="{00000000-0005-0000-0000-000006610000}"/>
    <cellStyle name="Note 37 5" xfId="7571" xr:uid="{00000000-0005-0000-0000-000007610000}"/>
    <cellStyle name="Note 37 5 2" xfId="18859" xr:uid="{00000000-0005-0000-0000-000008610000}"/>
    <cellStyle name="Note 37 6" xfId="5577" xr:uid="{00000000-0005-0000-0000-000009610000}"/>
    <cellStyle name="Note 37 6 2" xfId="16865" xr:uid="{00000000-0005-0000-0000-00000A610000}"/>
    <cellStyle name="Note 37 7" xfId="14871" xr:uid="{00000000-0005-0000-0000-00000B610000}"/>
    <cellStyle name="Note 37 8" xfId="13555" xr:uid="{00000000-0005-0000-0000-00000C610000}"/>
    <cellStyle name="Note 38" xfId="3344" xr:uid="{00000000-0005-0000-0000-00000D610000}"/>
    <cellStyle name="Note 38 2" xfId="4578" xr:uid="{00000000-0005-0000-0000-00000E610000}"/>
    <cellStyle name="Note 38 2 2" xfId="12557" xr:uid="{00000000-0005-0000-0000-00000F610000}"/>
    <cellStyle name="Note 38 2 2 2" xfId="23845" xr:uid="{00000000-0005-0000-0000-000010610000}"/>
    <cellStyle name="Note 38 2 3" xfId="10563" xr:uid="{00000000-0005-0000-0000-000011610000}"/>
    <cellStyle name="Note 38 2 3 2" xfId="21851" xr:uid="{00000000-0005-0000-0000-000012610000}"/>
    <cellStyle name="Note 38 2 4" xfId="8569" xr:uid="{00000000-0005-0000-0000-000013610000}"/>
    <cellStyle name="Note 38 2 4 2" xfId="19857" xr:uid="{00000000-0005-0000-0000-000014610000}"/>
    <cellStyle name="Note 38 2 5" xfId="6575" xr:uid="{00000000-0005-0000-0000-000015610000}"/>
    <cellStyle name="Note 38 2 5 2" xfId="17863" xr:uid="{00000000-0005-0000-0000-000016610000}"/>
    <cellStyle name="Note 38 2 6" xfId="15869" xr:uid="{00000000-0005-0000-0000-000017610000}"/>
    <cellStyle name="Note 38 3" xfId="11560" xr:uid="{00000000-0005-0000-0000-000018610000}"/>
    <cellStyle name="Note 38 3 2" xfId="22848" xr:uid="{00000000-0005-0000-0000-000019610000}"/>
    <cellStyle name="Note 38 4" xfId="9566" xr:uid="{00000000-0005-0000-0000-00001A610000}"/>
    <cellStyle name="Note 38 4 2" xfId="20854" xr:uid="{00000000-0005-0000-0000-00001B610000}"/>
    <cellStyle name="Note 38 5" xfId="7572" xr:uid="{00000000-0005-0000-0000-00001C610000}"/>
    <cellStyle name="Note 38 5 2" xfId="18860" xr:uid="{00000000-0005-0000-0000-00001D610000}"/>
    <cellStyle name="Note 38 6" xfId="5578" xr:uid="{00000000-0005-0000-0000-00001E610000}"/>
    <cellStyle name="Note 38 6 2" xfId="16866" xr:uid="{00000000-0005-0000-0000-00001F610000}"/>
    <cellStyle name="Note 38 7" xfId="14872" xr:uid="{00000000-0005-0000-0000-000020610000}"/>
    <cellStyle name="Note 38 8" xfId="13556" xr:uid="{00000000-0005-0000-0000-000021610000}"/>
    <cellStyle name="Note 39" xfId="3345" xr:uid="{00000000-0005-0000-0000-000022610000}"/>
    <cellStyle name="Note 39 2" xfId="4579" xr:uid="{00000000-0005-0000-0000-000023610000}"/>
    <cellStyle name="Note 39 2 2" xfId="12558" xr:uid="{00000000-0005-0000-0000-000024610000}"/>
    <cellStyle name="Note 39 2 2 2" xfId="23846" xr:uid="{00000000-0005-0000-0000-000025610000}"/>
    <cellStyle name="Note 39 2 3" xfId="10564" xr:uid="{00000000-0005-0000-0000-000026610000}"/>
    <cellStyle name="Note 39 2 3 2" xfId="21852" xr:uid="{00000000-0005-0000-0000-000027610000}"/>
    <cellStyle name="Note 39 2 4" xfId="8570" xr:uid="{00000000-0005-0000-0000-000028610000}"/>
    <cellStyle name="Note 39 2 4 2" xfId="19858" xr:uid="{00000000-0005-0000-0000-000029610000}"/>
    <cellStyle name="Note 39 2 5" xfId="6576" xr:uid="{00000000-0005-0000-0000-00002A610000}"/>
    <cellStyle name="Note 39 2 5 2" xfId="17864" xr:uid="{00000000-0005-0000-0000-00002B610000}"/>
    <cellStyle name="Note 39 2 6" xfId="15870" xr:uid="{00000000-0005-0000-0000-00002C610000}"/>
    <cellStyle name="Note 39 3" xfId="11561" xr:uid="{00000000-0005-0000-0000-00002D610000}"/>
    <cellStyle name="Note 39 3 2" xfId="22849" xr:uid="{00000000-0005-0000-0000-00002E610000}"/>
    <cellStyle name="Note 39 4" xfId="9567" xr:uid="{00000000-0005-0000-0000-00002F610000}"/>
    <cellStyle name="Note 39 4 2" xfId="20855" xr:uid="{00000000-0005-0000-0000-000030610000}"/>
    <cellStyle name="Note 39 5" xfId="7573" xr:uid="{00000000-0005-0000-0000-000031610000}"/>
    <cellStyle name="Note 39 5 2" xfId="18861" xr:uid="{00000000-0005-0000-0000-000032610000}"/>
    <cellStyle name="Note 39 6" xfId="5579" xr:uid="{00000000-0005-0000-0000-000033610000}"/>
    <cellStyle name="Note 39 6 2" xfId="16867" xr:uid="{00000000-0005-0000-0000-000034610000}"/>
    <cellStyle name="Note 39 7" xfId="14873" xr:uid="{00000000-0005-0000-0000-000035610000}"/>
    <cellStyle name="Note 39 8" xfId="13557" xr:uid="{00000000-0005-0000-0000-000036610000}"/>
    <cellStyle name="Note 4" xfId="3346" xr:uid="{00000000-0005-0000-0000-000037610000}"/>
    <cellStyle name="Note 4 10" xfId="25076" xr:uid="{00000000-0005-0000-0000-000038610000}"/>
    <cellStyle name="Note 4 10 2" xfId="25421" xr:uid="{00000000-0005-0000-0000-000039610000}"/>
    <cellStyle name="Note 4 10 2 2" xfId="27575" xr:uid="{00000000-0005-0000-0000-00003A610000}"/>
    <cellStyle name="Note 4 10 2 2 2" xfId="32166" xr:uid="{EBFE7617-1DF5-49C0-99FD-A32FB5FD2D56}"/>
    <cellStyle name="Note 4 10 2 3" xfId="26966" xr:uid="{00000000-0005-0000-0000-00003B610000}"/>
    <cellStyle name="Note 4 10 2 3 2" xfId="31727" xr:uid="{B3C6097A-F8F9-497B-9C80-B684935CFFE1}"/>
    <cellStyle name="Note 4 10 2 4" xfId="26134" xr:uid="{00000000-0005-0000-0000-00003C610000}"/>
    <cellStyle name="Note 4 10 2 4 2" xfId="30924" xr:uid="{0DAF876A-F0DE-46D7-81E4-16410AF1356F}"/>
    <cellStyle name="Note 4 10 2 5" xfId="29289" xr:uid="{00000000-0005-0000-0000-00003D610000}"/>
    <cellStyle name="Note 4 10 2 5 2" xfId="33255" xr:uid="{C4895E64-E252-4E5E-9A67-BEF64A2F42D0}"/>
    <cellStyle name="Note 4 10 2 6" xfId="30579" xr:uid="{E284860F-50FD-474E-902F-818506795136}"/>
    <cellStyle name="Note 4 10 3" xfId="25680" xr:uid="{00000000-0005-0000-0000-00003E610000}"/>
    <cellStyle name="Note 4 10 3 2" xfId="27833" xr:uid="{00000000-0005-0000-0000-00003F610000}"/>
    <cellStyle name="Note 4 10 3 2 2" xfId="32420" xr:uid="{C434686F-E228-4486-9CDE-FBD7B6F87FDA}"/>
    <cellStyle name="Note 4 10 3 3" xfId="26447" xr:uid="{00000000-0005-0000-0000-000040610000}"/>
    <cellStyle name="Note 4 10 3 3 2" xfId="31235" xr:uid="{BB18DE56-9B57-49AF-8EC1-9AEB70371922}"/>
    <cellStyle name="Note 4 10 3 4" xfId="26354" xr:uid="{00000000-0005-0000-0000-000041610000}"/>
    <cellStyle name="Note 4 10 3 4 2" xfId="31142" xr:uid="{E274F0B3-4786-4726-952C-250E385E37F5}"/>
    <cellStyle name="Note 4 10 3 5" xfId="29288" xr:uid="{00000000-0005-0000-0000-000042610000}"/>
    <cellStyle name="Note 4 10 3 5 2" xfId="33254" xr:uid="{68F66E17-A3AE-458B-9DE6-AE58E3DC6A75}"/>
    <cellStyle name="Note 4 10 3 6" xfId="30674" xr:uid="{2BA25E7D-C1F1-4A67-9114-D49547C701BA}"/>
    <cellStyle name="Note 4 10 4" xfId="27367" xr:uid="{00000000-0005-0000-0000-000043610000}"/>
    <cellStyle name="Note 4 10 4 2" xfId="31965" xr:uid="{20C5BE9F-A843-4E63-9D32-D21B7F83356B}"/>
    <cellStyle name="Note 4 10 5" xfId="26380" xr:uid="{00000000-0005-0000-0000-000044610000}"/>
    <cellStyle name="Note 4 10 5 2" xfId="31168" xr:uid="{29F6580A-A2DF-4B52-8856-1DCB34E4EA5B}"/>
    <cellStyle name="Note 4 10 6" xfId="26280" xr:uid="{00000000-0005-0000-0000-000045610000}"/>
    <cellStyle name="Note 4 10 6 2" xfId="31068" xr:uid="{3FEA28AA-3F60-4843-8F9F-4E604D842475}"/>
    <cellStyle name="Note 4 10 7" xfId="29290" xr:uid="{00000000-0005-0000-0000-000046610000}"/>
    <cellStyle name="Note 4 10 7 2" xfId="33256" xr:uid="{91EA9833-D373-4D67-B953-2DAD5C4A205F}"/>
    <cellStyle name="Note 4 10 8" xfId="30382" xr:uid="{C8D9E4D9-3627-4B5F-8E89-2D974D2B9E1D}"/>
    <cellStyle name="Note 4 2" xfId="4580" xr:uid="{00000000-0005-0000-0000-000047610000}"/>
    <cellStyle name="Note 4 2 2" xfId="12559" xr:uid="{00000000-0005-0000-0000-000048610000}"/>
    <cellStyle name="Note 4 2 2 2" xfId="23847" xr:uid="{00000000-0005-0000-0000-000049610000}"/>
    <cellStyle name="Note 4 2 3" xfId="10565" xr:uid="{00000000-0005-0000-0000-00004A610000}"/>
    <cellStyle name="Note 4 2 3 2" xfId="21853" xr:uid="{00000000-0005-0000-0000-00004B610000}"/>
    <cellStyle name="Note 4 2 4" xfId="8571" xr:uid="{00000000-0005-0000-0000-00004C610000}"/>
    <cellStyle name="Note 4 2 4 2" xfId="19859" xr:uid="{00000000-0005-0000-0000-00004D610000}"/>
    <cellStyle name="Note 4 2 5" xfId="6577" xr:uid="{00000000-0005-0000-0000-00004E610000}"/>
    <cellStyle name="Note 4 2 5 2" xfId="17865" xr:uid="{00000000-0005-0000-0000-00004F610000}"/>
    <cellStyle name="Note 4 2 6" xfId="15871" xr:uid="{00000000-0005-0000-0000-000050610000}"/>
    <cellStyle name="Note 4 3" xfId="11562" xr:uid="{00000000-0005-0000-0000-000051610000}"/>
    <cellStyle name="Note 4 3 2" xfId="22850" xr:uid="{00000000-0005-0000-0000-000052610000}"/>
    <cellStyle name="Note 4 4" xfId="9568" xr:uid="{00000000-0005-0000-0000-000053610000}"/>
    <cellStyle name="Note 4 4 2" xfId="20856" xr:uid="{00000000-0005-0000-0000-000054610000}"/>
    <cellStyle name="Note 4 5" xfId="7574" xr:uid="{00000000-0005-0000-0000-000055610000}"/>
    <cellStyle name="Note 4 5 2" xfId="18862" xr:uid="{00000000-0005-0000-0000-000056610000}"/>
    <cellStyle name="Note 4 6" xfId="5580" xr:uid="{00000000-0005-0000-0000-000057610000}"/>
    <cellStyle name="Note 4 6 2" xfId="16868" xr:uid="{00000000-0005-0000-0000-000058610000}"/>
    <cellStyle name="Note 4 7" xfId="14874" xr:uid="{00000000-0005-0000-0000-000059610000}"/>
    <cellStyle name="Note 4 8" xfId="13558" xr:uid="{00000000-0005-0000-0000-00005A610000}"/>
    <cellStyle name="Note 4 9" xfId="24192" xr:uid="{00000000-0005-0000-0000-00005B610000}"/>
    <cellStyle name="Note 4 9 2" xfId="25343" xr:uid="{00000000-0005-0000-0000-00005C610000}"/>
    <cellStyle name="Note 4 9 2 2" xfId="27497" xr:uid="{00000000-0005-0000-0000-00005D610000}"/>
    <cellStyle name="Note 4 9 2 2 2" xfId="32088" xr:uid="{1B33F6FF-1C11-4FEE-869E-03D39D040970}"/>
    <cellStyle name="Note 4 9 2 3" xfId="26723" xr:uid="{00000000-0005-0000-0000-00005E610000}"/>
    <cellStyle name="Note 4 9 2 3 2" xfId="31484" xr:uid="{63B0EAC9-3713-486C-B1AD-46D59FB4B074}"/>
    <cellStyle name="Note 4 9 2 4" xfId="26386" xr:uid="{00000000-0005-0000-0000-00005F610000}"/>
    <cellStyle name="Note 4 9 2 4 2" xfId="31174" xr:uid="{57823113-B546-4154-9582-2D970F8E0646}"/>
    <cellStyle name="Note 4 9 2 5" xfId="29286" xr:uid="{00000000-0005-0000-0000-000060610000}"/>
    <cellStyle name="Note 4 9 2 5 2" xfId="33252" xr:uid="{B07A43C2-A8C6-49CE-B634-C895EF7A6A13}"/>
    <cellStyle name="Note 4 9 2 6" xfId="30501" xr:uid="{2100FFD0-8804-4D0E-9A46-863B5787E9EF}"/>
    <cellStyle name="Note 4 9 3" xfId="25567" xr:uid="{00000000-0005-0000-0000-000061610000}"/>
    <cellStyle name="Note 4 9 3 2" xfId="27720" xr:uid="{00000000-0005-0000-0000-000062610000}"/>
    <cellStyle name="Note 4 9 3 2 2" xfId="32307" xr:uid="{5516163D-BCC4-4099-A285-6928059C5488}"/>
    <cellStyle name="Note 4 9 3 3" xfId="26800" xr:uid="{00000000-0005-0000-0000-000063610000}"/>
    <cellStyle name="Note 4 9 3 3 2" xfId="31561" xr:uid="{4F1D991D-696F-4485-8499-8EA76A45DA88}"/>
    <cellStyle name="Note 4 9 3 4" xfId="26524" xr:uid="{00000000-0005-0000-0000-000064610000}"/>
    <cellStyle name="Note 4 9 3 4 2" xfId="31311" xr:uid="{FA5CB2CA-5301-4055-99FE-96728A932FD6}"/>
    <cellStyle name="Note 4 9 3 5" xfId="29285" xr:uid="{00000000-0005-0000-0000-000065610000}"/>
    <cellStyle name="Note 4 9 3 5 2" xfId="33251" xr:uid="{31A8CACA-9A16-45F6-BBAE-58D85923AA7C}"/>
    <cellStyle name="Note 4 9 3 6" xfId="30624" xr:uid="{62FB1D9F-87A2-4ED6-8157-CFC8F683CC09}"/>
    <cellStyle name="Note 4 9 4" xfId="27092" xr:uid="{00000000-0005-0000-0000-000066610000}"/>
    <cellStyle name="Note 4 9 4 2" xfId="31816" xr:uid="{AFF142BA-BD7D-49D6-BC66-BA8568021BE9}"/>
    <cellStyle name="Note 4 9 5" xfId="26446" xr:uid="{00000000-0005-0000-0000-000067610000}"/>
    <cellStyle name="Note 4 9 5 2" xfId="31234" xr:uid="{D331D07D-4BA9-4B46-B2DB-D7ECF4BBDCE6}"/>
    <cellStyle name="Note 4 9 6" xfId="26752" xr:uid="{00000000-0005-0000-0000-000068610000}"/>
    <cellStyle name="Note 4 9 6 2" xfId="31513" xr:uid="{2FA07F35-96F5-4ECF-B140-A73C13792DBE}"/>
    <cellStyle name="Note 4 9 7" xfId="29287" xr:uid="{00000000-0005-0000-0000-000069610000}"/>
    <cellStyle name="Note 4 9 7 2" xfId="33253" xr:uid="{F2D42103-4FF7-4D4B-B1E1-DA634570BB50}"/>
    <cellStyle name="Note 4 9 8" xfId="30269" xr:uid="{3B04A0F6-8DFE-455C-8465-7D26DAD0FAEA}"/>
    <cellStyle name="Note 40" xfId="3347" xr:uid="{00000000-0005-0000-0000-00006A610000}"/>
    <cellStyle name="Note 40 2" xfId="4581" xr:uid="{00000000-0005-0000-0000-00006B610000}"/>
    <cellStyle name="Note 40 2 2" xfId="12560" xr:uid="{00000000-0005-0000-0000-00006C610000}"/>
    <cellStyle name="Note 40 2 2 2" xfId="23848" xr:uid="{00000000-0005-0000-0000-00006D610000}"/>
    <cellStyle name="Note 40 2 3" xfId="10566" xr:uid="{00000000-0005-0000-0000-00006E610000}"/>
    <cellStyle name="Note 40 2 3 2" xfId="21854" xr:uid="{00000000-0005-0000-0000-00006F610000}"/>
    <cellStyle name="Note 40 2 4" xfId="8572" xr:uid="{00000000-0005-0000-0000-000070610000}"/>
    <cellStyle name="Note 40 2 4 2" xfId="19860" xr:uid="{00000000-0005-0000-0000-000071610000}"/>
    <cellStyle name="Note 40 2 5" xfId="6578" xr:uid="{00000000-0005-0000-0000-000072610000}"/>
    <cellStyle name="Note 40 2 5 2" xfId="17866" xr:uid="{00000000-0005-0000-0000-000073610000}"/>
    <cellStyle name="Note 40 2 6" xfId="15872" xr:uid="{00000000-0005-0000-0000-000074610000}"/>
    <cellStyle name="Note 40 3" xfId="11563" xr:uid="{00000000-0005-0000-0000-000075610000}"/>
    <cellStyle name="Note 40 3 2" xfId="22851" xr:uid="{00000000-0005-0000-0000-000076610000}"/>
    <cellStyle name="Note 40 4" xfId="9569" xr:uid="{00000000-0005-0000-0000-000077610000}"/>
    <cellStyle name="Note 40 4 2" xfId="20857" xr:uid="{00000000-0005-0000-0000-000078610000}"/>
    <cellStyle name="Note 40 5" xfId="7575" xr:uid="{00000000-0005-0000-0000-000079610000}"/>
    <cellStyle name="Note 40 5 2" xfId="18863" xr:uid="{00000000-0005-0000-0000-00007A610000}"/>
    <cellStyle name="Note 40 6" xfId="5581" xr:uid="{00000000-0005-0000-0000-00007B610000}"/>
    <cellStyle name="Note 40 6 2" xfId="16869" xr:uid="{00000000-0005-0000-0000-00007C610000}"/>
    <cellStyle name="Note 40 7" xfId="14875" xr:uid="{00000000-0005-0000-0000-00007D610000}"/>
    <cellStyle name="Note 40 8" xfId="13559" xr:uid="{00000000-0005-0000-0000-00007E610000}"/>
    <cellStyle name="Note 41" xfId="3348" xr:uid="{00000000-0005-0000-0000-00007F610000}"/>
    <cellStyle name="Note 41 2" xfId="4582" xr:uid="{00000000-0005-0000-0000-000080610000}"/>
    <cellStyle name="Note 41 2 2" xfId="12561" xr:uid="{00000000-0005-0000-0000-000081610000}"/>
    <cellStyle name="Note 41 2 2 2" xfId="23849" xr:uid="{00000000-0005-0000-0000-000082610000}"/>
    <cellStyle name="Note 41 2 3" xfId="10567" xr:uid="{00000000-0005-0000-0000-000083610000}"/>
    <cellStyle name="Note 41 2 3 2" xfId="21855" xr:uid="{00000000-0005-0000-0000-000084610000}"/>
    <cellStyle name="Note 41 2 4" xfId="8573" xr:uid="{00000000-0005-0000-0000-000085610000}"/>
    <cellStyle name="Note 41 2 4 2" xfId="19861" xr:uid="{00000000-0005-0000-0000-000086610000}"/>
    <cellStyle name="Note 41 2 5" xfId="6579" xr:uid="{00000000-0005-0000-0000-000087610000}"/>
    <cellStyle name="Note 41 2 5 2" xfId="17867" xr:uid="{00000000-0005-0000-0000-000088610000}"/>
    <cellStyle name="Note 41 2 6" xfId="15873" xr:uid="{00000000-0005-0000-0000-000089610000}"/>
    <cellStyle name="Note 41 3" xfId="11564" xr:uid="{00000000-0005-0000-0000-00008A610000}"/>
    <cellStyle name="Note 41 3 2" xfId="22852" xr:uid="{00000000-0005-0000-0000-00008B610000}"/>
    <cellStyle name="Note 41 4" xfId="9570" xr:uid="{00000000-0005-0000-0000-00008C610000}"/>
    <cellStyle name="Note 41 4 2" xfId="20858" xr:uid="{00000000-0005-0000-0000-00008D610000}"/>
    <cellStyle name="Note 41 5" xfId="7576" xr:uid="{00000000-0005-0000-0000-00008E610000}"/>
    <cellStyle name="Note 41 5 2" xfId="18864" xr:uid="{00000000-0005-0000-0000-00008F610000}"/>
    <cellStyle name="Note 41 6" xfId="5582" xr:uid="{00000000-0005-0000-0000-000090610000}"/>
    <cellStyle name="Note 41 6 2" xfId="16870" xr:uid="{00000000-0005-0000-0000-000091610000}"/>
    <cellStyle name="Note 41 7" xfId="14876" xr:uid="{00000000-0005-0000-0000-000092610000}"/>
    <cellStyle name="Note 41 8" xfId="13560" xr:uid="{00000000-0005-0000-0000-000093610000}"/>
    <cellStyle name="Note 42" xfId="3349" xr:uid="{00000000-0005-0000-0000-000094610000}"/>
    <cellStyle name="Note 42 2" xfId="4583" xr:uid="{00000000-0005-0000-0000-000095610000}"/>
    <cellStyle name="Note 42 2 2" xfId="12562" xr:uid="{00000000-0005-0000-0000-000096610000}"/>
    <cellStyle name="Note 42 2 2 2" xfId="23850" xr:uid="{00000000-0005-0000-0000-000097610000}"/>
    <cellStyle name="Note 42 2 3" xfId="10568" xr:uid="{00000000-0005-0000-0000-000098610000}"/>
    <cellStyle name="Note 42 2 3 2" xfId="21856" xr:uid="{00000000-0005-0000-0000-000099610000}"/>
    <cellStyle name="Note 42 2 4" xfId="8574" xr:uid="{00000000-0005-0000-0000-00009A610000}"/>
    <cellStyle name="Note 42 2 4 2" xfId="19862" xr:uid="{00000000-0005-0000-0000-00009B610000}"/>
    <cellStyle name="Note 42 2 5" xfId="6580" xr:uid="{00000000-0005-0000-0000-00009C610000}"/>
    <cellStyle name="Note 42 2 5 2" xfId="17868" xr:uid="{00000000-0005-0000-0000-00009D610000}"/>
    <cellStyle name="Note 42 2 6" xfId="15874" xr:uid="{00000000-0005-0000-0000-00009E610000}"/>
    <cellStyle name="Note 42 3" xfId="11565" xr:uid="{00000000-0005-0000-0000-00009F610000}"/>
    <cellStyle name="Note 42 3 2" xfId="22853" xr:uid="{00000000-0005-0000-0000-0000A0610000}"/>
    <cellStyle name="Note 42 4" xfId="9571" xr:uid="{00000000-0005-0000-0000-0000A1610000}"/>
    <cellStyle name="Note 42 4 2" xfId="20859" xr:uid="{00000000-0005-0000-0000-0000A2610000}"/>
    <cellStyle name="Note 42 5" xfId="7577" xr:uid="{00000000-0005-0000-0000-0000A3610000}"/>
    <cellStyle name="Note 42 5 2" xfId="18865" xr:uid="{00000000-0005-0000-0000-0000A4610000}"/>
    <cellStyle name="Note 42 6" xfId="5583" xr:uid="{00000000-0005-0000-0000-0000A5610000}"/>
    <cellStyle name="Note 42 6 2" xfId="16871" xr:uid="{00000000-0005-0000-0000-0000A6610000}"/>
    <cellStyle name="Note 42 7" xfId="14877" xr:uid="{00000000-0005-0000-0000-0000A7610000}"/>
    <cellStyle name="Note 42 8" xfId="13561" xr:uid="{00000000-0005-0000-0000-0000A8610000}"/>
    <cellStyle name="Note 43" xfId="3350" xr:uid="{00000000-0005-0000-0000-0000A9610000}"/>
    <cellStyle name="Note 43 2" xfId="4584" xr:uid="{00000000-0005-0000-0000-0000AA610000}"/>
    <cellStyle name="Note 43 2 2" xfId="12563" xr:uid="{00000000-0005-0000-0000-0000AB610000}"/>
    <cellStyle name="Note 43 2 2 2" xfId="23851" xr:uid="{00000000-0005-0000-0000-0000AC610000}"/>
    <cellStyle name="Note 43 2 3" xfId="10569" xr:uid="{00000000-0005-0000-0000-0000AD610000}"/>
    <cellStyle name="Note 43 2 3 2" xfId="21857" xr:uid="{00000000-0005-0000-0000-0000AE610000}"/>
    <cellStyle name="Note 43 2 4" xfId="8575" xr:uid="{00000000-0005-0000-0000-0000AF610000}"/>
    <cellStyle name="Note 43 2 4 2" xfId="19863" xr:uid="{00000000-0005-0000-0000-0000B0610000}"/>
    <cellStyle name="Note 43 2 5" xfId="6581" xr:uid="{00000000-0005-0000-0000-0000B1610000}"/>
    <cellStyle name="Note 43 2 5 2" xfId="17869" xr:uid="{00000000-0005-0000-0000-0000B2610000}"/>
    <cellStyle name="Note 43 2 6" xfId="15875" xr:uid="{00000000-0005-0000-0000-0000B3610000}"/>
    <cellStyle name="Note 43 3" xfId="11566" xr:uid="{00000000-0005-0000-0000-0000B4610000}"/>
    <cellStyle name="Note 43 3 2" xfId="22854" xr:uid="{00000000-0005-0000-0000-0000B5610000}"/>
    <cellStyle name="Note 43 4" xfId="9572" xr:uid="{00000000-0005-0000-0000-0000B6610000}"/>
    <cellStyle name="Note 43 4 2" xfId="20860" xr:uid="{00000000-0005-0000-0000-0000B7610000}"/>
    <cellStyle name="Note 43 5" xfId="7578" xr:uid="{00000000-0005-0000-0000-0000B8610000}"/>
    <cellStyle name="Note 43 5 2" xfId="18866" xr:uid="{00000000-0005-0000-0000-0000B9610000}"/>
    <cellStyle name="Note 43 6" xfId="5584" xr:uid="{00000000-0005-0000-0000-0000BA610000}"/>
    <cellStyle name="Note 43 6 2" xfId="16872" xr:uid="{00000000-0005-0000-0000-0000BB610000}"/>
    <cellStyle name="Note 43 7" xfId="14878" xr:uid="{00000000-0005-0000-0000-0000BC610000}"/>
    <cellStyle name="Note 43 8" xfId="13562" xr:uid="{00000000-0005-0000-0000-0000BD610000}"/>
    <cellStyle name="Note 44" xfId="3351" xr:uid="{00000000-0005-0000-0000-0000BE610000}"/>
    <cellStyle name="Note 44 2" xfId="4585" xr:uid="{00000000-0005-0000-0000-0000BF610000}"/>
    <cellStyle name="Note 44 2 2" xfId="12564" xr:uid="{00000000-0005-0000-0000-0000C0610000}"/>
    <cellStyle name="Note 44 2 2 2" xfId="23852" xr:uid="{00000000-0005-0000-0000-0000C1610000}"/>
    <cellStyle name="Note 44 2 3" xfId="10570" xr:uid="{00000000-0005-0000-0000-0000C2610000}"/>
    <cellStyle name="Note 44 2 3 2" xfId="21858" xr:uid="{00000000-0005-0000-0000-0000C3610000}"/>
    <cellStyle name="Note 44 2 4" xfId="8576" xr:uid="{00000000-0005-0000-0000-0000C4610000}"/>
    <cellStyle name="Note 44 2 4 2" xfId="19864" xr:uid="{00000000-0005-0000-0000-0000C5610000}"/>
    <cellStyle name="Note 44 2 5" xfId="6582" xr:uid="{00000000-0005-0000-0000-0000C6610000}"/>
    <cellStyle name="Note 44 2 5 2" xfId="17870" xr:uid="{00000000-0005-0000-0000-0000C7610000}"/>
    <cellStyle name="Note 44 2 6" xfId="15876" xr:uid="{00000000-0005-0000-0000-0000C8610000}"/>
    <cellStyle name="Note 44 3" xfId="11567" xr:uid="{00000000-0005-0000-0000-0000C9610000}"/>
    <cellStyle name="Note 44 3 2" xfId="22855" xr:uid="{00000000-0005-0000-0000-0000CA610000}"/>
    <cellStyle name="Note 44 4" xfId="9573" xr:uid="{00000000-0005-0000-0000-0000CB610000}"/>
    <cellStyle name="Note 44 4 2" xfId="20861" xr:uid="{00000000-0005-0000-0000-0000CC610000}"/>
    <cellStyle name="Note 44 5" xfId="7579" xr:uid="{00000000-0005-0000-0000-0000CD610000}"/>
    <cellStyle name="Note 44 5 2" xfId="18867" xr:uid="{00000000-0005-0000-0000-0000CE610000}"/>
    <cellStyle name="Note 44 6" xfId="5585" xr:uid="{00000000-0005-0000-0000-0000CF610000}"/>
    <cellStyle name="Note 44 6 2" xfId="16873" xr:uid="{00000000-0005-0000-0000-0000D0610000}"/>
    <cellStyle name="Note 44 7" xfId="14879" xr:uid="{00000000-0005-0000-0000-0000D1610000}"/>
    <cellStyle name="Note 44 8" xfId="13563" xr:uid="{00000000-0005-0000-0000-0000D2610000}"/>
    <cellStyle name="Note 45" xfId="3352" xr:uid="{00000000-0005-0000-0000-0000D3610000}"/>
    <cellStyle name="Note 45 2" xfId="4586" xr:uid="{00000000-0005-0000-0000-0000D4610000}"/>
    <cellStyle name="Note 45 2 2" xfId="12565" xr:uid="{00000000-0005-0000-0000-0000D5610000}"/>
    <cellStyle name="Note 45 2 2 2" xfId="23853" xr:uid="{00000000-0005-0000-0000-0000D6610000}"/>
    <cellStyle name="Note 45 2 3" xfId="10571" xr:uid="{00000000-0005-0000-0000-0000D7610000}"/>
    <cellStyle name="Note 45 2 3 2" xfId="21859" xr:uid="{00000000-0005-0000-0000-0000D8610000}"/>
    <cellStyle name="Note 45 2 4" xfId="8577" xr:uid="{00000000-0005-0000-0000-0000D9610000}"/>
    <cellStyle name="Note 45 2 4 2" xfId="19865" xr:uid="{00000000-0005-0000-0000-0000DA610000}"/>
    <cellStyle name="Note 45 2 5" xfId="6583" xr:uid="{00000000-0005-0000-0000-0000DB610000}"/>
    <cellStyle name="Note 45 2 5 2" xfId="17871" xr:uid="{00000000-0005-0000-0000-0000DC610000}"/>
    <cellStyle name="Note 45 2 6" xfId="15877" xr:uid="{00000000-0005-0000-0000-0000DD610000}"/>
    <cellStyle name="Note 45 3" xfId="11568" xr:uid="{00000000-0005-0000-0000-0000DE610000}"/>
    <cellStyle name="Note 45 3 2" xfId="22856" xr:uid="{00000000-0005-0000-0000-0000DF610000}"/>
    <cellStyle name="Note 45 4" xfId="9574" xr:uid="{00000000-0005-0000-0000-0000E0610000}"/>
    <cellStyle name="Note 45 4 2" xfId="20862" xr:uid="{00000000-0005-0000-0000-0000E1610000}"/>
    <cellStyle name="Note 45 5" xfId="7580" xr:uid="{00000000-0005-0000-0000-0000E2610000}"/>
    <cellStyle name="Note 45 5 2" xfId="18868" xr:uid="{00000000-0005-0000-0000-0000E3610000}"/>
    <cellStyle name="Note 45 6" xfId="5586" xr:uid="{00000000-0005-0000-0000-0000E4610000}"/>
    <cellStyle name="Note 45 6 2" xfId="16874" xr:uid="{00000000-0005-0000-0000-0000E5610000}"/>
    <cellStyle name="Note 45 7" xfId="14880" xr:uid="{00000000-0005-0000-0000-0000E6610000}"/>
    <cellStyle name="Note 45 8" xfId="13564" xr:uid="{00000000-0005-0000-0000-0000E7610000}"/>
    <cellStyle name="Note 46" xfId="3353" xr:uid="{00000000-0005-0000-0000-0000E8610000}"/>
    <cellStyle name="Note 46 2" xfId="4587" xr:uid="{00000000-0005-0000-0000-0000E9610000}"/>
    <cellStyle name="Note 46 2 2" xfId="12566" xr:uid="{00000000-0005-0000-0000-0000EA610000}"/>
    <cellStyle name="Note 46 2 2 2" xfId="23854" xr:uid="{00000000-0005-0000-0000-0000EB610000}"/>
    <cellStyle name="Note 46 2 3" xfId="10572" xr:uid="{00000000-0005-0000-0000-0000EC610000}"/>
    <cellStyle name="Note 46 2 3 2" xfId="21860" xr:uid="{00000000-0005-0000-0000-0000ED610000}"/>
    <cellStyle name="Note 46 2 4" xfId="8578" xr:uid="{00000000-0005-0000-0000-0000EE610000}"/>
    <cellStyle name="Note 46 2 4 2" xfId="19866" xr:uid="{00000000-0005-0000-0000-0000EF610000}"/>
    <cellStyle name="Note 46 2 5" xfId="6584" xr:uid="{00000000-0005-0000-0000-0000F0610000}"/>
    <cellStyle name="Note 46 2 5 2" xfId="17872" xr:uid="{00000000-0005-0000-0000-0000F1610000}"/>
    <cellStyle name="Note 46 2 6" xfId="15878" xr:uid="{00000000-0005-0000-0000-0000F2610000}"/>
    <cellStyle name="Note 46 3" xfId="11569" xr:uid="{00000000-0005-0000-0000-0000F3610000}"/>
    <cellStyle name="Note 46 3 2" xfId="22857" xr:uid="{00000000-0005-0000-0000-0000F4610000}"/>
    <cellStyle name="Note 46 4" xfId="9575" xr:uid="{00000000-0005-0000-0000-0000F5610000}"/>
    <cellStyle name="Note 46 4 2" xfId="20863" xr:uid="{00000000-0005-0000-0000-0000F6610000}"/>
    <cellStyle name="Note 46 5" xfId="7581" xr:uid="{00000000-0005-0000-0000-0000F7610000}"/>
    <cellStyle name="Note 46 5 2" xfId="18869" xr:uid="{00000000-0005-0000-0000-0000F8610000}"/>
    <cellStyle name="Note 46 6" xfId="5587" xr:uid="{00000000-0005-0000-0000-0000F9610000}"/>
    <cellStyle name="Note 46 6 2" xfId="16875" xr:uid="{00000000-0005-0000-0000-0000FA610000}"/>
    <cellStyle name="Note 46 7" xfId="14881" xr:uid="{00000000-0005-0000-0000-0000FB610000}"/>
    <cellStyle name="Note 46 8" xfId="13565" xr:uid="{00000000-0005-0000-0000-0000FC610000}"/>
    <cellStyle name="Note 47" xfId="3354" xr:uid="{00000000-0005-0000-0000-0000FD610000}"/>
    <cellStyle name="Note 47 2" xfId="4588" xr:uid="{00000000-0005-0000-0000-0000FE610000}"/>
    <cellStyle name="Note 47 2 2" xfId="12567" xr:uid="{00000000-0005-0000-0000-0000FF610000}"/>
    <cellStyle name="Note 47 2 2 2" xfId="23855" xr:uid="{00000000-0005-0000-0000-000000620000}"/>
    <cellStyle name="Note 47 2 3" xfId="10573" xr:uid="{00000000-0005-0000-0000-000001620000}"/>
    <cellStyle name="Note 47 2 3 2" xfId="21861" xr:uid="{00000000-0005-0000-0000-000002620000}"/>
    <cellStyle name="Note 47 2 4" xfId="8579" xr:uid="{00000000-0005-0000-0000-000003620000}"/>
    <cellStyle name="Note 47 2 4 2" xfId="19867" xr:uid="{00000000-0005-0000-0000-000004620000}"/>
    <cellStyle name="Note 47 2 5" xfId="6585" xr:uid="{00000000-0005-0000-0000-000005620000}"/>
    <cellStyle name="Note 47 2 5 2" xfId="17873" xr:uid="{00000000-0005-0000-0000-000006620000}"/>
    <cellStyle name="Note 47 2 6" xfId="15879" xr:uid="{00000000-0005-0000-0000-000007620000}"/>
    <cellStyle name="Note 47 3" xfId="11570" xr:uid="{00000000-0005-0000-0000-000008620000}"/>
    <cellStyle name="Note 47 3 2" xfId="22858" xr:uid="{00000000-0005-0000-0000-000009620000}"/>
    <cellStyle name="Note 47 4" xfId="9576" xr:uid="{00000000-0005-0000-0000-00000A620000}"/>
    <cellStyle name="Note 47 4 2" xfId="20864" xr:uid="{00000000-0005-0000-0000-00000B620000}"/>
    <cellStyle name="Note 47 5" xfId="7582" xr:uid="{00000000-0005-0000-0000-00000C620000}"/>
    <cellStyle name="Note 47 5 2" xfId="18870" xr:uid="{00000000-0005-0000-0000-00000D620000}"/>
    <cellStyle name="Note 47 6" xfId="5588" xr:uid="{00000000-0005-0000-0000-00000E620000}"/>
    <cellStyle name="Note 47 6 2" xfId="16876" xr:uid="{00000000-0005-0000-0000-00000F620000}"/>
    <cellStyle name="Note 47 7" xfId="14882" xr:uid="{00000000-0005-0000-0000-000010620000}"/>
    <cellStyle name="Note 47 8" xfId="13566" xr:uid="{00000000-0005-0000-0000-000011620000}"/>
    <cellStyle name="Note 48" xfId="3355" xr:uid="{00000000-0005-0000-0000-000012620000}"/>
    <cellStyle name="Note 48 2" xfId="4589" xr:uid="{00000000-0005-0000-0000-000013620000}"/>
    <cellStyle name="Note 48 2 2" xfId="12568" xr:uid="{00000000-0005-0000-0000-000014620000}"/>
    <cellStyle name="Note 48 2 2 2" xfId="23856" xr:uid="{00000000-0005-0000-0000-000015620000}"/>
    <cellStyle name="Note 48 2 3" xfId="10574" xr:uid="{00000000-0005-0000-0000-000016620000}"/>
    <cellStyle name="Note 48 2 3 2" xfId="21862" xr:uid="{00000000-0005-0000-0000-000017620000}"/>
    <cellStyle name="Note 48 2 4" xfId="8580" xr:uid="{00000000-0005-0000-0000-000018620000}"/>
    <cellStyle name="Note 48 2 4 2" xfId="19868" xr:uid="{00000000-0005-0000-0000-000019620000}"/>
    <cellStyle name="Note 48 2 5" xfId="6586" xr:uid="{00000000-0005-0000-0000-00001A620000}"/>
    <cellStyle name="Note 48 2 5 2" xfId="17874" xr:uid="{00000000-0005-0000-0000-00001B620000}"/>
    <cellStyle name="Note 48 2 6" xfId="15880" xr:uid="{00000000-0005-0000-0000-00001C620000}"/>
    <cellStyle name="Note 48 3" xfId="11571" xr:uid="{00000000-0005-0000-0000-00001D620000}"/>
    <cellStyle name="Note 48 3 2" xfId="22859" xr:uid="{00000000-0005-0000-0000-00001E620000}"/>
    <cellStyle name="Note 48 4" xfId="9577" xr:uid="{00000000-0005-0000-0000-00001F620000}"/>
    <cellStyle name="Note 48 4 2" xfId="20865" xr:uid="{00000000-0005-0000-0000-000020620000}"/>
    <cellStyle name="Note 48 5" xfId="7583" xr:uid="{00000000-0005-0000-0000-000021620000}"/>
    <cellStyle name="Note 48 5 2" xfId="18871" xr:uid="{00000000-0005-0000-0000-000022620000}"/>
    <cellStyle name="Note 48 6" xfId="5589" xr:uid="{00000000-0005-0000-0000-000023620000}"/>
    <cellStyle name="Note 48 6 2" xfId="16877" xr:uid="{00000000-0005-0000-0000-000024620000}"/>
    <cellStyle name="Note 48 7" xfId="14883" xr:uid="{00000000-0005-0000-0000-000025620000}"/>
    <cellStyle name="Note 48 8" xfId="13567" xr:uid="{00000000-0005-0000-0000-000026620000}"/>
    <cellStyle name="Note 49" xfId="3356" xr:uid="{00000000-0005-0000-0000-000027620000}"/>
    <cellStyle name="Note 49 2" xfId="4590" xr:uid="{00000000-0005-0000-0000-000028620000}"/>
    <cellStyle name="Note 49 2 2" xfId="12569" xr:uid="{00000000-0005-0000-0000-000029620000}"/>
    <cellStyle name="Note 49 2 2 2" xfId="23857" xr:uid="{00000000-0005-0000-0000-00002A620000}"/>
    <cellStyle name="Note 49 2 3" xfId="10575" xr:uid="{00000000-0005-0000-0000-00002B620000}"/>
    <cellStyle name="Note 49 2 3 2" xfId="21863" xr:uid="{00000000-0005-0000-0000-00002C620000}"/>
    <cellStyle name="Note 49 2 4" xfId="8581" xr:uid="{00000000-0005-0000-0000-00002D620000}"/>
    <cellStyle name="Note 49 2 4 2" xfId="19869" xr:uid="{00000000-0005-0000-0000-00002E620000}"/>
    <cellStyle name="Note 49 2 5" xfId="6587" xr:uid="{00000000-0005-0000-0000-00002F620000}"/>
    <cellStyle name="Note 49 2 5 2" xfId="17875" xr:uid="{00000000-0005-0000-0000-000030620000}"/>
    <cellStyle name="Note 49 2 6" xfId="15881" xr:uid="{00000000-0005-0000-0000-000031620000}"/>
    <cellStyle name="Note 49 3" xfId="11572" xr:uid="{00000000-0005-0000-0000-000032620000}"/>
    <cellStyle name="Note 49 3 2" xfId="22860" xr:uid="{00000000-0005-0000-0000-000033620000}"/>
    <cellStyle name="Note 49 4" xfId="9578" xr:uid="{00000000-0005-0000-0000-000034620000}"/>
    <cellStyle name="Note 49 4 2" xfId="20866" xr:uid="{00000000-0005-0000-0000-000035620000}"/>
    <cellStyle name="Note 49 5" xfId="7584" xr:uid="{00000000-0005-0000-0000-000036620000}"/>
    <cellStyle name="Note 49 5 2" xfId="18872" xr:uid="{00000000-0005-0000-0000-000037620000}"/>
    <cellStyle name="Note 49 6" xfId="5590" xr:uid="{00000000-0005-0000-0000-000038620000}"/>
    <cellStyle name="Note 49 6 2" xfId="16878" xr:uid="{00000000-0005-0000-0000-000039620000}"/>
    <cellStyle name="Note 49 7" xfId="14884" xr:uid="{00000000-0005-0000-0000-00003A620000}"/>
    <cellStyle name="Note 49 8" xfId="13568" xr:uid="{00000000-0005-0000-0000-00003B620000}"/>
    <cellStyle name="Note 5" xfId="3357" xr:uid="{00000000-0005-0000-0000-00003C620000}"/>
    <cellStyle name="Note 5 10" xfId="25077" xr:uid="{00000000-0005-0000-0000-00003D620000}"/>
    <cellStyle name="Note 5 10 2" xfId="25338" xr:uid="{00000000-0005-0000-0000-00003E620000}"/>
    <cellStyle name="Note 5 10 2 2" xfId="27492" xr:uid="{00000000-0005-0000-0000-00003F620000}"/>
    <cellStyle name="Note 5 10 2 2 2" xfId="32083" xr:uid="{A19941B5-ED37-42FF-BC94-DAD64BC1B10D}"/>
    <cellStyle name="Note 5 10 2 3" xfId="26965" xr:uid="{00000000-0005-0000-0000-000040620000}"/>
    <cellStyle name="Note 5 10 2 3 2" xfId="31726" xr:uid="{597CCD8D-C10B-4C68-A1F8-5A88FAD14C73}"/>
    <cellStyle name="Note 5 10 2 4" xfId="26913" xr:uid="{00000000-0005-0000-0000-000041620000}"/>
    <cellStyle name="Note 5 10 2 4 2" xfId="31674" xr:uid="{30FD7022-C61C-45F1-919F-F9E343479EB3}"/>
    <cellStyle name="Note 5 10 2 5" xfId="29282" xr:uid="{00000000-0005-0000-0000-000042620000}"/>
    <cellStyle name="Note 5 10 2 5 2" xfId="33249" xr:uid="{C1CC3A9F-43C2-49D4-A3AD-C6F26763B6EB}"/>
    <cellStyle name="Note 5 10 2 6" xfId="30496" xr:uid="{E12D2A96-6A54-4A75-A9E1-579637785F2B}"/>
    <cellStyle name="Note 5 10 3" xfId="25681" xr:uid="{00000000-0005-0000-0000-000043620000}"/>
    <cellStyle name="Note 5 10 3 2" xfId="27834" xr:uid="{00000000-0005-0000-0000-000044620000}"/>
    <cellStyle name="Note 5 10 3 2 2" xfId="32421" xr:uid="{86006B15-C454-4020-98CB-EF934E7D7377}"/>
    <cellStyle name="Note 5 10 3 3" xfId="26445" xr:uid="{00000000-0005-0000-0000-000045620000}"/>
    <cellStyle name="Note 5 10 3 3 2" xfId="31233" xr:uid="{5457A55C-1C23-485E-A60C-FC06AC5456FE}"/>
    <cellStyle name="Note 5 10 3 4" xfId="26179" xr:uid="{00000000-0005-0000-0000-000046620000}"/>
    <cellStyle name="Note 5 10 3 4 2" xfId="30968" xr:uid="{1D1EBE38-6BF2-4907-A084-C88ED1A99BB2}"/>
    <cellStyle name="Note 5 10 3 5" xfId="29281" xr:uid="{00000000-0005-0000-0000-000047620000}"/>
    <cellStyle name="Note 5 10 3 5 2" xfId="33248" xr:uid="{62B9C2E7-4D55-40CC-B524-6DE94C802186}"/>
    <cellStyle name="Note 5 10 3 6" xfId="30675" xr:uid="{0EA4B9F4-3A00-4666-9BFA-914716AA248F}"/>
    <cellStyle name="Note 5 10 4" xfId="27368" xr:uid="{00000000-0005-0000-0000-000048620000}"/>
    <cellStyle name="Note 5 10 4 2" xfId="31966" xr:uid="{66FA2DFB-BBF0-4974-AECF-DFDC43857841}"/>
    <cellStyle name="Note 5 10 5" xfId="26379" xr:uid="{00000000-0005-0000-0000-000049620000}"/>
    <cellStyle name="Note 5 10 5 2" xfId="31167" xr:uid="{3B66F73B-E67C-4E81-AA4E-EEF1D3196F8B}"/>
    <cellStyle name="Note 5 10 6" xfId="26480" xr:uid="{00000000-0005-0000-0000-00004A620000}"/>
    <cellStyle name="Note 5 10 6 2" xfId="31268" xr:uid="{40F0E242-512F-4838-85C3-D53BE1D13AAD}"/>
    <cellStyle name="Note 5 10 7" xfId="29283" xr:uid="{00000000-0005-0000-0000-00004B620000}"/>
    <cellStyle name="Note 5 10 7 2" xfId="33250" xr:uid="{B32A91D5-FDE9-489C-AB26-C5979B2060FC}"/>
    <cellStyle name="Note 5 10 8" xfId="30383" xr:uid="{C07AFF2E-8D08-4755-8815-92C542BA0288}"/>
    <cellStyle name="Note 5 2" xfId="4591" xr:uid="{00000000-0005-0000-0000-00004C620000}"/>
    <cellStyle name="Note 5 2 2" xfId="12570" xr:uid="{00000000-0005-0000-0000-00004D620000}"/>
    <cellStyle name="Note 5 2 2 2" xfId="23858" xr:uid="{00000000-0005-0000-0000-00004E620000}"/>
    <cellStyle name="Note 5 2 3" xfId="10576" xr:uid="{00000000-0005-0000-0000-00004F620000}"/>
    <cellStyle name="Note 5 2 3 2" xfId="21864" xr:uid="{00000000-0005-0000-0000-000050620000}"/>
    <cellStyle name="Note 5 2 4" xfId="8582" xr:uid="{00000000-0005-0000-0000-000051620000}"/>
    <cellStyle name="Note 5 2 4 2" xfId="19870" xr:uid="{00000000-0005-0000-0000-000052620000}"/>
    <cellStyle name="Note 5 2 5" xfId="6588" xr:uid="{00000000-0005-0000-0000-000053620000}"/>
    <cellStyle name="Note 5 2 5 2" xfId="17876" xr:uid="{00000000-0005-0000-0000-000054620000}"/>
    <cellStyle name="Note 5 2 6" xfId="15882" xr:uid="{00000000-0005-0000-0000-000055620000}"/>
    <cellStyle name="Note 5 3" xfId="11573" xr:uid="{00000000-0005-0000-0000-000056620000}"/>
    <cellStyle name="Note 5 3 2" xfId="22861" xr:uid="{00000000-0005-0000-0000-000057620000}"/>
    <cellStyle name="Note 5 4" xfId="9579" xr:uid="{00000000-0005-0000-0000-000058620000}"/>
    <cellStyle name="Note 5 4 2" xfId="20867" xr:uid="{00000000-0005-0000-0000-000059620000}"/>
    <cellStyle name="Note 5 5" xfId="7585" xr:uid="{00000000-0005-0000-0000-00005A620000}"/>
    <cellStyle name="Note 5 5 2" xfId="18873" xr:uid="{00000000-0005-0000-0000-00005B620000}"/>
    <cellStyle name="Note 5 6" xfId="5591" xr:uid="{00000000-0005-0000-0000-00005C620000}"/>
    <cellStyle name="Note 5 6 2" xfId="16879" xr:uid="{00000000-0005-0000-0000-00005D620000}"/>
    <cellStyle name="Note 5 7" xfId="14885" xr:uid="{00000000-0005-0000-0000-00005E620000}"/>
    <cellStyle name="Note 5 8" xfId="13569" xr:uid="{00000000-0005-0000-0000-00005F620000}"/>
    <cellStyle name="Note 5 9" xfId="24193" xr:uid="{00000000-0005-0000-0000-000060620000}"/>
    <cellStyle name="Note 5 9 2" xfId="25444" xr:uid="{00000000-0005-0000-0000-000061620000}"/>
    <cellStyle name="Note 5 9 2 2" xfId="27598" xr:uid="{00000000-0005-0000-0000-000062620000}"/>
    <cellStyle name="Note 5 9 2 2 2" xfId="32189" xr:uid="{EF16FDDD-095A-4838-A08E-C5B4FC001259}"/>
    <cellStyle name="Note 5 9 2 3" xfId="26722" xr:uid="{00000000-0005-0000-0000-000063620000}"/>
    <cellStyle name="Note 5 9 2 3 2" xfId="31483" xr:uid="{F6F0A8C8-7554-4B5B-8964-B92FA1E20924}"/>
    <cellStyle name="Note 5 9 2 4" xfId="26753" xr:uid="{00000000-0005-0000-0000-000064620000}"/>
    <cellStyle name="Note 5 9 2 4 2" xfId="31514" xr:uid="{2E4A1D25-761F-413D-87BF-15DDC0340EFF}"/>
    <cellStyle name="Note 5 9 2 5" xfId="29279" xr:uid="{00000000-0005-0000-0000-000065620000}"/>
    <cellStyle name="Note 5 9 2 5 2" xfId="33246" xr:uid="{AE331B6E-AD76-417B-8E29-8D4B7D08AFB0}"/>
    <cellStyle name="Note 5 9 2 6" xfId="30602" xr:uid="{8390F486-3D8D-4D7E-9B65-8B6857B31F32}"/>
    <cellStyle name="Note 5 9 3" xfId="25568" xr:uid="{00000000-0005-0000-0000-000066620000}"/>
    <cellStyle name="Note 5 9 3 2" xfId="27721" xr:uid="{00000000-0005-0000-0000-000067620000}"/>
    <cellStyle name="Note 5 9 3 2 2" xfId="32308" xr:uid="{F2F8C562-6385-4096-8009-E9646696911F}"/>
    <cellStyle name="Note 5 9 3 3" xfId="26799" xr:uid="{00000000-0005-0000-0000-000068620000}"/>
    <cellStyle name="Note 5 9 3 3 2" xfId="31560" xr:uid="{B7D3E094-FB25-4575-8ED4-08B06C6423A8}"/>
    <cellStyle name="Note 5 9 3 4" xfId="26325" xr:uid="{00000000-0005-0000-0000-000069620000}"/>
    <cellStyle name="Note 5 9 3 4 2" xfId="31113" xr:uid="{B269BE2D-E28C-47B5-8454-75BF784F7BFE}"/>
    <cellStyle name="Note 5 9 3 5" xfId="29278" xr:uid="{00000000-0005-0000-0000-00006A620000}"/>
    <cellStyle name="Note 5 9 3 5 2" xfId="33245" xr:uid="{6229D2C6-BB6D-43F4-AD12-63CFD09329BF}"/>
    <cellStyle name="Note 5 9 3 6" xfId="30625" xr:uid="{E440E51D-DAF7-4BBD-AB3A-3AD671E0E06E}"/>
    <cellStyle name="Note 5 9 4" xfId="27093" xr:uid="{00000000-0005-0000-0000-00006B620000}"/>
    <cellStyle name="Note 5 9 4 2" xfId="31817" xr:uid="{AC16DECE-15B4-44CB-97DE-B65E1D4D71BC}"/>
    <cellStyle name="Note 5 9 5" xfId="26444" xr:uid="{00000000-0005-0000-0000-00006C620000}"/>
    <cellStyle name="Note 5 9 5 2" xfId="31232" xr:uid="{7C5610DD-9DC9-4B5F-98D4-3692B8CDC541}"/>
    <cellStyle name="Note 5 9 6" xfId="26459" xr:uid="{00000000-0005-0000-0000-00006D620000}"/>
    <cellStyle name="Note 5 9 6 2" xfId="31247" xr:uid="{D1CFAE94-B686-43A7-9E6D-359BCBB44923}"/>
    <cellStyle name="Note 5 9 7" xfId="29280" xr:uid="{00000000-0005-0000-0000-00006E620000}"/>
    <cellStyle name="Note 5 9 7 2" xfId="33247" xr:uid="{E65BD71B-46E9-4465-AEDE-7772BBCE7860}"/>
    <cellStyle name="Note 5 9 8" xfId="30270" xr:uid="{6A1B719E-17F3-4D93-A97A-2712D0C2E944}"/>
    <cellStyle name="Note 50" xfId="3358" xr:uid="{00000000-0005-0000-0000-00006F620000}"/>
    <cellStyle name="Note 50 2" xfId="4592" xr:uid="{00000000-0005-0000-0000-000070620000}"/>
    <cellStyle name="Note 50 2 2" xfId="12571" xr:uid="{00000000-0005-0000-0000-000071620000}"/>
    <cellStyle name="Note 50 2 2 2" xfId="23859" xr:uid="{00000000-0005-0000-0000-000072620000}"/>
    <cellStyle name="Note 50 2 3" xfId="10577" xr:uid="{00000000-0005-0000-0000-000073620000}"/>
    <cellStyle name="Note 50 2 3 2" xfId="21865" xr:uid="{00000000-0005-0000-0000-000074620000}"/>
    <cellStyle name="Note 50 2 4" xfId="8583" xr:uid="{00000000-0005-0000-0000-000075620000}"/>
    <cellStyle name="Note 50 2 4 2" xfId="19871" xr:uid="{00000000-0005-0000-0000-000076620000}"/>
    <cellStyle name="Note 50 2 5" xfId="6589" xr:uid="{00000000-0005-0000-0000-000077620000}"/>
    <cellStyle name="Note 50 2 5 2" xfId="17877" xr:uid="{00000000-0005-0000-0000-000078620000}"/>
    <cellStyle name="Note 50 2 6" xfId="15883" xr:uid="{00000000-0005-0000-0000-000079620000}"/>
    <cellStyle name="Note 50 3" xfId="11574" xr:uid="{00000000-0005-0000-0000-00007A620000}"/>
    <cellStyle name="Note 50 3 2" xfId="22862" xr:uid="{00000000-0005-0000-0000-00007B620000}"/>
    <cellStyle name="Note 50 4" xfId="9580" xr:uid="{00000000-0005-0000-0000-00007C620000}"/>
    <cellStyle name="Note 50 4 2" xfId="20868" xr:uid="{00000000-0005-0000-0000-00007D620000}"/>
    <cellStyle name="Note 50 5" xfId="7586" xr:uid="{00000000-0005-0000-0000-00007E620000}"/>
    <cellStyle name="Note 50 5 2" xfId="18874" xr:uid="{00000000-0005-0000-0000-00007F620000}"/>
    <cellStyle name="Note 50 6" xfId="5592" xr:uid="{00000000-0005-0000-0000-000080620000}"/>
    <cellStyle name="Note 50 6 2" xfId="16880" xr:uid="{00000000-0005-0000-0000-000081620000}"/>
    <cellStyle name="Note 50 7" xfId="14886" xr:uid="{00000000-0005-0000-0000-000082620000}"/>
    <cellStyle name="Note 50 8" xfId="13570" xr:uid="{00000000-0005-0000-0000-000083620000}"/>
    <cellStyle name="Note 51" xfId="3359" xr:uid="{00000000-0005-0000-0000-000084620000}"/>
    <cellStyle name="Note 51 2" xfId="4593" xr:uid="{00000000-0005-0000-0000-000085620000}"/>
    <cellStyle name="Note 51 2 2" xfId="12572" xr:uid="{00000000-0005-0000-0000-000086620000}"/>
    <cellStyle name="Note 51 2 2 2" xfId="23860" xr:uid="{00000000-0005-0000-0000-000087620000}"/>
    <cellStyle name="Note 51 2 3" xfId="10578" xr:uid="{00000000-0005-0000-0000-000088620000}"/>
    <cellStyle name="Note 51 2 3 2" xfId="21866" xr:uid="{00000000-0005-0000-0000-000089620000}"/>
    <cellStyle name="Note 51 2 4" xfId="8584" xr:uid="{00000000-0005-0000-0000-00008A620000}"/>
    <cellStyle name="Note 51 2 4 2" xfId="19872" xr:uid="{00000000-0005-0000-0000-00008B620000}"/>
    <cellStyle name="Note 51 2 5" xfId="6590" xr:uid="{00000000-0005-0000-0000-00008C620000}"/>
    <cellStyle name="Note 51 2 5 2" xfId="17878" xr:uid="{00000000-0005-0000-0000-00008D620000}"/>
    <cellStyle name="Note 51 2 6" xfId="15884" xr:uid="{00000000-0005-0000-0000-00008E620000}"/>
    <cellStyle name="Note 51 3" xfId="11575" xr:uid="{00000000-0005-0000-0000-00008F620000}"/>
    <cellStyle name="Note 51 3 2" xfId="22863" xr:uid="{00000000-0005-0000-0000-000090620000}"/>
    <cellStyle name="Note 51 4" xfId="9581" xr:uid="{00000000-0005-0000-0000-000091620000}"/>
    <cellStyle name="Note 51 4 2" xfId="20869" xr:uid="{00000000-0005-0000-0000-000092620000}"/>
    <cellStyle name="Note 51 5" xfId="7587" xr:uid="{00000000-0005-0000-0000-000093620000}"/>
    <cellStyle name="Note 51 5 2" xfId="18875" xr:uid="{00000000-0005-0000-0000-000094620000}"/>
    <cellStyle name="Note 51 6" xfId="5593" xr:uid="{00000000-0005-0000-0000-000095620000}"/>
    <cellStyle name="Note 51 6 2" xfId="16881" xr:uid="{00000000-0005-0000-0000-000096620000}"/>
    <cellStyle name="Note 51 7" xfId="14887" xr:uid="{00000000-0005-0000-0000-000097620000}"/>
    <cellStyle name="Note 51 8" xfId="13571" xr:uid="{00000000-0005-0000-0000-000098620000}"/>
    <cellStyle name="Note 52" xfId="3360" xr:uid="{00000000-0005-0000-0000-000099620000}"/>
    <cellStyle name="Note 52 2" xfId="4594" xr:uid="{00000000-0005-0000-0000-00009A620000}"/>
    <cellStyle name="Note 52 2 2" xfId="12573" xr:uid="{00000000-0005-0000-0000-00009B620000}"/>
    <cellStyle name="Note 52 2 2 2" xfId="23861" xr:uid="{00000000-0005-0000-0000-00009C620000}"/>
    <cellStyle name="Note 52 2 3" xfId="10579" xr:uid="{00000000-0005-0000-0000-00009D620000}"/>
    <cellStyle name="Note 52 2 3 2" xfId="21867" xr:uid="{00000000-0005-0000-0000-00009E620000}"/>
    <cellStyle name="Note 52 2 4" xfId="8585" xr:uid="{00000000-0005-0000-0000-00009F620000}"/>
    <cellStyle name="Note 52 2 4 2" xfId="19873" xr:uid="{00000000-0005-0000-0000-0000A0620000}"/>
    <cellStyle name="Note 52 2 5" xfId="6591" xr:uid="{00000000-0005-0000-0000-0000A1620000}"/>
    <cellStyle name="Note 52 2 5 2" xfId="17879" xr:uid="{00000000-0005-0000-0000-0000A2620000}"/>
    <cellStyle name="Note 52 2 6" xfId="15885" xr:uid="{00000000-0005-0000-0000-0000A3620000}"/>
    <cellStyle name="Note 52 3" xfId="11576" xr:uid="{00000000-0005-0000-0000-0000A4620000}"/>
    <cellStyle name="Note 52 3 2" xfId="22864" xr:uid="{00000000-0005-0000-0000-0000A5620000}"/>
    <cellStyle name="Note 52 4" xfId="9582" xr:uid="{00000000-0005-0000-0000-0000A6620000}"/>
    <cellStyle name="Note 52 4 2" xfId="20870" xr:uid="{00000000-0005-0000-0000-0000A7620000}"/>
    <cellStyle name="Note 52 5" xfId="7588" xr:uid="{00000000-0005-0000-0000-0000A8620000}"/>
    <cellStyle name="Note 52 5 2" xfId="18876" xr:uid="{00000000-0005-0000-0000-0000A9620000}"/>
    <cellStyle name="Note 52 6" xfId="5594" xr:uid="{00000000-0005-0000-0000-0000AA620000}"/>
    <cellStyle name="Note 52 6 2" xfId="16882" xr:uid="{00000000-0005-0000-0000-0000AB620000}"/>
    <cellStyle name="Note 52 7" xfId="14888" xr:uid="{00000000-0005-0000-0000-0000AC620000}"/>
    <cellStyle name="Note 52 8" xfId="13572" xr:uid="{00000000-0005-0000-0000-0000AD620000}"/>
    <cellStyle name="Note 53" xfId="3361" xr:uid="{00000000-0005-0000-0000-0000AE620000}"/>
    <cellStyle name="Note 53 2" xfId="4595" xr:uid="{00000000-0005-0000-0000-0000AF620000}"/>
    <cellStyle name="Note 53 2 2" xfId="12574" xr:uid="{00000000-0005-0000-0000-0000B0620000}"/>
    <cellStyle name="Note 53 2 2 2" xfId="23862" xr:uid="{00000000-0005-0000-0000-0000B1620000}"/>
    <cellStyle name="Note 53 2 3" xfId="10580" xr:uid="{00000000-0005-0000-0000-0000B2620000}"/>
    <cellStyle name="Note 53 2 3 2" xfId="21868" xr:uid="{00000000-0005-0000-0000-0000B3620000}"/>
    <cellStyle name="Note 53 2 4" xfId="8586" xr:uid="{00000000-0005-0000-0000-0000B4620000}"/>
    <cellStyle name="Note 53 2 4 2" xfId="19874" xr:uid="{00000000-0005-0000-0000-0000B5620000}"/>
    <cellStyle name="Note 53 2 5" xfId="6592" xr:uid="{00000000-0005-0000-0000-0000B6620000}"/>
    <cellStyle name="Note 53 2 5 2" xfId="17880" xr:uid="{00000000-0005-0000-0000-0000B7620000}"/>
    <cellStyle name="Note 53 2 6" xfId="15886" xr:uid="{00000000-0005-0000-0000-0000B8620000}"/>
    <cellStyle name="Note 53 3" xfId="11577" xr:uid="{00000000-0005-0000-0000-0000B9620000}"/>
    <cellStyle name="Note 53 3 2" xfId="22865" xr:uid="{00000000-0005-0000-0000-0000BA620000}"/>
    <cellStyle name="Note 53 4" xfId="9583" xr:uid="{00000000-0005-0000-0000-0000BB620000}"/>
    <cellStyle name="Note 53 4 2" xfId="20871" xr:uid="{00000000-0005-0000-0000-0000BC620000}"/>
    <cellStyle name="Note 53 5" xfId="7589" xr:uid="{00000000-0005-0000-0000-0000BD620000}"/>
    <cellStyle name="Note 53 5 2" xfId="18877" xr:uid="{00000000-0005-0000-0000-0000BE620000}"/>
    <cellStyle name="Note 53 6" xfId="5595" xr:uid="{00000000-0005-0000-0000-0000BF620000}"/>
    <cellStyle name="Note 53 6 2" xfId="16883" xr:uid="{00000000-0005-0000-0000-0000C0620000}"/>
    <cellStyle name="Note 53 7" xfId="14889" xr:uid="{00000000-0005-0000-0000-0000C1620000}"/>
    <cellStyle name="Note 53 8" xfId="13573" xr:uid="{00000000-0005-0000-0000-0000C2620000}"/>
    <cellStyle name="Note 54" xfId="3362" xr:uid="{00000000-0005-0000-0000-0000C3620000}"/>
    <cellStyle name="Note 54 2" xfId="4596" xr:uid="{00000000-0005-0000-0000-0000C4620000}"/>
    <cellStyle name="Note 54 2 2" xfId="12575" xr:uid="{00000000-0005-0000-0000-0000C5620000}"/>
    <cellStyle name="Note 54 2 2 2" xfId="23863" xr:uid="{00000000-0005-0000-0000-0000C6620000}"/>
    <cellStyle name="Note 54 2 3" xfId="10581" xr:uid="{00000000-0005-0000-0000-0000C7620000}"/>
    <cellStyle name="Note 54 2 3 2" xfId="21869" xr:uid="{00000000-0005-0000-0000-0000C8620000}"/>
    <cellStyle name="Note 54 2 4" xfId="8587" xr:uid="{00000000-0005-0000-0000-0000C9620000}"/>
    <cellStyle name="Note 54 2 4 2" xfId="19875" xr:uid="{00000000-0005-0000-0000-0000CA620000}"/>
    <cellStyle name="Note 54 2 5" xfId="6593" xr:uid="{00000000-0005-0000-0000-0000CB620000}"/>
    <cellStyle name="Note 54 2 5 2" xfId="17881" xr:uid="{00000000-0005-0000-0000-0000CC620000}"/>
    <cellStyle name="Note 54 2 6" xfId="15887" xr:uid="{00000000-0005-0000-0000-0000CD620000}"/>
    <cellStyle name="Note 54 3" xfId="11578" xr:uid="{00000000-0005-0000-0000-0000CE620000}"/>
    <cellStyle name="Note 54 3 2" xfId="22866" xr:uid="{00000000-0005-0000-0000-0000CF620000}"/>
    <cellStyle name="Note 54 4" xfId="9584" xr:uid="{00000000-0005-0000-0000-0000D0620000}"/>
    <cellStyle name="Note 54 4 2" xfId="20872" xr:uid="{00000000-0005-0000-0000-0000D1620000}"/>
    <cellStyle name="Note 54 5" xfId="7590" xr:uid="{00000000-0005-0000-0000-0000D2620000}"/>
    <cellStyle name="Note 54 5 2" xfId="18878" xr:uid="{00000000-0005-0000-0000-0000D3620000}"/>
    <cellStyle name="Note 54 6" xfId="5596" xr:uid="{00000000-0005-0000-0000-0000D4620000}"/>
    <cellStyle name="Note 54 6 2" xfId="16884" xr:uid="{00000000-0005-0000-0000-0000D5620000}"/>
    <cellStyle name="Note 54 7" xfId="14890" xr:uid="{00000000-0005-0000-0000-0000D6620000}"/>
    <cellStyle name="Note 54 8" xfId="13574" xr:uid="{00000000-0005-0000-0000-0000D7620000}"/>
    <cellStyle name="Note 55" xfId="3363" xr:uid="{00000000-0005-0000-0000-0000D8620000}"/>
    <cellStyle name="Note 55 2" xfId="4597" xr:uid="{00000000-0005-0000-0000-0000D9620000}"/>
    <cellStyle name="Note 55 2 2" xfId="12576" xr:uid="{00000000-0005-0000-0000-0000DA620000}"/>
    <cellStyle name="Note 55 2 2 2" xfId="23864" xr:uid="{00000000-0005-0000-0000-0000DB620000}"/>
    <cellStyle name="Note 55 2 3" xfId="10582" xr:uid="{00000000-0005-0000-0000-0000DC620000}"/>
    <cellStyle name="Note 55 2 3 2" xfId="21870" xr:uid="{00000000-0005-0000-0000-0000DD620000}"/>
    <cellStyle name="Note 55 2 4" xfId="8588" xr:uid="{00000000-0005-0000-0000-0000DE620000}"/>
    <cellStyle name="Note 55 2 4 2" xfId="19876" xr:uid="{00000000-0005-0000-0000-0000DF620000}"/>
    <cellStyle name="Note 55 2 5" xfId="6594" xr:uid="{00000000-0005-0000-0000-0000E0620000}"/>
    <cellStyle name="Note 55 2 5 2" xfId="17882" xr:uid="{00000000-0005-0000-0000-0000E1620000}"/>
    <cellStyle name="Note 55 2 6" xfId="15888" xr:uid="{00000000-0005-0000-0000-0000E2620000}"/>
    <cellStyle name="Note 55 3" xfId="11579" xr:uid="{00000000-0005-0000-0000-0000E3620000}"/>
    <cellStyle name="Note 55 3 2" xfId="22867" xr:uid="{00000000-0005-0000-0000-0000E4620000}"/>
    <cellStyle name="Note 55 4" xfId="9585" xr:uid="{00000000-0005-0000-0000-0000E5620000}"/>
    <cellStyle name="Note 55 4 2" xfId="20873" xr:uid="{00000000-0005-0000-0000-0000E6620000}"/>
    <cellStyle name="Note 55 5" xfId="7591" xr:uid="{00000000-0005-0000-0000-0000E7620000}"/>
    <cellStyle name="Note 55 5 2" xfId="18879" xr:uid="{00000000-0005-0000-0000-0000E8620000}"/>
    <cellStyle name="Note 55 6" xfId="5597" xr:uid="{00000000-0005-0000-0000-0000E9620000}"/>
    <cellStyle name="Note 55 6 2" xfId="16885" xr:uid="{00000000-0005-0000-0000-0000EA620000}"/>
    <cellStyle name="Note 55 7" xfId="14891" xr:uid="{00000000-0005-0000-0000-0000EB620000}"/>
    <cellStyle name="Note 55 8" xfId="13575" xr:uid="{00000000-0005-0000-0000-0000EC620000}"/>
    <cellStyle name="Note 56" xfId="3364" xr:uid="{00000000-0005-0000-0000-0000ED620000}"/>
    <cellStyle name="Note 56 2" xfId="4598" xr:uid="{00000000-0005-0000-0000-0000EE620000}"/>
    <cellStyle name="Note 56 2 2" xfId="12577" xr:uid="{00000000-0005-0000-0000-0000EF620000}"/>
    <cellStyle name="Note 56 2 2 2" xfId="23865" xr:uid="{00000000-0005-0000-0000-0000F0620000}"/>
    <cellStyle name="Note 56 2 3" xfId="10583" xr:uid="{00000000-0005-0000-0000-0000F1620000}"/>
    <cellStyle name="Note 56 2 3 2" xfId="21871" xr:uid="{00000000-0005-0000-0000-0000F2620000}"/>
    <cellStyle name="Note 56 2 4" xfId="8589" xr:uid="{00000000-0005-0000-0000-0000F3620000}"/>
    <cellStyle name="Note 56 2 4 2" xfId="19877" xr:uid="{00000000-0005-0000-0000-0000F4620000}"/>
    <cellStyle name="Note 56 2 5" xfId="6595" xr:uid="{00000000-0005-0000-0000-0000F5620000}"/>
    <cellStyle name="Note 56 2 5 2" xfId="17883" xr:uid="{00000000-0005-0000-0000-0000F6620000}"/>
    <cellStyle name="Note 56 2 6" xfId="15889" xr:uid="{00000000-0005-0000-0000-0000F7620000}"/>
    <cellStyle name="Note 56 3" xfId="11580" xr:uid="{00000000-0005-0000-0000-0000F8620000}"/>
    <cellStyle name="Note 56 3 2" xfId="22868" xr:uid="{00000000-0005-0000-0000-0000F9620000}"/>
    <cellStyle name="Note 56 4" xfId="9586" xr:uid="{00000000-0005-0000-0000-0000FA620000}"/>
    <cellStyle name="Note 56 4 2" xfId="20874" xr:uid="{00000000-0005-0000-0000-0000FB620000}"/>
    <cellStyle name="Note 56 5" xfId="7592" xr:uid="{00000000-0005-0000-0000-0000FC620000}"/>
    <cellStyle name="Note 56 5 2" xfId="18880" xr:uid="{00000000-0005-0000-0000-0000FD620000}"/>
    <cellStyle name="Note 56 6" xfId="5598" xr:uid="{00000000-0005-0000-0000-0000FE620000}"/>
    <cellStyle name="Note 56 6 2" xfId="16886" xr:uid="{00000000-0005-0000-0000-0000FF620000}"/>
    <cellStyle name="Note 56 7" xfId="14892" xr:uid="{00000000-0005-0000-0000-000000630000}"/>
    <cellStyle name="Note 56 8" xfId="13576" xr:uid="{00000000-0005-0000-0000-000001630000}"/>
    <cellStyle name="Note 57" xfId="3365" xr:uid="{00000000-0005-0000-0000-000002630000}"/>
    <cellStyle name="Note 57 2" xfId="4599" xr:uid="{00000000-0005-0000-0000-000003630000}"/>
    <cellStyle name="Note 57 2 2" xfId="12578" xr:uid="{00000000-0005-0000-0000-000004630000}"/>
    <cellStyle name="Note 57 2 2 2" xfId="23866" xr:uid="{00000000-0005-0000-0000-000005630000}"/>
    <cellStyle name="Note 57 2 3" xfId="10584" xr:uid="{00000000-0005-0000-0000-000006630000}"/>
    <cellStyle name="Note 57 2 3 2" xfId="21872" xr:uid="{00000000-0005-0000-0000-000007630000}"/>
    <cellStyle name="Note 57 2 4" xfId="8590" xr:uid="{00000000-0005-0000-0000-000008630000}"/>
    <cellStyle name="Note 57 2 4 2" xfId="19878" xr:uid="{00000000-0005-0000-0000-000009630000}"/>
    <cellStyle name="Note 57 2 5" xfId="6596" xr:uid="{00000000-0005-0000-0000-00000A630000}"/>
    <cellStyle name="Note 57 2 5 2" xfId="17884" xr:uid="{00000000-0005-0000-0000-00000B630000}"/>
    <cellStyle name="Note 57 2 6" xfId="15890" xr:uid="{00000000-0005-0000-0000-00000C630000}"/>
    <cellStyle name="Note 57 3" xfId="11581" xr:uid="{00000000-0005-0000-0000-00000D630000}"/>
    <cellStyle name="Note 57 3 2" xfId="22869" xr:uid="{00000000-0005-0000-0000-00000E630000}"/>
    <cellStyle name="Note 57 4" xfId="9587" xr:uid="{00000000-0005-0000-0000-00000F630000}"/>
    <cellStyle name="Note 57 4 2" xfId="20875" xr:uid="{00000000-0005-0000-0000-000010630000}"/>
    <cellStyle name="Note 57 5" xfId="7593" xr:uid="{00000000-0005-0000-0000-000011630000}"/>
    <cellStyle name="Note 57 5 2" xfId="18881" xr:uid="{00000000-0005-0000-0000-000012630000}"/>
    <cellStyle name="Note 57 6" xfId="5599" xr:uid="{00000000-0005-0000-0000-000013630000}"/>
    <cellStyle name="Note 57 6 2" xfId="16887" xr:uid="{00000000-0005-0000-0000-000014630000}"/>
    <cellStyle name="Note 57 7" xfId="14893" xr:uid="{00000000-0005-0000-0000-000015630000}"/>
    <cellStyle name="Note 57 8" xfId="13577" xr:uid="{00000000-0005-0000-0000-000016630000}"/>
    <cellStyle name="Note 58" xfId="3366" xr:uid="{00000000-0005-0000-0000-000017630000}"/>
    <cellStyle name="Note 58 2" xfId="4600" xr:uid="{00000000-0005-0000-0000-000018630000}"/>
    <cellStyle name="Note 58 2 2" xfId="12579" xr:uid="{00000000-0005-0000-0000-000019630000}"/>
    <cellStyle name="Note 58 2 2 2" xfId="23867" xr:uid="{00000000-0005-0000-0000-00001A630000}"/>
    <cellStyle name="Note 58 2 3" xfId="10585" xr:uid="{00000000-0005-0000-0000-00001B630000}"/>
    <cellStyle name="Note 58 2 3 2" xfId="21873" xr:uid="{00000000-0005-0000-0000-00001C630000}"/>
    <cellStyle name="Note 58 2 4" xfId="8591" xr:uid="{00000000-0005-0000-0000-00001D630000}"/>
    <cellStyle name="Note 58 2 4 2" xfId="19879" xr:uid="{00000000-0005-0000-0000-00001E630000}"/>
    <cellStyle name="Note 58 2 5" xfId="6597" xr:uid="{00000000-0005-0000-0000-00001F630000}"/>
    <cellStyle name="Note 58 2 5 2" xfId="17885" xr:uid="{00000000-0005-0000-0000-000020630000}"/>
    <cellStyle name="Note 58 2 6" xfId="15891" xr:uid="{00000000-0005-0000-0000-000021630000}"/>
    <cellStyle name="Note 58 3" xfId="11582" xr:uid="{00000000-0005-0000-0000-000022630000}"/>
    <cellStyle name="Note 58 3 2" xfId="22870" xr:uid="{00000000-0005-0000-0000-000023630000}"/>
    <cellStyle name="Note 58 4" xfId="9588" xr:uid="{00000000-0005-0000-0000-000024630000}"/>
    <cellStyle name="Note 58 4 2" xfId="20876" xr:uid="{00000000-0005-0000-0000-000025630000}"/>
    <cellStyle name="Note 58 5" xfId="7594" xr:uid="{00000000-0005-0000-0000-000026630000}"/>
    <cellStyle name="Note 58 5 2" xfId="18882" xr:uid="{00000000-0005-0000-0000-000027630000}"/>
    <cellStyle name="Note 58 6" xfId="5600" xr:uid="{00000000-0005-0000-0000-000028630000}"/>
    <cellStyle name="Note 58 6 2" xfId="16888" xr:uid="{00000000-0005-0000-0000-000029630000}"/>
    <cellStyle name="Note 58 7" xfId="14894" xr:uid="{00000000-0005-0000-0000-00002A630000}"/>
    <cellStyle name="Note 58 8" xfId="13578" xr:uid="{00000000-0005-0000-0000-00002B630000}"/>
    <cellStyle name="Note 59" xfId="3367" xr:uid="{00000000-0005-0000-0000-00002C630000}"/>
    <cellStyle name="Note 59 2" xfId="4601" xr:uid="{00000000-0005-0000-0000-00002D630000}"/>
    <cellStyle name="Note 59 2 2" xfId="12580" xr:uid="{00000000-0005-0000-0000-00002E630000}"/>
    <cellStyle name="Note 59 2 2 2" xfId="23868" xr:uid="{00000000-0005-0000-0000-00002F630000}"/>
    <cellStyle name="Note 59 2 3" xfId="10586" xr:uid="{00000000-0005-0000-0000-000030630000}"/>
    <cellStyle name="Note 59 2 3 2" xfId="21874" xr:uid="{00000000-0005-0000-0000-000031630000}"/>
    <cellStyle name="Note 59 2 4" xfId="8592" xr:uid="{00000000-0005-0000-0000-000032630000}"/>
    <cellStyle name="Note 59 2 4 2" xfId="19880" xr:uid="{00000000-0005-0000-0000-000033630000}"/>
    <cellStyle name="Note 59 2 5" xfId="6598" xr:uid="{00000000-0005-0000-0000-000034630000}"/>
    <cellStyle name="Note 59 2 5 2" xfId="17886" xr:uid="{00000000-0005-0000-0000-000035630000}"/>
    <cellStyle name="Note 59 2 6" xfId="15892" xr:uid="{00000000-0005-0000-0000-000036630000}"/>
    <cellStyle name="Note 59 3" xfId="11583" xr:uid="{00000000-0005-0000-0000-000037630000}"/>
    <cellStyle name="Note 59 3 2" xfId="22871" xr:uid="{00000000-0005-0000-0000-000038630000}"/>
    <cellStyle name="Note 59 4" xfId="9589" xr:uid="{00000000-0005-0000-0000-000039630000}"/>
    <cellStyle name="Note 59 4 2" xfId="20877" xr:uid="{00000000-0005-0000-0000-00003A630000}"/>
    <cellStyle name="Note 59 5" xfId="7595" xr:uid="{00000000-0005-0000-0000-00003B630000}"/>
    <cellStyle name="Note 59 5 2" xfId="18883" xr:uid="{00000000-0005-0000-0000-00003C630000}"/>
    <cellStyle name="Note 59 6" xfId="5601" xr:uid="{00000000-0005-0000-0000-00003D630000}"/>
    <cellStyle name="Note 59 6 2" xfId="16889" xr:uid="{00000000-0005-0000-0000-00003E630000}"/>
    <cellStyle name="Note 59 7" xfId="14895" xr:uid="{00000000-0005-0000-0000-00003F630000}"/>
    <cellStyle name="Note 59 8" xfId="13579" xr:uid="{00000000-0005-0000-0000-000040630000}"/>
    <cellStyle name="Note 6" xfId="3368" xr:uid="{00000000-0005-0000-0000-000041630000}"/>
    <cellStyle name="Note 6 10" xfId="24756" xr:uid="{00000000-0005-0000-0000-000042630000}"/>
    <cellStyle name="Note 6 11" xfId="25078" xr:uid="{00000000-0005-0000-0000-000043630000}"/>
    <cellStyle name="Note 6 2" xfId="4602" xr:uid="{00000000-0005-0000-0000-000044630000}"/>
    <cellStyle name="Note 6 2 2" xfId="12581" xr:uid="{00000000-0005-0000-0000-000045630000}"/>
    <cellStyle name="Note 6 2 2 2" xfId="23869" xr:uid="{00000000-0005-0000-0000-000046630000}"/>
    <cellStyle name="Note 6 2 3" xfId="10587" xr:uid="{00000000-0005-0000-0000-000047630000}"/>
    <cellStyle name="Note 6 2 3 2" xfId="21875" xr:uid="{00000000-0005-0000-0000-000048630000}"/>
    <cellStyle name="Note 6 2 4" xfId="8593" xr:uid="{00000000-0005-0000-0000-000049630000}"/>
    <cellStyle name="Note 6 2 4 2" xfId="19881" xr:uid="{00000000-0005-0000-0000-00004A630000}"/>
    <cellStyle name="Note 6 2 5" xfId="6599" xr:uid="{00000000-0005-0000-0000-00004B630000}"/>
    <cellStyle name="Note 6 2 5 2" xfId="17887" xr:uid="{00000000-0005-0000-0000-00004C630000}"/>
    <cellStyle name="Note 6 2 6" xfId="15893" xr:uid="{00000000-0005-0000-0000-00004D630000}"/>
    <cellStyle name="Note 6 2 7" xfId="24460" xr:uid="{00000000-0005-0000-0000-00004E630000}"/>
    <cellStyle name="Note 6 2 8" xfId="24904" xr:uid="{00000000-0005-0000-0000-00004F630000}"/>
    <cellStyle name="Note 6 2 9" xfId="25266" xr:uid="{00000000-0005-0000-0000-000050630000}"/>
    <cellStyle name="Note 6 3" xfId="11584" xr:uid="{00000000-0005-0000-0000-000051630000}"/>
    <cellStyle name="Note 6 3 2" xfId="22872" xr:uid="{00000000-0005-0000-0000-000052630000}"/>
    <cellStyle name="Note 6 4" xfId="9590" xr:uid="{00000000-0005-0000-0000-000053630000}"/>
    <cellStyle name="Note 6 4 2" xfId="20878" xr:uid="{00000000-0005-0000-0000-000054630000}"/>
    <cellStyle name="Note 6 5" xfId="7596" xr:uid="{00000000-0005-0000-0000-000055630000}"/>
    <cellStyle name="Note 6 5 2" xfId="18884" xr:uid="{00000000-0005-0000-0000-000056630000}"/>
    <cellStyle name="Note 6 6" xfId="5602" xr:uid="{00000000-0005-0000-0000-000057630000}"/>
    <cellStyle name="Note 6 6 2" xfId="16890" xr:uid="{00000000-0005-0000-0000-000058630000}"/>
    <cellStyle name="Note 6 7" xfId="14896" xr:uid="{00000000-0005-0000-0000-000059630000}"/>
    <cellStyle name="Note 6 8" xfId="13580" xr:uid="{00000000-0005-0000-0000-00005A630000}"/>
    <cellStyle name="Note 6 9" xfId="24194" xr:uid="{00000000-0005-0000-0000-00005B630000}"/>
    <cellStyle name="Note 60" xfId="3369" xr:uid="{00000000-0005-0000-0000-00005C630000}"/>
    <cellStyle name="Note 60 2" xfId="4603" xr:uid="{00000000-0005-0000-0000-00005D630000}"/>
    <cellStyle name="Note 60 2 2" xfId="12582" xr:uid="{00000000-0005-0000-0000-00005E630000}"/>
    <cellStyle name="Note 60 2 2 2" xfId="23870" xr:uid="{00000000-0005-0000-0000-00005F630000}"/>
    <cellStyle name="Note 60 2 3" xfId="10588" xr:uid="{00000000-0005-0000-0000-000060630000}"/>
    <cellStyle name="Note 60 2 3 2" xfId="21876" xr:uid="{00000000-0005-0000-0000-000061630000}"/>
    <cellStyle name="Note 60 2 4" xfId="8594" xr:uid="{00000000-0005-0000-0000-000062630000}"/>
    <cellStyle name="Note 60 2 4 2" xfId="19882" xr:uid="{00000000-0005-0000-0000-000063630000}"/>
    <cellStyle name="Note 60 2 5" xfId="6600" xr:uid="{00000000-0005-0000-0000-000064630000}"/>
    <cellStyle name="Note 60 2 5 2" xfId="17888" xr:uid="{00000000-0005-0000-0000-000065630000}"/>
    <cellStyle name="Note 60 2 6" xfId="15894" xr:uid="{00000000-0005-0000-0000-000066630000}"/>
    <cellStyle name="Note 60 3" xfId="11585" xr:uid="{00000000-0005-0000-0000-000067630000}"/>
    <cellStyle name="Note 60 3 2" xfId="22873" xr:uid="{00000000-0005-0000-0000-000068630000}"/>
    <cellStyle name="Note 60 4" xfId="9591" xr:uid="{00000000-0005-0000-0000-000069630000}"/>
    <cellStyle name="Note 60 4 2" xfId="20879" xr:uid="{00000000-0005-0000-0000-00006A630000}"/>
    <cellStyle name="Note 60 5" xfId="7597" xr:uid="{00000000-0005-0000-0000-00006B630000}"/>
    <cellStyle name="Note 60 5 2" xfId="18885" xr:uid="{00000000-0005-0000-0000-00006C630000}"/>
    <cellStyle name="Note 60 6" xfId="5603" xr:uid="{00000000-0005-0000-0000-00006D630000}"/>
    <cellStyle name="Note 60 6 2" xfId="16891" xr:uid="{00000000-0005-0000-0000-00006E630000}"/>
    <cellStyle name="Note 60 7" xfId="14897" xr:uid="{00000000-0005-0000-0000-00006F630000}"/>
    <cellStyle name="Note 60 8" xfId="13581" xr:uid="{00000000-0005-0000-0000-000070630000}"/>
    <cellStyle name="Note 61" xfId="3370" xr:uid="{00000000-0005-0000-0000-000071630000}"/>
    <cellStyle name="Note 61 2" xfId="4604" xr:uid="{00000000-0005-0000-0000-000072630000}"/>
    <cellStyle name="Note 61 2 2" xfId="12583" xr:uid="{00000000-0005-0000-0000-000073630000}"/>
    <cellStyle name="Note 61 2 2 2" xfId="23871" xr:uid="{00000000-0005-0000-0000-000074630000}"/>
    <cellStyle name="Note 61 2 3" xfId="10589" xr:uid="{00000000-0005-0000-0000-000075630000}"/>
    <cellStyle name="Note 61 2 3 2" xfId="21877" xr:uid="{00000000-0005-0000-0000-000076630000}"/>
    <cellStyle name="Note 61 2 4" xfId="8595" xr:uid="{00000000-0005-0000-0000-000077630000}"/>
    <cellStyle name="Note 61 2 4 2" xfId="19883" xr:uid="{00000000-0005-0000-0000-000078630000}"/>
    <cellStyle name="Note 61 2 5" xfId="6601" xr:uid="{00000000-0005-0000-0000-000079630000}"/>
    <cellStyle name="Note 61 2 5 2" xfId="17889" xr:uid="{00000000-0005-0000-0000-00007A630000}"/>
    <cellStyle name="Note 61 2 6" xfId="15895" xr:uid="{00000000-0005-0000-0000-00007B630000}"/>
    <cellStyle name="Note 61 3" xfId="11586" xr:uid="{00000000-0005-0000-0000-00007C630000}"/>
    <cellStyle name="Note 61 3 2" xfId="22874" xr:uid="{00000000-0005-0000-0000-00007D630000}"/>
    <cellStyle name="Note 61 4" xfId="9592" xr:uid="{00000000-0005-0000-0000-00007E630000}"/>
    <cellStyle name="Note 61 4 2" xfId="20880" xr:uid="{00000000-0005-0000-0000-00007F630000}"/>
    <cellStyle name="Note 61 5" xfId="7598" xr:uid="{00000000-0005-0000-0000-000080630000}"/>
    <cellStyle name="Note 61 5 2" xfId="18886" xr:uid="{00000000-0005-0000-0000-000081630000}"/>
    <cellStyle name="Note 61 6" xfId="5604" xr:uid="{00000000-0005-0000-0000-000082630000}"/>
    <cellStyle name="Note 61 6 2" xfId="16892" xr:uid="{00000000-0005-0000-0000-000083630000}"/>
    <cellStyle name="Note 61 7" xfId="14898" xr:uid="{00000000-0005-0000-0000-000084630000}"/>
    <cellStyle name="Note 61 8" xfId="13582" xr:uid="{00000000-0005-0000-0000-000085630000}"/>
    <cellStyle name="Note 62" xfId="3371" xr:uid="{00000000-0005-0000-0000-000086630000}"/>
    <cellStyle name="Note 62 2" xfId="4605" xr:uid="{00000000-0005-0000-0000-000087630000}"/>
    <cellStyle name="Note 62 2 2" xfId="12584" xr:uid="{00000000-0005-0000-0000-000088630000}"/>
    <cellStyle name="Note 62 2 2 2" xfId="23872" xr:uid="{00000000-0005-0000-0000-000089630000}"/>
    <cellStyle name="Note 62 2 3" xfId="10590" xr:uid="{00000000-0005-0000-0000-00008A630000}"/>
    <cellStyle name="Note 62 2 3 2" xfId="21878" xr:uid="{00000000-0005-0000-0000-00008B630000}"/>
    <cellStyle name="Note 62 2 4" xfId="8596" xr:uid="{00000000-0005-0000-0000-00008C630000}"/>
    <cellStyle name="Note 62 2 4 2" xfId="19884" xr:uid="{00000000-0005-0000-0000-00008D630000}"/>
    <cellStyle name="Note 62 2 5" xfId="6602" xr:uid="{00000000-0005-0000-0000-00008E630000}"/>
    <cellStyle name="Note 62 2 5 2" xfId="17890" xr:uid="{00000000-0005-0000-0000-00008F630000}"/>
    <cellStyle name="Note 62 2 6" xfId="15896" xr:uid="{00000000-0005-0000-0000-000090630000}"/>
    <cellStyle name="Note 62 3" xfId="11587" xr:uid="{00000000-0005-0000-0000-000091630000}"/>
    <cellStyle name="Note 62 3 2" xfId="22875" xr:uid="{00000000-0005-0000-0000-000092630000}"/>
    <cellStyle name="Note 62 4" xfId="9593" xr:uid="{00000000-0005-0000-0000-000093630000}"/>
    <cellStyle name="Note 62 4 2" xfId="20881" xr:uid="{00000000-0005-0000-0000-000094630000}"/>
    <cellStyle name="Note 62 5" xfId="7599" xr:uid="{00000000-0005-0000-0000-000095630000}"/>
    <cellStyle name="Note 62 5 2" xfId="18887" xr:uid="{00000000-0005-0000-0000-000096630000}"/>
    <cellStyle name="Note 62 6" xfId="5605" xr:uid="{00000000-0005-0000-0000-000097630000}"/>
    <cellStyle name="Note 62 6 2" xfId="16893" xr:uid="{00000000-0005-0000-0000-000098630000}"/>
    <cellStyle name="Note 62 7" xfId="14899" xr:uid="{00000000-0005-0000-0000-000099630000}"/>
    <cellStyle name="Note 62 8" xfId="13583" xr:uid="{00000000-0005-0000-0000-00009A630000}"/>
    <cellStyle name="Note 63" xfId="3372" xr:uid="{00000000-0005-0000-0000-00009B630000}"/>
    <cellStyle name="Note 63 2" xfId="4606" xr:uid="{00000000-0005-0000-0000-00009C630000}"/>
    <cellStyle name="Note 63 2 2" xfId="12585" xr:uid="{00000000-0005-0000-0000-00009D630000}"/>
    <cellStyle name="Note 63 2 2 2" xfId="23873" xr:uid="{00000000-0005-0000-0000-00009E630000}"/>
    <cellStyle name="Note 63 2 3" xfId="10591" xr:uid="{00000000-0005-0000-0000-00009F630000}"/>
    <cellStyle name="Note 63 2 3 2" xfId="21879" xr:uid="{00000000-0005-0000-0000-0000A0630000}"/>
    <cellStyle name="Note 63 2 4" xfId="8597" xr:uid="{00000000-0005-0000-0000-0000A1630000}"/>
    <cellStyle name="Note 63 2 4 2" xfId="19885" xr:uid="{00000000-0005-0000-0000-0000A2630000}"/>
    <cellStyle name="Note 63 2 5" xfId="6603" xr:uid="{00000000-0005-0000-0000-0000A3630000}"/>
    <cellStyle name="Note 63 2 5 2" xfId="17891" xr:uid="{00000000-0005-0000-0000-0000A4630000}"/>
    <cellStyle name="Note 63 2 6" xfId="15897" xr:uid="{00000000-0005-0000-0000-0000A5630000}"/>
    <cellStyle name="Note 63 3" xfId="11588" xr:uid="{00000000-0005-0000-0000-0000A6630000}"/>
    <cellStyle name="Note 63 3 2" xfId="22876" xr:uid="{00000000-0005-0000-0000-0000A7630000}"/>
    <cellStyle name="Note 63 4" xfId="9594" xr:uid="{00000000-0005-0000-0000-0000A8630000}"/>
    <cellStyle name="Note 63 4 2" xfId="20882" xr:uid="{00000000-0005-0000-0000-0000A9630000}"/>
    <cellStyle name="Note 63 5" xfId="7600" xr:uid="{00000000-0005-0000-0000-0000AA630000}"/>
    <cellStyle name="Note 63 5 2" xfId="18888" xr:uid="{00000000-0005-0000-0000-0000AB630000}"/>
    <cellStyle name="Note 63 6" xfId="5606" xr:uid="{00000000-0005-0000-0000-0000AC630000}"/>
    <cellStyle name="Note 63 6 2" xfId="16894" xr:uid="{00000000-0005-0000-0000-0000AD630000}"/>
    <cellStyle name="Note 63 7" xfId="14900" xr:uid="{00000000-0005-0000-0000-0000AE630000}"/>
    <cellStyle name="Note 63 8" xfId="13584" xr:uid="{00000000-0005-0000-0000-0000AF630000}"/>
    <cellStyle name="Note 64" xfId="3373" xr:uid="{00000000-0005-0000-0000-0000B0630000}"/>
    <cellStyle name="Note 64 2" xfId="4607" xr:uid="{00000000-0005-0000-0000-0000B1630000}"/>
    <cellStyle name="Note 64 2 2" xfId="12586" xr:uid="{00000000-0005-0000-0000-0000B2630000}"/>
    <cellStyle name="Note 64 2 2 2" xfId="23874" xr:uid="{00000000-0005-0000-0000-0000B3630000}"/>
    <cellStyle name="Note 64 2 3" xfId="10592" xr:uid="{00000000-0005-0000-0000-0000B4630000}"/>
    <cellStyle name="Note 64 2 3 2" xfId="21880" xr:uid="{00000000-0005-0000-0000-0000B5630000}"/>
    <cellStyle name="Note 64 2 4" xfId="8598" xr:uid="{00000000-0005-0000-0000-0000B6630000}"/>
    <cellStyle name="Note 64 2 4 2" xfId="19886" xr:uid="{00000000-0005-0000-0000-0000B7630000}"/>
    <cellStyle name="Note 64 2 5" xfId="6604" xr:uid="{00000000-0005-0000-0000-0000B8630000}"/>
    <cellStyle name="Note 64 2 5 2" xfId="17892" xr:uid="{00000000-0005-0000-0000-0000B9630000}"/>
    <cellStyle name="Note 64 2 6" xfId="15898" xr:uid="{00000000-0005-0000-0000-0000BA630000}"/>
    <cellStyle name="Note 64 3" xfId="11589" xr:uid="{00000000-0005-0000-0000-0000BB630000}"/>
    <cellStyle name="Note 64 3 2" xfId="22877" xr:uid="{00000000-0005-0000-0000-0000BC630000}"/>
    <cellStyle name="Note 64 4" xfId="9595" xr:uid="{00000000-0005-0000-0000-0000BD630000}"/>
    <cellStyle name="Note 64 4 2" xfId="20883" xr:uid="{00000000-0005-0000-0000-0000BE630000}"/>
    <cellStyle name="Note 64 5" xfId="7601" xr:uid="{00000000-0005-0000-0000-0000BF630000}"/>
    <cellStyle name="Note 64 5 2" xfId="18889" xr:uid="{00000000-0005-0000-0000-0000C0630000}"/>
    <cellStyle name="Note 64 6" xfId="5607" xr:uid="{00000000-0005-0000-0000-0000C1630000}"/>
    <cellStyle name="Note 64 6 2" xfId="16895" xr:uid="{00000000-0005-0000-0000-0000C2630000}"/>
    <cellStyle name="Note 64 7" xfId="14901" xr:uid="{00000000-0005-0000-0000-0000C3630000}"/>
    <cellStyle name="Note 64 8" xfId="13585" xr:uid="{00000000-0005-0000-0000-0000C4630000}"/>
    <cellStyle name="Note 65" xfId="3374" xr:uid="{00000000-0005-0000-0000-0000C5630000}"/>
    <cellStyle name="Note 65 2" xfId="4608" xr:uid="{00000000-0005-0000-0000-0000C6630000}"/>
    <cellStyle name="Note 65 2 2" xfId="12587" xr:uid="{00000000-0005-0000-0000-0000C7630000}"/>
    <cellStyle name="Note 65 2 2 2" xfId="23875" xr:uid="{00000000-0005-0000-0000-0000C8630000}"/>
    <cellStyle name="Note 65 2 3" xfId="10593" xr:uid="{00000000-0005-0000-0000-0000C9630000}"/>
    <cellStyle name="Note 65 2 3 2" xfId="21881" xr:uid="{00000000-0005-0000-0000-0000CA630000}"/>
    <cellStyle name="Note 65 2 4" xfId="8599" xr:uid="{00000000-0005-0000-0000-0000CB630000}"/>
    <cellStyle name="Note 65 2 4 2" xfId="19887" xr:uid="{00000000-0005-0000-0000-0000CC630000}"/>
    <cellStyle name="Note 65 2 5" xfId="6605" xr:uid="{00000000-0005-0000-0000-0000CD630000}"/>
    <cellStyle name="Note 65 2 5 2" xfId="17893" xr:uid="{00000000-0005-0000-0000-0000CE630000}"/>
    <cellStyle name="Note 65 2 6" xfId="15899" xr:uid="{00000000-0005-0000-0000-0000CF630000}"/>
    <cellStyle name="Note 65 3" xfId="11590" xr:uid="{00000000-0005-0000-0000-0000D0630000}"/>
    <cellStyle name="Note 65 3 2" xfId="22878" xr:uid="{00000000-0005-0000-0000-0000D1630000}"/>
    <cellStyle name="Note 65 4" xfId="9596" xr:uid="{00000000-0005-0000-0000-0000D2630000}"/>
    <cellStyle name="Note 65 4 2" xfId="20884" xr:uid="{00000000-0005-0000-0000-0000D3630000}"/>
    <cellStyle name="Note 65 5" xfId="7602" xr:uid="{00000000-0005-0000-0000-0000D4630000}"/>
    <cellStyle name="Note 65 5 2" xfId="18890" xr:uid="{00000000-0005-0000-0000-0000D5630000}"/>
    <cellStyle name="Note 65 6" xfId="5608" xr:uid="{00000000-0005-0000-0000-0000D6630000}"/>
    <cellStyle name="Note 65 6 2" xfId="16896" xr:uid="{00000000-0005-0000-0000-0000D7630000}"/>
    <cellStyle name="Note 65 7" xfId="14902" xr:uid="{00000000-0005-0000-0000-0000D8630000}"/>
    <cellStyle name="Note 65 8" xfId="13586" xr:uid="{00000000-0005-0000-0000-0000D9630000}"/>
    <cellStyle name="Note 66" xfId="3375" xr:uid="{00000000-0005-0000-0000-0000DA630000}"/>
    <cellStyle name="Note 66 2" xfId="4609" xr:uid="{00000000-0005-0000-0000-0000DB630000}"/>
    <cellStyle name="Note 66 2 2" xfId="12588" xr:uid="{00000000-0005-0000-0000-0000DC630000}"/>
    <cellStyle name="Note 66 2 2 2" xfId="23876" xr:uid="{00000000-0005-0000-0000-0000DD630000}"/>
    <cellStyle name="Note 66 2 3" xfId="10594" xr:uid="{00000000-0005-0000-0000-0000DE630000}"/>
    <cellStyle name="Note 66 2 3 2" xfId="21882" xr:uid="{00000000-0005-0000-0000-0000DF630000}"/>
    <cellStyle name="Note 66 2 4" xfId="8600" xr:uid="{00000000-0005-0000-0000-0000E0630000}"/>
    <cellStyle name="Note 66 2 4 2" xfId="19888" xr:uid="{00000000-0005-0000-0000-0000E1630000}"/>
    <cellStyle name="Note 66 2 5" xfId="6606" xr:uid="{00000000-0005-0000-0000-0000E2630000}"/>
    <cellStyle name="Note 66 2 5 2" xfId="17894" xr:uid="{00000000-0005-0000-0000-0000E3630000}"/>
    <cellStyle name="Note 66 2 6" xfId="15900" xr:uid="{00000000-0005-0000-0000-0000E4630000}"/>
    <cellStyle name="Note 66 3" xfId="11591" xr:uid="{00000000-0005-0000-0000-0000E5630000}"/>
    <cellStyle name="Note 66 3 2" xfId="22879" xr:uid="{00000000-0005-0000-0000-0000E6630000}"/>
    <cellStyle name="Note 66 4" xfId="9597" xr:uid="{00000000-0005-0000-0000-0000E7630000}"/>
    <cellStyle name="Note 66 4 2" xfId="20885" xr:uid="{00000000-0005-0000-0000-0000E8630000}"/>
    <cellStyle name="Note 66 5" xfId="7603" xr:uid="{00000000-0005-0000-0000-0000E9630000}"/>
    <cellStyle name="Note 66 5 2" xfId="18891" xr:uid="{00000000-0005-0000-0000-0000EA630000}"/>
    <cellStyle name="Note 66 6" xfId="5609" xr:uid="{00000000-0005-0000-0000-0000EB630000}"/>
    <cellStyle name="Note 66 6 2" xfId="16897" xr:uid="{00000000-0005-0000-0000-0000EC630000}"/>
    <cellStyle name="Note 66 7" xfId="14903" xr:uid="{00000000-0005-0000-0000-0000ED630000}"/>
    <cellStyle name="Note 66 8" xfId="13587" xr:uid="{00000000-0005-0000-0000-0000EE630000}"/>
    <cellStyle name="Note 67" xfId="3376" xr:uid="{00000000-0005-0000-0000-0000EF630000}"/>
    <cellStyle name="Note 67 2" xfId="4610" xr:uid="{00000000-0005-0000-0000-0000F0630000}"/>
    <cellStyle name="Note 67 2 2" xfId="12589" xr:uid="{00000000-0005-0000-0000-0000F1630000}"/>
    <cellStyle name="Note 67 2 2 2" xfId="23877" xr:uid="{00000000-0005-0000-0000-0000F2630000}"/>
    <cellStyle name="Note 67 2 3" xfId="10595" xr:uid="{00000000-0005-0000-0000-0000F3630000}"/>
    <cellStyle name="Note 67 2 3 2" xfId="21883" xr:uid="{00000000-0005-0000-0000-0000F4630000}"/>
    <cellStyle name="Note 67 2 4" xfId="8601" xr:uid="{00000000-0005-0000-0000-0000F5630000}"/>
    <cellStyle name="Note 67 2 4 2" xfId="19889" xr:uid="{00000000-0005-0000-0000-0000F6630000}"/>
    <cellStyle name="Note 67 2 5" xfId="6607" xr:uid="{00000000-0005-0000-0000-0000F7630000}"/>
    <cellStyle name="Note 67 2 5 2" xfId="17895" xr:uid="{00000000-0005-0000-0000-0000F8630000}"/>
    <cellStyle name="Note 67 2 6" xfId="15901" xr:uid="{00000000-0005-0000-0000-0000F9630000}"/>
    <cellStyle name="Note 67 3" xfId="11592" xr:uid="{00000000-0005-0000-0000-0000FA630000}"/>
    <cellStyle name="Note 67 3 2" xfId="22880" xr:uid="{00000000-0005-0000-0000-0000FB630000}"/>
    <cellStyle name="Note 67 4" xfId="9598" xr:uid="{00000000-0005-0000-0000-0000FC630000}"/>
    <cellStyle name="Note 67 4 2" xfId="20886" xr:uid="{00000000-0005-0000-0000-0000FD630000}"/>
    <cellStyle name="Note 67 5" xfId="7604" xr:uid="{00000000-0005-0000-0000-0000FE630000}"/>
    <cellStyle name="Note 67 5 2" xfId="18892" xr:uid="{00000000-0005-0000-0000-0000FF630000}"/>
    <cellStyle name="Note 67 6" xfId="5610" xr:uid="{00000000-0005-0000-0000-000000640000}"/>
    <cellStyle name="Note 67 6 2" xfId="16898" xr:uid="{00000000-0005-0000-0000-000001640000}"/>
    <cellStyle name="Note 67 7" xfId="14904" xr:uid="{00000000-0005-0000-0000-000002640000}"/>
    <cellStyle name="Note 67 8" xfId="13588" xr:uid="{00000000-0005-0000-0000-000003640000}"/>
    <cellStyle name="Note 68" xfId="3377" xr:uid="{00000000-0005-0000-0000-000004640000}"/>
    <cellStyle name="Note 68 2" xfId="4611" xr:uid="{00000000-0005-0000-0000-000005640000}"/>
    <cellStyle name="Note 68 2 2" xfId="12590" xr:uid="{00000000-0005-0000-0000-000006640000}"/>
    <cellStyle name="Note 68 2 2 2" xfId="23878" xr:uid="{00000000-0005-0000-0000-000007640000}"/>
    <cellStyle name="Note 68 2 3" xfId="10596" xr:uid="{00000000-0005-0000-0000-000008640000}"/>
    <cellStyle name="Note 68 2 3 2" xfId="21884" xr:uid="{00000000-0005-0000-0000-000009640000}"/>
    <cellStyle name="Note 68 2 4" xfId="8602" xr:uid="{00000000-0005-0000-0000-00000A640000}"/>
    <cellStyle name="Note 68 2 4 2" xfId="19890" xr:uid="{00000000-0005-0000-0000-00000B640000}"/>
    <cellStyle name="Note 68 2 5" xfId="6608" xr:uid="{00000000-0005-0000-0000-00000C640000}"/>
    <cellStyle name="Note 68 2 5 2" xfId="17896" xr:uid="{00000000-0005-0000-0000-00000D640000}"/>
    <cellStyle name="Note 68 2 6" xfId="15902" xr:uid="{00000000-0005-0000-0000-00000E640000}"/>
    <cellStyle name="Note 68 3" xfId="11593" xr:uid="{00000000-0005-0000-0000-00000F640000}"/>
    <cellStyle name="Note 68 3 2" xfId="22881" xr:uid="{00000000-0005-0000-0000-000010640000}"/>
    <cellStyle name="Note 68 4" xfId="9599" xr:uid="{00000000-0005-0000-0000-000011640000}"/>
    <cellStyle name="Note 68 4 2" xfId="20887" xr:uid="{00000000-0005-0000-0000-000012640000}"/>
    <cellStyle name="Note 68 5" xfId="7605" xr:uid="{00000000-0005-0000-0000-000013640000}"/>
    <cellStyle name="Note 68 5 2" xfId="18893" xr:uid="{00000000-0005-0000-0000-000014640000}"/>
    <cellStyle name="Note 68 6" xfId="5611" xr:uid="{00000000-0005-0000-0000-000015640000}"/>
    <cellStyle name="Note 68 6 2" xfId="16899" xr:uid="{00000000-0005-0000-0000-000016640000}"/>
    <cellStyle name="Note 68 7" xfId="14905" xr:uid="{00000000-0005-0000-0000-000017640000}"/>
    <cellStyle name="Note 68 8" xfId="13589" xr:uid="{00000000-0005-0000-0000-000018640000}"/>
    <cellStyle name="Note 69" xfId="3378" xr:uid="{00000000-0005-0000-0000-000019640000}"/>
    <cellStyle name="Note 69 2" xfId="4612" xr:uid="{00000000-0005-0000-0000-00001A640000}"/>
    <cellStyle name="Note 69 2 2" xfId="12591" xr:uid="{00000000-0005-0000-0000-00001B640000}"/>
    <cellStyle name="Note 69 2 2 2" xfId="23879" xr:uid="{00000000-0005-0000-0000-00001C640000}"/>
    <cellStyle name="Note 69 2 3" xfId="10597" xr:uid="{00000000-0005-0000-0000-00001D640000}"/>
    <cellStyle name="Note 69 2 3 2" xfId="21885" xr:uid="{00000000-0005-0000-0000-00001E640000}"/>
    <cellStyle name="Note 69 2 4" xfId="8603" xr:uid="{00000000-0005-0000-0000-00001F640000}"/>
    <cellStyle name="Note 69 2 4 2" xfId="19891" xr:uid="{00000000-0005-0000-0000-000020640000}"/>
    <cellStyle name="Note 69 2 5" xfId="6609" xr:uid="{00000000-0005-0000-0000-000021640000}"/>
    <cellStyle name="Note 69 2 5 2" xfId="17897" xr:uid="{00000000-0005-0000-0000-000022640000}"/>
    <cellStyle name="Note 69 2 6" xfId="15903" xr:uid="{00000000-0005-0000-0000-000023640000}"/>
    <cellStyle name="Note 69 3" xfId="11594" xr:uid="{00000000-0005-0000-0000-000024640000}"/>
    <cellStyle name="Note 69 3 2" xfId="22882" xr:uid="{00000000-0005-0000-0000-000025640000}"/>
    <cellStyle name="Note 69 4" xfId="9600" xr:uid="{00000000-0005-0000-0000-000026640000}"/>
    <cellStyle name="Note 69 4 2" xfId="20888" xr:uid="{00000000-0005-0000-0000-000027640000}"/>
    <cellStyle name="Note 69 5" xfId="7606" xr:uid="{00000000-0005-0000-0000-000028640000}"/>
    <cellStyle name="Note 69 5 2" xfId="18894" xr:uid="{00000000-0005-0000-0000-000029640000}"/>
    <cellStyle name="Note 69 6" xfId="5612" xr:uid="{00000000-0005-0000-0000-00002A640000}"/>
    <cellStyle name="Note 69 6 2" xfId="16900" xr:uid="{00000000-0005-0000-0000-00002B640000}"/>
    <cellStyle name="Note 69 7" xfId="14906" xr:uid="{00000000-0005-0000-0000-00002C640000}"/>
    <cellStyle name="Note 69 8" xfId="13590" xr:uid="{00000000-0005-0000-0000-00002D640000}"/>
    <cellStyle name="Note 7" xfId="3379" xr:uid="{00000000-0005-0000-0000-00002E640000}"/>
    <cellStyle name="Note 7 10" xfId="24757" xr:uid="{00000000-0005-0000-0000-00002F640000}"/>
    <cellStyle name="Note 7 11" xfId="25079" xr:uid="{00000000-0005-0000-0000-000030640000}"/>
    <cellStyle name="Note 7 2" xfId="4613" xr:uid="{00000000-0005-0000-0000-000031640000}"/>
    <cellStyle name="Note 7 2 2" xfId="12592" xr:uid="{00000000-0005-0000-0000-000032640000}"/>
    <cellStyle name="Note 7 2 2 2" xfId="23880" xr:uid="{00000000-0005-0000-0000-000033640000}"/>
    <cellStyle name="Note 7 2 3" xfId="10598" xr:uid="{00000000-0005-0000-0000-000034640000}"/>
    <cellStyle name="Note 7 2 3 2" xfId="21886" xr:uid="{00000000-0005-0000-0000-000035640000}"/>
    <cellStyle name="Note 7 2 4" xfId="8604" xr:uid="{00000000-0005-0000-0000-000036640000}"/>
    <cellStyle name="Note 7 2 4 2" xfId="19892" xr:uid="{00000000-0005-0000-0000-000037640000}"/>
    <cellStyle name="Note 7 2 5" xfId="6610" xr:uid="{00000000-0005-0000-0000-000038640000}"/>
    <cellStyle name="Note 7 2 5 2" xfId="17898" xr:uid="{00000000-0005-0000-0000-000039640000}"/>
    <cellStyle name="Note 7 2 6" xfId="15904" xr:uid="{00000000-0005-0000-0000-00003A640000}"/>
    <cellStyle name="Note 7 2 7" xfId="24461" xr:uid="{00000000-0005-0000-0000-00003B640000}"/>
    <cellStyle name="Note 7 2 8" xfId="24905" xr:uid="{00000000-0005-0000-0000-00003C640000}"/>
    <cellStyle name="Note 7 2 9" xfId="25267" xr:uid="{00000000-0005-0000-0000-00003D640000}"/>
    <cellStyle name="Note 7 3" xfId="11595" xr:uid="{00000000-0005-0000-0000-00003E640000}"/>
    <cellStyle name="Note 7 3 2" xfId="22883" xr:uid="{00000000-0005-0000-0000-00003F640000}"/>
    <cellStyle name="Note 7 4" xfId="9601" xr:uid="{00000000-0005-0000-0000-000040640000}"/>
    <cellStyle name="Note 7 4 2" xfId="20889" xr:uid="{00000000-0005-0000-0000-000041640000}"/>
    <cellStyle name="Note 7 5" xfId="7607" xr:uid="{00000000-0005-0000-0000-000042640000}"/>
    <cellStyle name="Note 7 5 2" xfId="18895" xr:uid="{00000000-0005-0000-0000-000043640000}"/>
    <cellStyle name="Note 7 6" xfId="5613" xr:uid="{00000000-0005-0000-0000-000044640000}"/>
    <cellStyle name="Note 7 6 2" xfId="16901" xr:uid="{00000000-0005-0000-0000-000045640000}"/>
    <cellStyle name="Note 7 7" xfId="14907" xr:uid="{00000000-0005-0000-0000-000046640000}"/>
    <cellStyle name="Note 7 8" xfId="13591" xr:uid="{00000000-0005-0000-0000-000047640000}"/>
    <cellStyle name="Note 7 9" xfId="24195" xr:uid="{00000000-0005-0000-0000-000048640000}"/>
    <cellStyle name="Note 70" xfId="3380" xr:uid="{00000000-0005-0000-0000-000049640000}"/>
    <cellStyle name="Note 70 2" xfId="4614" xr:uid="{00000000-0005-0000-0000-00004A640000}"/>
    <cellStyle name="Note 70 2 2" xfId="12593" xr:uid="{00000000-0005-0000-0000-00004B640000}"/>
    <cellStyle name="Note 70 2 2 2" xfId="23881" xr:uid="{00000000-0005-0000-0000-00004C640000}"/>
    <cellStyle name="Note 70 2 3" xfId="10599" xr:uid="{00000000-0005-0000-0000-00004D640000}"/>
    <cellStyle name="Note 70 2 3 2" xfId="21887" xr:uid="{00000000-0005-0000-0000-00004E640000}"/>
    <cellStyle name="Note 70 2 4" xfId="8605" xr:uid="{00000000-0005-0000-0000-00004F640000}"/>
    <cellStyle name="Note 70 2 4 2" xfId="19893" xr:uid="{00000000-0005-0000-0000-000050640000}"/>
    <cellStyle name="Note 70 2 5" xfId="6611" xr:uid="{00000000-0005-0000-0000-000051640000}"/>
    <cellStyle name="Note 70 2 5 2" xfId="17899" xr:uid="{00000000-0005-0000-0000-000052640000}"/>
    <cellStyle name="Note 70 2 6" xfId="15905" xr:uid="{00000000-0005-0000-0000-000053640000}"/>
    <cellStyle name="Note 70 3" xfId="11596" xr:uid="{00000000-0005-0000-0000-000054640000}"/>
    <cellStyle name="Note 70 3 2" xfId="22884" xr:uid="{00000000-0005-0000-0000-000055640000}"/>
    <cellStyle name="Note 70 4" xfId="9602" xr:uid="{00000000-0005-0000-0000-000056640000}"/>
    <cellStyle name="Note 70 4 2" xfId="20890" xr:uid="{00000000-0005-0000-0000-000057640000}"/>
    <cellStyle name="Note 70 5" xfId="7608" xr:uid="{00000000-0005-0000-0000-000058640000}"/>
    <cellStyle name="Note 70 5 2" xfId="18896" xr:uid="{00000000-0005-0000-0000-000059640000}"/>
    <cellStyle name="Note 70 6" xfId="5614" xr:uid="{00000000-0005-0000-0000-00005A640000}"/>
    <cellStyle name="Note 70 6 2" xfId="16902" xr:uid="{00000000-0005-0000-0000-00005B640000}"/>
    <cellStyle name="Note 70 7" xfId="14908" xr:uid="{00000000-0005-0000-0000-00005C640000}"/>
    <cellStyle name="Note 70 8" xfId="13592" xr:uid="{00000000-0005-0000-0000-00005D640000}"/>
    <cellStyle name="Note 71" xfId="3381" xr:uid="{00000000-0005-0000-0000-00005E640000}"/>
    <cellStyle name="Note 71 2" xfId="4615" xr:uid="{00000000-0005-0000-0000-00005F640000}"/>
    <cellStyle name="Note 71 2 2" xfId="12594" xr:uid="{00000000-0005-0000-0000-000060640000}"/>
    <cellStyle name="Note 71 2 2 2" xfId="23882" xr:uid="{00000000-0005-0000-0000-000061640000}"/>
    <cellStyle name="Note 71 2 3" xfId="10600" xr:uid="{00000000-0005-0000-0000-000062640000}"/>
    <cellStyle name="Note 71 2 3 2" xfId="21888" xr:uid="{00000000-0005-0000-0000-000063640000}"/>
    <cellStyle name="Note 71 2 4" xfId="8606" xr:uid="{00000000-0005-0000-0000-000064640000}"/>
    <cellStyle name="Note 71 2 4 2" xfId="19894" xr:uid="{00000000-0005-0000-0000-000065640000}"/>
    <cellStyle name="Note 71 2 5" xfId="6612" xr:uid="{00000000-0005-0000-0000-000066640000}"/>
    <cellStyle name="Note 71 2 5 2" xfId="17900" xr:uid="{00000000-0005-0000-0000-000067640000}"/>
    <cellStyle name="Note 71 2 6" xfId="15906" xr:uid="{00000000-0005-0000-0000-000068640000}"/>
    <cellStyle name="Note 71 3" xfId="11597" xr:uid="{00000000-0005-0000-0000-000069640000}"/>
    <cellStyle name="Note 71 3 2" xfId="22885" xr:uid="{00000000-0005-0000-0000-00006A640000}"/>
    <cellStyle name="Note 71 4" xfId="9603" xr:uid="{00000000-0005-0000-0000-00006B640000}"/>
    <cellStyle name="Note 71 4 2" xfId="20891" xr:uid="{00000000-0005-0000-0000-00006C640000}"/>
    <cellStyle name="Note 71 5" xfId="7609" xr:uid="{00000000-0005-0000-0000-00006D640000}"/>
    <cellStyle name="Note 71 5 2" xfId="18897" xr:uid="{00000000-0005-0000-0000-00006E640000}"/>
    <cellStyle name="Note 71 6" xfId="5615" xr:uid="{00000000-0005-0000-0000-00006F640000}"/>
    <cellStyle name="Note 71 6 2" xfId="16903" xr:uid="{00000000-0005-0000-0000-000070640000}"/>
    <cellStyle name="Note 71 7" xfId="14909" xr:uid="{00000000-0005-0000-0000-000071640000}"/>
    <cellStyle name="Note 71 8" xfId="13593" xr:uid="{00000000-0005-0000-0000-000072640000}"/>
    <cellStyle name="Note 72" xfId="3382" xr:uid="{00000000-0005-0000-0000-000073640000}"/>
    <cellStyle name="Note 72 2" xfId="4616" xr:uid="{00000000-0005-0000-0000-000074640000}"/>
    <cellStyle name="Note 72 2 2" xfId="12595" xr:uid="{00000000-0005-0000-0000-000075640000}"/>
    <cellStyle name="Note 72 2 2 2" xfId="23883" xr:uid="{00000000-0005-0000-0000-000076640000}"/>
    <cellStyle name="Note 72 2 3" xfId="10601" xr:uid="{00000000-0005-0000-0000-000077640000}"/>
    <cellStyle name="Note 72 2 3 2" xfId="21889" xr:uid="{00000000-0005-0000-0000-000078640000}"/>
    <cellStyle name="Note 72 2 4" xfId="8607" xr:uid="{00000000-0005-0000-0000-000079640000}"/>
    <cellStyle name="Note 72 2 4 2" xfId="19895" xr:uid="{00000000-0005-0000-0000-00007A640000}"/>
    <cellStyle name="Note 72 2 5" xfId="6613" xr:uid="{00000000-0005-0000-0000-00007B640000}"/>
    <cellStyle name="Note 72 2 5 2" xfId="17901" xr:uid="{00000000-0005-0000-0000-00007C640000}"/>
    <cellStyle name="Note 72 2 6" xfId="15907" xr:uid="{00000000-0005-0000-0000-00007D640000}"/>
    <cellStyle name="Note 72 3" xfId="11598" xr:uid="{00000000-0005-0000-0000-00007E640000}"/>
    <cellStyle name="Note 72 3 2" xfId="22886" xr:uid="{00000000-0005-0000-0000-00007F640000}"/>
    <cellStyle name="Note 72 4" xfId="9604" xr:uid="{00000000-0005-0000-0000-000080640000}"/>
    <cellStyle name="Note 72 4 2" xfId="20892" xr:uid="{00000000-0005-0000-0000-000081640000}"/>
    <cellStyle name="Note 72 5" xfId="7610" xr:uid="{00000000-0005-0000-0000-000082640000}"/>
    <cellStyle name="Note 72 5 2" xfId="18898" xr:uid="{00000000-0005-0000-0000-000083640000}"/>
    <cellStyle name="Note 72 6" xfId="5616" xr:uid="{00000000-0005-0000-0000-000084640000}"/>
    <cellStyle name="Note 72 6 2" xfId="16904" xr:uid="{00000000-0005-0000-0000-000085640000}"/>
    <cellStyle name="Note 72 7" xfId="14910" xr:uid="{00000000-0005-0000-0000-000086640000}"/>
    <cellStyle name="Note 72 8" xfId="13594" xr:uid="{00000000-0005-0000-0000-000087640000}"/>
    <cellStyle name="Note 8" xfId="3383" xr:uid="{00000000-0005-0000-0000-000088640000}"/>
    <cellStyle name="Note 8 10" xfId="24758" xr:uid="{00000000-0005-0000-0000-000089640000}"/>
    <cellStyle name="Note 8 11" xfId="25080" xr:uid="{00000000-0005-0000-0000-00008A640000}"/>
    <cellStyle name="Note 8 2" xfId="4617" xr:uid="{00000000-0005-0000-0000-00008B640000}"/>
    <cellStyle name="Note 8 2 2" xfId="12596" xr:uid="{00000000-0005-0000-0000-00008C640000}"/>
    <cellStyle name="Note 8 2 2 2" xfId="23884" xr:uid="{00000000-0005-0000-0000-00008D640000}"/>
    <cellStyle name="Note 8 2 3" xfId="10602" xr:uid="{00000000-0005-0000-0000-00008E640000}"/>
    <cellStyle name="Note 8 2 3 2" xfId="21890" xr:uid="{00000000-0005-0000-0000-00008F640000}"/>
    <cellStyle name="Note 8 2 4" xfId="8608" xr:uid="{00000000-0005-0000-0000-000090640000}"/>
    <cellStyle name="Note 8 2 4 2" xfId="19896" xr:uid="{00000000-0005-0000-0000-000091640000}"/>
    <cellStyle name="Note 8 2 5" xfId="6614" xr:uid="{00000000-0005-0000-0000-000092640000}"/>
    <cellStyle name="Note 8 2 5 2" xfId="17902" xr:uid="{00000000-0005-0000-0000-000093640000}"/>
    <cellStyle name="Note 8 2 6" xfId="15908" xr:uid="{00000000-0005-0000-0000-000094640000}"/>
    <cellStyle name="Note 8 2 7" xfId="24462" xr:uid="{00000000-0005-0000-0000-000095640000}"/>
    <cellStyle name="Note 8 2 8" xfId="24906" xr:uid="{00000000-0005-0000-0000-000096640000}"/>
    <cellStyle name="Note 8 2 9" xfId="25268" xr:uid="{00000000-0005-0000-0000-000097640000}"/>
    <cellStyle name="Note 8 3" xfId="11599" xr:uid="{00000000-0005-0000-0000-000098640000}"/>
    <cellStyle name="Note 8 3 2" xfId="22887" xr:uid="{00000000-0005-0000-0000-000099640000}"/>
    <cellStyle name="Note 8 4" xfId="9605" xr:uid="{00000000-0005-0000-0000-00009A640000}"/>
    <cellStyle name="Note 8 4 2" xfId="20893" xr:uid="{00000000-0005-0000-0000-00009B640000}"/>
    <cellStyle name="Note 8 5" xfId="7611" xr:uid="{00000000-0005-0000-0000-00009C640000}"/>
    <cellStyle name="Note 8 5 2" xfId="18899" xr:uid="{00000000-0005-0000-0000-00009D640000}"/>
    <cellStyle name="Note 8 6" xfId="5617" xr:uid="{00000000-0005-0000-0000-00009E640000}"/>
    <cellStyle name="Note 8 6 2" xfId="16905" xr:uid="{00000000-0005-0000-0000-00009F640000}"/>
    <cellStyle name="Note 8 7" xfId="14911" xr:uid="{00000000-0005-0000-0000-0000A0640000}"/>
    <cellStyle name="Note 8 8" xfId="13595" xr:uid="{00000000-0005-0000-0000-0000A1640000}"/>
    <cellStyle name="Note 8 9" xfId="24196" xr:uid="{00000000-0005-0000-0000-0000A2640000}"/>
    <cellStyle name="Note 9" xfId="3384" xr:uid="{00000000-0005-0000-0000-0000A3640000}"/>
    <cellStyle name="Note 9 10" xfId="24759" xr:uid="{00000000-0005-0000-0000-0000A4640000}"/>
    <cellStyle name="Note 9 11" xfId="25081" xr:uid="{00000000-0005-0000-0000-0000A5640000}"/>
    <cellStyle name="Note 9 2" xfId="4618" xr:uid="{00000000-0005-0000-0000-0000A6640000}"/>
    <cellStyle name="Note 9 2 2" xfId="12597" xr:uid="{00000000-0005-0000-0000-0000A7640000}"/>
    <cellStyle name="Note 9 2 2 2" xfId="23885" xr:uid="{00000000-0005-0000-0000-0000A8640000}"/>
    <cellStyle name="Note 9 2 3" xfId="10603" xr:uid="{00000000-0005-0000-0000-0000A9640000}"/>
    <cellStyle name="Note 9 2 3 2" xfId="21891" xr:uid="{00000000-0005-0000-0000-0000AA640000}"/>
    <cellStyle name="Note 9 2 4" xfId="8609" xr:uid="{00000000-0005-0000-0000-0000AB640000}"/>
    <cellStyle name="Note 9 2 4 2" xfId="19897" xr:uid="{00000000-0005-0000-0000-0000AC640000}"/>
    <cellStyle name="Note 9 2 5" xfId="6615" xr:uid="{00000000-0005-0000-0000-0000AD640000}"/>
    <cellStyle name="Note 9 2 5 2" xfId="17903" xr:uid="{00000000-0005-0000-0000-0000AE640000}"/>
    <cellStyle name="Note 9 2 6" xfId="15909" xr:uid="{00000000-0005-0000-0000-0000AF640000}"/>
    <cellStyle name="Note 9 2 7" xfId="24463" xr:uid="{00000000-0005-0000-0000-0000B0640000}"/>
    <cellStyle name="Note 9 2 8" xfId="24907" xr:uid="{00000000-0005-0000-0000-0000B1640000}"/>
    <cellStyle name="Note 9 2 9" xfId="25269" xr:uid="{00000000-0005-0000-0000-0000B2640000}"/>
    <cellStyle name="Note 9 3" xfId="11600" xr:uid="{00000000-0005-0000-0000-0000B3640000}"/>
    <cellStyle name="Note 9 3 2" xfId="22888" xr:uid="{00000000-0005-0000-0000-0000B4640000}"/>
    <cellStyle name="Note 9 4" xfId="9606" xr:uid="{00000000-0005-0000-0000-0000B5640000}"/>
    <cellStyle name="Note 9 4 2" xfId="20894" xr:uid="{00000000-0005-0000-0000-0000B6640000}"/>
    <cellStyle name="Note 9 5" xfId="7612" xr:uid="{00000000-0005-0000-0000-0000B7640000}"/>
    <cellStyle name="Note 9 5 2" xfId="18900" xr:uid="{00000000-0005-0000-0000-0000B8640000}"/>
    <cellStyle name="Note 9 6" xfId="5618" xr:uid="{00000000-0005-0000-0000-0000B9640000}"/>
    <cellStyle name="Note 9 6 2" xfId="16906" xr:uid="{00000000-0005-0000-0000-0000BA640000}"/>
    <cellStyle name="Note 9 7" xfId="14912" xr:uid="{00000000-0005-0000-0000-0000BB640000}"/>
    <cellStyle name="Note 9 8" xfId="13596" xr:uid="{00000000-0005-0000-0000-0000BC640000}"/>
    <cellStyle name="Note 9 9" xfId="24197" xr:uid="{00000000-0005-0000-0000-0000BD640000}"/>
    <cellStyle name="Number" xfId="62" xr:uid="{00000000-0005-0000-0000-0000BE640000}"/>
    <cellStyle name="Number 10" xfId="24416" xr:uid="{00000000-0005-0000-0000-0000BF640000}"/>
    <cellStyle name="number 11" xfId="23923" xr:uid="{00000000-0005-0000-0000-0000C0640000}"/>
    <cellStyle name="number 12" xfId="24248" xr:uid="{00000000-0005-0000-0000-0000C1640000}"/>
    <cellStyle name="number 13" xfId="24529" xr:uid="{00000000-0005-0000-0000-0000C2640000}"/>
    <cellStyle name="number 14" xfId="24518" xr:uid="{00000000-0005-0000-0000-0000C3640000}"/>
    <cellStyle name="number 15" xfId="24522" xr:uid="{00000000-0005-0000-0000-0000C4640000}"/>
    <cellStyle name="number 16" xfId="24184" xr:uid="{00000000-0005-0000-0000-0000C5640000}"/>
    <cellStyle name="number 17" xfId="24532" xr:uid="{00000000-0005-0000-0000-0000C6640000}"/>
    <cellStyle name="number 18" xfId="24521" xr:uid="{00000000-0005-0000-0000-0000C7640000}"/>
    <cellStyle name="number 19" xfId="24523" xr:uid="{00000000-0005-0000-0000-0000C8640000}"/>
    <cellStyle name="number 2" xfId="24199" xr:uid="{00000000-0005-0000-0000-0000C9640000}"/>
    <cellStyle name="number 20" xfId="24542" xr:uid="{00000000-0005-0000-0000-0000CA640000}"/>
    <cellStyle name="number 21" xfId="24065" xr:uid="{00000000-0005-0000-0000-0000CB640000}"/>
    <cellStyle name="number 22" xfId="24551" xr:uid="{00000000-0005-0000-0000-0000CC640000}"/>
    <cellStyle name="number 23" xfId="24770" xr:uid="{00000000-0005-0000-0000-0000CD640000}"/>
    <cellStyle name="number 24" xfId="24671" xr:uid="{00000000-0005-0000-0000-0000CE640000}"/>
    <cellStyle name="number 25" xfId="24779" xr:uid="{00000000-0005-0000-0000-0000CF640000}"/>
    <cellStyle name="number 26" xfId="24860" xr:uid="{00000000-0005-0000-0000-0000D0640000}"/>
    <cellStyle name="number 27" xfId="24936" xr:uid="{00000000-0005-0000-0000-0000D1640000}"/>
    <cellStyle name="number 28" xfId="24931" xr:uid="{00000000-0005-0000-0000-0000D2640000}"/>
    <cellStyle name="number 29" xfId="24764" xr:uid="{00000000-0005-0000-0000-0000D3640000}"/>
    <cellStyle name="number 3" xfId="24200" xr:uid="{00000000-0005-0000-0000-0000D4640000}"/>
    <cellStyle name="number 30" xfId="24917" xr:uid="{00000000-0005-0000-0000-0000D5640000}"/>
    <cellStyle name="number 31" xfId="24940" xr:uid="{00000000-0005-0000-0000-0000D6640000}"/>
    <cellStyle name="number 32" xfId="24704" xr:uid="{00000000-0005-0000-0000-0000D7640000}"/>
    <cellStyle name="number 33" xfId="24670" xr:uid="{00000000-0005-0000-0000-0000D8640000}"/>
    <cellStyle name="number 34" xfId="24555" xr:uid="{00000000-0005-0000-0000-0000D9640000}"/>
    <cellStyle name="number 35" xfId="24945" xr:uid="{00000000-0005-0000-0000-0000DA640000}"/>
    <cellStyle name="Number 4" xfId="24198" xr:uid="{00000000-0005-0000-0000-0000DB640000}"/>
    <cellStyle name="Number 5" xfId="24311" xr:uid="{00000000-0005-0000-0000-0000DC640000}"/>
    <cellStyle name="Number 6" xfId="24309" xr:uid="{00000000-0005-0000-0000-0000DD640000}"/>
    <cellStyle name="Number 7" xfId="24310" xr:uid="{00000000-0005-0000-0000-0000DE640000}"/>
    <cellStyle name="Number 8" xfId="24464" xr:uid="{00000000-0005-0000-0000-0000DF640000}"/>
    <cellStyle name="Number 9" xfId="24394" xr:uid="{00000000-0005-0000-0000-0000E0640000}"/>
    <cellStyle name="Numbers" xfId="578" xr:uid="{00000000-0005-0000-0000-0000E1640000}"/>
    <cellStyle name="Numbers - Bold" xfId="579" xr:uid="{00000000-0005-0000-0000-0000E2640000}"/>
    <cellStyle name="Numbers - Bold 2" xfId="24201" xr:uid="{00000000-0005-0000-0000-0000E3640000}"/>
    <cellStyle name="Output 10" xfId="3385" xr:uid="{00000000-0005-0000-0000-0000E4640000}"/>
    <cellStyle name="Output 11" xfId="3386" xr:uid="{00000000-0005-0000-0000-0000E5640000}"/>
    <cellStyle name="Output 12" xfId="3387" xr:uid="{00000000-0005-0000-0000-0000E6640000}"/>
    <cellStyle name="Output 13" xfId="3388" xr:uid="{00000000-0005-0000-0000-0000E7640000}"/>
    <cellStyle name="Output 14" xfId="3389" xr:uid="{00000000-0005-0000-0000-0000E8640000}"/>
    <cellStyle name="Output 15" xfId="3390" xr:uid="{00000000-0005-0000-0000-0000E9640000}"/>
    <cellStyle name="Output 16" xfId="3391" xr:uid="{00000000-0005-0000-0000-0000EA640000}"/>
    <cellStyle name="Output 17" xfId="3392" xr:uid="{00000000-0005-0000-0000-0000EB640000}"/>
    <cellStyle name="Output 18" xfId="3393" xr:uid="{00000000-0005-0000-0000-0000EC640000}"/>
    <cellStyle name="Output 19" xfId="3394" xr:uid="{00000000-0005-0000-0000-0000ED640000}"/>
    <cellStyle name="Output 2" xfId="3395" xr:uid="{00000000-0005-0000-0000-0000EE640000}"/>
    <cellStyle name="Output 2 2" xfId="24203" xr:uid="{00000000-0005-0000-0000-0000EF640000}"/>
    <cellStyle name="Output 2 2 10" xfId="30272" xr:uid="{DCE1C103-3D14-4547-9075-9B6E303A52C0}"/>
    <cellStyle name="Output 2 2 2" xfId="24696" xr:uid="{00000000-0005-0000-0000-0000F0640000}"/>
    <cellStyle name="Output 2 2 2 2" xfId="25348" xr:uid="{00000000-0005-0000-0000-0000F1640000}"/>
    <cellStyle name="Output 2 2 2 2 2" xfId="27502" xr:uid="{00000000-0005-0000-0000-0000F2640000}"/>
    <cellStyle name="Output 2 2 2 2 2 2" xfId="32093" xr:uid="{42C663E5-A371-41F5-996D-3C7F2C7AC786}"/>
    <cellStyle name="Output 2 2 2 2 3" xfId="26899" xr:uid="{00000000-0005-0000-0000-0000F3640000}"/>
    <cellStyle name="Output 2 2 2 2 3 2" xfId="31660" xr:uid="{0B9DEE9B-19F5-4821-A0AB-618AF7C4AD6B}"/>
    <cellStyle name="Output 2 2 2 2 4" xfId="27429" xr:uid="{00000000-0005-0000-0000-0000F4640000}"/>
    <cellStyle name="Output 2 2 2 2 4 2" xfId="32027" xr:uid="{6BE9E15E-3B80-45CB-B0CD-E32F7BE3C48A}"/>
    <cellStyle name="Output 2 2 2 2 5" xfId="29431" xr:uid="{00000000-0005-0000-0000-0000F5640000}"/>
    <cellStyle name="Output 2 2 2 2 6" xfId="30506" xr:uid="{933995D5-1AC7-4DA5-9481-B0BE61836167}"/>
    <cellStyle name="Output 2 2 2 3" xfId="25655" xr:uid="{00000000-0005-0000-0000-0000F6640000}"/>
    <cellStyle name="Output 2 2 2 3 2" xfId="27808" xr:uid="{00000000-0005-0000-0000-0000F7640000}"/>
    <cellStyle name="Output 2 2 2 3 2 2" xfId="32395" xr:uid="{548268A3-880C-475A-85E1-ACF533B9BB83}"/>
    <cellStyle name="Output 2 2 2 3 3" xfId="26373" xr:uid="{00000000-0005-0000-0000-0000F8640000}"/>
    <cellStyle name="Output 2 2 2 3 3 2" xfId="31161" xr:uid="{DB9CDCEC-91A2-469B-AD70-B448B07D06A9}"/>
    <cellStyle name="Output 2 2 2 3 4" xfId="26493" xr:uid="{00000000-0005-0000-0000-0000F9640000}"/>
    <cellStyle name="Output 2 2 2 3 4 2" xfId="31281" xr:uid="{7B1DB79D-B650-4F0F-AE6A-4093819F38CB}"/>
    <cellStyle name="Output 2 2 2 3 5" xfId="29432" xr:uid="{00000000-0005-0000-0000-0000FA640000}"/>
    <cellStyle name="Output 2 2 2 3 6" xfId="30649" xr:uid="{4053F19C-5F21-49D9-A45C-CA1DEEED4E11}"/>
    <cellStyle name="Output 2 2 2 4" xfId="27285" xr:uid="{00000000-0005-0000-0000-0000FB640000}"/>
    <cellStyle name="Output 2 2 2 4 2" xfId="31917" xr:uid="{42D0F2B0-2251-48CD-B1F3-E7D626723E74}"/>
    <cellStyle name="Output 2 2 2 5" xfId="26305" xr:uid="{00000000-0005-0000-0000-0000FC640000}"/>
    <cellStyle name="Output 2 2 2 5 2" xfId="31093" xr:uid="{5A4E41E3-BCA7-430E-8CCB-50DE830400B9}"/>
    <cellStyle name="Output 2 2 2 6" xfId="26113" xr:uid="{00000000-0005-0000-0000-0000FD640000}"/>
    <cellStyle name="Output 2 2 2 6 2" xfId="30903" xr:uid="{B0AD8FCA-C033-44E9-9A25-440F6EF94D36}"/>
    <cellStyle name="Output 2 2 2 7" xfId="29430" xr:uid="{00000000-0005-0000-0000-0000FE640000}"/>
    <cellStyle name="Output 2 2 2 8" xfId="30357" xr:uid="{DB5D011C-02C3-4958-9CCF-41F837F64BF4}"/>
    <cellStyle name="Output 2 2 3" xfId="25083" xr:uid="{00000000-0005-0000-0000-0000FF640000}"/>
    <cellStyle name="Output 2 2 3 2" xfId="25416" xr:uid="{00000000-0005-0000-0000-000000650000}"/>
    <cellStyle name="Output 2 2 3 2 2" xfId="27570" xr:uid="{00000000-0005-0000-0000-000001650000}"/>
    <cellStyle name="Output 2 2 3 2 2 2" xfId="32161" xr:uid="{281CD17C-5843-4712-A418-80D255162421}"/>
    <cellStyle name="Output 2 2 3 2 3" xfId="26442" xr:uid="{00000000-0005-0000-0000-000002650000}"/>
    <cellStyle name="Output 2 2 3 2 3 2" xfId="31230" xr:uid="{25CF1797-FDD9-4BC0-BFD2-3EB87D207F26}"/>
    <cellStyle name="Output 2 2 3 2 4" xfId="27020" xr:uid="{00000000-0005-0000-0000-000003650000}"/>
    <cellStyle name="Output 2 2 3 2 4 2" xfId="31780" xr:uid="{3223D64C-54DD-47F9-8468-0804F0F36C5A}"/>
    <cellStyle name="Output 2 2 3 2 5" xfId="29434" xr:uid="{00000000-0005-0000-0000-000004650000}"/>
    <cellStyle name="Output 2 2 3 2 6" xfId="30574" xr:uid="{87F20BB6-52C3-43AA-8F00-5D03A962B8EF}"/>
    <cellStyle name="Output 2 2 3 3" xfId="25683" xr:uid="{00000000-0005-0000-0000-000005650000}"/>
    <cellStyle name="Output 2 2 3 3 2" xfId="27836" xr:uid="{00000000-0005-0000-0000-000006650000}"/>
    <cellStyle name="Output 2 2 3 3 2 2" xfId="32423" xr:uid="{8CEDCD94-5B53-42A0-A097-E682A2A5A511}"/>
    <cellStyle name="Output 2 2 3 3 3" xfId="26720" xr:uid="{00000000-0005-0000-0000-000007650000}"/>
    <cellStyle name="Output 2 2 3 3 3 2" xfId="31481" xr:uid="{30A982CF-ACB3-4DCF-9820-EFA99B1E051A}"/>
    <cellStyle name="Output 2 2 3 3 4" xfId="26435" xr:uid="{00000000-0005-0000-0000-000008650000}"/>
    <cellStyle name="Output 2 2 3 3 4 2" xfId="31223" xr:uid="{434779A2-B846-42DA-A19E-94A3D862EDA5}"/>
    <cellStyle name="Output 2 2 3 3 5" xfId="29435" xr:uid="{00000000-0005-0000-0000-000009650000}"/>
    <cellStyle name="Output 2 2 3 3 6" xfId="30677" xr:uid="{439641A3-24C0-445C-8649-C3298E89CD74}"/>
    <cellStyle name="Output 2 2 3 4" xfId="27370" xr:uid="{00000000-0005-0000-0000-00000A650000}"/>
    <cellStyle name="Output 2 2 3 4 2" xfId="31968" xr:uid="{B18CD462-96CA-4D13-990D-87A4C3134F28}"/>
    <cellStyle name="Output 2 2 3 5" xfId="26961" xr:uid="{00000000-0005-0000-0000-00000B650000}"/>
    <cellStyle name="Output 2 2 3 5 2" xfId="31722" xr:uid="{C2651AC7-0F41-4B9F-B28C-53AF82CC7690}"/>
    <cellStyle name="Output 2 2 3 6" xfId="26821" xr:uid="{00000000-0005-0000-0000-00000C650000}"/>
    <cellStyle name="Output 2 2 3 6 2" xfId="31582" xr:uid="{E79CB48D-99D7-493F-8204-9A38BDC95899}"/>
    <cellStyle name="Output 2 2 3 7" xfId="29433" xr:uid="{00000000-0005-0000-0000-00000D650000}"/>
    <cellStyle name="Output 2 2 3 8" xfId="30385" xr:uid="{6B307353-4838-44E2-AFBC-3A6B8DF7163E}"/>
    <cellStyle name="Output 2 2 4" xfId="25364" xr:uid="{00000000-0005-0000-0000-00000E650000}"/>
    <cellStyle name="Output 2 2 4 2" xfId="27518" xr:uid="{00000000-0005-0000-0000-00000F650000}"/>
    <cellStyle name="Output 2 2 4 2 2" xfId="32109" xr:uid="{B5CBABE0-75E8-49BF-A5DC-2EDC0B073311}"/>
    <cellStyle name="Output 2 2 4 3" xfId="26797" xr:uid="{00000000-0005-0000-0000-000010650000}"/>
    <cellStyle name="Output 2 2 4 3 2" xfId="31558" xr:uid="{B131AB37-2F0E-492A-891B-45AEA76B3DFE}"/>
    <cellStyle name="Output 2 2 4 4" xfId="26975" xr:uid="{00000000-0005-0000-0000-000011650000}"/>
    <cellStyle name="Output 2 2 4 4 2" xfId="31736" xr:uid="{C68E1A18-1DBA-4C1D-9C77-D48802DDE92A}"/>
    <cellStyle name="Output 2 2 4 5" xfId="29436" xr:uid="{00000000-0005-0000-0000-000012650000}"/>
    <cellStyle name="Output 2 2 4 6" xfId="30522" xr:uid="{29A4D768-C374-4DD4-8BE8-A99A7F8DE486}"/>
    <cellStyle name="Output 2 2 5" xfId="25570" xr:uid="{00000000-0005-0000-0000-000013650000}"/>
    <cellStyle name="Output 2 2 5 2" xfId="27723" xr:uid="{00000000-0005-0000-0000-000014650000}"/>
    <cellStyle name="Output 2 2 5 2 2" xfId="32310" xr:uid="{C2D678DA-A022-41EE-856A-A1139E6C85ED}"/>
    <cellStyle name="Output 2 2 5 3" xfId="26274" xr:uid="{00000000-0005-0000-0000-000015650000}"/>
    <cellStyle name="Output 2 2 5 3 2" xfId="31062" xr:uid="{F471183D-5E99-46F2-AE76-5484F587681C}"/>
    <cellStyle name="Output 2 2 5 4" xfId="26859" xr:uid="{00000000-0005-0000-0000-000016650000}"/>
    <cellStyle name="Output 2 2 5 4 2" xfId="31620" xr:uid="{150CF3B9-B9D0-4100-AD08-8076AC0DC192}"/>
    <cellStyle name="Output 2 2 5 5" xfId="29437" xr:uid="{00000000-0005-0000-0000-000017650000}"/>
    <cellStyle name="Output 2 2 5 6" xfId="30627" xr:uid="{59FCEFA5-C7FE-43F0-A70D-F9F78FC3D0D6}"/>
    <cellStyle name="Output 2 2 6" xfId="27095" xr:uid="{00000000-0005-0000-0000-000018650000}"/>
    <cellStyle name="Output 2 2 6 2" xfId="31819" xr:uid="{8B3B49F8-CDC4-41F2-95AC-3EEF0F401DD3}"/>
    <cellStyle name="Output 2 2 7" xfId="26833" xr:uid="{00000000-0005-0000-0000-000019650000}"/>
    <cellStyle name="Output 2 2 7 2" xfId="31594" xr:uid="{DD555F28-E2A7-49E9-8697-20ED9C57FE38}"/>
    <cellStyle name="Output 2 2 8" xfId="26177" xr:uid="{00000000-0005-0000-0000-00001A650000}"/>
    <cellStyle name="Output 2 2 8 2" xfId="30966" xr:uid="{09ACD90A-DCB4-437E-81EE-6C5EC64BAA5D}"/>
    <cellStyle name="Output 2 2 9" xfId="29429" xr:uid="{00000000-0005-0000-0000-00001B650000}"/>
    <cellStyle name="Output 2 3" xfId="24202" xr:uid="{00000000-0005-0000-0000-00001C650000}"/>
    <cellStyle name="Output 2 3 2" xfId="25453" xr:uid="{00000000-0005-0000-0000-00001D650000}"/>
    <cellStyle name="Output 2 3 2 2" xfId="27607" xr:uid="{00000000-0005-0000-0000-00001E650000}"/>
    <cellStyle name="Output 2 3 2 2 2" xfId="32198" xr:uid="{DF210FFD-3CA1-42B1-93BC-520F0F08C91D}"/>
    <cellStyle name="Output 2 3 2 3" xfId="26342" xr:uid="{00000000-0005-0000-0000-00001F650000}"/>
    <cellStyle name="Output 2 3 2 3 2" xfId="31130" xr:uid="{584CF3C1-DCF4-4200-A239-D07A1AE3F827}"/>
    <cellStyle name="Output 2 3 2 4" xfId="27085" xr:uid="{00000000-0005-0000-0000-000020650000}"/>
    <cellStyle name="Output 2 3 2 4 2" xfId="31809" xr:uid="{DA330AEC-ECA9-48EB-BC1C-D7F1A04A6202}"/>
    <cellStyle name="Output 2 3 2 5" xfId="29439" xr:uid="{00000000-0005-0000-0000-000021650000}"/>
    <cellStyle name="Output 2 3 2 6" xfId="30611" xr:uid="{83BFB739-C260-436E-8BE3-EA36933A9687}"/>
    <cellStyle name="Output 2 3 3" xfId="25569" xr:uid="{00000000-0005-0000-0000-000022650000}"/>
    <cellStyle name="Output 2 3 3 2" xfId="27722" xr:uid="{00000000-0005-0000-0000-000023650000}"/>
    <cellStyle name="Output 2 3 3 2 2" xfId="32309" xr:uid="{9C9437C4-32EC-4C88-B97C-ECD919EB8DA7}"/>
    <cellStyle name="Output 2 3 3 3" xfId="26935" xr:uid="{00000000-0005-0000-0000-000024650000}"/>
    <cellStyle name="Output 2 3 3 3 2" xfId="31696" xr:uid="{D0BCD7A6-9F34-49E2-9EF6-C7B97AF4F58A}"/>
    <cellStyle name="Output 2 3 3 4" xfId="26255" xr:uid="{00000000-0005-0000-0000-000025650000}"/>
    <cellStyle name="Output 2 3 3 4 2" xfId="31043" xr:uid="{E1B8F8F2-9175-4034-A52F-572856526372}"/>
    <cellStyle name="Output 2 3 3 5" xfId="29440" xr:uid="{00000000-0005-0000-0000-000026650000}"/>
    <cellStyle name="Output 2 3 3 6" xfId="30626" xr:uid="{E6E4ADC8-35B2-4189-86F7-4FF2BC0F32AA}"/>
    <cellStyle name="Output 2 3 4" xfId="27094" xr:uid="{00000000-0005-0000-0000-000027650000}"/>
    <cellStyle name="Output 2 3 4 2" xfId="31818" xr:uid="{EB9029CB-4289-4ED1-BDCE-F8F177FFFB23}"/>
    <cellStyle name="Output 2 3 5" xfId="26869" xr:uid="{00000000-0005-0000-0000-000028650000}"/>
    <cellStyle name="Output 2 3 5 2" xfId="31630" xr:uid="{8C63DAA5-7C90-4FE2-9B3A-1E1256155BBD}"/>
    <cellStyle name="Output 2 3 6" xfId="26773" xr:uid="{00000000-0005-0000-0000-000029650000}"/>
    <cellStyle name="Output 2 3 6 2" xfId="31534" xr:uid="{4A78A448-212B-4BCB-B418-29671EAE3C33}"/>
    <cellStyle name="Output 2 3 7" xfId="29438" xr:uid="{00000000-0005-0000-0000-00002A650000}"/>
    <cellStyle name="Output 2 3 8" xfId="30271" xr:uid="{9354A33E-795C-4F12-ADF4-6C4A62A2D882}"/>
    <cellStyle name="Output 2 4" xfId="24697" xr:uid="{00000000-0005-0000-0000-00002B650000}"/>
    <cellStyle name="Output 2 4 2" xfId="25449" xr:uid="{00000000-0005-0000-0000-00002C650000}"/>
    <cellStyle name="Output 2 4 2 2" xfId="27603" xr:uid="{00000000-0005-0000-0000-00002D650000}"/>
    <cellStyle name="Output 2 4 2 2 2" xfId="32194" xr:uid="{CD85BCC6-FB4B-4551-B1B7-A75E086A2075}"/>
    <cellStyle name="Output 2 4 2 3" xfId="26992" xr:uid="{00000000-0005-0000-0000-00002E650000}"/>
    <cellStyle name="Output 2 4 2 3 2" xfId="31753" xr:uid="{F395A3D3-FC9D-4659-9F6A-3DFA14EBD1F0}"/>
    <cellStyle name="Output 2 4 2 4" xfId="26102" xr:uid="{00000000-0005-0000-0000-00002F650000}"/>
    <cellStyle name="Output 2 4 2 4 2" xfId="30892" xr:uid="{AA21A2CC-50B5-4116-8051-5D63C1302F95}"/>
    <cellStyle name="Output 2 4 2 5" xfId="29442" xr:uid="{00000000-0005-0000-0000-000030650000}"/>
    <cellStyle name="Output 2 4 2 6" xfId="30607" xr:uid="{CCCE90C1-4F56-4E62-A061-680004B6F070}"/>
    <cellStyle name="Output 2 4 3" xfId="25656" xr:uid="{00000000-0005-0000-0000-000031650000}"/>
    <cellStyle name="Output 2 4 3 2" xfId="27809" xr:uid="{00000000-0005-0000-0000-000032650000}"/>
    <cellStyle name="Output 2 4 3 2 2" xfId="32396" xr:uid="{82BCBA83-1C2F-4B29-BBE8-DF83E4A4E6E8}"/>
    <cellStyle name="Output 2 4 3 3" xfId="26485" xr:uid="{00000000-0005-0000-0000-000033650000}"/>
    <cellStyle name="Output 2 4 3 3 2" xfId="31273" xr:uid="{926CC5B5-ACD6-4EE0-9B93-BE6FA8452264}"/>
    <cellStyle name="Output 2 4 3 4" xfId="26957" xr:uid="{00000000-0005-0000-0000-000034650000}"/>
    <cellStyle name="Output 2 4 3 4 2" xfId="31718" xr:uid="{0C68EBE7-BCFE-454F-8453-DD84AA81D203}"/>
    <cellStyle name="Output 2 4 3 5" xfId="29443" xr:uid="{00000000-0005-0000-0000-000035650000}"/>
    <cellStyle name="Output 2 4 3 6" xfId="30650" xr:uid="{8F3220D4-05D7-4535-A80E-A57CE1391C87}"/>
    <cellStyle name="Output 2 4 4" xfId="27286" xr:uid="{00000000-0005-0000-0000-000036650000}"/>
    <cellStyle name="Output 2 4 4 2" xfId="31918" xr:uid="{48C23195-ECED-448C-8E64-D6C61A702FD7}"/>
    <cellStyle name="Output 2 4 5" xfId="26409" xr:uid="{00000000-0005-0000-0000-000037650000}"/>
    <cellStyle name="Output 2 4 5 2" xfId="31197" xr:uid="{0EBE9790-BD72-4B9F-BE16-5E68E8292592}"/>
    <cellStyle name="Output 2 4 6" xfId="26847" xr:uid="{00000000-0005-0000-0000-000038650000}"/>
    <cellStyle name="Output 2 4 6 2" xfId="31608" xr:uid="{5CEC1917-AE41-422C-A25C-DF2A7D0B04E5}"/>
    <cellStyle name="Output 2 4 7" xfId="29441" xr:uid="{00000000-0005-0000-0000-000039650000}"/>
    <cellStyle name="Output 2 4 8" xfId="30358" xr:uid="{F82DAA41-799F-4F63-8A3D-BF6B06974826}"/>
    <cellStyle name="Output 2 5" xfId="25082" xr:uid="{00000000-0005-0000-0000-00003A650000}"/>
    <cellStyle name="Output 2 5 2" xfId="25315" xr:uid="{00000000-0005-0000-0000-00003B650000}"/>
    <cellStyle name="Output 2 5 2 2" xfId="27469" xr:uid="{00000000-0005-0000-0000-00003C650000}"/>
    <cellStyle name="Output 2 5 2 2 2" xfId="32060" xr:uid="{3A41A2E8-B23F-4EB7-BE7E-F4DB293C517F}"/>
    <cellStyle name="Output 2 5 2 3" xfId="26058" xr:uid="{00000000-0005-0000-0000-00003D650000}"/>
    <cellStyle name="Output 2 5 2 3 2" xfId="30848" xr:uid="{58E4DA8C-8A37-484E-9E16-5D5635F07810}"/>
    <cellStyle name="Output 2 5 2 4" xfId="26212" xr:uid="{00000000-0005-0000-0000-00003E650000}"/>
    <cellStyle name="Output 2 5 2 4 2" xfId="31000" xr:uid="{C7D2B977-2C02-4A8E-8825-75872F3D2C88}"/>
    <cellStyle name="Output 2 5 2 5" xfId="29445" xr:uid="{00000000-0005-0000-0000-00003F650000}"/>
    <cellStyle name="Output 2 5 2 6" xfId="30473" xr:uid="{1E60F62C-E412-4069-BFA9-D7298A664340}"/>
    <cellStyle name="Output 2 5 3" xfId="25682" xr:uid="{00000000-0005-0000-0000-000040650000}"/>
    <cellStyle name="Output 2 5 3 2" xfId="27835" xr:uid="{00000000-0005-0000-0000-000041650000}"/>
    <cellStyle name="Output 2 5 3 2 2" xfId="32422" xr:uid="{86069AF5-1C14-4489-AF6A-91D062A1CD7C}"/>
    <cellStyle name="Output 2 5 3 3" xfId="26523" xr:uid="{00000000-0005-0000-0000-000042650000}"/>
    <cellStyle name="Output 2 5 3 3 2" xfId="31310" xr:uid="{94A0CF26-9178-4C4D-B8F5-FD4A132E2E0D}"/>
    <cellStyle name="Output 2 5 3 4" xfId="26392" xr:uid="{00000000-0005-0000-0000-000043650000}"/>
    <cellStyle name="Output 2 5 3 4 2" xfId="31180" xr:uid="{211B2FC6-FCE1-4CC7-9DD1-05E0B52528F1}"/>
    <cellStyle name="Output 2 5 3 5" xfId="29446" xr:uid="{00000000-0005-0000-0000-000044650000}"/>
    <cellStyle name="Output 2 5 3 6" xfId="30676" xr:uid="{20ADCEBA-4334-4034-B238-F25CEA94F99E}"/>
    <cellStyle name="Output 2 5 4" xfId="27369" xr:uid="{00000000-0005-0000-0000-000045650000}"/>
    <cellStyle name="Output 2 5 4 2" xfId="31967" xr:uid="{CA8F1301-F33E-4BFE-94CB-2B1E76F724F4}"/>
    <cellStyle name="Output 2 5 5" xfId="26200" xr:uid="{00000000-0005-0000-0000-000046650000}"/>
    <cellStyle name="Output 2 5 5 2" xfId="30988" xr:uid="{FF2D9FD0-8B34-4DCA-9FE6-36B522F41A56}"/>
    <cellStyle name="Output 2 5 6" xfId="26703" xr:uid="{00000000-0005-0000-0000-000047650000}"/>
    <cellStyle name="Output 2 5 6 2" xfId="31465" xr:uid="{65E6843C-F6BA-4F64-8E7D-97B8343C9476}"/>
    <cellStyle name="Output 2 5 7" xfId="29444" xr:uid="{00000000-0005-0000-0000-000048650000}"/>
    <cellStyle name="Output 2 5 8" xfId="30384" xr:uid="{2C97CDBD-11DA-4E6F-870A-5A8EA0B5FB0B}"/>
    <cellStyle name="Output 20" xfId="3396" xr:uid="{00000000-0005-0000-0000-000049650000}"/>
    <cellStyle name="Output 21" xfId="3397" xr:uid="{00000000-0005-0000-0000-00004A650000}"/>
    <cellStyle name="Output 22" xfId="3398" xr:uid="{00000000-0005-0000-0000-00004B650000}"/>
    <cellStyle name="Output 23" xfId="3399" xr:uid="{00000000-0005-0000-0000-00004C650000}"/>
    <cellStyle name="Output 24" xfId="3400" xr:uid="{00000000-0005-0000-0000-00004D650000}"/>
    <cellStyle name="Output 25" xfId="3401" xr:uid="{00000000-0005-0000-0000-00004E650000}"/>
    <cellStyle name="Output 26" xfId="3402" xr:uid="{00000000-0005-0000-0000-00004F650000}"/>
    <cellStyle name="Output 27" xfId="3403" xr:uid="{00000000-0005-0000-0000-000050650000}"/>
    <cellStyle name="Output 28" xfId="3404" xr:uid="{00000000-0005-0000-0000-000051650000}"/>
    <cellStyle name="Output 29" xfId="3405" xr:uid="{00000000-0005-0000-0000-000052650000}"/>
    <cellStyle name="Output 3" xfId="3406" xr:uid="{00000000-0005-0000-0000-000053650000}"/>
    <cellStyle name="Output 3 2" xfId="24205" xr:uid="{00000000-0005-0000-0000-000054650000}"/>
    <cellStyle name="Output 3 2 10" xfId="30274" xr:uid="{2A26B280-7488-48E8-BEEC-3698104A611B}"/>
    <cellStyle name="Output 3 2 2" xfId="24694" xr:uid="{00000000-0005-0000-0000-000055650000}"/>
    <cellStyle name="Output 3 2 2 2" xfId="25331" xr:uid="{00000000-0005-0000-0000-000056650000}"/>
    <cellStyle name="Output 3 2 2 2 2" xfId="27485" xr:uid="{00000000-0005-0000-0000-000057650000}"/>
    <cellStyle name="Output 3 2 2 2 2 2" xfId="32076" xr:uid="{7488E164-165C-4FC0-8719-C5C830A42DA8}"/>
    <cellStyle name="Output 3 2 2 2 3" xfId="26341" xr:uid="{00000000-0005-0000-0000-000058650000}"/>
    <cellStyle name="Output 3 2 2 2 3 2" xfId="31129" xr:uid="{B9CC4A1A-CCA9-47C5-B9E2-B3089B2E1083}"/>
    <cellStyle name="Output 3 2 2 2 4" xfId="26432" xr:uid="{00000000-0005-0000-0000-000059650000}"/>
    <cellStyle name="Output 3 2 2 2 4 2" xfId="31220" xr:uid="{231FEAFC-A004-4C0B-B413-1F737E918851}"/>
    <cellStyle name="Output 3 2 2 2 5" xfId="29449" xr:uid="{00000000-0005-0000-0000-00005A650000}"/>
    <cellStyle name="Output 3 2 2 2 6" xfId="30489" xr:uid="{1F4FBDD3-793D-4AE0-9550-AD6D1CF79B19}"/>
    <cellStyle name="Output 3 2 2 3" xfId="25653" xr:uid="{00000000-0005-0000-0000-00005B650000}"/>
    <cellStyle name="Output 3 2 2 3 2" xfId="27806" xr:uid="{00000000-0005-0000-0000-00005C650000}"/>
    <cellStyle name="Output 3 2 2 3 2 2" xfId="32393" xr:uid="{B540B139-07BB-494C-A263-E7D8FA64B388}"/>
    <cellStyle name="Output 3 2 2 3 3" xfId="26934" xr:uid="{00000000-0005-0000-0000-00005D650000}"/>
    <cellStyle name="Output 3 2 2 3 3 2" xfId="31695" xr:uid="{26960753-72BC-4623-8FE4-A992FD56D167}"/>
    <cellStyle name="Output 3 2 2 3 4" xfId="26399" xr:uid="{00000000-0005-0000-0000-00005E650000}"/>
    <cellStyle name="Output 3 2 2 3 4 2" xfId="31187" xr:uid="{15E5EAAB-B889-427B-AAC8-6D751F819B8B}"/>
    <cellStyle name="Output 3 2 2 3 5" xfId="29450" xr:uid="{00000000-0005-0000-0000-00005F650000}"/>
    <cellStyle name="Output 3 2 2 3 6" xfId="30647" xr:uid="{B91BD17B-ECB3-4665-BD8D-4EE939A94E7F}"/>
    <cellStyle name="Output 3 2 2 4" xfId="27283" xr:uid="{00000000-0005-0000-0000-000060650000}"/>
    <cellStyle name="Output 3 2 2 4 2" xfId="31915" xr:uid="{FB840D84-094C-46CA-B4EA-521E7A952A9C}"/>
    <cellStyle name="Output 3 2 2 5" xfId="26868" xr:uid="{00000000-0005-0000-0000-000061650000}"/>
    <cellStyle name="Output 3 2 2 5 2" xfId="31629" xr:uid="{DED0EA34-B1CE-4CAA-BBD3-8F5462FFCD4F}"/>
    <cellStyle name="Output 3 2 2 6" xfId="26265" xr:uid="{00000000-0005-0000-0000-000062650000}"/>
    <cellStyle name="Output 3 2 2 6 2" xfId="31053" xr:uid="{214EA071-C6DC-42B3-B298-DD2456BD84E8}"/>
    <cellStyle name="Output 3 2 2 7" xfId="29448" xr:uid="{00000000-0005-0000-0000-000063650000}"/>
    <cellStyle name="Output 3 2 2 8" xfId="30355" xr:uid="{750F99AB-77EC-47B7-92A0-80A4AA3C7D43}"/>
    <cellStyle name="Output 3 2 3" xfId="25085" xr:uid="{00000000-0005-0000-0000-000064650000}"/>
    <cellStyle name="Output 3 2 3 2" xfId="25430" xr:uid="{00000000-0005-0000-0000-000065650000}"/>
    <cellStyle name="Output 3 2 3 2 2" xfId="27584" xr:uid="{00000000-0005-0000-0000-000066650000}"/>
    <cellStyle name="Output 3 2 3 2 2 2" xfId="32175" xr:uid="{1913AC51-FC5F-43F2-85E3-D6445D7E3670}"/>
    <cellStyle name="Output 3 2 3 2 3" xfId="26991" xr:uid="{00000000-0005-0000-0000-000067650000}"/>
    <cellStyle name="Output 3 2 3 2 3 2" xfId="31752" xr:uid="{3198CCE6-AFB6-4E91-AB1B-6C745F9D5612}"/>
    <cellStyle name="Output 3 2 3 2 4" xfId="26165" xr:uid="{00000000-0005-0000-0000-000068650000}"/>
    <cellStyle name="Output 3 2 3 2 4 2" xfId="30954" xr:uid="{E9BD259B-4935-471A-9823-6DE778B9AEE7}"/>
    <cellStyle name="Output 3 2 3 2 5" xfId="29452" xr:uid="{00000000-0005-0000-0000-000069650000}"/>
    <cellStyle name="Output 3 2 3 2 6" xfId="30588" xr:uid="{765E5510-97E0-455B-94C2-6D814FCFDD81}"/>
    <cellStyle name="Output 3 2 3 3" xfId="25685" xr:uid="{00000000-0005-0000-0000-00006A650000}"/>
    <cellStyle name="Output 3 2 3 3 2" xfId="27838" xr:uid="{00000000-0005-0000-0000-00006B650000}"/>
    <cellStyle name="Output 3 2 3 3 2 2" xfId="32425" xr:uid="{EAB84C10-6A23-4711-ADE4-726A1767C049}"/>
    <cellStyle name="Output 3 2 3 3 3" xfId="26484" xr:uid="{00000000-0005-0000-0000-00006C650000}"/>
    <cellStyle name="Output 3 2 3 3 3 2" xfId="31272" xr:uid="{D2FE5DE9-56E4-4942-AF2E-D2E292D3B07C}"/>
    <cellStyle name="Output 3 2 3 3 4" xfId="26767" xr:uid="{00000000-0005-0000-0000-00006D650000}"/>
    <cellStyle name="Output 3 2 3 3 4 2" xfId="31528" xr:uid="{32D30248-4F2A-49B1-8BDC-09FD9F178375}"/>
    <cellStyle name="Output 3 2 3 3 5" xfId="29453" xr:uid="{00000000-0005-0000-0000-00006E650000}"/>
    <cellStyle name="Output 3 2 3 3 6" xfId="30679" xr:uid="{897A3A4E-07FC-4BF2-8F34-F205721D4106}"/>
    <cellStyle name="Output 3 2 3 4" xfId="27372" xr:uid="{00000000-0005-0000-0000-00006F650000}"/>
    <cellStyle name="Output 3 2 3 4 2" xfId="31970" xr:uid="{D5A78513-BDCE-46D0-83D6-DFFFF1A9E5DA}"/>
    <cellStyle name="Output 3 2 3 5" xfId="26408" xr:uid="{00000000-0005-0000-0000-000070650000}"/>
    <cellStyle name="Output 3 2 3 5 2" xfId="31196" xr:uid="{E4E7E666-E712-4A12-90B2-83A094DBC823}"/>
    <cellStyle name="Output 3 2 3 6" xfId="26420" xr:uid="{00000000-0005-0000-0000-000071650000}"/>
    <cellStyle name="Output 3 2 3 6 2" xfId="31208" xr:uid="{B94CC6A0-9633-4AF4-B484-6E6470A37FF4}"/>
    <cellStyle name="Output 3 2 3 7" xfId="29451" xr:uid="{00000000-0005-0000-0000-000072650000}"/>
    <cellStyle name="Output 3 2 3 8" xfId="30387" xr:uid="{2230571B-5B73-4BB7-8E28-64CC922C59DF}"/>
    <cellStyle name="Output 3 2 4" xfId="25291" xr:uid="{00000000-0005-0000-0000-000073650000}"/>
    <cellStyle name="Output 3 2 4 2" xfId="27446" xr:uid="{00000000-0005-0000-0000-000074650000}"/>
    <cellStyle name="Output 3 2 4 2 2" xfId="32041" xr:uid="{7F54BF0E-98B5-4F73-9029-6B69E2F0BC81}"/>
    <cellStyle name="Output 3 2 4 3" xfId="26199" xr:uid="{00000000-0005-0000-0000-000075650000}"/>
    <cellStyle name="Output 3 2 4 3 2" xfId="30987" xr:uid="{3B625F35-42BC-4A47-8B58-CC654B1E2728}"/>
    <cellStyle name="Output 3 2 4 4" xfId="26296" xr:uid="{00000000-0005-0000-0000-000076650000}"/>
    <cellStyle name="Output 3 2 4 4 2" xfId="31084" xr:uid="{CDC8CFFF-F326-4E58-89AD-4F8622800C29}"/>
    <cellStyle name="Output 3 2 4 5" xfId="29454" xr:uid="{00000000-0005-0000-0000-000077650000}"/>
    <cellStyle name="Output 3 2 4 6" xfId="30454" xr:uid="{2C3EE11F-AACE-426F-B9F7-85E4717F405C}"/>
    <cellStyle name="Output 3 2 5" xfId="25572" xr:uid="{00000000-0005-0000-0000-000078650000}"/>
    <cellStyle name="Output 3 2 5 2" xfId="27725" xr:uid="{00000000-0005-0000-0000-000079650000}"/>
    <cellStyle name="Output 3 2 5 2 2" xfId="32312" xr:uid="{7E82A170-1061-46C8-9CC7-B8484D222DD6}"/>
    <cellStyle name="Output 3 2 5 3" xfId="26057" xr:uid="{00000000-0005-0000-0000-00007A650000}"/>
    <cellStyle name="Output 3 2 5 3 2" xfId="30847" xr:uid="{36CF5F33-5340-475C-9FB7-A12BAB757050}"/>
    <cellStyle name="Output 3 2 5 4" xfId="26825" xr:uid="{00000000-0005-0000-0000-00007B650000}"/>
    <cellStyle name="Output 3 2 5 4 2" xfId="31586" xr:uid="{7364EC0A-6276-45A3-82A3-65BE6E6B5131}"/>
    <cellStyle name="Output 3 2 5 5" xfId="29455" xr:uid="{00000000-0005-0000-0000-00007C650000}"/>
    <cellStyle name="Output 3 2 5 6" xfId="30629" xr:uid="{3C522C64-083D-4E48-843A-535AAF799AA3}"/>
    <cellStyle name="Output 3 2 6" xfId="27097" xr:uid="{00000000-0005-0000-0000-00007D650000}"/>
    <cellStyle name="Output 3 2 6 2" xfId="31821" xr:uid="{08BF1CD2-E348-417E-8BA8-BBE6E1888014}"/>
    <cellStyle name="Output 3 2 7" xfId="26273" xr:uid="{00000000-0005-0000-0000-00007E650000}"/>
    <cellStyle name="Output 3 2 7 2" xfId="31061" xr:uid="{AE7F386A-B039-4966-8C61-F6A00BDA3C53}"/>
    <cellStyle name="Output 3 2 8" xfId="27087" xr:uid="{00000000-0005-0000-0000-00007F650000}"/>
    <cellStyle name="Output 3 2 8 2" xfId="31811" xr:uid="{1E84F317-68CA-4F0A-B1F9-0469F25ADC7B}"/>
    <cellStyle name="Output 3 2 9" xfId="29447" xr:uid="{00000000-0005-0000-0000-000080650000}"/>
    <cellStyle name="Output 3 3" xfId="24204" xr:uid="{00000000-0005-0000-0000-000081650000}"/>
    <cellStyle name="Output 3 3 2" xfId="25301" xr:uid="{00000000-0005-0000-0000-000082650000}"/>
    <cellStyle name="Output 3 3 2 2" xfId="27455" xr:uid="{00000000-0005-0000-0000-000083650000}"/>
    <cellStyle name="Output 3 3 2 2 2" xfId="32047" xr:uid="{C803FF56-7B9C-441A-94D7-ED884C5B05B8}"/>
    <cellStyle name="Output 3 3 2 3" xfId="26687" xr:uid="{00000000-0005-0000-0000-000084650000}"/>
    <cellStyle name="Output 3 3 2 3 2" xfId="31449" xr:uid="{6B72D10E-0749-4E86-8B4C-AE6368250C62}"/>
    <cellStyle name="Output 3 3 2 4" xfId="26316" xr:uid="{00000000-0005-0000-0000-000085650000}"/>
    <cellStyle name="Output 3 3 2 4 2" xfId="31104" xr:uid="{78F5F27F-897E-4424-AF70-8E28126EC55C}"/>
    <cellStyle name="Output 3 3 2 5" xfId="29457" xr:uid="{00000000-0005-0000-0000-000086650000}"/>
    <cellStyle name="Output 3 3 2 6" xfId="30460" xr:uid="{9FB50E51-8A5D-4CE8-93E0-C582F8739036}"/>
    <cellStyle name="Output 3 3 3" xfId="25571" xr:uid="{00000000-0005-0000-0000-000087650000}"/>
    <cellStyle name="Output 3 3 3 2" xfId="27724" xr:uid="{00000000-0005-0000-0000-000088650000}"/>
    <cellStyle name="Output 3 3 3 2 2" xfId="32311" xr:uid="{0EA6FF67-D80D-47CE-9F04-8EE7A86D3730}"/>
    <cellStyle name="Output 3 3 3 3" xfId="26757" xr:uid="{00000000-0005-0000-0000-000089650000}"/>
    <cellStyle name="Output 3 3 3 3 2" xfId="31518" xr:uid="{B8523047-418B-4933-9F57-776516022B48}"/>
    <cellStyle name="Output 3 3 3 4" xfId="26348" xr:uid="{00000000-0005-0000-0000-00008A650000}"/>
    <cellStyle name="Output 3 3 3 4 2" xfId="31136" xr:uid="{C17F693D-4336-4715-A4F7-2DACC21033FB}"/>
    <cellStyle name="Output 3 3 3 5" xfId="29458" xr:uid="{00000000-0005-0000-0000-00008B650000}"/>
    <cellStyle name="Output 3 3 3 6" xfId="30628" xr:uid="{494D6980-D536-4258-9851-B766800DF1B1}"/>
    <cellStyle name="Output 3 3 4" xfId="27096" xr:uid="{00000000-0005-0000-0000-00008C650000}"/>
    <cellStyle name="Output 3 3 4 2" xfId="31820" xr:uid="{F76C237F-A817-4B8B-A3B0-75B0B7F4B017}"/>
    <cellStyle name="Output 3 3 5" xfId="26522" xr:uid="{00000000-0005-0000-0000-00008D650000}"/>
    <cellStyle name="Output 3 3 5 2" xfId="31309" xr:uid="{E1574523-B1BB-4A6E-ABF4-53A6648D1EC4}"/>
    <cellStyle name="Output 3 3 6" xfId="26466" xr:uid="{00000000-0005-0000-0000-00008E650000}"/>
    <cellStyle name="Output 3 3 6 2" xfId="31254" xr:uid="{0BAB0FF3-3135-45D5-AE31-9FC3F56F3962}"/>
    <cellStyle name="Output 3 3 7" xfId="29456" xr:uid="{00000000-0005-0000-0000-00008F650000}"/>
    <cellStyle name="Output 3 3 8" xfId="30273" xr:uid="{1AF8186D-D079-48E5-A1A4-352BEF5DD113}"/>
    <cellStyle name="Output 3 4" xfId="24695" xr:uid="{00000000-0005-0000-0000-000090650000}"/>
    <cellStyle name="Output 3 4 2" xfId="25432" xr:uid="{00000000-0005-0000-0000-000091650000}"/>
    <cellStyle name="Output 3 4 2 2" xfId="27586" xr:uid="{00000000-0005-0000-0000-000092650000}"/>
    <cellStyle name="Output 3 4 2 2 2" xfId="32177" xr:uid="{81C6FE3D-C914-40E6-B007-0BA59B66C6BD}"/>
    <cellStyle name="Output 3 4 2 3" xfId="26832" xr:uid="{00000000-0005-0000-0000-000093650000}"/>
    <cellStyle name="Output 3 4 2 3 2" xfId="31593" xr:uid="{3A751743-FAE8-433E-B913-B3701EA15B4E}"/>
    <cellStyle name="Output 3 4 2 4" xfId="27301" xr:uid="{00000000-0005-0000-0000-000094650000}"/>
    <cellStyle name="Output 3 4 2 4 2" xfId="31930" xr:uid="{F3EAE003-843F-4ACF-9404-DF4A2D5BA588}"/>
    <cellStyle name="Output 3 4 2 5" xfId="29460" xr:uid="{00000000-0005-0000-0000-000095650000}"/>
    <cellStyle name="Output 3 4 2 6" xfId="30590" xr:uid="{E8F0EF19-6CF6-4900-929F-83575BBEB9DB}"/>
    <cellStyle name="Output 3 4 3" xfId="25654" xr:uid="{00000000-0005-0000-0000-000096650000}"/>
    <cellStyle name="Output 3 4 3 2" xfId="27807" xr:uid="{00000000-0005-0000-0000-000097650000}"/>
    <cellStyle name="Output 3 4 3 2 2" xfId="32394" xr:uid="{B3E4D8F2-166F-4620-AD96-A36C253866D1}"/>
    <cellStyle name="Output 3 4 3 3" xfId="26304" xr:uid="{00000000-0005-0000-0000-000098650000}"/>
    <cellStyle name="Output 3 4 3 3 2" xfId="31092" xr:uid="{FA4903FC-7DC3-462B-BD8C-158A1958EB1D}"/>
    <cellStyle name="Output 3 4 3 4" xfId="26986" xr:uid="{00000000-0005-0000-0000-000099650000}"/>
    <cellStyle name="Output 3 4 3 4 2" xfId="31747" xr:uid="{2637A803-BD27-4E34-85B3-A55DCFE95A00}"/>
    <cellStyle name="Output 3 4 3 5" xfId="29461" xr:uid="{00000000-0005-0000-0000-00009A650000}"/>
    <cellStyle name="Output 3 4 3 6" xfId="30648" xr:uid="{9E888293-0095-41C1-91B2-C09C7DE1D941}"/>
    <cellStyle name="Output 3 4 4" xfId="27284" xr:uid="{00000000-0005-0000-0000-00009B650000}"/>
    <cellStyle name="Output 3 4 4 2" xfId="31916" xr:uid="{FE46649B-CB34-4FAF-8B60-ECB0661E523F}"/>
    <cellStyle name="Output 3 4 5" xfId="26232" xr:uid="{00000000-0005-0000-0000-00009C650000}"/>
    <cellStyle name="Output 3 4 5 2" xfId="31020" xr:uid="{068FBBF0-A979-40FB-A401-D0522AB9EADA}"/>
    <cellStyle name="Output 3 4 6" xfId="26211" xr:uid="{00000000-0005-0000-0000-00009D650000}"/>
    <cellStyle name="Output 3 4 6 2" xfId="30999" xr:uid="{BD79A07E-B0FA-4724-A695-1F9D4DB10FCB}"/>
    <cellStyle name="Output 3 4 7" xfId="29459" xr:uid="{00000000-0005-0000-0000-00009E650000}"/>
    <cellStyle name="Output 3 4 8" xfId="30356" xr:uid="{F7781ABB-DB4B-4D71-971F-E8C1830B035F}"/>
    <cellStyle name="Output 3 5" xfId="25084" xr:uid="{00000000-0005-0000-0000-00009F650000}"/>
    <cellStyle name="Output 3 5 2" xfId="25329" xr:uid="{00000000-0005-0000-0000-0000A0650000}"/>
    <cellStyle name="Output 3 5 2 2" xfId="27483" xr:uid="{00000000-0005-0000-0000-0000A1650000}"/>
    <cellStyle name="Output 3 5 2 2 2" xfId="32074" xr:uid="{1529C002-ACB6-4989-A679-774A0D144E00}"/>
    <cellStyle name="Output 3 5 2 3" xfId="26372" xr:uid="{00000000-0005-0000-0000-0000A2650000}"/>
    <cellStyle name="Output 3 5 2 3 2" xfId="31160" xr:uid="{4D95A527-CD61-4B65-8DBE-A5343F355E80}"/>
    <cellStyle name="Output 3 5 2 4" xfId="26492" xr:uid="{00000000-0005-0000-0000-0000A3650000}"/>
    <cellStyle name="Output 3 5 2 4 2" xfId="31280" xr:uid="{6405EFEA-4612-4912-90F6-172B0F641266}"/>
    <cellStyle name="Output 3 5 2 5" xfId="29463" xr:uid="{00000000-0005-0000-0000-0000A4650000}"/>
    <cellStyle name="Output 3 5 2 6" xfId="30487" xr:uid="{2F1D2CF8-4A5A-4B80-BC9C-6A709A98C3D6}"/>
    <cellStyle name="Output 3 5 3" xfId="25684" xr:uid="{00000000-0005-0000-0000-0000A5650000}"/>
    <cellStyle name="Output 3 5 3 2" xfId="27837" xr:uid="{00000000-0005-0000-0000-0000A6650000}"/>
    <cellStyle name="Output 3 5 3 2 2" xfId="32424" xr:uid="{B18842C8-1A6B-445F-81B7-745147CAC293}"/>
    <cellStyle name="Output 3 5 3 3" xfId="26960" xr:uid="{00000000-0005-0000-0000-0000A7650000}"/>
    <cellStyle name="Output 3 5 3 3 2" xfId="31721" xr:uid="{078F0A7D-D752-40D2-8235-CEBEEA733443}"/>
    <cellStyle name="Output 3 5 3 4" xfId="26791" xr:uid="{00000000-0005-0000-0000-0000A8650000}"/>
    <cellStyle name="Output 3 5 3 4 2" xfId="31552" xr:uid="{2225498F-B6B3-45D4-8F63-2B64E0C41753}"/>
    <cellStyle name="Output 3 5 3 5" xfId="29464" xr:uid="{00000000-0005-0000-0000-0000A9650000}"/>
    <cellStyle name="Output 3 5 3 6" xfId="30678" xr:uid="{7504C6FB-025E-4EE0-B5A6-D04CA296E85E}"/>
    <cellStyle name="Output 3 5 4" xfId="27371" xr:uid="{00000000-0005-0000-0000-0000AA650000}"/>
    <cellStyle name="Output 3 5 4 2" xfId="31969" xr:uid="{042F8C3A-CA1B-4967-AA75-DDA77369E675}"/>
    <cellStyle name="Output 3 5 5" xfId="26898" xr:uid="{00000000-0005-0000-0000-0000AB650000}"/>
    <cellStyle name="Output 3 5 5 2" xfId="31659" xr:uid="{8B426CCF-9543-409D-A8B7-6454DE4CF4E0}"/>
    <cellStyle name="Output 3 5 6" xfId="26512" xr:uid="{00000000-0005-0000-0000-0000AC650000}"/>
    <cellStyle name="Output 3 5 6 2" xfId="31300" xr:uid="{597020EC-C5D3-4EEC-8C65-914C04CF3456}"/>
    <cellStyle name="Output 3 5 7" xfId="29462" xr:uid="{00000000-0005-0000-0000-0000AD650000}"/>
    <cellStyle name="Output 3 5 8" xfId="30386" xr:uid="{A4AB3468-99B1-4BFD-8456-D4C429C5BF66}"/>
    <cellStyle name="Output 30" xfId="3407" xr:uid="{00000000-0005-0000-0000-0000AE650000}"/>
    <cellStyle name="Output 31" xfId="3408" xr:uid="{00000000-0005-0000-0000-0000AF650000}"/>
    <cellStyle name="Output 32" xfId="3409" xr:uid="{00000000-0005-0000-0000-0000B0650000}"/>
    <cellStyle name="Output 33" xfId="3410" xr:uid="{00000000-0005-0000-0000-0000B1650000}"/>
    <cellStyle name="Output 34" xfId="3411" xr:uid="{00000000-0005-0000-0000-0000B2650000}"/>
    <cellStyle name="Output 35" xfId="3412" xr:uid="{00000000-0005-0000-0000-0000B3650000}"/>
    <cellStyle name="Output 36" xfId="3413" xr:uid="{00000000-0005-0000-0000-0000B4650000}"/>
    <cellStyle name="Output 37" xfId="3414" xr:uid="{00000000-0005-0000-0000-0000B5650000}"/>
    <cellStyle name="Output 38" xfId="3415" xr:uid="{00000000-0005-0000-0000-0000B6650000}"/>
    <cellStyle name="Output 39" xfId="3416" xr:uid="{00000000-0005-0000-0000-0000B7650000}"/>
    <cellStyle name="Output 4" xfId="3417" xr:uid="{00000000-0005-0000-0000-0000B8650000}"/>
    <cellStyle name="Output 4 2" xfId="24206" xr:uid="{00000000-0005-0000-0000-0000B9650000}"/>
    <cellStyle name="Output 4 2 2" xfId="25373" xr:uid="{00000000-0005-0000-0000-0000BA650000}"/>
    <cellStyle name="Output 4 2 2 2" xfId="27527" xr:uid="{00000000-0005-0000-0000-0000BB650000}"/>
    <cellStyle name="Output 4 2 2 2 2" xfId="32118" xr:uid="{3D8A2EC9-FCDE-4402-8C54-7AD770E4D412}"/>
    <cellStyle name="Output 4 2 2 3" xfId="26521" xr:uid="{00000000-0005-0000-0000-0000BC650000}"/>
    <cellStyle name="Output 4 2 2 3 2" xfId="31308" xr:uid="{190E44AD-0DCE-48A8-9E6D-35F49CC8A774}"/>
    <cellStyle name="Output 4 2 2 4" xfId="26505" xr:uid="{00000000-0005-0000-0000-0000BD650000}"/>
    <cellStyle name="Output 4 2 2 4 2" xfId="31293" xr:uid="{20A711CF-F736-4C95-BB93-576C4D81ABBB}"/>
    <cellStyle name="Output 4 2 2 5" xfId="29466" xr:uid="{00000000-0005-0000-0000-0000BE650000}"/>
    <cellStyle name="Output 4 2 2 6" xfId="30531" xr:uid="{E73A6EAC-057F-4752-8B55-F733F1A02183}"/>
    <cellStyle name="Output 4 2 3" xfId="25573" xr:uid="{00000000-0005-0000-0000-0000BF650000}"/>
    <cellStyle name="Output 4 2 3 2" xfId="27726" xr:uid="{00000000-0005-0000-0000-0000C0650000}"/>
    <cellStyle name="Output 4 2 3 2 2" xfId="32313" xr:uid="{8EBCF177-B770-443A-A1D9-8B52CB9E0BFE}"/>
    <cellStyle name="Output 4 2 3 3" xfId="26686" xr:uid="{00000000-0005-0000-0000-0000C1650000}"/>
    <cellStyle name="Output 4 2 3 3 2" xfId="31448" xr:uid="{47501D18-58D2-4C58-A9F1-30B97789C270}"/>
    <cellStyle name="Output 4 2 3 4" xfId="26731" xr:uid="{00000000-0005-0000-0000-0000C2650000}"/>
    <cellStyle name="Output 4 2 3 4 2" xfId="31492" xr:uid="{1A71CF52-4D4E-4EFA-9B90-F80838774782}"/>
    <cellStyle name="Output 4 2 3 5" xfId="29467" xr:uid="{00000000-0005-0000-0000-0000C3650000}"/>
    <cellStyle name="Output 4 2 3 6" xfId="30630" xr:uid="{F68B1B98-EE55-44A1-940C-EE7BE2ACFADB}"/>
    <cellStyle name="Output 4 2 4" xfId="27098" xr:uid="{00000000-0005-0000-0000-0000C4650000}"/>
    <cellStyle name="Output 4 2 4 2" xfId="31822" xr:uid="{E9F8F9BB-95C6-4E2E-BC5A-9BBA70910C39}"/>
    <cellStyle name="Output 4 2 5" xfId="26056" xr:uid="{00000000-0005-0000-0000-0000C5650000}"/>
    <cellStyle name="Output 4 2 5 2" xfId="30846" xr:uid="{B527F1C7-BF9A-4B99-8E25-4851191FC4E5}"/>
    <cellStyle name="Output 4 2 6" xfId="26431" xr:uid="{00000000-0005-0000-0000-0000C6650000}"/>
    <cellStyle name="Output 4 2 6 2" xfId="31219" xr:uid="{BFA2808E-F39D-4B8A-B9CF-07768CD78273}"/>
    <cellStyle name="Output 4 2 7" xfId="29465" xr:uid="{00000000-0005-0000-0000-0000C7650000}"/>
    <cellStyle name="Output 4 2 8" xfId="30275" xr:uid="{826C8349-8605-4D62-BC9E-794BCE666ACD}"/>
    <cellStyle name="Output 4 3" xfId="24693" xr:uid="{00000000-0005-0000-0000-0000C8650000}"/>
    <cellStyle name="Output 4 3 2" xfId="25417" xr:uid="{00000000-0005-0000-0000-0000C9650000}"/>
    <cellStyle name="Output 4 3 2 2" xfId="27571" xr:uid="{00000000-0005-0000-0000-0000CA650000}"/>
    <cellStyle name="Output 4 3 2 2 2" xfId="32162" xr:uid="{B2A34967-EFC7-45AA-A1EB-8FFABFC11428}"/>
    <cellStyle name="Output 4 3 2 3" xfId="26231" xr:uid="{00000000-0005-0000-0000-0000CB650000}"/>
    <cellStyle name="Output 4 3 2 3 2" xfId="31019" xr:uid="{9DF52E42-47C3-4EBA-A101-A21696FCCC92}"/>
    <cellStyle name="Output 4 3 2 4" xfId="26510" xr:uid="{00000000-0005-0000-0000-0000CC650000}"/>
    <cellStyle name="Output 4 3 2 4 2" xfId="31298" xr:uid="{6F0F686D-5CFB-4027-98EC-BB2A0C242998}"/>
    <cellStyle name="Output 4 3 2 5" xfId="29469" xr:uid="{00000000-0005-0000-0000-0000CD650000}"/>
    <cellStyle name="Output 4 3 2 6" xfId="30575" xr:uid="{F464DB54-45E7-4A63-A500-DF28582A7A0D}"/>
    <cellStyle name="Output 4 3 3" xfId="25652" xr:uid="{00000000-0005-0000-0000-0000CE650000}"/>
    <cellStyle name="Output 4 3 3 2" xfId="27805" xr:uid="{00000000-0005-0000-0000-0000CF650000}"/>
    <cellStyle name="Output 4 3 3 2 2" xfId="32392" xr:uid="{DA04AE6B-EB07-4CB9-831E-23492BFACE35}"/>
    <cellStyle name="Output 4 3 3 3" xfId="26831" xr:uid="{00000000-0005-0000-0000-0000D0650000}"/>
    <cellStyle name="Output 4 3 3 3 2" xfId="31592" xr:uid="{AC92D269-B1F3-4D41-9369-92711CAFE336}"/>
    <cellStyle name="Output 4 3 3 4" xfId="26471" xr:uid="{00000000-0005-0000-0000-0000D1650000}"/>
    <cellStyle name="Output 4 3 3 4 2" xfId="31259" xr:uid="{728FE5C9-8CFC-4E74-B088-EFBE12B47675}"/>
    <cellStyle name="Output 4 3 3 5" xfId="29470" xr:uid="{00000000-0005-0000-0000-0000D2650000}"/>
    <cellStyle name="Output 4 3 3 6" xfId="30646" xr:uid="{600880FF-D840-43D7-B555-9A5957E9C98E}"/>
    <cellStyle name="Output 4 3 4" xfId="27282" xr:uid="{00000000-0005-0000-0000-0000D3650000}"/>
    <cellStyle name="Output 4 3 4 2" xfId="31914" xr:uid="{ABF405BA-82A0-40E9-908A-FB769B4EC3BD}"/>
    <cellStyle name="Output 4 3 5" xfId="26756" xr:uid="{00000000-0005-0000-0000-0000D4650000}"/>
    <cellStyle name="Output 4 3 5 2" xfId="31517" xr:uid="{79CEAE65-F505-44C4-886C-42EA9D4EC755}"/>
    <cellStyle name="Output 4 3 6" xfId="26509" xr:uid="{00000000-0005-0000-0000-0000D5650000}"/>
    <cellStyle name="Output 4 3 6 2" xfId="31297" xr:uid="{33B13523-CE3B-4118-AEA9-7D76BDECF7EC}"/>
    <cellStyle name="Output 4 3 7" xfId="29468" xr:uid="{00000000-0005-0000-0000-0000D6650000}"/>
    <cellStyle name="Output 4 3 8" xfId="30354" xr:uid="{81EE0AEB-7B18-4244-9A58-1DC964FE0D11}"/>
    <cellStyle name="Output 4 4" xfId="25086" xr:uid="{00000000-0005-0000-0000-0000D7650000}"/>
    <cellStyle name="Output 4 4 2" xfId="25346" xr:uid="{00000000-0005-0000-0000-0000D8650000}"/>
    <cellStyle name="Output 4 4 2 2" xfId="27500" xr:uid="{00000000-0005-0000-0000-0000D9650000}"/>
    <cellStyle name="Output 4 4 2 2 2" xfId="32091" xr:uid="{F5BB273A-1729-4705-A182-2D9E5545EF1B}"/>
    <cellStyle name="Output 4 4 2 3" xfId="26902" xr:uid="{00000000-0005-0000-0000-0000DA650000}"/>
    <cellStyle name="Output 4 4 2 3 2" xfId="31663" xr:uid="{9A848791-22C8-41AF-9B3F-3FD903B00D81}"/>
    <cellStyle name="Output 4 4 2 4" xfId="26169" xr:uid="{00000000-0005-0000-0000-0000DB650000}"/>
    <cellStyle name="Output 4 4 2 4 2" xfId="30958" xr:uid="{746A65C9-7C43-4EA7-B6D1-34D12B31B222}"/>
    <cellStyle name="Output 4 4 2 5" xfId="29472" xr:uid="{00000000-0005-0000-0000-0000DC650000}"/>
    <cellStyle name="Output 4 4 2 6" xfId="30504" xr:uid="{4AC06288-C896-4AF1-A601-A2750F14C762}"/>
    <cellStyle name="Output 4 4 3" xfId="25686" xr:uid="{00000000-0005-0000-0000-0000DD650000}"/>
    <cellStyle name="Output 4 4 3 2" xfId="27839" xr:uid="{00000000-0005-0000-0000-0000DE650000}"/>
    <cellStyle name="Output 4 4 3 2 2" xfId="32426" xr:uid="{70CDABC8-4430-410A-9A85-AE636EAB0401}"/>
    <cellStyle name="Output 4 4 3 3" xfId="26376" xr:uid="{00000000-0005-0000-0000-0000DF650000}"/>
    <cellStyle name="Output 4 4 3 3 2" xfId="31164" xr:uid="{15A44261-61B2-4C87-B666-C2E2CFB7E95A}"/>
    <cellStyle name="Output 4 4 3 4" xfId="26091" xr:uid="{00000000-0005-0000-0000-0000E0650000}"/>
    <cellStyle name="Output 4 4 3 4 2" xfId="30881" xr:uid="{903CA740-CD32-4BA3-AFE2-0CF87691D600}"/>
    <cellStyle name="Output 4 4 3 5" xfId="29473" xr:uid="{00000000-0005-0000-0000-0000E1650000}"/>
    <cellStyle name="Output 4 4 3 6" xfId="30680" xr:uid="{F174372C-933D-4A1E-963F-0E87EC0FC3D5}"/>
    <cellStyle name="Output 4 4 4" xfId="27373" xr:uid="{00000000-0005-0000-0000-0000E2650000}"/>
    <cellStyle name="Output 4 4 4 2" xfId="31971" xr:uid="{1153D6D7-83BC-4B17-A8E8-16161C9E2EEF}"/>
    <cellStyle name="Output 4 4 5" xfId="26303" xr:uid="{00000000-0005-0000-0000-0000E3650000}"/>
    <cellStyle name="Output 4 4 5 2" xfId="31091" xr:uid="{A3C758BF-4EA4-4052-B7CC-4F37FA88F457}"/>
    <cellStyle name="Output 4 4 6" xfId="26112" xr:uid="{00000000-0005-0000-0000-0000E4650000}"/>
    <cellStyle name="Output 4 4 6 2" xfId="30902" xr:uid="{0457C529-81C3-417C-9200-8E23C6B6927F}"/>
    <cellStyle name="Output 4 4 7" xfId="29471" xr:uid="{00000000-0005-0000-0000-0000E5650000}"/>
    <cellStyle name="Output 4 4 8" xfId="30388" xr:uid="{C8A28406-8FF6-43BE-BADF-6DF050F23B9C}"/>
    <cellStyle name="Output 40" xfId="3418" xr:uid="{00000000-0005-0000-0000-0000E6650000}"/>
    <cellStyle name="Output 41" xfId="3419" xr:uid="{00000000-0005-0000-0000-0000E7650000}"/>
    <cellStyle name="Output 42" xfId="3420" xr:uid="{00000000-0005-0000-0000-0000E8650000}"/>
    <cellStyle name="Output 43" xfId="3421" xr:uid="{00000000-0005-0000-0000-0000E9650000}"/>
    <cellStyle name="Output 44" xfId="3422" xr:uid="{00000000-0005-0000-0000-0000EA650000}"/>
    <cellStyle name="Output 45" xfId="3423" xr:uid="{00000000-0005-0000-0000-0000EB650000}"/>
    <cellStyle name="Output 46" xfId="3424" xr:uid="{00000000-0005-0000-0000-0000EC650000}"/>
    <cellStyle name="Output 47" xfId="3425" xr:uid="{00000000-0005-0000-0000-0000ED650000}"/>
    <cellStyle name="Output 48" xfId="3426" xr:uid="{00000000-0005-0000-0000-0000EE650000}"/>
    <cellStyle name="Output 49" xfId="3427" xr:uid="{00000000-0005-0000-0000-0000EF650000}"/>
    <cellStyle name="Output 5" xfId="3428" xr:uid="{00000000-0005-0000-0000-0000F0650000}"/>
    <cellStyle name="Output 5 2" xfId="24207" xr:uid="{00000000-0005-0000-0000-0000F1650000}"/>
    <cellStyle name="Output 5 2 2" xfId="25386" xr:uid="{00000000-0005-0000-0000-0000F2650000}"/>
    <cellStyle name="Output 5 2 2 2" xfId="27540" xr:uid="{00000000-0005-0000-0000-0000F3650000}"/>
    <cellStyle name="Output 5 2 2 2 2" xfId="32131" xr:uid="{C21299F5-DA9E-4C54-A67A-95D720D819F6}"/>
    <cellStyle name="Output 5 2 2 3" xfId="26055" xr:uid="{00000000-0005-0000-0000-0000F4650000}"/>
    <cellStyle name="Output 5 2 2 3 2" xfId="30845" xr:uid="{EF415332-278B-44C4-8208-615650DE093B}"/>
    <cellStyle name="Output 5 2 2 4" xfId="26105" xr:uid="{00000000-0005-0000-0000-0000F5650000}"/>
    <cellStyle name="Output 5 2 2 4 2" xfId="30895" xr:uid="{580B5F9A-5A13-470D-939F-747EB3F1C18B}"/>
    <cellStyle name="Output 5 2 2 5" xfId="29475" xr:uid="{00000000-0005-0000-0000-0000F6650000}"/>
    <cellStyle name="Output 5 2 2 6" xfId="30544" xr:uid="{749853D3-EE64-4713-BBB3-C3BC14602863}"/>
    <cellStyle name="Output 5 2 3" xfId="25574" xr:uid="{00000000-0005-0000-0000-0000F7650000}"/>
    <cellStyle name="Output 5 2 3 2" xfId="27727" xr:uid="{00000000-0005-0000-0000-0000F8650000}"/>
    <cellStyle name="Output 5 2 3 2 2" xfId="32314" xr:uid="{8CB0A743-5058-4DB6-AE0C-F2EDFD7CB0FF}"/>
    <cellStyle name="Output 5 2 3 3" xfId="26520" xr:uid="{00000000-0005-0000-0000-0000F9650000}"/>
    <cellStyle name="Output 5 2 3 3 2" xfId="31307" xr:uid="{6238FD2B-41A9-498E-8B49-B58DACAE9A7B}"/>
    <cellStyle name="Output 5 2 3 4" xfId="26128" xr:uid="{00000000-0005-0000-0000-0000FA650000}"/>
    <cellStyle name="Output 5 2 3 4 2" xfId="30918" xr:uid="{082167CB-57D2-41CF-B6AD-5229A155B581}"/>
    <cellStyle name="Output 5 2 3 5" xfId="29476" xr:uid="{00000000-0005-0000-0000-0000FB650000}"/>
    <cellStyle name="Output 5 2 3 6" xfId="30631" xr:uid="{F11CE463-7741-4D1E-A37A-685A9F7A9BE3}"/>
    <cellStyle name="Output 5 2 4" xfId="27099" xr:uid="{00000000-0005-0000-0000-0000FC650000}"/>
    <cellStyle name="Output 5 2 4 2" xfId="31823" xr:uid="{EDB0AA9C-4AD0-4035-B6AF-236916A0C727}"/>
    <cellStyle name="Output 5 2 5" xfId="26198" xr:uid="{00000000-0005-0000-0000-0000FD650000}"/>
    <cellStyle name="Output 5 2 5 2" xfId="30986" xr:uid="{20A33222-5F4A-4AAE-A1FF-9D6D722B3E65}"/>
    <cellStyle name="Output 5 2 6" xfId="26973" xr:uid="{00000000-0005-0000-0000-0000FE650000}"/>
    <cellStyle name="Output 5 2 6 2" xfId="31734" xr:uid="{80602983-75E9-4400-BA0E-6FFC1343DDD6}"/>
    <cellStyle name="Output 5 2 7" xfId="29474" xr:uid="{00000000-0005-0000-0000-0000FF650000}"/>
    <cellStyle name="Output 5 2 8" xfId="30276" xr:uid="{224B722A-2DC7-470C-858C-9DB2446F1C42}"/>
    <cellStyle name="Output 5 3" xfId="24692" xr:uid="{00000000-0005-0000-0000-000000660000}"/>
    <cellStyle name="Output 5 3 2" xfId="25316" xr:uid="{00000000-0005-0000-0000-000001660000}"/>
    <cellStyle name="Output 5 3 2 2" xfId="27470" xr:uid="{00000000-0005-0000-0000-000002660000}"/>
    <cellStyle name="Output 5 3 2 2 2" xfId="32061" xr:uid="{9FEC8E8F-C04C-4A97-9F74-4830A94CADD1}"/>
    <cellStyle name="Output 5 3 2 3" xfId="26755" xr:uid="{00000000-0005-0000-0000-000003660000}"/>
    <cellStyle name="Output 5 3 2 3 2" xfId="31516" xr:uid="{7A8C561D-2ECC-4EBD-9352-87B17EBE84E0}"/>
    <cellStyle name="Output 5 3 2 4" xfId="26139" xr:uid="{00000000-0005-0000-0000-000004660000}"/>
    <cellStyle name="Output 5 3 2 4 2" xfId="30929" xr:uid="{1973B49D-2C10-4A5D-9BE3-AA81E77CC702}"/>
    <cellStyle name="Output 5 3 2 5" xfId="29478" xr:uid="{00000000-0005-0000-0000-000005660000}"/>
    <cellStyle name="Output 5 3 2 6" xfId="30474" xr:uid="{AFB0E1F2-7B89-4ADC-8B2D-70EC9CDD84A6}"/>
    <cellStyle name="Output 5 3 3" xfId="25651" xr:uid="{00000000-0005-0000-0000-000006660000}"/>
    <cellStyle name="Output 5 3 3 2" xfId="27804" xr:uid="{00000000-0005-0000-0000-000007660000}"/>
    <cellStyle name="Output 5 3 3 2 2" xfId="32391" xr:uid="{DE24E81E-B3D8-4C0C-B94D-5522B9A2F146}"/>
    <cellStyle name="Output 5 3 3 3" xfId="26230" xr:uid="{00000000-0005-0000-0000-000008660000}"/>
    <cellStyle name="Output 5 3 3 3 2" xfId="31018" xr:uid="{5B6473A3-9447-4325-9B53-D5B3C41FCB50}"/>
    <cellStyle name="Output 5 3 3 4" xfId="26835" xr:uid="{00000000-0005-0000-0000-000009660000}"/>
    <cellStyle name="Output 5 3 3 4 2" xfId="31596" xr:uid="{5D65A81A-0872-4220-A8B5-EBA6C9760E14}"/>
    <cellStyle name="Output 5 3 3 5" xfId="29479" xr:uid="{00000000-0005-0000-0000-00000A660000}"/>
    <cellStyle name="Output 5 3 3 6" xfId="30645" xr:uid="{443AA39F-8282-4A09-AE1C-C3B3A9EA33D3}"/>
    <cellStyle name="Output 5 3 4" xfId="27281" xr:uid="{00000000-0005-0000-0000-00000B660000}"/>
    <cellStyle name="Output 5 3 4 2" xfId="31913" xr:uid="{9C12D475-3910-47DA-965D-AF3C3412661E}"/>
    <cellStyle name="Output 5 3 5" xfId="26685" xr:uid="{00000000-0005-0000-0000-00000C660000}"/>
    <cellStyle name="Output 5 3 5 2" xfId="31447" xr:uid="{5A915660-2CB4-47B8-9DD8-7AC570690A8C}"/>
    <cellStyle name="Output 5 3 6" xfId="26851" xr:uid="{00000000-0005-0000-0000-00000D660000}"/>
    <cellStyle name="Output 5 3 6 2" xfId="31612" xr:uid="{59123FFA-454E-4721-8C9E-8E3857274875}"/>
    <cellStyle name="Output 5 3 7" xfId="29477" xr:uid="{00000000-0005-0000-0000-00000E660000}"/>
    <cellStyle name="Output 5 3 8" xfId="30353" xr:uid="{390D1A66-D87E-4166-80E8-4142049C3384}"/>
    <cellStyle name="Output 5 4" xfId="25087" xr:uid="{00000000-0005-0000-0000-00000F660000}"/>
    <cellStyle name="Output 5 4 2" xfId="25447" xr:uid="{00000000-0005-0000-0000-000010660000}"/>
    <cellStyle name="Output 5 4 2 2" xfId="27601" xr:uid="{00000000-0005-0000-0000-000011660000}"/>
    <cellStyle name="Output 5 4 2 2 2" xfId="32192" xr:uid="{C7725F63-0F79-41B1-B97A-FA5CF32977A8}"/>
    <cellStyle name="Output 5 4 2 3" xfId="26302" xr:uid="{00000000-0005-0000-0000-000012660000}"/>
    <cellStyle name="Output 5 4 2 3 2" xfId="31090" xr:uid="{A1BBA7A3-50E7-4A92-B47E-7EC97B0155B0}"/>
    <cellStyle name="Output 5 4 2 4" xfId="26297" xr:uid="{00000000-0005-0000-0000-000013660000}"/>
    <cellStyle name="Output 5 4 2 4 2" xfId="31085" xr:uid="{4DFD09A5-6866-435C-A6C6-C60046A7560A}"/>
    <cellStyle name="Output 5 4 2 5" xfId="29481" xr:uid="{00000000-0005-0000-0000-000014660000}"/>
    <cellStyle name="Output 5 4 2 6" xfId="30605" xr:uid="{20004057-9A16-4489-AFA4-ACA6683613B9}"/>
    <cellStyle name="Output 5 4 3" xfId="25687" xr:uid="{00000000-0005-0000-0000-000015660000}"/>
    <cellStyle name="Output 5 4 3 2" xfId="27840" xr:uid="{00000000-0005-0000-0000-000016660000}"/>
    <cellStyle name="Output 5 4 3 2 2" xfId="32427" xr:uid="{4E8EA835-B3CC-436A-88C7-1C4CAB3A6CDD}"/>
    <cellStyle name="Output 5 4 3 3" xfId="26897" xr:uid="{00000000-0005-0000-0000-000017660000}"/>
    <cellStyle name="Output 5 4 3 3 2" xfId="31658" xr:uid="{2D633D92-955E-4E6F-826B-6D4CEC307816}"/>
    <cellStyle name="Output 5 4 3 4" xfId="26977" xr:uid="{00000000-0005-0000-0000-000018660000}"/>
    <cellStyle name="Output 5 4 3 4 2" xfId="31738" xr:uid="{EABB6049-9B33-4F26-A608-6EB0F6D80D45}"/>
    <cellStyle name="Output 5 4 3 5" xfId="29482" xr:uid="{00000000-0005-0000-0000-000019660000}"/>
    <cellStyle name="Output 5 4 3 6" xfId="30681" xr:uid="{0547B335-1A1D-464D-889E-50868DCBC76D}"/>
    <cellStyle name="Output 5 4 4" xfId="27374" xr:uid="{00000000-0005-0000-0000-00001A660000}"/>
    <cellStyle name="Output 5 4 4 2" xfId="31972" xr:uid="{09B5B18C-0A33-43C6-8F49-0E7E646FAA82}"/>
    <cellStyle name="Output 5 4 5" xfId="26830" xr:uid="{00000000-0005-0000-0000-00001B660000}"/>
    <cellStyle name="Output 5 4 5 2" xfId="31591" xr:uid="{598E9AAB-5CB6-4EFB-8C20-AC1B749AB475}"/>
    <cellStyle name="Output 5 4 6" xfId="26697" xr:uid="{00000000-0005-0000-0000-00001C660000}"/>
    <cellStyle name="Output 5 4 6 2" xfId="31459" xr:uid="{F0D3363E-AC87-470A-8443-A862BFF19447}"/>
    <cellStyle name="Output 5 4 7" xfId="29480" xr:uid="{00000000-0005-0000-0000-00001D660000}"/>
    <cellStyle name="Output 5 4 8" xfId="30389" xr:uid="{3072FB48-8F1B-43E3-90B5-D7C94F566F7A}"/>
    <cellStyle name="Output 50" xfId="3429" xr:uid="{00000000-0005-0000-0000-00001E660000}"/>
    <cellStyle name="Output 51" xfId="3430" xr:uid="{00000000-0005-0000-0000-00001F660000}"/>
    <cellStyle name="Output 52" xfId="3431" xr:uid="{00000000-0005-0000-0000-000020660000}"/>
    <cellStyle name="Output 53" xfId="3432" xr:uid="{00000000-0005-0000-0000-000021660000}"/>
    <cellStyle name="Output 54" xfId="3433" xr:uid="{00000000-0005-0000-0000-000022660000}"/>
    <cellStyle name="Output 55" xfId="3434" xr:uid="{00000000-0005-0000-0000-000023660000}"/>
    <cellStyle name="Output 56" xfId="3435" xr:uid="{00000000-0005-0000-0000-000024660000}"/>
    <cellStyle name="Output 57" xfId="3436" xr:uid="{00000000-0005-0000-0000-000025660000}"/>
    <cellStyle name="Output 58" xfId="3437" xr:uid="{00000000-0005-0000-0000-000026660000}"/>
    <cellStyle name="Output 59" xfId="3438" xr:uid="{00000000-0005-0000-0000-000027660000}"/>
    <cellStyle name="Output 6" xfId="3439" xr:uid="{00000000-0005-0000-0000-000028660000}"/>
    <cellStyle name="Output 60" xfId="3440" xr:uid="{00000000-0005-0000-0000-000029660000}"/>
    <cellStyle name="Output 61" xfId="3441" xr:uid="{00000000-0005-0000-0000-00002A660000}"/>
    <cellStyle name="Output 62" xfId="3442" xr:uid="{00000000-0005-0000-0000-00002B660000}"/>
    <cellStyle name="Output 63" xfId="3443" xr:uid="{00000000-0005-0000-0000-00002C660000}"/>
    <cellStyle name="Output 64" xfId="3444" xr:uid="{00000000-0005-0000-0000-00002D660000}"/>
    <cellStyle name="Output 65" xfId="3445" xr:uid="{00000000-0005-0000-0000-00002E660000}"/>
    <cellStyle name="Output 66" xfId="3446" xr:uid="{00000000-0005-0000-0000-00002F660000}"/>
    <cellStyle name="Output 67" xfId="3447" xr:uid="{00000000-0005-0000-0000-000030660000}"/>
    <cellStyle name="Output 68" xfId="3448" xr:uid="{00000000-0005-0000-0000-000031660000}"/>
    <cellStyle name="Output 69" xfId="3449" xr:uid="{00000000-0005-0000-0000-000032660000}"/>
    <cellStyle name="Output 7" xfId="3450" xr:uid="{00000000-0005-0000-0000-000033660000}"/>
    <cellStyle name="Output 70" xfId="3451" xr:uid="{00000000-0005-0000-0000-000034660000}"/>
    <cellStyle name="Output 71" xfId="3452" xr:uid="{00000000-0005-0000-0000-000035660000}"/>
    <cellStyle name="Output 72" xfId="3453" xr:uid="{00000000-0005-0000-0000-000036660000}"/>
    <cellStyle name="Output 8" xfId="3454" xr:uid="{00000000-0005-0000-0000-000037660000}"/>
    <cellStyle name="Output 9" xfId="3455" xr:uid="{00000000-0005-0000-0000-000038660000}"/>
    <cellStyle name="Output Amounts" xfId="580" xr:uid="{00000000-0005-0000-0000-000039660000}"/>
    <cellStyle name="Output Amounts 2" xfId="3456" xr:uid="{00000000-0005-0000-0000-00003A660000}"/>
    <cellStyle name="Output Amounts 2 2" xfId="24208" xr:uid="{00000000-0005-0000-0000-00003B660000}"/>
    <cellStyle name="Output Amounts 3" xfId="13903" xr:uid="{00000000-0005-0000-0000-00003C660000}"/>
    <cellStyle name="Output Column Headings" xfId="3457" xr:uid="{00000000-0005-0000-0000-00003D660000}"/>
    <cellStyle name="Output Line Items" xfId="581" xr:uid="{00000000-0005-0000-0000-00003E660000}"/>
    <cellStyle name="Output Line Items 2" xfId="3458" xr:uid="{00000000-0005-0000-0000-00003F660000}"/>
    <cellStyle name="Output Line Items 3" xfId="13904" xr:uid="{00000000-0005-0000-0000-000040660000}"/>
    <cellStyle name="Output Report Heading" xfId="3459" xr:uid="{00000000-0005-0000-0000-000041660000}"/>
    <cellStyle name="Output Report Title" xfId="3460" xr:uid="{00000000-0005-0000-0000-000042660000}"/>
    <cellStyle name="Page Heading Large" xfId="582" xr:uid="{00000000-0005-0000-0000-000043660000}"/>
    <cellStyle name="Page Heading Small" xfId="583" xr:uid="{00000000-0005-0000-0000-000044660000}"/>
    <cellStyle name="Password" xfId="63" xr:uid="{00000000-0005-0000-0000-000045660000}"/>
    <cellStyle name="Password 2" xfId="24525" xr:uid="{00000000-0005-0000-0000-000046660000}"/>
    <cellStyle name="Password 2 2" xfId="27923" xr:uid="{00000000-0005-0000-0000-000047660000}"/>
    <cellStyle name="Password 2 2 2" xfId="32481" xr:uid="{4B9F2FAA-841D-4817-9798-5F63593C9445}"/>
    <cellStyle name="pct_sub" xfId="584" xr:uid="{00000000-0005-0000-0000-000048660000}"/>
    <cellStyle name="Percen - Style1" xfId="64" xr:uid="{00000000-0005-0000-0000-000049660000}"/>
    <cellStyle name="Percen - Style2" xfId="65" xr:uid="{00000000-0005-0000-0000-00004A660000}"/>
    <cellStyle name="Percent" xfId="25793" builtinId="5"/>
    <cellStyle name="Percent (0)" xfId="585" xr:uid="{00000000-0005-0000-0000-00004C660000}"/>
    <cellStyle name="Percent (0) 2" xfId="26048" xr:uid="{00000000-0005-0000-0000-00004D660000}"/>
    <cellStyle name="Percent [1]" xfId="586" xr:uid="{00000000-0005-0000-0000-00004E660000}"/>
    <cellStyle name="Percent [2]" xfId="66" xr:uid="{00000000-0005-0000-0000-00004F660000}"/>
    <cellStyle name="Percent [2] 2" xfId="25814" xr:uid="{00000000-0005-0000-0000-000050660000}"/>
    <cellStyle name="Percent 10" xfId="205" xr:uid="{00000000-0005-0000-0000-000051660000}"/>
    <cellStyle name="Percent 10 2" xfId="25895" xr:uid="{00000000-0005-0000-0000-000052660000}"/>
    <cellStyle name="Percent 11" xfId="206" xr:uid="{00000000-0005-0000-0000-000053660000}"/>
    <cellStyle name="Percent 11 2" xfId="25896" xr:uid="{00000000-0005-0000-0000-000054660000}"/>
    <cellStyle name="Percent 12" xfId="207" xr:uid="{00000000-0005-0000-0000-000055660000}"/>
    <cellStyle name="Percent 12 2" xfId="25897" xr:uid="{00000000-0005-0000-0000-000056660000}"/>
    <cellStyle name="Percent 13" xfId="208" xr:uid="{00000000-0005-0000-0000-000057660000}"/>
    <cellStyle name="Percent 13 2" xfId="25898" xr:uid="{00000000-0005-0000-0000-000058660000}"/>
    <cellStyle name="Percent 14" xfId="209" xr:uid="{00000000-0005-0000-0000-000059660000}"/>
    <cellStyle name="Percent 14 2" xfId="25899" xr:uid="{00000000-0005-0000-0000-00005A660000}"/>
    <cellStyle name="Percent 15" xfId="210" xr:uid="{00000000-0005-0000-0000-00005B660000}"/>
    <cellStyle name="Percent 15 2" xfId="25900" xr:uid="{00000000-0005-0000-0000-00005C660000}"/>
    <cellStyle name="Percent 16" xfId="211" xr:uid="{00000000-0005-0000-0000-00005D660000}"/>
    <cellStyle name="Percent 16 2" xfId="25901" xr:uid="{00000000-0005-0000-0000-00005E660000}"/>
    <cellStyle name="Percent 17" xfId="212" xr:uid="{00000000-0005-0000-0000-00005F660000}"/>
    <cellStyle name="Percent 17 2" xfId="25902" xr:uid="{00000000-0005-0000-0000-000060660000}"/>
    <cellStyle name="Percent 18" xfId="286" xr:uid="{00000000-0005-0000-0000-000061660000}"/>
    <cellStyle name="Percent 18 2" xfId="25943" xr:uid="{00000000-0005-0000-0000-000062660000}"/>
    <cellStyle name="Percent 19" xfId="287" xr:uid="{00000000-0005-0000-0000-000063660000}"/>
    <cellStyle name="Percent 19 2" xfId="25944" xr:uid="{00000000-0005-0000-0000-000064660000}"/>
    <cellStyle name="Percent 2" xfId="67" xr:uid="{00000000-0005-0000-0000-000065660000}"/>
    <cellStyle name="Percent 2 10" xfId="12601" xr:uid="{00000000-0005-0000-0000-000066660000}"/>
    <cellStyle name="Percent 2 11" xfId="24210" xr:uid="{00000000-0005-0000-0000-000067660000}"/>
    <cellStyle name="Percent 2 12" xfId="25748" xr:uid="{00000000-0005-0000-0000-000068660000}"/>
    <cellStyle name="Percent 2 2" xfId="213" xr:uid="{00000000-0005-0000-0000-000069660000}"/>
    <cellStyle name="Percent 2 2 2" xfId="467" xr:uid="{00000000-0005-0000-0000-00006A660000}"/>
    <cellStyle name="Percent 2 2 2 2" xfId="13831" xr:uid="{00000000-0005-0000-0000-00006B660000}"/>
    <cellStyle name="Percent 2 2 3" xfId="663" xr:uid="{00000000-0005-0000-0000-00006C660000}"/>
    <cellStyle name="Percent 2 2 4" xfId="23897" xr:uid="{00000000-0005-0000-0000-00006D660000}"/>
    <cellStyle name="Percent 2 2 5" xfId="25903" xr:uid="{00000000-0005-0000-0000-00006E660000}"/>
    <cellStyle name="Percent 2 3" xfId="358" xr:uid="{00000000-0005-0000-0000-00006F660000}"/>
    <cellStyle name="Percent 2 3 2" xfId="441" xr:uid="{00000000-0005-0000-0000-000070660000}"/>
    <cellStyle name="Percent 2 3 2 2" xfId="527" xr:uid="{00000000-0005-0000-0000-000071660000}"/>
    <cellStyle name="Percent 2 3 2 2 2" xfId="13890" xr:uid="{00000000-0005-0000-0000-000072660000}"/>
    <cellStyle name="Percent 2 3 2 3" xfId="13813" xr:uid="{00000000-0005-0000-0000-000073660000}"/>
    <cellStyle name="Percent 2 3 3" xfId="490" xr:uid="{00000000-0005-0000-0000-000074660000}"/>
    <cellStyle name="Percent 2 3 3 2" xfId="13853" xr:uid="{00000000-0005-0000-0000-000075660000}"/>
    <cellStyle name="Percent 2 3 4" xfId="13768" xr:uid="{00000000-0005-0000-0000-000076660000}"/>
    <cellStyle name="Percent 2 3 5" xfId="24211" xr:uid="{00000000-0005-0000-0000-000077660000}"/>
    <cellStyle name="Percent 2 3 5 2" xfId="27101" xr:uid="{00000000-0005-0000-0000-000078660000}"/>
    <cellStyle name="Percent 2 4" xfId="410" xr:uid="{00000000-0005-0000-0000-000079660000}"/>
    <cellStyle name="Percent 2 4 2" xfId="510" xr:uid="{00000000-0005-0000-0000-00007A660000}"/>
    <cellStyle name="Percent 2 4 2 2" xfId="13873" xr:uid="{00000000-0005-0000-0000-00007B660000}"/>
    <cellStyle name="Percent 2 4 3" xfId="13792" xr:uid="{00000000-0005-0000-0000-00007C660000}"/>
    <cellStyle name="Percent 2 4 4" xfId="24212" xr:uid="{00000000-0005-0000-0000-00007D660000}"/>
    <cellStyle name="Percent 2 4 4 2" xfId="27102" xr:uid="{00000000-0005-0000-0000-00007E660000}"/>
    <cellStyle name="Percent 2 5" xfId="466" xr:uid="{00000000-0005-0000-0000-00007F660000}"/>
    <cellStyle name="Percent 2 5 2" xfId="13830" xr:uid="{00000000-0005-0000-0000-000080660000}"/>
    <cellStyle name="Percent 2 5 3" xfId="24213" xr:uid="{00000000-0005-0000-0000-000081660000}"/>
    <cellStyle name="Percent 2 5 3 2" xfId="27103" xr:uid="{00000000-0005-0000-0000-000082660000}"/>
    <cellStyle name="Percent 2 6" xfId="475" xr:uid="{00000000-0005-0000-0000-000083660000}"/>
    <cellStyle name="Percent 2 6 2" xfId="13838" xr:uid="{00000000-0005-0000-0000-000084660000}"/>
    <cellStyle name="Percent 2 6 3" xfId="24214" xr:uid="{00000000-0005-0000-0000-000085660000}"/>
    <cellStyle name="Percent 2 6 3 2" xfId="27104" xr:uid="{00000000-0005-0000-0000-000086660000}"/>
    <cellStyle name="Percent 2 7" xfId="662" xr:uid="{00000000-0005-0000-0000-000087660000}"/>
    <cellStyle name="Percent 2 7 2" xfId="13914" xr:uid="{00000000-0005-0000-0000-000088660000}"/>
    <cellStyle name="Percent 2 7 3" xfId="24215" xr:uid="{00000000-0005-0000-0000-000089660000}"/>
    <cellStyle name="Percent 2 7 3 2" xfId="27105" xr:uid="{00000000-0005-0000-0000-00008A660000}"/>
    <cellStyle name="Percent 2 8" xfId="3461" xr:uid="{00000000-0005-0000-0000-00008B660000}"/>
    <cellStyle name="Percent 2 8 2" xfId="24216" xr:uid="{00000000-0005-0000-0000-00008C660000}"/>
    <cellStyle name="Percent 2 8 2 2" xfId="27106" xr:uid="{00000000-0005-0000-0000-00008D660000}"/>
    <cellStyle name="Percent 2 9" xfId="13619" xr:uid="{00000000-0005-0000-0000-00008E660000}"/>
    <cellStyle name="Percent 20" xfId="296" xr:uid="{00000000-0005-0000-0000-00008F660000}"/>
    <cellStyle name="Percent 20 2" xfId="25949" xr:uid="{00000000-0005-0000-0000-000090660000}"/>
    <cellStyle name="Percent 21" xfId="297" xr:uid="{00000000-0005-0000-0000-000091660000}"/>
    <cellStyle name="Percent 21 2" xfId="25950" xr:uid="{00000000-0005-0000-0000-000092660000}"/>
    <cellStyle name="Percent 22" xfId="298" xr:uid="{00000000-0005-0000-0000-000093660000}"/>
    <cellStyle name="Percent 22 2" xfId="25951" xr:uid="{00000000-0005-0000-0000-000094660000}"/>
    <cellStyle name="Percent 23" xfId="299" xr:uid="{00000000-0005-0000-0000-000095660000}"/>
    <cellStyle name="Percent 23 2" xfId="25952" xr:uid="{00000000-0005-0000-0000-000096660000}"/>
    <cellStyle name="Percent 24" xfId="304" xr:uid="{00000000-0005-0000-0000-000097660000}"/>
    <cellStyle name="Percent 24 2" xfId="25955" xr:uid="{00000000-0005-0000-0000-000098660000}"/>
    <cellStyle name="Percent 25" xfId="305" xr:uid="{00000000-0005-0000-0000-000099660000}"/>
    <cellStyle name="Percent 25 2" xfId="25956" xr:uid="{00000000-0005-0000-0000-00009A660000}"/>
    <cellStyle name="Percent 26" xfId="325" xr:uid="{00000000-0005-0000-0000-00009B660000}"/>
    <cellStyle name="Percent 26 2" xfId="25967" xr:uid="{00000000-0005-0000-0000-00009C660000}"/>
    <cellStyle name="Percent 27" xfId="326" xr:uid="{00000000-0005-0000-0000-00009D660000}"/>
    <cellStyle name="Percent 27 2" xfId="25968" xr:uid="{00000000-0005-0000-0000-00009E660000}"/>
    <cellStyle name="Percent 28" xfId="327" xr:uid="{00000000-0005-0000-0000-00009F660000}"/>
    <cellStyle name="Percent 28 2" xfId="25969" xr:uid="{00000000-0005-0000-0000-0000A0660000}"/>
    <cellStyle name="Percent 29" xfId="328" xr:uid="{00000000-0005-0000-0000-0000A1660000}"/>
    <cellStyle name="Percent 29 2" xfId="25970" xr:uid="{00000000-0005-0000-0000-0000A2660000}"/>
    <cellStyle name="Percent 3" xfId="68" xr:uid="{00000000-0005-0000-0000-0000A3660000}"/>
    <cellStyle name="Percent 3 10" xfId="25088" xr:uid="{00000000-0005-0000-0000-0000A4660000}"/>
    <cellStyle name="Percent 3 11" xfId="25815" xr:uid="{00000000-0005-0000-0000-0000A5660000}"/>
    <cellStyle name="Percent 3 2" xfId="171" xr:uid="{00000000-0005-0000-0000-0000A6660000}"/>
    <cellStyle name="Percent 3 2 2" xfId="362" xr:uid="{00000000-0005-0000-0000-0000A7660000}"/>
    <cellStyle name="Percent 3 2 2 2" xfId="444" xr:uid="{00000000-0005-0000-0000-0000A8660000}"/>
    <cellStyle name="Percent 3 2 2 2 2" xfId="530" xr:uid="{00000000-0005-0000-0000-0000A9660000}"/>
    <cellStyle name="Percent 3 2 2 2 2 2" xfId="13893" xr:uid="{00000000-0005-0000-0000-0000AA660000}"/>
    <cellStyle name="Percent 3 2 2 2 3" xfId="13816" xr:uid="{00000000-0005-0000-0000-0000AB660000}"/>
    <cellStyle name="Percent 3 2 2 3" xfId="493" xr:uid="{00000000-0005-0000-0000-0000AC660000}"/>
    <cellStyle name="Percent 3 2 2 3 2" xfId="13856" xr:uid="{00000000-0005-0000-0000-0000AD660000}"/>
    <cellStyle name="Percent 3 2 2 4" xfId="13772" xr:uid="{00000000-0005-0000-0000-0000AE660000}"/>
    <cellStyle name="Percent 3 2 2 5" xfId="24468" xr:uid="{00000000-0005-0000-0000-0000AF660000}"/>
    <cellStyle name="Percent 3 2 2 6" xfId="24910" xr:uid="{00000000-0005-0000-0000-0000B0660000}"/>
    <cellStyle name="Percent 3 2 2 7" xfId="25271" xr:uid="{00000000-0005-0000-0000-0000B1660000}"/>
    <cellStyle name="Percent 3 2 3" xfId="424" xr:uid="{00000000-0005-0000-0000-0000B2660000}"/>
    <cellStyle name="Percent 3 2 3 2" xfId="515" xr:uid="{00000000-0005-0000-0000-0000B3660000}"/>
    <cellStyle name="Percent 3 2 3 2 2" xfId="13878" xr:uid="{00000000-0005-0000-0000-0000B4660000}"/>
    <cellStyle name="Percent 3 2 3 3" xfId="13801" xr:uid="{00000000-0005-0000-0000-0000B5660000}"/>
    <cellStyle name="Percent 3 2 4" xfId="478" xr:uid="{00000000-0005-0000-0000-0000B6660000}"/>
    <cellStyle name="Percent 3 2 4 2" xfId="13841" xr:uid="{00000000-0005-0000-0000-0000B7660000}"/>
    <cellStyle name="Percent 3 2 5" xfId="13686" xr:uid="{00000000-0005-0000-0000-0000B8660000}"/>
    <cellStyle name="Percent 3 2 6" xfId="24218" xr:uid="{00000000-0005-0000-0000-0000B9660000}"/>
    <cellStyle name="Percent 3 2 7" xfId="24763" xr:uid="{00000000-0005-0000-0000-0000BA660000}"/>
    <cellStyle name="Percent 3 2 8" xfId="25089" xr:uid="{00000000-0005-0000-0000-0000BB660000}"/>
    <cellStyle name="Percent 3 3" xfId="214" xr:uid="{00000000-0005-0000-0000-0000BC660000}"/>
    <cellStyle name="Percent 3 3 2" xfId="368" xr:uid="{00000000-0005-0000-0000-0000BD660000}"/>
    <cellStyle name="Percent 3 3 2 2" xfId="450" xr:uid="{00000000-0005-0000-0000-0000BE660000}"/>
    <cellStyle name="Percent 3 3 2 2 2" xfId="536" xr:uid="{00000000-0005-0000-0000-0000BF660000}"/>
    <cellStyle name="Percent 3 3 2 2 2 2" xfId="13899" xr:uid="{00000000-0005-0000-0000-0000C0660000}"/>
    <cellStyle name="Percent 3 3 2 2 3" xfId="13822" xr:uid="{00000000-0005-0000-0000-0000C1660000}"/>
    <cellStyle name="Percent 3 3 2 3" xfId="499" xr:uid="{00000000-0005-0000-0000-0000C2660000}"/>
    <cellStyle name="Percent 3 3 2 3 2" xfId="13862" xr:uid="{00000000-0005-0000-0000-0000C3660000}"/>
    <cellStyle name="Percent 3 3 2 4" xfId="13778" xr:uid="{00000000-0005-0000-0000-0000C4660000}"/>
    <cellStyle name="Percent 3 3 3" xfId="431" xr:uid="{00000000-0005-0000-0000-0000C5660000}"/>
    <cellStyle name="Percent 3 3 3 2" xfId="521" xr:uid="{00000000-0005-0000-0000-0000C6660000}"/>
    <cellStyle name="Percent 3 3 3 2 2" xfId="13884" xr:uid="{00000000-0005-0000-0000-0000C7660000}"/>
    <cellStyle name="Percent 3 3 3 3" xfId="13807" xr:uid="{00000000-0005-0000-0000-0000C8660000}"/>
    <cellStyle name="Percent 3 3 4" xfId="484" xr:uid="{00000000-0005-0000-0000-0000C9660000}"/>
    <cellStyle name="Percent 3 3 4 2" xfId="13847" xr:uid="{00000000-0005-0000-0000-0000CA660000}"/>
    <cellStyle name="Percent 3 3 5" xfId="13704" xr:uid="{00000000-0005-0000-0000-0000CB660000}"/>
    <cellStyle name="Percent 3 3 6" xfId="24467" xr:uid="{00000000-0005-0000-0000-0000CC660000}"/>
    <cellStyle name="Percent 3 3 7" xfId="24909" xr:uid="{00000000-0005-0000-0000-0000CD660000}"/>
    <cellStyle name="Percent 3 3 8" xfId="25270" xr:uid="{00000000-0005-0000-0000-0000CE660000}"/>
    <cellStyle name="Percent 3 4" xfId="3621" xr:uid="{00000000-0005-0000-0000-0000CF660000}"/>
    <cellStyle name="Percent 3 5" xfId="13620" xr:uid="{00000000-0005-0000-0000-0000D0660000}"/>
    <cellStyle name="Percent 3 5 2" xfId="26562" xr:uid="{00000000-0005-0000-0000-0000D1660000}"/>
    <cellStyle name="Percent 3 6" xfId="13598" xr:uid="{00000000-0005-0000-0000-0000D2660000}"/>
    <cellStyle name="Percent 3 7" xfId="23907" xr:uid="{00000000-0005-0000-0000-0000D3660000}"/>
    <cellStyle name="Percent 3 8" xfId="24217" xr:uid="{00000000-0005-0000-0000-0000D4660000}"/>
    <cellStyle name="Percent 3 9" xfId="24762" xr:uid="{00000000-0005-0000-0000-0000D5660000}"/>
    <cellStyle name="Percent 30" xfId="329" xr:uid="{00000000-0005-0000-0000-0000D6660000}"/>
    <cellStyle name="Percent 30 2" xfId="25971" xr:uid="{00000000-0005-0000-0000-0000D7660000}"/>
    <cellStyle name="Percent 31" xfId="330" xr:uid="{00000000-0005-0000-0000-0000D8660000}"/>
    <cellStyle name="Percent 31 2" xfId="25972" xr:uid="{00000000-0005-0000-0000-0000D9660000}"/>
    <cellStyle name="Percent 32" xfId="331" xr:uid="{00000000-0005-0000-0000-0000DA660000}"/>
    <cellStyle name="Percent 32 2" xfId="25973" xr:uid="{00000000-0005-0000-0000-0000DB660000}"/>
    <cellStyle name="Percent 33" xfId="332" xr:uid="{00000000-0005-0000-0000-0000DC660000}"/>
    <cellStyle name="Percent 33 2" xfId="25974" xr:uid="{00000000-0005-0000-0000-0000DD660000}"/>
    <cellStyle name="Percent 34" xfId="344" xr:uid="{00000000-0005-0000-0000-0000DE660000}"/>
    <cellStyle name="Percent 34 2" xfId="25982" xr:uid="{00000000-0005-0000-0000-0000DF660000}"/>
    <cellStyle name="Percent 35" xfId="345" xr:uid="{00000000-0005-0000-0000-0000E0660000}"/>
    <cellStyle name="Percent 35 2" xfId="25983" xr:uid="{00000000-0005-0000-0000-0000E1660000}"/>
    <cellStyle name="Percent 36" xfId="346" xr:uid="{00000000-0005-0000-0000-0000E2660000}"/>
    <cellStyle name="Percent 36 2" xfId="25984" xr:uid="{00000000-0005-0000-0000-0000E3660000}"/>
    <cellStyle name="Percent 37" xfId="347" xr:uid="{00000000-0005-0000-0000-0000E4660000}"/>
    <cellStyle name="Percent 37 2" xfId="25985" xr:uid="{00000000-0005-0000-0000-0000E5660000}"/>
    <cellStyle name="Percent 38" xfId="396" xr:uid="{00000000-0005-0000-0000-0000E6660000}"/>
    <cellStyle name="Percent 38 2" xfId="26006" xr:uid="{00000000-0005-0000-0000-0000E7660000}"/>
    <cellStyle name="Percent 39" xfId="372" xr:uid="{00000000-0005-0000-0000-0000E8660000}"/>
    <cellStyle name="Percent 39 2" xfId="502" xr:uid="{00000000-0005-0000-0000-0000E9660000}"/>
    <cellStyle name="Percent 39 2 2" xfId="13865" xr:uid="{00000000-0005-0000-0000-0000EA660000}"/>
    <cellStyle name="Percent 39 3" xfId="13781" xr:uid="{00000000-0005-0000-0000-0000EB660000}"/>
    <cellStyle name="Percent 4" xfId="69" xr:uid="{00000000-0005-0000-0000-0000EC660000}"/>
    <cellStyle name="Percent 4 2" xfId="24304" xr:uid="{00000000-0005-0000-0000-0000ED660000}"/>
    <cellStyle name="Percent 4 2 2" xfId="27140" xr:uid="{00000000-0005-0000-0000-0000EE660000}"/>
    <cellStyle name="Percent 4 3" xfId="24219" xr:uid="{00000000-0005-0000-0000-0000EF660000}"/>
    <cellStyle name="Percent 4 4" xfId="25792" xr:uid="{00000000-0005-0000-0000-0000F0660000}"/>
    <cellStyle name="Percent 40" xfId="418" xr:uid="{00000000-0005-0000-0000-0000F1660000}"/>
    <cellStyle name="Percent 40 2" xfId="511" xr:uid="{00000000-0005-0000-0000-0000F2660000}"/>
    <cellStyle name="Percent 40 2 2" xfId="13874" xr:uid="{00000000-0005-0000-0000-0000F3660000}"/>
    <cellStyle name="Percent 40 3" xfId="13797" xr:uid="{00000000-0005-0000-0000-0000F4660000}"/>
    <cellStyle name="Percent 41" xfId="432" xr:uid="{00000000-0005-0000-0000-0000F5660000}"/>
    <cellStyle name="Percent 41 2" xfId="522" xr:uid="{00000000-0005-0000-0000-0000F6660000}"/>
    <cellStyle name="Percent 41 2 2" xfId="13885" xr:uid="{00000000-0005-0000-0000-0000F7660000}"/>
    <cellStyle name="Percent 41 3" xfId="13808" xr:uid="{00000000-0005-0000-0000-0000F8660000}"/>
    <cellStyle name="Percent 42" xfId="453" xr:uid="{00000000-0005-0000-0000-0000F9660000}"/>
    <cellStyle name="Percent 42 2" xfId="539" xr:uid="{00000000-0005-0000-0000-0000FA660000}"/>
    <cellStyle name="Percent 42 2 2" xfId="13902" xr:uid="{00000000-0005-0000-0000-0000FB660000}"/>
    <cellStyle name="Percent 42 3" xfId="13825" xr:uid="{00000000-0005-0000-0000-0000FC660000}"/>
    <cellStyle name="Percent 43" xfId="13602" xr:uid="{00000000-0005-0000-0000-0000FD660000}"/>
    <cellStyle name="Percent 43 2" xfId="26555" xr:uid="{00000000-0005-0000-0000-0000FE660000}"/>
    <cellStyle name="Percent 44" xfId="23887" xr:uid="{00000000-0005-0000-0000-0000FF660000}"/>
    <cellStyle name="Percent 45" xfId="23890" xr:uid="{00000000-0005-0000-0000-000000670000}"/>
    <cellStyle name="Percent 46" xfId="23894" xr:uid="{00000000-0005-0000-0000-000001670000}"/>
    <cellStyle name="Percent 47" xfId="4" xr:uid="{00000000-0005-0000-0000-000002670000}"/>
    <cellStyle name="Percent 47 2" xfId="25798" xr:uid="{00000000-0005-0000-0000-000003670000}"/>
    <cellStyle name="Percent 48" xfId="25279" xr:uid="{00000000-0005-0000-0000-000004670000}"/>
    <cellStyle name="Percent 48 2" xfId="27434" xr:uid="{00000000-0005-0000-0000-000005670000}"/>
    <cellStyle name="Percent 49" xfId="25292" xr:uid="{00000000-0005-0000-0000-000006670000}"/>
    <cellStyle name="Percent 49 2" xfId="27447" xr:uid="{00000000-0005-0000-0000-000007670000}"/>
    <cellStyle name="Percent 5" xfId="70" xr:uid="{00000000-0005-0000-0000-000008670000}"/>
    <cellStyle name="Percent 5 2" xfId="24292" xr:uid="{00000000-0005-0000-0000-000009670000}"/>
    <cellStyle name="Percent 5 3" xfId="25816" xr:uid="{00000000-0005-0000-0000-00000A670000}"/>
    <cellStyle name="Percent 50" xfId="25458" xr:uid="{00000000-0005-0000-0000-00000B670000}"/>
    <cellStyle name="Percent 50 2" xfId="27611" xr:uid="{00000000-0005-0000-0000-00000C670000}"/>
    <cellStyle name="Percent 51" xfId="25749" xr:uid="{00000000-0005-0000-0000-00000D670000}"/>
    <cellStyle name="Percent 52" xfId="25756" xr:uid="{00000000-0005-0000-0000-00000E670000}"/>
    <cellStyle name="Percent 53" xfId="25758" xr:uid="{00000000-0005-0000-0000-00000F670000}"/>
    <cellStyle name="Percent 54" xfId="25762" xr:uid="{00000000-0005-0000-0000-000010670000}"/>
    <cellStyle name="Percent 55" xfId="25763" xr:uid="{00000000-0005-0000-0000-000011670000}"/>
    <cellStyle name="Percent 56" xfId="33384" xr:uid="{F3D10FFD-904D-4367-BA74-C69DECCFD030}"/>
    <cellStyle name="Percent 6" xfId="215" xr:uid="{00000000-0005-0000-0000-000012670000}"/>
    <cellStyle name="Percent 6 2" xfId="664" xr:uid="{00000000-0005-0000-0000-000013670000}"/>
    <cellStyle name="Percent 6 2 2" xfId="24480" xr:uid="{00000000-0005-0000-0000-000014670000}"/>
    <cellStyle name="Percent 6 2 3" xfId="24912" xr:uid="{00000000-0005-0000-0000-000015670000}"/>
    <cellStyle name="Percent 6 2 4" xfId="25272" xr:uid="{00000000-0005-0000-0000-000016670000}"/>
    <cellStyle name="Percent 6 3" xfId="24294" xr:uid="{00000000-0005-0000-0000-000017670000}"/>
    <cellStyle name="Percent 6 4" xfId="24775" xr:uid="{00000000-0005-0000-0000-000018670000}"/>
    <cellStyle name="Percent 6 5" xfId="25144" xr:uid="{00000000-0005-0000-0000-000019670000}"/>
    <cellStyle name="Percent 6 6" xfId="25904" xr:uid="{00000000-0005-0000-0000-00001A670000}"/>
    <cellStyle name="Percent 7" xfId="216" xr:uid="{00000000-0005-0000-0000-00001B670000}"/>
    <cellStyle name="Percent 7 2" xfId="25905" xr:uid="{00000000-0005-0000-0000-00001C670000}"/>
    <cellStyle name="Percent 8" xfId="217" xr:uid="{00000000-0005-0000-0000-00001D670000}"/>
    <cellStyle name="Percent 8 2" xfId="25906" xr:uid="{00000000-0005-0000-0000-00001E670000}"/>
    <cellStyle name="Percent 9" xfId="218" xr:uid="{00000000-0005-0000-0000-00001F670000}"/>
    <cellStyle name="Percent 9 2" xfId="25907" xr:uid="{00000000-0005-0000-0000-000020670000}"/>
    <cellStyle name="Percent Hard" xfId="587" xr:uid="{00000000-0005-0000-0000-000021670000}"/>
    <cellStyle name="Percent Hard 2" xfId="24220" xr:uid="{00000000-0005-0000-0000-000022670000}"/>
    <cellStyle name="Percent(0)" xfId="71" xr:uid="{00000000-0005-0000-0000-000023670000}"/>
    <cellStyle name="Percentage" xfId="588" xr:uid="{00000000-0005-0000-0000-000024670000}"/>
    <cellStyle name="Perlong" xfId="589" xr:uid="{00000000-0005-0000-0000-000025670000}"/>
    <cellStyle name="Private" xfId="590" xr:uid="{00000000-0005-0000-0000-000026670000}"/>
    <cellStyle name="Private 2" xfId="24780" xr:uid="{00000000-0005-0000-0000-000027670000}"/>
    <cellStyle name="Private1" xfId="591" xr:uid="{00000000-0005-0000-0000-000028670000}"/>
    <cellStyle name="Private1 2" xfId="24221" xr:uid="{00000000-0005-0000-0000-000029670000}"/>
    <cellStyle name="Project Start" xfId="33361" xr:uid="{2D22D0E9-5F9A-4E46-A0E9-5778482523FF}"/>
    <cellStyle name="r" xfId="592" xr:uid="{00000000-0005-0000-0000-00002A670000}"/>
    <cellStyle name="r 2" xfId="24222" xr:uid="{00000000-0005-0000-0000-00002B670000}"/>
    <cellStyle name="r_10_21 A&amp;G Review" xfId="593" xr:uid="{00000000-0005-0000-0000-00002C670000}"/>
    <cellStyle name="r_10_21 A&amp;G Review 2" xfId="24223" xr:uid="{00000000-0005-0000-0000-00002D670000}"/>
    <cellStyle name="r_10_21 A&amp;G Review Raul" xfId="594" xr:uid="{00000000-0005-0000-0000-00002E670000}"/>
    <cellStyle name="r_10_21 A&amp;G Review Raul 2" xfId="24224" xr:uid="{00000000-0005-0000-0000-00002F670000}"/>
    <cellStyle name="r_10-17" xfId="595" xr:uid="{00000000-0005-0000-0000-000030670000}"/>
    <cellStyle name="r_10-17 2" xfId="24225" xr:uid="{00000000-0005-0000-0000-000031670000}"/>
    <cellStyle name="r_2003 Reduction &amp; Sensitivities" xfId="596" xr:uid="{00000000-0005-0000-0000-000032670000}"/>
    <cellStyle name="r_2003 Reduction &amp; Sensitivities 2" xfId="24226" xr:uid="{00000000-0005-0000-0000-000033670000}"/>
    <cellStyle name="r_2003BudgetVariances" xfId="597" xr:uid="{00000000-0005-0000-0000-000034670000}"/>
    <cellStyle name="r_2003BudgetVariances 2" xfId="24227" xr:uid="{00000000-0005-0000-0000-000035670000}"/>
    <cellStyle name="r_Aug 02 FOR" xfId="598" xr:uid="{00000000-0005-0000-0000-000036670000}"/>
    <cellStyle name="r_Aug 02 FOR 2" xfId="24228" xr:uid="{00000000-0005-0000-0000-000037670000}"/>
    <cellStyle name="r_forecastTools6" xfId="599" xr:uid="{00000000-0005-0000-0000-000038670000}"/>
    <cellStyle name="r_forecastTools6 2" xfId="24229" xr:uid="{00000000-0005-0000-0000-000039670000}"/>
    <cellStyle name="r_Interest model" xfId="600" xr:uid="{00000000-0005-0000-0000-00003A670000}"/>
    <cellStyle name="r_Interest model 2" xfId="24230" xr:uid="{00000000-0005-0000-0000-00003B670000}"/>
    <cellStyle name="r_Interest model_PGE FS 1999 - 2006 10-23 V1 - for budget pres" xfId="601" xr:uid="{00000000-0005-0000-0000-00003C670000}"/>
    <cellStyle name="r_Interest model_PGE FS 1999 - 2006 10-23 V1 - for budget pres 2" xfId="24231" xr:uid="{00000000-0005-0000-0000-00003D670000}"/>
    <cellStyle name="r_Mary Cilia Model with Current Projections (LINKED)" xfId="602" xr:uid="{00000000-0005-0000-0000-00003E670000}"/>
    <cellStyle name="r_Mary Cilia Model with Current Projections (LINKED) 2" xfId="24232" xr:uid="{00000000-0005-0000-0000-00003F670000}"/>
    <cellStyle name="r_OpCo and Prelim Budget-2003 Final" xfId="603" xr:uid="{00000000-0005-0000-0000-000040670000}"/>
    <cellStyle name="r_OpCo and Prelim Budget-2003 Final 2" xfId="24233" xr:uid="{00000000-0005-0000-0000-000041670000}"/>
    <cellStyle name="r_OpCo and Prelim Budget-2003 Final_PGE FS 1999 - 2006 10-23 V1 - for budget pres" xfId="604" xr:uid="{00000000-0005-0000-0000-000042670000}"/>
    <cellStyle name="r_OpCo and Prelim Budget-2003 Final_PGE FS 1999 - 2006 10-23 V1 - for budget pres 2" xfId="24234" xr:uid="{00000000-0005-0000-0000-000043670000}"/>
    <cellStyle name="r_PGE FS 1999 - 2006 10-23 V1 - for budget pres" xfId="605" xr:uid="{00000000-0005-0000-0000-000044670000}"/>
    <cellStyle name="r_PGE FS 1999 - 2006 10-23 V1 - for budget pres 2" xfId="24235" xr:uid="{00000000-0005-0000-0000-000045670000}"/>
    <cellStyle name="r_PGE OpCo Forecast for Budget Presentation" xfId="606" xr:uid="{00000000-0005-0000-0000-000046670000}"/>
    <cellStyle name="r_PGE OpCo Forecast for Budget Presentation 2" xfId="24236" xr:uid="{00000000-0005-0000-0000-000047670000}"/>
    <cellStyle name="r_PGG Draft Cons Forecast 4-14 Revised" xfId="607" xr:uid="{00000000-0005-0000-0000-000048670000}"/>
    <cellStyle name="r_PGG Draft Cons Forecast 4-14 Revised 2" xfId="24237" xr:uid="{00000000-0005-0000-0000-000049670000}"/>
    <cellStyle name="r_PGG Draft Cons Forecast 4-14 Revised_PGE FS 1999 - 2006 10-23 V1 - for budget pres" xfId="608" xr:uid="{00000000-0005-0000-0000-00004A670000}"/>
    <cellStyle name="r_PGG Draft Cons Forecast 4-14 Revised_PGE FS 1999 - 2006 10-23 V1 - for budget pres 2" xfId="24238" xr:uid="{00000000-0005-0000-0000-00004B670000}"/>
    <cellStyle name="r_Reg Assets &amp; Liab" xfId="609" xr:uid="{00000000-0005-0000-0000-00004C670000}"/>
    <cellStyle name="r_Reg Assets &amp; Liab 2" xfId="24239" xr:uid="{00000000-0005-0000-0000-00004D670000}"/>
    <cellStyle name="r_Summary" xfId="610" xr:uid="{00000000-0005-0000-0000-00004E670000}"/>
    <cellStyle name="r_Summary - OpCo and Prelim Budget-2003 Final" xfId="611" xr:uid="{00000000-0005-0000-0000-00004F670000}"/>
    <cellStyle name="r_Summary - OpCo and Prelim Budget-2003 Final 2" xfId="24241" xr:uid="{00000000-0005-0000-0000-000050670000}"/>
    <cellStyle name="r_Summary - OpCo and Prelim Budget-2003 Final_PGE FS 1999 - 2006 10-23 V1 - for budget pres" xfId="612" xr:uid="{00000000-0005-0000-0000-000051670000}"/>
    <cellStyle name="r_Summary - OpCo and Prelim Budget-2003 Final_PGE FS 1999 - 2006 10-23 V1 - for budget pres 2" xfId="24242" xr:uid="{00000000-0005-0000-0000-000052670000}"/>
    <cellStyle name="r_Summary 10" xfId="24465" xr:uid="{00000000-0005-0000-0000-000053670000}"/>
    <cellStyle name="r_Summary 11" xfId="24393" xr:uid="{00000000-0005-0000-0000-000054670000}"/>
    <cellStyle name="r_Summary 12" xfId="24418" xr:uid="{00000000-0005-0000-0000-000055670000}"/>
    <cellStyle name="r_Summary 13" xfId="24395" xr:uid="{00000000-0005-0000-0000-000056670000}"/>
    <cellStyle name="r_Summary 14" xfId="24475" xr:uid="{00000000-0005-0000-0000-000057670000}"/>
    <cellStyle name="r_Summary 15" xfId="24396" xr:uid="{00000000-0005-0000-0000-000058670000}"/>
    <cellStyle name="r_Summary 16" xfId="24415" xr:uid="{00000000-0005-0000-0000-000059670000}"/>
    <cellStyle name="r_Summary 17" xfId="24397" xr:uid="{00000000-0005-0000-0000-00005A670000}"/>
    <cellStyle name="r_Summary 18" xfId="24414" xr:uid="{00000000-0005-0000-0000-00005B670000}"/>
    <cellStyle name="r_Summary 19" xfId="24499" xr:uid="{00000000-0005-0000-0000-00005C670000}"/>
    <cellStyle name="r_Summary 2" xfId="24240" xr:uid="{00000000-0005-0000-0000-00005D670000}"/>
    <cellStyle name="r_Summary 20" xfId="24413" xr:uid="{00000000-0005-0000-0000-00005E670000}"/>
    <cellStyle name="r_Summary 21" xfId="24398" xr:uid="{00000000-0005-0000-0000-00005F670000}"/>
    <cellStyle name="r_Summary 22" xfId="24412" xr:uid="{00000000-0005-0000-0000-000060670000}"/>
    <cellStyle name="r_Summary 23" xfId="24505" xr:uid="{00000000-0005-0000-0000-000061670000}"/>
    <cellStyle name="r_Summary 24" xfId="24410" xr:uid="{00000000-0005-0000-0000-000062670000}"/>
    <cellStyle name="r_Summary 25" xfId="24492" xr:uid="{00000000-0005-0000-0000-000063670000}"/>
    <cellStyle name="r_Summary 26" xfId="24473" xr:uid="{00000000-0005-0000-0000-000064670000}"/>
    <cellStyle name="r_Summary 3" xfId="24312" xr:uid="{00000000-0005-0000-0000-000065670000}"/>
    <cellStyle name="r_Summary 4" xfId="24308" xr:uid="{00000000-0005-0000-0000-000066670000}"/>
    <cellStyle name="r_Summary 5" xfId="24313" xr:uid="{00000000-0005-0000-0000-000067670000}"/>
    <cellStyle name="r_Summary 6" xfId="24472" xr:uid="{00000000-0005-0000-0000-000068670000}"/>
    <cellStyle name="r_Summary 7" xfId="24486" xr:uid="{00000000-0005-0000-0000-000069670000}"/>
    <cellStyle name="r_Summary 8" xfId="24469" xr:uid="{00000000-0005-0000-0000-00006A670000}"/>
    <cellStyle name="r_Summary 9" xfId="24504" xr:uid="{00000000-0005-0000-0000-00006B670000}"/>
    <cellStyle name="r_Summary_PGE FS 1999 - 2006 10-23 V1 - for budget pres" xfId="613" xr:uid="{00000000-0005-0000-0000-00006C670000}"/>
    <cellStyle name="r_Summary_PGE FS 1999 - 2006 10-23 V1 - for budget pres 2" xfId="24243" xr:uid="{00000000-0005-0000-0000-00006D670000}"/>
    <cellStyle name="Report" xfId="33373" xr:uid="{3C5FB271-747A-4FA4-92B1-FB8F0818A272}"/>
    <cellStyle name="Report Bar" xfId="33374" xr:uid="{03763989-2A7E-44D5-AA6B-68FCC542FCB2}"/>
    <cellStyle name="Report Heading" xfId="33372" xr:uid="{0DDF0DB9-3C3A-4352-91CA-DF976F9EA82D}"/>
    <cellStyle name="Report Unit Cost" xfId="33378" xr:uid="{77B97DFB-24F9-4A05-A9D3-181EFEE03660}"/>
    <cellStyle name="Reports Total" xfId="33375" xr:uid="{E7B81530-84E9-40B7-9425-6E3FFA19FF2B}"/>
    <cellStyle name="ReportTitlePrompt" xfId="3462" xr:uid="{00000000-0005-0000-0000-00006E670000}"/>
    <cellStyle name="ReportTitleValue" xfId="3463" xr:uid="{00000000-0005-0000-0000-00006F670000}"/>
    <cellStyle name="Right" xfId="614" xr:uid="{00000000-0005-0000-0000-000070670000}"/>
    <cellStyle name="Right 2" xfId="24244" xr:uid="{00000000-0005-0000-0000-000071670000}"/>
    <cellStyle name="RowAcctAbovePrompt" xfId="3464" xr:uid="{00000000-0005-0000-0000-000072670000}"/>
    <cellStyle name="RowAcctSOBAbovePrompt" xfId="3465" xr:uid="{00000000-0005-0000-0000-000073670000}"/>
    <cellStyle name="RowAcctSOBValue" xfId="3466" xr:uid="{00000000-0005-0000-0000-000074670000}"/>
    <cellStyle name="RowAcctValue" xfId="3467" xr:uid="{00000000-0005-0000-0000-000075670000}"/>
    <cellStyle name="RowAttrAbovePrompt" xfId="3468" xr:uid="{00000000-0005-0000-0000-000076670000}"/>
    <cellStyle name="RowAttrValue" xfId="3469" xr:uid="{00000000-0005-0000-0000-000077670000}"/>
    <cellStyle name="RowColSetAbovePrompt" xfId="3470" xr:uid="{00000000-0005-0000-0000-000078670000}"/>
    <cellStyle name="RowColSetLeftPrompt" xfId="3471" xr:uid="{00000000-0005-0000-0000-000079670000}"/>
    <cellStyle name="RowColSetValue" xfId="3472" xr:uid="{00000000-0005-0000-0000-00007A670000}"/>
    <cellStyle name="RowLeftPrompt" xfId="3473" xr:uid="{00000000-0005-0000-0000-00007B670000}"/>
    <cellStyle name="SampleUsingFormatMask" xfId="3474" xr:uid="{00000000-0005-0000-0000-00007C670000}"/>
    <cellStyle name="SampleWithNoFormatMask" xfId="3475" xr:uid="{00000000-0005-0000-0000-00007D670000}"/>
    <cellStyle name="SAPBEXaggData" xfId="72" xr:uid="{00000000-0005-0000-0000-00007E670000}"/>
    <cellStyle name="SAPBEXaggData 2" xfId="13621" xr:uid="{00000000-0005-0000-0000-00007F670000}"/>
    <cellStyle name="SAPBEXaggData 2 2" xfId="25459" xr:uid="{00000000-0005-0000-0000-000080670000}"/>
    <cellStyle name="SAPBEXaggData 2 2 2" xfId="27612" xr:uid="{00000000-0005-0000-0000-000081670000}"/>
    <cellStyle name="SAPBEXaggData 2 2 2 2" xfId="32199" xr:uid="{7A7BD6F2-74F0-4048-8D37-2C46C5430AF4}"/>
    <cellStyle name="SAPBEXaggData 2 2 3" xfId="27933" xr:uid="{00000000-0005-0000-0000-000082670000}"/>
    <cellStyle name="SAPBEXaggData 2 2 3 2" xfId="32491" xr:uid="{3F83CFB6-827B-45AA-8D60-9E0DBAE8668E}"/>
    <cellStyle name="SAPBEXaggData 2 2 4" xfId="26086" xr:uid="{00000000-0005-0000-0000-000083670000}"/>
    <cellStyle name="SAPBEXaggData 2 2 4 2" xfId="30876" xr:uid="{99B58365-E574-4F2F-A259-B0562D23FF59}"/>
    <cellStyle name="SAPBEXaggData 2 2 5" xfId="29485" xr:uid="{00000000-0005-0000-0000-000084670000}"/>
    <cellStyle name="SAPBEXaggData 2 3" xfId="26563" xr:uid="{00000000-0005-0000-0000-000085670000}"/>
    <cellStyle name="SAPBEXaggData 2 3 2" xfId="31341" xr:uid="{AE0C367D-55E8-4404-BD2F-62CC8EA70B88}"/>
    <cellStyle name="SAPBEXaggData 2 4" xfId="27932" xr:uid="{00000000-0005-0000-0000-000086670000}"/>
    <cellStyle name="SAPBEXaggData 2 4 2" xfId="32490" xr:uid="{43D3AFEE-79CD-4E89-BE34-7C3ADB0ADBA4}"/>
    <cellStyle name="SAPBEXaggData 2 5" xfId="26182" xr:uid="{00000000-0005-0000-0000-000087670000}"/>
    <cellStyle name="SAPBEXaggData 2 5 2" xfId="30970" xr:uid="{76FB0124-5DEF-43D7-B453-15A9F7696749}"/>
    <cellStyle name="SAPBEXaggData 2 6" xfId="29484" xr:uid="{00000000-0005-0000-0000-000088670000}"/>
    <cellStyle name="SAPBEXaggData 2 7" xfId="30161" xr:uid="{92D858B1-E627-4278-8819-66066A4D4964}"/>
    <cellStyle name="SAPBEXaggData 3" xfId="24686" xr:uid="{00000000-0005-0000-0000-000089670000}"/>
    <cellStyle name="SAPBEXaggData 3 2" xfId="25423" xr:uid="{00000000-0005-0000-0000-00008A670000}"/>
    <cellStyle name="SAPBEXaggData 3 2 2" xfId="27577" xr:uid="{00000000-0005-0000-0000-00008B670000}"/>
    <cellStyle name="SAPBEXaggData 3 2 2 2" xfId="32168" xr:uid="{2177028A-E649-4749-8CF0-FE23E34394AA}"/>
    <cellStyle name="SAPBEXaggData 3 2 3" xfId="27935" xr:uid="{00000000-0005-0000-0000-00008C670000}"/>
    <cellStyle name="SAPBEXaggData 3 2 3 2" xfId="32493" xr:uid="{7BE0B56B-1AA1-4FAC-BDE4-7DFF8E096042}"/>
    <cellStyle name="SAPBEXaggData 3 2 4" xfId="26481" xr:uid="{00000000-0005-0000-0000-00008D670000}"/>
    <cellStyle name="SAPBEXaggData 3 2 4 2" xfId="31269" xr:uid="{D1DA1C18-EEF4-42D5-8980-11501320D07B}"/>
    <cellStyle name="SAPBEXaggData 3 2 5" xfId="29487" xr:uid="{00000000-0005-0000-0000-00008E670000}"/>
    <cellStyle name="SAPBEXaggData 3 2 6" xfId="30581" xr:uid="{E6267DBD-8039-4504-902D-3554711A2BB6}"/>
    <cellStyle name="SAPBEXaggData 3 3" xfId="25649" xr:uid="{00000000-0005-0000-0000-00008F670000}"/>
    <cellStyle name="SAPBEXaggData 3 3 2" xfId="27802" xr:uid="{00000000-0005-0000-0000-000090670000}"/>
    <cellStyle name="SAPBEXaggData 3 3 2 2" xfId="32389" xr:uid="{5B7352C9-F2B0-441C-9330-A7D74409D31B}"/>
    <cellStyle name="SAPBEXaggData 3 3 3" xfId="27936" xr:uid="{00000000-0005-0000-0000-000091670000}"/>
    <cellStyle name="SAPBEXaggData 3 3 3 2" xfId="32494" xr:uid="{44C476FD-528D-438E-A0A4-90B87E382C75}"/>
    <cellStyle name="SAPBEXaggData 3 3 4" xfId="26358" xr:uid="{00000000-0005-0000-0000-000092670000}"/>
    <cellStyle name="SAPBEXaggData 3 3 4 2" xfId="31146" xr:uid="{9614230F-CCB2-43FF-AE48-096DA24E68BF}"/>
    <cellStyle name="SAPBEXaggData 3 3 5" xfId="29488" xr:uid="{00000000-0005-0000-0000-000093670000}"/>
    <cellStyle name="SAPBEXaggData 3 4" xfId="27276" xr:uid="{00000000-0005-0000-0000-000094670000}"/>
    <cellStyle name="SAPBEXaggData 3 4 2" xfId="31911" xr:uid="{3CA71A48-4CF2-41B3-95D8-E85DF320C1E4}"/>
    <cellStyle name="SAPBEXaggData 3 5" xfId="27934" xr:uid="{00000000-0005-0000-0000-000095670000}"/>
    <cellStyle name="SAPBEXaggData 3 5 2" xfId="32492" xr:uid="{E48813A4-1068-4662-8CAC-621E63E9FE0E}"/>
    <cellStyle name="SAPBEXaggData 3 6" xfId="27002" xr:uid="{00000000-0005-0000-0000-000096670000}"/>
    <cellStyle name="SAPBEXaggData 3 6 2" xfId="31762" xr:uid="{1BC70BF3-7B93-48B2-871E-B34DAD7E576D}"/>
    <cellStyle name="SAPBEXaggData 3 7" xfId="29486" xr:uid="{00000000-0005-0000-0000-000097670000}"/>
    <cellStyle name="SAPBEXaggData 3 8" xfId="30351" xr:uid="{D5FBE9D2-09EE-41AE-A0D5-FDAB7AB77243}"/>
    <cellStyle name="SAPBEXaggData 4" xfId="25090" xr:uid="{00000000-0005-0000-0000-000098670000}"/>
    <cellStyle name="SAPBEXaggData 4 2" xfId="25284" xr:uid="{00000000-0005-0000-0000-000099670000}"/>
    <cellStyle name="SAPBEXaggData 4 2 2" xfId="27439" xr:uid="{00000000-0005-0000-0000-00009A670000}"/>
    <cellStyle name="SAPBEXaggData 4 2 2 2" xfId="32034" xr:uid="{B7CCC9D9-DA77-4CEE-BDBD-7235D8D30763}"/>
    <cellStyle name="SAPBEXaggData 4 2 3" xfId="27938" xr:uid="{00000000-0005-0000-0000-00009B670000}"/>
    <cellStyle name="SAPBEXaggData 4 2 3 2" xfId="32496" xr:uid="{FDAF7F3A-7EC0-4DCB-BF25-DA2B4B608BAF}"/>
    <cellStyle name="SAPBEXaggData 4 2 4" xfId="26504" xr:uid="{00000000-0005-0000-0000-00009C670000}"/>
    <cellStyle name="SAPBEXaggData 4 2 4 2" xfId="31292" xr:uid="{24268017-52C5-4E53-99C6-95B155F82897}"/>
    <cellStyle name="SAPBEXaggData 4 2 5" xfId="29490" xr:uid="{00000000-0005-0000-0000-00009D670000}"/>
    <cellStyle name="SAPBEXaggData 4 2 6" xfId="30447" xr:uid="{306C7358-CA26-4C50-AC08-159431AB7203}"/>
    <cellStyle name="SAPBEXaggData 4 3" xfId="25688" xr:uid="{00000000-0005-0000-0000-00009E670000}"/>
    <cellStyle name="SAPBEXaggData 4 3 2" xfId="27841" xr:uid="{00000000-0005-0000-0000-00009F670000}"/>
    <cellStyle name="SAPBEXaggData 4 3 2 2" xfId="32428" xr:uid="{07B83BB5-F8BE-4AD7-B2DD-EB548DA503D4}"/>
    <cellStyle name="SAPBEXaggData 4 3 3" xfId="27939" xr:uid="{00000000-0005-0000-0000-0000A0670000}"/>
    <cellStyle name="SAPBEXaggData 4 3 3 2" xfId="32497" xr:uid="{C31DE5D4-A8BD-494B-A31C-0B4EE801E6D3}"/>
    <cellStyle name="SAPBEXaggData 4 3 4" xfId="26153" xr:uid="{00000000-0005-0000-0000-0000A1670000}"/>
    <cellStyle name="SAPBEXaggData 4 3 4 2" xfId="30942" xr:uid="{901AD129-07F0-4424-A1DF-4AA7E9794EF9}"/>
    <cellStyle name="SAPBEXaggData 4 3 5" xfId="29491" xr:uid="{00000000-0005-0000-0000-0000A2670000}"/>
    <cellStyle name="SAPBEXaggData 4 3 6" xfId="30682" xr:uid="{7F262843-D914-46D2-98D9-21C54EBE1B58}"/>
    <cellStyle name="SAPBEXaggData 4 4" xfId="27375" xr:uid="{00000000-0005-0000-0000-0000A3670000}"/>
    <cellStyle name="SAPBEXaggData 4 4 2" xfId="31973" xr:uid="{463B635B-ADB9-49A3-9B5F-83825B88A49E}"/>
    <cellStyle name="SAPBEXaggData 4 5" xfId="27937" xr:uid="{00000000-0005-0000-0000-0000A4670000}"/>
    <cellStyle name="SAPBEXaggData 4 5 2" xfId="32495" xr:uid="{0E83D1A1-AACB-4FA7-BF79-E019B2F1BF1A}"/>
    <cellStyle name="SAPBEXaggData 4 6" xfId="26340" xr:uid="{00000000-0005-0000-0000-0000A5670000}"/>
    <cellStyle name="SAPBEXaggData 4 6 2" xfId="31128" xr:uid="{F8E6DAAB-A447-4C67-A238-00D1C1C24663}"/>
    <cellStyle name="SAPBEXaggData 4 7" xfId="29489" xr:uid="{00000000-0005-0000-0000-0000A6670000}"/>
    <cellStyle name="SAPBEXaggData 4 8" xfId="30390" xr:uid="{9C6A030D-0E4A-4472-9A6F-CE456E731981}"/>
    <cellStyle name="SAPBEXaggData 5" xfId="25817" xr:uid="{00000000-0005-0000-0000-0000A7670000}"/>
    <cellStyle name="SAPBEXaggData 5 2" xfId="30736" xr:uid="{FED3BBE0-F082-4204-B863-D7617B8A5650}"/>
    <cellStyle name="SAPBEXaggData 6" xfId="27931" xr:uid="{00000000-0005-0000-0000-0000A8670000}"/>
    <cellStyle name="SAPBEXaggData 6 2" xfId="32489" xr:uid="{BD633FB8-8F1F-4B50-BEB1-4926BD139C99}"/>
    <cellStyle name="SAPBEXaggData 7" xfId="26998" xr:uid="{00000000-0005-0000-0000-0000A9670000}"/>
    <cellStyle name="SAPBEXaggData 7 2" xfId="31759" xr:uid="{EC77DD63-4189-4254-BF4B-FFE0552C27B4}"/>
    <cellStyle name="SAPBEXaggData 8" xfId="29483" xr:uid="{00000000-0005-0000-0000-0000AA670000}"/>
    <cellStyle name="SAPBEXaggDataEmph" xfId="73" xr:uid="{00000000-0005-0000-0000-0000AB670000}"/>
    <cellStyle name="SAPBEXaggDataEmph 2" xfId="13622" xr:uid="{00000000-0005-0000-0000-0000AC670000}"/>
    <cellStyle name="SAPBEXaggDataEmph 2 2" xfId="25460" xr:uid="{00000000-0005-0000-0000-0000AD670000}"/>
    <cellStyle name="SAPBEXaggDataEmph 2 2 2" xfId="27613" xr:uid="{00000000-0005-0000-0000-0000AE670000}"/>
    <cellStyle name="SAPBEXaggDataEmph 2 2 2 2" xfId="32200" xr:uid="{9943412C-6B52-4057-85AC-B04ACBF651A9}"/>
    <cellStyle name="SAPBEXaggDataEmph 2 2 3" xfId="27942" xr:uid="{00000000-0005-0000-0000-0000AF670000}"/>
    <cellStyle name="SAPBEXaggDataEmph 2 2 3 2" xfId="32500" xr:uid="{3BF38509-B45F-47B1-AEE8-8F7854496A73}"/>
    <cellStyle name="SAPBEXaggDataEmph 2 2 4" xfId="26454" xr:uid="{00000000-0005-0000-0000-0000B0670000}"/>
    <cellStyle name="SAPBEXaggDataEmph 2 2 4 2" xfId="31242" xr:uid="{4A25A63D-F6FA-443A-8064-9F640FDFBA8F}"/>
    <cellStyle name="SAPBEXaggDataEmph 2 2 5" xfId="29494" xr:uid="{00000000-0005-0000-0000-0000B1670000}"/>
    <cellStyle name="SAPBEXaggDataEmph 2 3" xfId="26564" xr:uid="{00000000-0005-0000-0000-0000B2670000}"/>
    <cellStyle name="SAPBEXaggDataEmph 2 3 2" xfId="31342" xr:uid="{7366461D-9A5B-4041-860D-2947FC0B5C30}"/>
    <cellStyle name="SAPBEXaggDataEmph 2 4" xfId="27941" xr:uid="{00000000-0005-0000-0000-0000B3670000}"/>
    <cellStyle name="SAPBEXaggDataEmph 2 4 2" xfId="32499" xr:uid="{79E0896B-F8DA-4D2E-9C7F-02663A4C12AE}"/>
    <cellStyle name="SAPBEXaggDataEmph 2 5" xfId="26221" xr:uid="{00000000-0005-0000-0000-0000B4670000}"/>
    <cellStyle name="SAPBEXaggDataEmph 2 5 2" xfId="31009" xr:uid="{574C99AF-6BE7-40EC-957A-F1188AC7ED24}"/>
    <cellStyle name="SAPBEXaggDataEmph 2 6" xfId="29493" xr:uid="{00000000-0005-0000-0000-0000B5670000}"/>
    <cellStyle name="SAPBEXaggDataEmph 2 7" xfId="30162" xr:uid="{8FE27431-2CAD-4331-8C47-A09783957E5F}"/>
    <cellStyle name="SAPBEXaggDataEmph 3" xfId="24685" xr:uid="{00000000-0005-0000-0000-0000B6670000}"/>
    <cellStyle name="SAPBEXaggDataEmph 3 2" xfId="25322" xr:uid="{00000000-0005-0000-0000-0000B7670000}"/>
    <cellStyle name="SAPBEXaggDataEmph 3 2 2" xfId="27476" xr:uid="{00000000-0005-0000-0000-0000B8670000}"/>
    <cellStyle name="SAPBEXaggDataEmph 3 2 2 2" xfId="32067" xr:uid="{54DF0BB1-1063-4734-9211-483F57E4A3FB}"/>
    <cellStyle name="SAPBEXaggDataEmph 3 2 3" xfId="27944" xr:uid="{00000000-0005-0000-0000-0000B9670000}"/>
    <cellStyle name="SAPBEXaggDataEmph 3 2 3 2" xfId="32502" xr:uid="{D54AF13A-C036-48AA-952E-643A94995A50}"/>
    <cellStyle name="SAPBEXaggDataEmph 3 2 4" xfId="26909" xr:uid="{00000000-0005-0000-0000-0000BA670000}"/>
    <cellStyle name="SAPBEXaggDataEmph 3 2 4 2" xfId="31670" xr:uid="{9C449592-6412-4942-9F70-82C88C19C940}"/>
    <cellStyle name="SAPBEXaggDataEmph 3 2 5" xfId="29496" xr:uid="{00000000-0005-0000-0000-0000BB670000}"/>
    <cellStyle name="SAPBEXaggDataEmph 3 2 6" xfId="30480" xr:uid="{20CF48F5-71EC-45DC-922B-9D2A5F39DF0C}"/>
    <cellStyle name="SAPBEXaggDataEmph 3 3" xfId="25648" xr:uid="{00000000-0005-0000-0000-0000BC670000}"/>
    <cellStyle name="SAPBEXaggDataEmph 3 3 2" xfId="27801" xr:uid="{00000000-0005-0000-0000-0000BD670000}"/>
    <cellStyle name="SAPBEXaggDataEmph 3 3 2 2" xfId="32388" xr:uid="{BFAB6168-AB07-4884-8CFC-CB0608DCBE83}"/>
    <cellStyle name="SAPBEXaggDataEmph 3 3 3" xfId="27945" xr:uid="{00000000-0005-0000-0000-0000BE670000}"/>
    <cellStyle name="SAPBEXaggDataEmph 3 3 3 2" xfId="32503" xr:uid="{31D00C29-2572-4244-B638-06A4A865FAEF}"/>
    <cellStyle name="SAPBEXaggDataEmph 3 3 4" xfId="26754" xr:uid="{00000000-0005-0000-0000-0000BF670000}"/>
    <cellStyle name="SAPBEXaggDataEmph 3 3 4 2" xfId="31515" xr:uid="{F46301EF-2C38-4D50-AD77-C96A69D2628D}"/>
    <cellStyle name="SAPBEXaggDataEmph 3 3 5" xfId="29497" xr:uid="{00000000-0005-0000-0000-0000C0670000}"/>
    <cellStyle name="SAPBEXaggDataEmph 3 4" xfId="27275" xr:uid="{00000000-0005-0000-0000-0000C1670000}"/>
    <cellStyle name="SAPBEXaggDataEmph 3 4 2" xfId="31910" xr:uid="{23641B80-D9D0-4CFF-8D2B-130AD0BF4D03}"/>
    <cellStyle name="SAPBEXaggDataEmph 3 5" xfId="27943" xr:uid="{00000000-0005-0000-0000-0000C2670000}"/>
    <cellStyle name="SAPBEXaggDataEmph 3 5 2" xfId="32501" xr:uid="{13EF1773-6FD1-4D83-A330-8EC15923685B}"/>
    <cellStyle name="SAPBEXaggDataEmph 3 6" xfId="26335" xr:uid="{00000000-0005-0000-0000-0000C3670000}"/>
    <cellStyle name="SAPBEXaggDataEmph 3 6 2" xfId="31123" xr:uid="{B0912D5A-4199-4E2F-82B5-0A57B390166A}"/>
    <cellStyle name="SAPBEXaggDataEmph 3 7" xfId="29495" xr:uid="{00000000-0005-0000-0000-0000C4670000}"/>
    <cellStyle name="SAPBEXaggDataEmph 3 8" xfId="30350" xr:uid="{CE8C22E6-CB94-4204-8026-F5795026450D}"/>
    <cellStyle name="SAPBEXaggDataEmph 4" xfId="25091" xr:uid="{00000000-0005-0000-0000-0000C5670000}"/>
    <cellStyle name="SAPBEXaggDataEmph 4 2" xfId="25367" xr:uid="{00000000-0005-0000-0000-0000C6670000}"/>
    <cellStyle name="SAPBEXaggDataEmph 4 2 2" xfId="27521" xr:uid="{00000000-0005-0000-0000-0000C7670000}"/>
    <cellStyle name="SAPBEXaggDataEmph 4 2 2 2" xfId="32112" xr:uid="{C60A40D3-CA18-440D-84D5-97A0AB28A92B}"/>
    <cellStyle name="SAPBEXaggDataEmph 4 2 3" xfId="27947" xr:uid="{00000000-0005-0000-0000-0000C8670000}"/>
    <cellStyle name="SAPBEXaggDataEmph 4 2 3 2" xfId="32505" xr:uid="{74ADEB43-6520-48C9-93DA-575FF4DF576F}"/>
    <cellStyle name="SAPBEXaggDataEmph 4 2 4" xfId="26168" xr:uid="{00000000-0005-0000-0000-0000C9670000}"/>
    <cellStyle name="SAPBEXaggDataEmph 4 2 4 2" xfId="30957" xr:uid="{7498BD9D-4CFA-4BA3-A766-D10F4DADCFC5}"/>
    <cellStyle name="SAPBEXaggDataEmph 4 2 5" xfId="29499" xr:uid="{00000000-0005-0000-0000-0000CA670000}"/>
    <cellStyle name="SAPBEXaggDataEmph 4 2 6" xfId="30525" xr:uid="{0DF722A9-6088-4F15-8DF4-B550AD786D53}"/>
    <cellStyle name="SAPBEXaggDataEmph 4 3" xfId="25689" xr:uid="{00000000-0005-0000-0000-0000CB670000}"/>
    <cellStyle name="SAPBEXaggDataEmph 4 3 2" xfId="27842" xr:uid="{00000000-0005-0000-0000-0000CC670000}"/>
    <cellStyle name="SAPBEXaggDataEmph 4 3 2 2" xfId="32429" xr:uid="{6D1EF92A-2F89-4686-BD41-5D42C59E3E95}"/>
    <cellStyle name="SAPBEXaggDataEmph 4 3 3" xfId="27948" xr:uid="{00000000-0005-0000-0000-0000CD670000}"/>
    <cellStyle name="SAPBEXaggDataEmph 4 3 3 2" xfId="32506" xr:uid="{014DF5EE-92F5-45CB-84FA-9CC5EC3D2E70}"/>
    <cellStyle name="SAPBEXaggDataEmph 4 3 4" xfId="26948" xr:uid="{00000000-0005-0000-0000-0000CE670000}"/>
    <cellStyle name="SAPBEXaggDataEmph 4 3 4 2" xfId="31709" xr:uid="{1F734CDA-9E62-4294-ABFB-DEDC42CE4FE5}"/>
    <cellStyle name="SAPBEXaggDataEmph 4 3 5" xfId="29500" xr:uid="{00000000-0005-0000-0000-0000CF670000}"/>
    <cellStyle name="SAPBEXaggDataEmph 4 3 6" xfId="30683" xr:uid="{2AE0CF79-EC92-429E-872B-1F1F038F54D9}"/>
    <cellStyle name="SAPBEXaggDataEmph 4 4" xfId="27376" xr:uid="{00000000-0005-0000-0000-0000D0670000}"/>
    <cellStyle name="SAPBEXaggDataEmph 4 4 2" xfId="31974" xr:uid="{08031EE0-56B8-4D53-96A5-435E3924EC4F}"/>
    <cellStyle name="SAPBEXaggDataEmph 4 5" xfId="27946" xr:uid="{00000000-0005-0000-0000-0000D1670000}"/>
    <cellStyle name="SAPBEXaggDataEmph 4 5 2" xfId="32504" xr:uid="{C924DCD7-521E-4822-A44C-DACCFA12BDD1}"/>
    <cellStyle name="SAPBEXaggDataEmph 4 6" xfId="26469" xr:uid="{00000000-0005-0000-0000-0000D2670000}"/>
    <cellStyle name="SAPBEXaggDataEmph 4 6 2" xfId="31257" xr:uid="{17D2FE2B-EE31-4346-A44A-9C14017DC7A2}"/>
    <cellStyle name="SAPBEXaggDataEmph 4 7" xfId="29498" xr:uid="{00000000-0005-0000-0000-0000D3670000}"/>
    <cellStyle name="SAPBEXaggDataEmph 4 8" xfId="30391" xr:uid="{A84C56A4-17F0-4821-9032-911516372ACB}"/>
    <cellStyle name="SAPBEXaggDataEmph 5" xfId="25818" xr:uid="{00000000-0005-0000-0000-0000D4670000}"/>
    <cellStyle name="SAPBEXaggDataEmph 5 2" xfId="30737" xr:uid="{B8528054-D1B1-4038-8ADF-60AA48A9EC58}"/>
    <cellStyle name="SAPBEXaggDataEmph 6" xfId="27940" xr:uid="{00000000-0005-0000-0000-0000D5670000}"/>
    <cellStyle name="SAPBEXaggDataEmph 6 2" xfId="32498" xr:uid="{5847BF2B-83B2-49AD-B8D3-94C31F1E910B}"/>
    <cellStyle name="SAPBEXaggDataEmph 7" xfId="26491" xr:uid="{00000000-0005-0000-0000-0000D6670000}"/>
    <cellStyle name="SAPBEXaggDataEmph 7 2" xfId="31279" xr:uid="{0A8DB18F-F016-424D-97B4-F9ADB4A9F546}"/>
    <cellStyle name="SAPBEXaggDataEmph 8" xfId="29492" xr:uid="{00000000-0005-0000-0000-0000D7670000}"/>
    <cellStyle name="SAPBEXaggItem" xfId="74" xr:uid="{00000000-0005-0000-0000-0000D8670000}"/>
    <cellStyle name="SAPBEXaggItem 10" xfId="24684" xr:uid="{00000000-0005-0000-0000-0000D9670000}"/>
    <cellStyle name="SAPBEXaggItem 10 2" xfId="25409" xr:uid="{00000000-0005-0000-0000-0000DA670000}"/>
    <cellStyle name="SAPBEXaggItem 10 2 2" xfId="27563" xr:uid="{00000000-0005-0000-0000-0000DB670000}"/>
    <cellStyle name="SAPBEXaggItem 10 2 2 2" xfId="32154" xr:uid="{B74521FE-3223-4315-B9F7-61B24C7722D1}"/>
    <cellStyle name="SAPBEXaggItem 10 2 3" xfId="27951" xr:uid="{00000000-0005-0000-0000-0000DC670000}"/>
    <cellStyle name="SAPBEXaggItem 10 2 3 2" xfId="32509" xr:uid="{8E92B197-D23C-46DE-B3A6-F5AEE1E594A1}"/>
    <cellStyle name="SAPBEXaggItem 10 2 4" xfId="26166" xr:uid="{00000000-0005-0000-0000-0000DD670000}"/>
    <cellStyle name="SAPBEXaggItem 10 2 4 2" xfId="30955" xr:uid="{28491B5D-5E3F-4863-993D-5098E5BD2FD5}"/>
    <cellStyle name="SAPBEXaggItem 10 2 5" xfId="29503" xr:uid="{00000000-0005-0000-0000-0000DE670000}"/>
    <cellStyle name="SAPBEXaggItem 10 2 6" xfId="30567" xr:uid="{087DDFF5-E1C2-4399-9217-80D462584BD0}"/>
    <cellStyle name="SAPBEXaggItem 10 3" xfId="25647" xr:uid="{00000000-0005-0000-0000-0000DF670000}"/>
    <cellStyle name="SAPBEXaggItem 10 3 2" xfId="27800" xr:uid="{00000000-0005-0000-0000-0000E0670000}"/>
    <cellStyle name="SAPBEXaggItem 10 3 2 2" xfId="32387" xr:uid="{072507D8-4F56-461F-87DD-3E5504A66281}"/>
    <cellStyle name="SAPBEXaggItem 10 3 3" xfId="27952" xr:uid="{00000000-0005-0000-0000-0000E1670000}"/>
    <cellStyle name="SAPBEXaggItem 10 3 3 2" xfId="32510" xr:uid="{8F26D6BE-33FF-46CF-B902-F04EAB5440C3}"/>
    <cellStyle name="SAPBEXaggItem 10 3 4" xfId="26882" xr:uid="{00000000-0005-0000-0000-0000E2670000}"/>
    <cellStyle name="SAPBEXaggItem 10 3 4 2" xfId="31643" xr:uid="{1F3F05EC-9B52-4B68-8634-3F260E3E6DEC}"/>
    <cellStyle name="SAPBEXaggItem 10 3 5" xfId="29504" xr:uid="{00000000-0005-0000-0000-0000E3670000}"/>
    <cellStyle name="SAPBEXaggItem 10 4" xfId="27274" xr:uid="{00000000-0005-0000-0000-0000E4670000}"/>
    <cellStyle name="SAPBEXaggItem 10 4 2" xfId="31909" xr:uid="{A1C4326E-6013-4ECF-A55C-5471B7C7F821}"/>
    <cellStyle name="SAPBEXaggItem 10 5" xfId="27950" xr:uid="{00000000-0005-0000-0000-0000E5670000}"/>
    <cellStyle name="SAPBEXaggItem 10 5 2" xfId="32508" xr:uid="{F5277112-7DF0-4B8D-9164-B8663DE8CEF8}"/>
    <cellStyle name="SAPBEXaggItem 10 6" xfId="26857" xr:uid="{00000000-0005-0000-0000-0000E6670000}"/>
    <cellStyle name="SAPBEXaggItem 10 6 2" xfId="31618" xr:uid="{9C4842F1-45BB-4F44-88A1-95852B3A1866}"/>
    <cellStyle name="SAPBEXaggItem 10 7" xfId="29502" xr:uid="{00000000-0005-0000-0000-0000E7670000}"/>
    <cellStyle name="SAPBEXaggItem 10 8" xfId="30349" xr:uid="{D4A5156A-0B15-4B6E-A55D-63F7DFA21BE2}"/>
    <cellStyle name="SAPBEXaggItem 11" xfId="25092" xr:uid="{00000000-0005-0000-0000-0000E8670000}"/>
    <cellStyle name="SAPBEXaggItem 11 2" xfId="25381" xr:uid="{00000000-0005-0000-0000-0000E9670000}"/>
    <cellStyle name="SAPBEXaggItem 11 2 2" xfId="27535" xr:uid="{00000000-0005-0000-0000-0000EA670000}"/>
    <cellStyle name="SAPBEXaggItem 11 2 2 2" xfId="32126" xr:uid="{9EF60B37-DA76-47E9-AA2B-F013E73D8547}"/>
    <cellStyle name="SAPBEXaggItem 11 2 3" xfId="27954" xr:uid="{00000000-0005-0000-0000-0000EB670000}"/>
    <cellStyle name="SAPBEXaggItem 11 2 3 2" xfId="32512" xr:uid="{D4AA14C8-5798-4FA9-B1FA-69FD2FF5A912}"/>
    <cellStyle name="SAPBEXaggItem 11 2 4" xfId="26406" xr:uid="{00000000-0005-0000-0000-0000EC670000}"/>
    <cellStyle name="SAPBEXaggItem 11 2 4 2" xfId="31194" xr:uid="{8C113BAD-F87E-4528-B8E6-E39F9AC629DC}"/>
    <cellStyle name="SAPBEXaggItem 11 2 5" xfId="29506" xr:uid="{00000000-0005-0000-0000-0000ED670000}"/>
    <cellStyle name="SAPBEXaggItem 11 2 6" xfId="30539" xr:uid="{9053DE92-000A-4A2D-A739-A4DFF2169072}"/>
    <cellStyle name="SAPBEXaggItem 11 3" xfId="25690" xr:uid="{00000000-0005-0000-0000-0000EE670000}"/>
    <cellStyle name="SAPBEXaggItem 11 3 2" xfId="27843" xr:uid="{00000000-0005-0000-0000-0000EF670000}"/>
    <cellStyle name="SAPBEXaggItem 11 3 2 2" xfId="32430" xr:uid="{3917EC53-AED7-4A4A-A917-7FB25A88AE77}"/>
    <cellStyle name="SAPBEXaggItem 11 3 3" xfId="27955" xr:uid="{00000000-0005-0000-0000-0000F0670000}"/>
    <cellStyle name="SAPBEXaggItem 11 3 3 2" xfId="32513" xr:uid="{21A5235B-3031-4DFB-9FB6-1D326A7F0F52}"/>
    <cellStyle name="SAPBEXaggItem 11 3 4" xfId="26301" xr:uid="{00000000-0005-0000-0000-0000F1670000}"/>
    <cellStyle name="SAPBEXaggItem 11 3 4 2" xfId="31089" xr:uid="{85F038BF-B8F1-465E-82BE-8E5EB06A0DF3}"/>
    <cellStyle name="SAPBEXaggItem 11 3 5" xfId="29507" xr:uid="{00000000-0005-0000-0000-0000F2670000}"/>
    <cellStyle name="SAPBEXaggItem 11 3 6" xfId="30684" xr:uid="{0AECF593-E8A6-48AF-9EAD-894F056B0478}"/>
    <cellStyle name="SAPBEXaggItem 11 4" xfId="27377" xr:uid="{00000000-0005-0000-0000-0000F3670000}"/>
    <cellStyle name="SAPBEXaggItem 11 4 2" xfId="31975" xr:uid="{8304FCC8-0802-4D5D-8448-ED0454F17D0D}"/>
    <cellStyle name="SAPBEXaggItem 11 5" xfId="27953" xr:uid="{00000000-0005-0000-0000-0000F4670000}"/>
    <cellStyle name="SAPBEXaggItem 11 5 2" xfId="32511" xr:uid="{25658C88-2B1B-4681-8D31-1076576BB356}"/>
    <cellStyle name="SAPBEXaggItem 11 6" xfId="26383" xr:uid="{00000000-0005-0000-0000-0000F5670000}"/>
    <cellStyle name="SAPBEXaggItem 11 6 2" xfId="31171" xr:uid="{7D0356DA-B7A3-484B-8302-C3C25C3622A2}"/>
    <cellStyle name="SAPBEXaggItem 11 7" xfId="29505" xr:uid="{00000000-0005-0000-0000-0000F6670000}"/>
    <cellStyle name="SAPBEXaggItem 11 8" xfId="30392" xr:uid="{4D7370D3-43AD-4149-B84C-E3D9D496FBEA}"/>
    <cellStyle name="SAPBEXaggItem 12" xfId="25819" xr:uid="{00000000-0005-0000-0000-0000F7670000}"/>
    <cellStyle name="SAPBEXaggItem 12 2" xfId="30738" xr:uid="{C44E6247-E667-40D1-AD82-825B574EB392}"/>
    <cellStyle name="SAPBEXaggItem 13" xfId="27949" xr:uid="{00000000-0005-0000-0000-0000F8670000}"/>
    <cellStyle name="SAPBEXaggItem 13 2" xfId="32507" xr:uid="{2176C963-0CFC-416B-A0B4-232FAA12E1E8}"/>
    <cellStyle name="SAPBEXaggItem 14" xfId="26205" xr:uid="{00000000-0005-0000-0000-0000F9670000}"/>
    <cellStyle name="SAPBEXaggItem 14 2" xfId="30993" xr:uid="{6862602F-FADD-4028-B18E-34A738147A8F}"/>
    <cellStyle name="SAPBEXaggItem 15" xfId="29501" xr:uid="{00000000-0005-0000-0000-0000FA670000}"/>
    <cellStyle name="SAPBEXaggItem 2" xfId="75" xr:uid="{00000000-0005-0000-0000-0000FB670000}"/>
    <cellStyle name="SAPBEXaggItem 2 2" xfId="13624" xr:uid="{00000000-0005-0000-0000-0000FC670000}"/>
    <cellStyle name="SAPBEXaggItem 2 2 2" xfId="25462" xr:uid="{00000000-0005-0000-0000-0000FD670000}"/>
    <cellStyle name="SAPBEXaggItem 2 2 2 2" xfId="27615" xr:uid="{00000000-0005-0000-0000-0000FE670000}"/>
    <cellStyle name="SAPBEXaggItem 2 2 2 2 2" xfId="32202" xr:uid="{30541DEC-64B5-4BE6-83BD-03894DAA1359}"/>
    <cellStyle name="SAPBEXaggItem 2 2 2 3" xfId="27958" xr:uid="{00000000-0005-0000-0000-0000FF670000}"/>
    <cellStyle name="SAPBEXaggItem 2 2 2 3 2" xfId="32516" xr:uid="{243936E6-9CCC-4ADE-B24B-B103CA1240FE}"/>
    <cellStyle name="SAPBEXaggItem 2 2 2 4" xfId="26317" xr:uid="{00000000-0005-0000-0000-000000680000}"/>
    <cellStyle name="SAPBEXaggItem 2 2 2 4 2" xfId="31105" xr:uid="{3A9F09F0-3B32-45E4-9A11-A75A646612DE}"/>
    <cellStyle name="SAPBEXaggItem 2 2 2 5" xfId="29510" xr:uid="{00000000-0005-0000-0000-000001680000}"/>
    <cellStyle name="SAPBEXaggItem 2 2 3" xfId="26566" xr:uid="{00000000-0005-0000-0000-000002680000}"/>
    <cellStyle name="SAPBEXaggItem 2 2 3 2" xfId="31344" xr:uid="{D6E0D68C-EEF2-410B-8506-72321522D36D}"/>
    <cellStyle name="SAPBEXaggItem 2 2 4" xfId="27957" xr:uid="{00000000-0005-0000-0000-000003680000}"/>
    <cellStyle name="SAPBEXaggItem 2 2 4 2" xfId="32515" xr:uid="{2C7299DB-CE41-4D72-BC5B-6BBED918FD1F}"/>
    <cellStyle name="SAPBEXaggItem 2 2 5" xfId="26904" xr:uid="{00000000-0005-0000-0000-000004680000}"/>
    <cellStyle name="SAPBEXaggItem 2 2 5 2" xfId="31665" xr:uid="{506E356D-917B-44CD-8505-8A3C4CA07E7D}"/>
    <cellStyle name="SAPBEXaggItem 2 2 6" xfId="29509" xr:uid="{00000000-0005-0000-0000-000005680000}"/>
    <cellStyle name="SAPBEXaggItem 2 2 7" xfId="30164" xr:uid="{ED9227BC-E626-4CE1-9D94-689DFC627FD4}"/>
    <cellStyle name="SAPBEXaggItem 2 3" xfId="25820" xr:uid="{00000000-0005-0000-0000-000006680000}"/>
    <cellStyle name="SAPBEXaggItem 2 3 2" xfId="30739" xr:uid="{F5DCAC4C-336B-46A1-AB4B-8FBE0EA3C44E}"/>
    <cellStyle name="SAPBEXaggItem 2 4" xfId="27956" xr:uid="{00000000-0005-0000-0000-000007680000}"/>
    <cellStyle name="SAPBEXaggItem 2 4 2" xfId="32514" xr:uid="{E7BB1285-BFD4-4ED4-B845-0F9ED9341F4A}"/>
    <cellStyle name="SAPBEXaggItem 2 5" xfId="26062" xr:uid="{00000000-0005-0000-0000-000008680000}"/>
    <cellStyle name="SAPBEXaggItem 2 5 2" xfId="30852" xr:uid="{443E3975-48FE-4B9B-B914-3E705D7CDB18}"/>
    <cellStyle name="SAPBEXaggItem 2 6" xfId="29508" xr:uid="{00000000-0005-0000-0000-000009680000}"/>
    <cellStyle name="SAPBEXaggItem 3" xfId="219" xr:uid="{00000000-0005-0000-0000-00000A680000}"/>
    <cellStyle name="SAPBEXaggItem 3 2" xfId="13705" xr:uid="{00000000-0005-0000-0000-00000B680000}"/>
    <cellStyle name="SAPBEXaggItem 3 2 2" xfId="25519" xr:uid="{00000000-0005-0000-0000-00000C680000}"/>
    <cellStyle name="SAPBEXaggItem 3 2 2 2" xfId="27672" xr:uid="{00000000-0005-0000-0000-00000D680000}"/>
    <cellStyle name="SAPBEXaggItem 3 2 2 2 2" xfId="32259" xr:uid="{E0D9915F-48B2-4A39-A1C6-B538D9B38EEF}"/>
    <cellStyle name="SAPBEXaggItem 3 2 2 3" xfId="27961" xr:uid="{00000000-0005-0000-0000-00000E680000}"/>
    <cellStyle name="SAPBEXaggItem 3 2 2 3 2" xfId="32519" xr:uid="{A36459F3-A8BF-46E1-99C3-E1E1370FE7E6}"/>
    <cellStyle name="SAPBEXaggItem 3 2 2 4" xfId="26391" xr:uid="{00000000-0005-0000-0000-00000F680000}"/>
    <cellStyle name="SAPBEXaggItem 3 2 2 4 2" xfId="31179" xr:uid="{2001A3B1-D2F7-40F1-9F97-31ECF3C5AB7E}"/>
    <cellStyle name="SAPBEXaggItem 3 2 2 5" xfId="29513" xr:uid="{00000000-0005-0000-0000-000010680000}"/>
    <cellStyle name="SAPBEXaggItem 3 2 3" xfId="26625" xr:uid="{00000000-0005-0000-0000-000011680000}"/>
    <cellStyle name="SAPBEXaggItem 3 2 3 2" xfId="31402" xr:uid="{55D7E3F3-579D-414B-BDD8-77933C8AE563}"/>
    <cellStyle name="SAPBEXaggItem 3 2 4" xfId="27960" xr:uid="{00000000-0005-0000-0000-000012680000}"/>
    <cellStyle name="SAPBEXaggItem 3 2 4 2" xfId="32518" xr:uid="{C9F67F0F-C2F5-4DB9-8A37-DE5151299EA9}"/>
    <cellStyle name="SAPBEXaggItem 3 2 5" xfId="26266" xr:uid="{00000000-0005-0000-0000-000013680000}"/>
    <cellStyle name="SAPBEXaggItem 3 2 5 2" xfId="31054" xr:uid="{2CB9EBD2-ED97-42D5-8BF5-DC9776F42581}"/>
    <cellStyle name="SAPBEXaggItem 3 2 6" xfId="29512" xr:uid="{00000000-0005-0000-0000-000014680000}"/>
    <cellStyle name="SAPBEXaggItem 3 2 7" xfId="30221" xr:uid="{D10B12E2-130C-4B7C-964C-454B96EA5F50}"/>
    <cellStyle name="SAPBEXaggItem 3 3" xfId="25908" xr:uid="{00000000-0005-0000-0000-000015680000}"/>
    <cellStyle name="SAPBEXaggItem 3 3 2" xfId="30797" xr:uid="{93CC1510-AFC5-4F35-890C-252E33BC0A70}"/>
    <cellStyle name="SAPBEXaggItem 3 4" xfId="27959" xr:uid="{00000000-0005-0000-0000-000016680000}"/>
    <cellStyle name="SAPBEXaggItem 3 4 2" xfId="32517" xr:uid="{D92CA0BD-2D77-45C8-82F1-BF46574C2C5B}"/>
    <cellStyle name="SAPBEXaggItem 3 5" xfId="26052" xr:uid="{00000000-0005-0000-0000-000017680000}"/>
    <cellStyle name="SAPBEXaggItem 3 5 2" xfId="30844" xr:uid="{07EC4D8B-E13C-47C3-91FD-1C8BB3D41CEE}"/>
    <cellStyle name="SAPBEXaggItem 3 6" xfId="29511" xr:uid="{00000000-0005-0000-0000-000018680000}"/>
    <cellStyle name="SAPBEXaggItem 4" xfId="220" xr:uid="{00000000-0005-0000-0000-000019680000}"/>
    <cellStyle name="SAPBEXaggItem 4 2" xfId="13706" xr:uid="{00000000-0005-0000-0000-00001A680000}"/>
    <cellStyle name="SAPBEXaggItem 4 2 2" xfId="25520" xr:uid="{00000000-0005-0000-0000-00001B680000}"/>
    <cellStyle name="SAPBEXaggItem 4 2 2 2" xfId="27673" xr:uid="{00000000-0005-0000-0000-00001C680000}"/>
    <cellStyle name="SAPBEXaggItem 4 2 2 2 2" xfId="32260" xr:uid="{12BE9DC6-3CEC-420A-B5DF-31866BD31115}"/>
    <cellStyle name="SAPBEXaggItem 4 2 2 3" xfId="27964" xr:uid="{00000000-0005-0000-0000-00001D680000}"/>
    <cellStyle name="SAPBEXaggItem 4 2 2 3 2" xfId="32522" xr:uid="{3683C39F-22FE-4CFE-8E83-EF5C4FDE981B}"/>
    <cellStyle name="SAPBEXaggItem 4 2 2 4" xfId="27163" xr:uid="{00000000-0005-0000-0000-00001E680000}"/>
    <cellStyle name="SAPBEXaggItem 4 2 2 4 2" xfId="31854" xr:uid="{2C9E21CE-4E16-4A3E-93F1-2B22D5B5B9FF}"/>
    <cellStyle name="SAPBEXaggItem 4 2 2 5" xfId="29516" xr:uid="{00000000-0005-0000-0000-00001F680000}"/>
    <cellStyle name="SAPBEXaggItem 4 2 3" xfId="26626" xr:uid="{00000000-0005-0000-0000-000020680000}"/>
    <cellStyle name="SAPBEXaggItem 4 2 3 2" xfId="31403" xr:uid="{29E490A9-FFE6-4DBB-8117-4AEE49724ED3}"/>
    <cellStyle name="SAPBEXaggItem 4 2 4" xfId="27963" xr:uid="{00000000-0005-0000-0000-000021680000}"/>
    <cellStyle name="SAPBEXaggItem 4 2 4 2" xfId="32521" xr:uid="{2C5E36BC-A357-4C32-BA7C-D8FE10BE020B}"/>
    <cellStyle name="SAPBEXaggItem 4 2 5" xfId="26768" xr:uid="{00000000-0005-0000-0000-000022680000}"/>
    <cellStyle name="SAPBEXaggItem 4 2 5 2" xfId="31529" xr:uid="{B6F2BA62-FD11-4C09-9643-0B51AD09C6A5}"/>
    <cellStyle name="SAPBEXaggItem 4 2 6" xfId="29515" xr:uid="{00000000-0005-0000-0000-000023680000}"/>
    <cellStyle name="SAPBEXaggItem 4 2 7" xfId="30222" xr:uid="{2BD0EDD7-9FF1-4F38-BB5B-89384F5A2462}"/>
    <cellStyle name="SAPBEXaggItem 4 3" xfId="25909" xr:uid="{00000000-0005-0000-0000-000024680000}"/>
    <cellStyle name="SAPBEXaggItem 4 3 2" xfId="30798" xr:uid="{3BB2477D-00FB-4CDC-97E2-DAC118639692}"/>
    <cellStyle name="SAPBEXaggItem 4 4" xfId="27962" xr:uid="{00000000-0005-0000-0000-000025680000}"/>
    <cellStyle name="SAPBEXaggItem 4 4 2" xfId="32520" xr:uid="{6D5015CE-FF43-4B1C-B7CB-18ACE62B6A46}"/>
    <cellStyle name="SAPBEXaggItem 4 5" xfId="26183" xr:uid="{00000000-0005-0000-0000-000026680000}"/>
    <cellStyle name="SAPBEXaggItem 4 5 2" xfId="30971" xr:uid="{C3C28DB1-4E5B-4A9F-B559-C69A309D466D}"/>
    <cellStyle name="SAPBEXaggItem 4 6" xfId="29514" xr:uid="{00000000-0005-0000-0000-000027680000}"/>
    <cellStyle name="SAPBEXaggItem 5" xfId="221" xr:uid="{00000000-0005-0000-0000-000028680000}"/>
    <cellStyle name="SAPBEXaggItem 5 2" xfId="13707" xr:uid="{00000000-0005-0000-0000-000029680000}"/>
    <cellStyle name="SAPBEXaggItem 5 2 2" xfId="25521" xr:uid="{00000000-0005-0000-0000-00002A680000}"/>
    <cellStyle name="SAPBEXaggItem 5 2 2 2" xfId="27674" xr:uid="{00000000-0005-0000-0000-00002B680000}"/>
    <cellStyle name="SAPBEXaggItem 5 2 2 2 2" xfId="32261" xr:uid="{F182A2F6-136E-4C5C-B752-423E88972946}"/>
    <cellStyle name="SAPBEXaggItem 5 2 2 3" xfId="27967" xr:uid="{00000000-0005-0000-0000-00002C680000}"/>
    <cellStyle name="SAPBEXaggItem 5 2 2 3 2" xfId="32525" xr:uid="{21CE2B0C-82D9-4D40-BBE0-03E0CB1F148F}"/>
    <cellStyle name="SAPBEXaggItem 5 2 2 4" xfId="26981" xr:uid="{00000000-0005-0000-0000-00002D680000}"/>
    <cellStyle name="SAPBEXaggItem 5 2 2 4 2" xfId="31742" xr:uid="{5EDE199C-AC74-4F72-A100-2351A2C24FA1}"/>
    <cellStyle name="SAPBEXaggItem 5 2 2 5" xfId="29519" xr:uid="{00000000-0005-0000-0000-00002E680000}"/>
    <cellStyle name="SAPBEXaggItem 5 2 3" xfId="26627" xr:uid="{00000000-0005-0000-0000-00002F680000}"/>
    <cellStyle name="SAPBEXaggItem 5 2 3 2" xfId="31404" xr:uid="{F06AB396-BE62-4021-B130-0CFFC7C032E9}"/>
    <cellStyle name="SAPBEXaggItem 5 2 4" xfId="27966" xr:uid="{00000000-0005-0000-0000-000030680000}"/>
    <cellStyle name="SAPBEXaggItem 5 2 4 2" xfId="32524" xr:uid="{19737641-C03F-4A72-A575-F51089BCABE1}"/>
    <cellStyle name="SAPBEXaggItem 5 2 5" xfId="26119" xr:uid="{00000000-0005-0000-0000-000031680000}"/>
    <cellStyle name="SAPBEXaggItem 5 2 5 2" xfId="30909" xr:uid="{C9550E93-7063-404A-B355-B3C27B905E31}"/>
    <cellStyle name="SAPBEXaggItem 5 2 6" xfId="29518" xr:uid="{00000000-0005-0000-0000-000032680000}"/>
    <cellStyle name="SAPBEXaggItem 5 2 7" xfId="30223" xr:uid="{EC26C7B1-6A5D-420F-B943-F9928E2DB865}"/>
    <cellStyle name="SAPBEXaggItem 5 3" xfId="25910" xr:uid="{00000000-0005-0000-0000-000033680000}"/>
    <cellStyle name="SAPBEXaggItem 5 3 2" xfId="30799" xr:uid="{C46D9E85-4898-4E54-8A1C-59F7B438F9C1}"/>
    <cellStyle name="SAPBEXaggItem 5 4" xfId="27965" xr:uid="{00000000-0005-0000-0000-000034680000}"/>
    <cellStyle name="SAPBEXaggItem 5 4 2" xfId="32523" xr:uid="{7679A9AF-7641-43FE-B6C7-A5314B750B0C}"/>
    <cellStyle name="SAPBEXaggItem 5 5" xfId="26306" xr:uid="{00000000-0005-0000-0000-000035680000}"/>
    <cellStyle name="SAPBEXaggItem 5 5 2" xfId="31094" xr:uid="{E519DC92-CF95-41D7-8289-DB84D6485529}"/>
    <cellStyle name="SAPBEXaggItem 5 6" xfId="29517" xr:uid="{00000000-0005-0000-0000-000036680000}"/>
    <cellStyle name="SAPBEXaggItem 6" xfId="222" xr:uid="{00000000-0005-0000-0000-000037680000}"/>
    <cellStyle name="SAPBEXaggItem 6 2" xfId="13708" xr:uid="{00000000-0005-0000-0000-000038680000}"/>
    <cellStyle name="SAPBEXaggItem 6 2 2" xfId="25522" xr:uid="{00000000-0005-0000-0000-000039680000}"/>
    <cellStyle name="SAPBEXaggItem 6 2 2 2" xfId="27675" xr:uid="{00000000-0005-0000-0000-00003A680000}"/>
    <cellStyle name="SAPBEXaggItem 6 2 2 2 2" xfId="32262" xr:uid="{70242670-B391-433E-A32A-C92D71F3AD0A}"/>
    <cellStyle name="SAPBEXaggItem 6 2 2 3" xfId="27970" xr:uid="{00000000-0005-0000-0000-00003B680000}"/>
    <cellStyle name="SAPBEXaggItem 6 2 2 3 2" xfId="32528" xr:uid="{64E16CD8-6486-4FE8-8F4E-E69AE53A5526}"/>
    <cellStyle name="SAPBEXaggItem 6 2 2 4" xfId="26906" xr:uid="{00000000-0005-0000-0000-00003C680000}"/>
    <cellStyle name="SAPBEXaggItem 6 2 2 4 2" xfId="31667" xr:uid="{D3E14612-9744-4683-93F9-2B2638AA0336}"/>
    <cellStyle name="SAPBEXaggItem 6 2 2 5" xfId="29522" xr:uid="{00000000-0005-0000-0000-00003D680000}"/>
    <cellStyle name="SAPBEXaggItem 6 2 3" xfId="26628" xr:uid="{00000000-0005-0000-0000-00003E680000}"/>
    <cellStyle name="SAPBEXaggItem 6 2 3 2" xfId="31405" xr:uid="{716FFE8D-5284-49AB-89D9-99DE794BA86D}"/>
    <cellStyle name="SAPBEXaggItem 6 2 4" xfId="27969" xr:uid="{00000000-0005-0000-0000-00003F680000}"/>
    <cellStyle name="SAPBEXaggItem 6 2 4 2" xfId="32527" xr:uid="{78C3EFA7-7D05-4EA5-9401-D28A456615DB}"/>
    <cellStyle name="SAPBEXaggItem 6 2 5" xfId="26461" xr:uid="{00000000-0005-0000-0000-000040680000}"/>
    <cellStyle name="SAPBEXaggItem 6 2 5 2" xfId="31249" xr:uid="{99BEE67C-2864-45E8-BB85-005360524347}"/>
    <cellStyle name="SAPBEXaggItem 6 2 6" xfId="29521" xr:uid="{00000000-0005-0000-0000-000041680000}"/>
    <cellStyle name="SAPBEXaggItem 6 2 7" xfId="30224" xr:uid="{B15A37A5-992A-4823-A40D-4B5688652881}"/>
    <cellStyle name="SAPBEXaggItem 6 3" xfId="25911" xr:uid="{00000000-0005-0000-0000-000042680000}"/>
    <cellStyle name="SAPBEXaggItem 6 3 2" xfId="30800" xr:uid="{A0E1E6C9-5E57-4A3B-953C-13A06DD4CFF2}"/>
    <cellStyle name="SAPBEXaggItem 6 4" xfId="27968" xr:uid="{00000000-0005-0000-0000-000043680000}"/>
    <cellStyle name="SAPBEXaggItem 6 4 2" xfId="32526" xr:uid="{785162A5-177D-43D5-82A9-26E82C406B05}"/>
    <cellStyle name="SAPBEXaggItem 6 5" xfId="28548" xr:uid="{00000000-0005-0000-0000-000044680000}"/>
    <cellStyle name="SAPBEXaggItem 6 5 2" xfId="33106" xr:uid="{2467F98B-6CD6-483E-B94B-CC3FF76D9299}"/>
    <cellStyle name="SAPBEXaggItem 6 6" xfId="29520" xr:uid="{00000000-0005-0000-0000-000045680000}"/>
    <cellStyle name="SAPBEXaggItem 7" xfId="223" xr:uid="{00000000-0005-0000-0000-000046680000}"/>
    <cellStyle name="SAPBEXaggItem 7 2" xfId="13709" xr:uid="{00000000-0005-0000-0000-000047680000}"/>
    <cellStyle name="SAPBEXaggItem 7 2 2" xfId="25523" xr:uid="{00000000-0005-0000-0000-000048680000}"/>
    <cellStyle name="SAPBEXaggItem 7 2 2 2" xfId="27676" xr:uid="{00000000-0005-0000-0000-000049680000}"/>
    <cellStyle name="SAPBEXaggItem 7 2 2 2 2" xfId="32263" xr:uid="{EBD34FBB-AB38-416A-B8B3-69982702EC2D}"/>
    <cellStyle name="SAPBEXaggItem 7 2 2 3" xfId="27973" xr:uid="{00000000-0005-0000-0000-00004A680000}"/>
    <cellStyle name="SAPBEXaggItem 7 2 2 3 2" xfId="32531" xr:uid="{BB800DF0-1DAA-4642-936B-B343D0B7F122}"/>
    <cellStyle name="SAPBEXaggItem 7 2 2 4" xfId="26186" xr:uid="{00000000-0005-0000-0000-00004B680000}"/>
    <cellStyle name="SAPBEXaggItem 7 2 2 4 2" xfId="30974" xr:uid="{0947358E-CCFC-4C3B-A089-E811AFFD7A4F}"/>
    <cellStyle name="SAPBEXaggItem 7 2 2 5" xfId="29525" xr:uid="{00000000-0005-0000-0000-00004C680000}"/>
    <cellStyle name="SAPBEXaggItem 7 2 3" xfId="26629" xr:uid="{00000000-0005-0000-0000-00004D680000}"/>
    <cellStyle name="SAPBEXaggItem 7 2 3 2" xfId="31406" xr:uid="{3C3E1C8D-AF5E-4346-9571-C9A85D4981D3}"/>
    <cellStyle name="SAPBEXaggItem 7 2 4" xfId="27972" xr:uid="{00000000-0005-0000-0000-00004E680000}"/>
    <cellStyle name="SAPBEXaggItem 7 2 4 2" xfId="32530" xr:uid="{DC1BEBE2-944A-499F-BB39-BDE5FDD96BE0}"/>
    <cellStyle name="SAPBEXaggItem 7 2 5" xfId="26674" xr:uid="{00000000-0005-0000-0000-00004F680000}"/>
    <cellStyle name="SAPBEXaggItem 7 2 5 2" xfId="31442" xr:uid="{EFC2B2CC-BD19-48E7-ADD3-7633624B8FD2}"/>
    <cellStyle name="SAPBEXaggItem 7 2 6" xfId="29524" xr:uid="{00000000-0005-0000-0000-000050680000}"/>
    <cellStyle name="SAPBEXaggItem 7 2 7" xfId="30225" xr:uid="{93D4D274-EF56-4D53-A2C2-780C19DB2077}"/>
    <cellStyle name="SAPBEXaggItem 7 3" xfId="25912" xr:uid="{00000000-0005-0000-0000-000051680000}"/>
    <cellStyle name="SAPBEXaggItem 7 3 2" xfId="30801" xr:uid="{24FEE470-F957-4AE2-A667-1246E849CB65}"/>
    <cellStyle name="SAPBEXaggItem 7 4" xfId="27971" xr:uid="{00000000-0005-0000-0000-000052680000}"/>
    <cellStyle name="SAPBEXaggItem 7 4 2" xfId="32529" xr:uid="{3785EF5F-7D19-48B9-A212-019611222EE3}"/>
    <cellStyle name="SAPBEXaggItem 7 5" xfId="26552" xr:uid="{00000000-0005-0000-0000-000053680000}"/>
    <cellStyle name="SAPBEXaggItem 7 5 2" xfId="31339" xr:uid="{6C1414BD-BA99-482D-91DF-8FB1FFA52A56}"/>
    <cellStyle name="SAPBEXaggItem 7 6" xfId="29523" xr:uid="{00000000-0005-0000-0000-000054680000}"/>
    <cellStyle name="SAPBEXaggItem 8" xfId="411" xr:uid="{00000000-0005-0000-0000-000055680000}"/>
    <cellStyle name="SAPBEXaggItem 8 2" xfId="13793" xr:uid="{00000000-0005-0000-0000-000056680000}"/>
    <cellStyle name="SAPBEXaggItem 8 2 2" xfId="25551" xr:uid="{00000000-0005-0000-0000-000057680000}"/>
    <cellStyle name="SAPBEXaggItem 8 2 2 2" xfId="27704" xr:uid="{00000000-0005-0000-0000-000058680000}"/>
    <cellStyle name="SAPBEXaggItem 8 2 2 2 2" xfId="32291" xr:uid="{6DC406AE-AFAB-430F-BB81-C19AC3759CAD}"/>
    <cellStyle name="SAPBEXaggItem 8 2 2 3" xfId="27976" xr:uid="{00000000-0005-0000-0000-000059680000}"/>
    <cellStyle name="SAPBEXaggItem 8 2 2 3 2" xfId="32534" xr:uid="{A62B6919-3A28-4B77-9088-6248D3894C4C}"/>
    <cellStyle name="SAPBEXaggItem 8 2 2 4" xfId="26749" xr:uid="{00000000-0005-0000-0000-00005A680000}"/>
    <cellStyle name="SAPBEXaggItem 8 2 2 4 2" xfId="31510" xr:uid="{C5A1CBE1-0A18-4D98-A417-4D7C7C78A386}"/>
    <cellStyle name="SAPBEXaggItem 8 2 2 5" xfId="29528" xr:uid="{00000000-0005-0000-0000-00005B680000}"/>
    <cellStyle name="SAPBEXaggItem 8 2 3" xfId="26668" xr:uid="{00000000-0005-0000-0000-00005C680000}"/>
    <cellStyle name="SAPBEXaggItem 8 2 3 2" xfId="31436" xr:uid="{B03BDD18-ECB6-4043-9A45-CB0F52B045C9}"/>
    <cellStyle name="SAPBEXaggItem 8 2 4" xfId="27975" xr:uid="{00000000-0005-0000-0000-00005D680000}"/>
    <cellStyle name="SAPBEXaggItem 8 2 4 2" xfId="32533" xr:uid="{0E5B1CAB-01AA-4311-94CA-01FE43D408A0}"/>
    <cellStyle name="SAPBEXaggItem 8 2 5" xfId="26268" xr:uid="{00000000-0005-0000-0000-00005E680000}"/>
    <cellStyle name="SAPBEXaggItem 8 2 5 2" xfId="31056" xr:uid="{EE3482CC-69F4-4A2F-8923-9709F6E4F82F}"/>
    <cellStyle name="SAPBEXaggItem 8 2 6" xfId="29527" xr:uid="{00000000-0005-0000-0000-00005F680000}"/>
    <cellStyle name="SAPBEXaggItem 8 2 7" xfId="30253" xr:uid="{CD4C6A4F-2D00-43B8-A2A1-C00F1C983D88}"/>
    <cellStyle name="SAPBEXaggItem 8 3" xfId="26009" xr:uid="{00000000-0005-0000-0000-000060680000}"/>
    <cellStyle name="SAPBEXaggItem 8 3 2" xfId="30830" xr:uid="{F4355A6D-9509-40F8-B850-5671C68611F1}"/>
    <cellStyle name="SAPBEXaggItem 8 4" xfId="27974" xr:uid="{00000000-0005-0000-0000-000061680000}"/>
    <cellStyle name="SAPBEXaggItem 8 4 2" xfId="32532" xr:uid="{AA875B7C-BC23-4749-92BC-B9B05C4B6BAE}"/>
    <cellStyle name="SAPBEXaggItem 8 5" xfId="29181" xr:uid="{00000000-0005-0000-0000-000062680000}"/>
    <cellStyle name="SAPBEXaggItem 8 5 2" xfId="33164" xr:uid="{044A6D63-FE23-47F8-BDF8-EF2266674E38}"/>
    <cellStyle name="SAPBEXaggItem 8 6" xfId="29526" xr:uid="{00000000-0005-0000-0000-000063680000}"/>
    <cellStyle name="SAPBEXaggItem 9" xfId="13623" xr:uid="{00000000-0005-0000-0000-000064680000}"/>
    <cellStyle name="SAPBEXaggItem 9 2" xfId="25461" xr:uid="{00000000-0005-0000-0000-000065680000}"/>
    <cellStyle name="SAPBEXaggItem 9 2 2" xfId="27614" xr:uid="{00000000-0005-0000-0000-000066680000}"/>
    <cellStyle name="SAPBEXaggItem 9 2 2 2" xfId="32201" xr:uid="{6F39F519-175A-4458-A2E2-F7268719BA68}"/>
    <cellStyle name="SAPBEXaggItem 9 2 3" xfId="27978" xr:uid="{00000000-0005-0000-0000-000067680000}"/>
    <cellStyle name="SAPBEXaggItem 9 2 3 2" xfId="32536" xr:uid="{BA009972-05DE-4CB5-9159-D82C0754E3BF}"/>
    <cellStyle name="SAPBEXaggItem 9 2 4" xfId="26932" xr:uid="{00000000-0005-0000-0000-000068680000}"/>
    <cellStyle name="SAPBEXaggItem 9 2 4 2" xfId="31693" xr:uid="{6E2AEDC1-4E65-4E81-AEDB-CA430703B994}"/>
    <cellStyle name="SAPBEXaggItem 9 2 5" xfId="29530" xr:uid="{00000000-0005-0000-0000-000069680000}"/>
    <cellStyle name="SAPBEXaggItem 9 3" xfId="26565" xr:uid="{00000000-0005-0000-0000-00006A680000}"/>
    <cellStyle name="SAPBEXaggItem 9 3 2" xfId="31343" xr:uid="{D1091849-BA48-47B0-A0E7-37C4271F0CEC}"/>
    <cellStyle name="SAPBEXaggItem 9 4" xfId="27977" xr:uid="{00000000-0005-0000-0000-00006B680000}"/>
    <cellStyle name="SAPBEXaggItem 9 4 2" xfId="32535" xr:uid="{5DDDB630-060D-4F5C-AE8A-7E4F56371789}"/>
    <cellStyle name="SAPBEXaggItem 9 5" xfId="26693" xr:uid="{00000000-0005-0000-0000-00006C680000}"/>
    <cellStyle name="SAPBEXaggItem 9 5 2" xfId="31455" xr:uid="{EA69DF50-6BD8-4607-B275-05982B5FC0D9}"/>
    <cellStyle name="SAPBEXaggItem 9 6" xfId="29529" xr:uid="{00000000-0005-0000-0000-00006D680000}"/>
    <cellStyle name="SAPBEXaggItem 9 7" xfId="30163" xr:uid="{FE338DFF-0566-43F1-9D21-BC40584365A3}"/>
    <cellStyle name="SAPBEXaggItem_Copy of xSAPtemp5457" xfId="224" xr:uid="{00000000-0005-0000-0000-00006E680000}"/>
    <cellStyle name="SAPBEXaggItemX" xfId="76" xr:uid="{00000000-0005-0000-0000-00006F680000}"/>
    <cellStyle name="SAPBEXaggItemX 2" xfId="13625" xr:uid="{00000000-0005-0000-0000-000070680000}"/>
    <cellStyle name="SAPBEXaggItemX 2 2" xfId="25463" xr:uid="{00000000-0005-0000-0000-000071680000}"/>
    <cellStyle name="SAPBEXaggItemX 2 2 2" xfId="27616" xr:uid="{00000000-0005-0000-0000-000072680000}"/>
    <cellStyle name="SAPBEXaggItemX 2 2 2 2" xfId="32203" xr:uid="{3D0DDBDD-ECB6-4C89-A9F5-8B3D42B5B212}"/>
    <cellStyle name="SAPBEXaggItemX 2 2 3" xfId="27981" xr:uid="{00000000-0005-0000-0000-000073680000}"/>
    <cellStyle name="SAPBEXaggItemX 2 2 3 2" xfId="32539" xr:uid="{8DFA4C58-695F-4348-93AD-2BC8D97DE1D8}"/>
    <cellStyle name="SAPBEXaggItemX 2 2 4" xfId="26133" xr:uid="{00000000-0005-0000-0000-000074680000}"/>
    <cellStyle name="SAPBEXaggItemX 2 2 4 2" xfId="30923" xr:uid="{7BD78918-C3F4-4C69-BE60-AD3CD26405E7}"/>
    <cellStyle name="SAPBEXaggItemX 2 2 5" xfId="29533" xr:uid="{00000000-0005-0000-0000-000075680000}"/>
    <cellStyle name="SAPBEXaggItemX 2 3" xfId="26567" xr:uid="{00000000-0005-0000-0000-000076680000}"/>
    <cellStyle name="SAPBEXaggItemX 2 3 2" xfId="31345" xr:uid="{88F7FD74-E7E7-4F12-896A-1A971E1122D2}"/>
    <cellStyle name="SAPBEXaggItemX 2 4" xfId="27980" xr:uid="{00000000-0005-0000-0000-000077680000}"/>
    <cellStyle name="SAPBEXaggItemX 2 4 2" xfId="32538" xr:uid="{6634B7BE-23B0-4015-AB5A-D81307B2A401}"/>
    <cellStyle name="SAPBEXaggItemX 2 5" xfId="26518" xr:uid="{00000000-0005-0000-0000-000078680000}"/>
    <cellStyle name="SAPBEXaggItemX 2 5 2" xfId="31306" xr:uid="{C0E7BED4-4E66-4354-A7F2-BF688CE3F0D2}"/>
    <cellStyle name="SAPBEXaggItemX 2 6" xfId="29532" xr:uid="{00000000-0005-0000-0000-000079680000}"/>
    <cellStyle name="SAPBEXaggItemX 2 7" xfId="30165" xr:uid="{A88E2D5C-E34D-4436-A471-5C092A1AD7D6}"/>
    <cellStyle name="SAPBEXaggItemX 3" xfId="24683" xr:uid="{00000000-0005-0000-0000-00007A680000}"/>
    <cellStyle name="SAPBEXaggItemX 3 2" xfId="25307" xr:uid="{00000000-0005-0000-0000-00007B680000}"/>
    <cellStyle name="SAPBEXaggItemX 3 2 2" xfId="27461" xr:uid="{00000000-0005-0000-0000-00007C680000}"/>
    <cellStyle name="SAPBEXaggItemX 3 2 2 2" xfId="32053" xr:uid="{1AFDC90F-B368-4960-8CA2-66D4AB7968AC}"/>
    <cellStyle name="SAPBEXaggItemX 3 2 3" xfId="27983" xr:uid="{00000000-0005-0000-0000-00007D680000}"/>
    <cellStyle name="SAPBEXaggItemX 3 2 3 2" xfId="32541" xr:uid="{E3D80079-1F75-45FF-8268-96B13D753AA7}"/>
    <cellStyle name="SAPBEXaggItemX 3 2 4" xfId="26219" xr:uid="{00000000-0005-0000-0000-00007E680000}"/>
    <cellStyle name="SAPBEXaggItemX 3 2 4 2" xfId="31007" xr:uid="{0C62C2E9-D7C8-4697-8625-4E7930349DF8}"/>
    <cellStyle name="SAPBEXaggItemX 3 2 5" xfId="29535" xr:uid="{00000000-0005-0000-0000-00007F680000}"/>
    <cellStyle name="SAPBEXaggItemX 3 2 6" xfId="30466" xr:uid="{EB379C1D-B549-4431-B94F-557B600FA736}"/>
    <cellStyle name="SAPBEXaggItemX 3 3" xfId="25646" xr:uid="{00000000-0005-0000-0000-000080680000}"/>
    <cellStyle name="SAPBEXaggItemX 3 3 2" xfId="27799" xr:uid="{00000000-0005-0000-0000-000081680000}"/>
    <cellStyle name="SAPBEXaggItemX 3 3 2 2" xfId="32386" xr:uid="{3D69005C-1E99-47E1-A0DF-C3762968EDF4}"/>
    <cellStyle name="SAPBEXaggItemX 3 3 3" xfId="27984" xr:uid="{00000000-0005-0000-0000-000082680000}"/>
    <cellStyle name="SAPBEXaggItemX 3 3 3 2" xfId="32542" xr:uid="{CA5A6CB4-D863-44E1-9501-FF486F065B2B}"/>
    <cellStyle name="SAPBEXaggItemX 3 3 4" xfId="26155" xr:uid="{00000000-0005-0000-0000-000083680000}"/>
    <cellStyle name="SAPBEXaggItemX 3 3 4 2" xfId="30944" xr:uid="{59538DF5-9FBA-425E-8707-AF093049DF6D}"/>
    <cellStyle name="SAPBEXaggItemX 3 3 5" xfId="29536" xr:uid="{00000000-0005-0000-0000-000084680000}"/>
    <cellStyle name="SAPBEXaggItemX 3 4" xfId="27273" xr:uid="{00000000-0005-0000-0000-000085680000}"/>
    <cellStyle name="SAPBEXaggItemX 3 4 2" xfId="31908" xr:uid="{34208321-D694-4D9A-973D-F5BCD079944D}"/>
    <cellStyle name="SAPBEXaggItemX 3 5" xfId="27982" xr:uid="{00000000-0005-0000-0000-000086680000}"/>
    <cellStyle name="SAPBEXaggItemX 3 5 2" xfId="32540" xr:uid="{A69CFC7F-B0CD-4AD8-99E4-58640D9437AB}"/>
    <cellStyle name="SAPBEXaggItemX 3 6" xfId="26397" xr:uid="{00000000-0005-0000-0000-000087680000}"/>
    <cellStyle name="SAPBEXaggItemX 3 6 2" xfId="31185" xr:uid="{86F95E1E-BC1E-4FF6-8F2B-503A51CC5205}"/>
    <cellStyle name="SAPBEXaggItemX 3 7" xfId="29534" xr:uid="{00000000-0005-0000-0000-000088680000}"/>
    <cellStyle name="SAPBEXaggItemX 3 8" xfId="30348" xr:uid="{4425BD61-A63C-48B8-9A45-44CB2286B401}"/>
    <cellStyle name="SAPBEXaggItemX 4" xfId="25093" xr:uid="{00000000-0005-0000-0000-000089680000}"/>
    <cellStyle name="SAPBEXaggItemX 4 2" xfId="25395" xr:uid="{00000000-0005-0000-0000-00008A680000}"/>
    <cellStyle name="SAPBEXaggItemX 4 2 2" xfId="27549" xr:uid="{00000000-0005-0000-0000-00008B680000}"/>
    <cellStyle name="SAPBEXaggItemX 4 2 2 2" xfId="32140" xr:uid="{BC345D24-6B68-448C-B0B6-4ABFFFCD884B}"/>
    <cellStyle name="SAPBEXaggItemX 4 2 3" xfId="27986" xr:uid="{00000000-0005-0000-0000-00008C680000}"/>
    <cellStyle name="SAPBEXaggItemX 4 2 3 2" xfId="32544" xr:uid="{E063319A-C3FB-4269-BD04-3D3064CC6744}"/>
    <cellStyle name="SAPBEXaggItemX 4 2 4" xfId="26434" xr:uid="{00000000-0005-0000-0000-00008D680000}"/>
    <cellStyle name="SAPBEXaggItemX 4 2 4 2" xfId="31222" xr:uid="{C09F4D9E-8699-4F51-9273-0E9BA5F3AD36}"/>
    <cellStyle name="SAPBEXaggItemX 4 2 5" xfId="29538" xr:uid="{00000000-0005-0000-0000-00008E680000}"/>
    <cellStyle name="SAPBEXaggItemX 4 2 6" xfId="30553" xr:uid="{89CA3523-B029-4017-8D75-D77B5F1D5D6D}"/>
    <cellStyle name="SAPBEXaggItemX 4 3" xfId="25691" xr:uid="{00000000-0005-0000-0000-00008F680000}"/>
    <cellStyle name="SAPBEXaggItemX 4 3 2" xfId="27844" xr:uid="{00000000-0005-0000-0000-000090680000}"/>
    <cellStyle name="SAPBEXaggItemX 4 3 2 2" xfId="32431" xr:uid="{D9ADC7DD-7C60-4DCA-8668-1E03A9C2A4F7}"/>
    <cellStyle name="SAPBEXaggItemX 4 3 3" xfId="27987" xr:uid="{00000000-0005-0000-0000-000091680000}"/>
    <cellStyle name="SAPBEXaggItemX 4 3 3 2" xfId="32545" xr:uid="{2E0BF6CA-7DD3-46B5-A1FF-6047CBCFFABD}"/>
    <cellStyle name="SAPBEXaggItemX 4 3 4" xfId="26430" xr:uid="{00000000-0005-0000-0000-000092680000}"/>
    <cellStyle name="SAPBEXaggItemX 4 3 4 2" xfId="31218" xr:uid="{AF88F052-4CE3-461E-ABB1-6DC5857EB68A}"/>
    <cellStyle name="SAPBEXaggItemX 4 3 5" xfId="29539" xr:uid="{00000000-0005-0000-0000-000093680000}"/>
    <cellStyle name="SAPBEXaggItemX 4 3 6" xfId="30685" xr:uid="{F2CE445F-BA63-4C65-92D1-EA0CD236EB36}"/>
    <cellStyle name="SAPBEXaggItemX 4 4" xfId="27378" xr:uid="{00000000-0005-0000-0000-000094680000}"/>
    <cellStyle name="SAPBEXaggItemX 4 4 2" xfId="31976" xr:uid="{597C89C4-CC5E-46F2-8989-D025EFA05486}"/>
    <cellStyle name="SAPBEXaggItemX 4 5" xfId="27985" xr:uid="{00000000-0005-0000-0000-000095680000}"/>
    <cellStyle name="SAPBEXaggItemX 4 5 2" xfId="32543" xr:uid="{6CE6FC7B-1900-42DD-B9B3-BB72A114F1DF}"/>
    <cellStyle name="SAPBEXaggItemX 4 6" xfId="26836" xr:uid="{00000000-0005-0000-0000-000096680000}"/>
    <cellStyle name="SAPBEXaggItemX 4 6 2" xfId="31597" xr:uid="{A9C8BAAE-F7FA-400F-A25E-19C7F8C6B0E3}"/>
    <cellStyle name="SAPBEXaggItemX 4 7" xfId="29537" xr:uid="{00000000-0005-0000-0000-000097680000}"/>
    <cellStyle name="SAPBEXaggItemX 4 8" xfId="30393" xr:uid="{DC93A99E-E1E2-412C-A040-CB0B41549AB8}"/>
    <cellStyle name="SAPBEXaggItemX 5" xfId="25821" xr:uid="{00000000-0005-0000-0000-000098680000}"/>
    <cellStyle name="SAPBEXaggItemX 5 2" xfId="30740" xr:uid="{9C6525B9-86FD-4687-A552-98344B92E680}"/>
    <cellStyle name="SAPBEXaggItemX 6" xfId="27979" xr:uid="{00000000-0005-0000-0000-000099680000}"/>
    <cellStyle name="SAPBEXaggItemX 6 2" xfId="32537" xr:uid="{3036EDFF-E166-43A4-81D3-86C558783986}"/>
    <cellStyle name="SAPBEXaggItemX 7" xfId="26526" xr:uid="{00000000-0005-0000-0000-00009A680000}"/>
    <cellStyle name="SAPBEXaggItemX 7 2" xfId="31313" xr:uid="{95B57073-E330-4FF9-92A7-0DEC45469DC9}"/>
    <cellStyle name="SAPBEXaggItemX 8" xfId="29531" xr:uid="{00000000-0005-0000-0000-00009B680000}"/>
    <cellStyle name="SAPBEXchaText" xfId="6" xr:uid="{00000000-0005-0000-0000-00009C680000}"/>
    <cellStyle name="SAPBEXchaText 2" xfId="77" xr:uid="{00000000-0005-0000-0000-00009D680000}"/>
    <cellStyle name="SAPBEXchaText 2 2" xfId="459" xr:uid="{00000000-0005-0000-0000-00009E680000}"/>
    <cellStyle name="SAPBEXchaText 2 2 2" xfId="13827" xr:uid="{00000000-0005-0000-0000-00009F680000}"/>
    <cellStyle name="SAPBEXchaText 2 2 2 2" xfId="25377" xr:uid="{00000000-0005-0000-0000-0000A0680000}"/>
    <cellStyle name="SAPBEXchaText 2 2 2 2 2" xfId="27531" xr:uid="{00000000-0005-0000-0000-0000A1680000}"/>
    <cellStyle name="SAPBEXchaText 2 2 2 2 2 2" xfId="32122" xr:uid="{517A5F73-21E4-40DE-84F1-B893B929A254}"/>
    <cellStyle name="SAPBEXchaText 2 2 2 2 3" xfId="27991" xr:uid="{00000000-0005-0000-0000-0000A2680000}"/>
    <cellStyle name="SAPBEXchaText 2 2 2 2 3 2" xfId="32549" xr:uid="{95B6FFD3-1CA5-4B5C-ABE4-129AF2BEA197}"/>
    <cellStyle name="SAPBEXchaText 2 2 2 2 4" xfId="26793" xr:uid="{00000000-0005-0000-0000-0000A3680000}"/>
    <cellStyle name="SAPBEXchaText 2 2 2 2 4 2" xfId="31554" xr:uid="{70C3DCD5-2C5A-4810-B0A4-10B82287F78D}"/>
    <cellStyle name="SAPBEXchaText 2 2 2 2 5" xfId="29543" xr:uid="{00000000-0005-0000-0000-0000A4680000}"/>
    <cellStyle name="SAPBEXchaText 2 2 2 2 6" xfId="30535" xr:uid="{A10E716C-137A-4426-9B3C-9B2840608F9C}"/>
    <cellStyle name="SAPBEXchaText 2 2 2 3" xfId="26676" xr:uid="{00000000-0005-0000-0000-0000A5680000}"/>
    <cellStyle name="SAPBEXchaText 2 2 2 3 2" xfId="31443" xr:uid="{E7038897-4D0B-46F9-BF0D-CC14AE84173F}"/>
    <cellStyle name="SAPBEXchaText 2 2 2 4" xfId="27990" xr:uid="{00000000-0005-0000-0000-0000A6680000}"/>
    <cellStyle name="SAPBEXchaText 2 2 2 4 2" xfId="32548" xr:uid="{CFE10A90-AC74-4910-A08F-96351F4DAD22}"/>
    <cellStyle name="SAPBEXchaText 2 2 2 5" xfId="29542" xr:uid="{00000000-0005-0000-0000-0000A7680000}"/>
    <cellStyle name="SAPBEXchaText 2 2 3" xfId="26024" xr:uid="{00000000-0005-0000-0000-0000A8680000}"/>
    <cellStyle name="SAPBEXchaText 2 2 3 2" xfId="30834" xr:uid="{FD43B60E-CE47-4291-B7B1-EF599EEC9107}"/>
    <cellStyle name="SAPBEXchaText 2 2 4" xfId="27989" xr:uid="{00000000-0005-0000-0000-0000A9680000}"/>
    <cellStyle name="SAPBEXchaText 2 2 4 2" xfId="32547" xr:uid="{68AD3618-1FC3-44DA-8F85-A5DC29FDDE07}"/>
    <cellStyle name="SAPBEXchaText 2 2 5" xfId="29541" xr:uid="{00000000-0005-0000-0000-0000AA680000}"/>
    <cellStyle name="SAPBEXchaText 2 3" xfId="13626" xr:uid="{00000000-0005-0000-0000-0000AB680000}"/>
    <cellStyle name="SAPBEXchaText 2 3 2" xfId="25464" xr:uid="{00000000-0005-0000-0000-0000AC680000}"/>
    <cellStyle name="SAPBEXchaText 2 3 2 2" xfId="27617" xr:uid="{00000000-0005-0000-0000-0000AD680000}"/>
    <cellStyle name="SAPBEXchaText 2 3 2 2 2" xfId="32204" xr:uid="{3BDE0E90-0D5A-4A9A-87E7-45293BB26F63}"/>
    <cellStyle name="SAPBEXchaText 2 3 2 3" xfId="27993" xr:uid="{00000000-0005-0000-0000-0000AE680000}"/>
    <cellStyle name="SAPBEXchaText 2 3 2 3 2" xfId="32551" xr:uid="{9CA5A6D7-FFB7-4D95-85F4-CEE67D218524}"/>
    <cellStyle name="SAPBEXchaText 2 3 2 4" xfId="26286" xr:uid="{00000000-0005-0000-0000-0000AF680000}"/>
    <cellStyle name="SAPBEXchaText 2 3 2 4 2" xfId="31074" xr:uid="{C2B17216-A434-4F85-9D52-2448DA7A68E4}"/>
    <cellStyle name="SAPBEXchaText 2 3 2 5" xfId="29545" xr:uid="{00000000-0005-0000-0000-0000B0680000}"/>
    <cellStyle name="SAPBEXchaText 2 3 3" xfId="26568" xr:uid="{00000000-0005-0000-0000-0000B1680000}"/>
    <cellStyle name="SAPBEXchaText 2 3 3 2" xfId="31346" xr:uid="{2EDAD17F-BA8F-45DB-BB4E-BD5442817DCF}"/>
    <cellStyle name="SAPBEXchaText 2 3 4" xfId="27992" xr:uid="{00000000-0005-0000-0000-0000B2680000}"/>
    <cellStyle name="SAPBEXchaText 2 3 4 2" xfId="32550" xr:uid="{5E657833-0B6A-4719-B011-17FBB558EF2C}"/>
    <cellStyle name="SAPBEXchaText 2 3 5" xfId="26254" xr:uid="{00000000-0005-0000-0000-0000B3680000}"/>
    <cellStyle name="SAPBEXchaText 2 3 5 2" xfId="31042" xr:uid="{EEE72D27-03AE-4A34-B5B6-E0333C3D02EC}"/>
    <cellStyle name="SAPBEXchaText 2 3 6" xfId="29544" xr:uid="{00000000-0005-0000-0000-0000B4680000}"/>
    <cellStyle name="SAPBEXchaText 2 3 7" xfId="30166" xr:uid="{0595B4A8-BA58-41F6-B03E-EB4B668E4A63}"/>
    <cellStyle name="SAPBEXchaText 2 4" xfId="25822" xr:uid="{00000000-0005-0000-0000-0000B5680000}"/>
    <cellStyle name="SAPBEXchaText 2 4 2" xfId="30741" xr:uid="{7E802401-D9F8-47F3-A5B1-F0D625054632}"/>
    <cellStyle name="SAPBEXchaText 2 5" xfId="27988" xr:uid="{00000000-0005-0000-0000-0000B6680000}"/>
    <cellStyle name="SAPBEXchaText 2 5 2" xfId="32546" xr:uid="{CFE6E22C-DFD6-459F-AC7A-CF8B1CED5293}"/>
    <cellStyle name="SAPBEXchaText 2 6" xfId="26197" xr:uid="{00000000-0005-0000-0000-0000B7680000}"/>
    <cellStyle name="SAPBEXchaText 2 6 2" xfId="30985" xr:uid="{EB2351C8-693D-4C07-804D-D4AD7EDD5817}"/>
    <cellStyle name="SAPBEXchaText 2 7" xfId="29540" xr:uid="{00000000-0005-0000-0000-0000B8680000}"/>
    <cellStyle name="SAPBEXchaText 3" xfId="78" xr:uid="{00000000-0005-0000-0000-0000B9680000}"/>
    <cellStyle name="SAPBEXchaText 3 2" xfId="225" xr:uid="{00000000-0005-0000-0000-0000BA680000}"/>
    <cellStyle name="SAPBEXchaText 3 2 2" xfId="13710" xr:uid="{00000000-0005-0000-0000-0000BB680000}"/>
    <cellStyle name="SAPBEXchaText 3 2 2 2" xfId="25524" xr:uid="{00000000-0005-0000-0000-0000BC680000}"/>
    <cellStyle name="SAPBEXchaText 3 2 2 2 2" xfId="27677" xr:uid="{00000000-0005-0000-0000-0000BD680000}"/>
    <cellStyle name="SAPBEXchaText 3 2 2 2 2 2" xfId="32264" xr:uid="{7E294FA4-D9D0-4353-946D-CD0AC4C4C2BB}"/>
    <cellStyle name="SAPBEXchaText 3 2 2 2 3" xfId="27996" xr:uid="{00000000-0005-0000-0000-0000BE680000}"/>
    <cellStyle name="SAPBEXchaText 3 2 2 2 3 2" xfId="32554" xr:uid="{37132518-9494-4D51-92FF-FF36C4F07C3C}"/>
    <cellStyle name="SAPBEXchaText 3 2 2 2 4" xfId="27166" xr:uid="{00000000-0005-0000-0000-0000BF680000}"/>
    <cellStyle name="SAPBEXchaText 3 2 2 2 4 2" xfId="31856" xr:uid="{928CE0B0-0B8C-47E4-9F0A-600A7874C460}"/>
    <cellStyle name="SAPBEXchaText 3 2 2 2 5" xfId="29548" xr:uid="{00000000-0005-0000-0000-0000C0680000}"/>
    <cellStyle name="SAPBEXchaText 3 2 2 3" xfId="26630" xr:uid="{00000000-0005-0000-0000-0000C1680000}"/>
    <cellStyle name="SAPBEXchaText 3 2 2 3 2" xfId="31407" xr:uid="{1EF6FF5A-AD51-4EB0-8C08-C4DD97CAE6ED}"/>
    <cellStyle name="SAPBEXchaText 3 2 2 4" xfId="27995" xr:uid="{00000000-0005-0000-0000-0000C2680000}"/>
    <cellStyle name="SAPBEXchaText 3 2 2 4 2" xfId="32553" xr:uid="{8DAF9132-47F6-47F0-BD66-B95009B883F2}"/>
    <cellStyle name="SAPBEXchaText 3 2 2 5" xfId="26428" xr:uid="{00000000-0005-0000-0000-0000C3680000}"/>
    <cellStyle name="SAPBEXchaText 3 2 2 5 2" xfId="31216" xr:uid="{12152ADC-110A-4DD1-B433-EB74331DD682}"/>
    <cellStyle name="SAPBEXchaText 3 2 2 6" xfId="29547" xr:uid="{00000000-0005-0000-0000-0000C4680000}"/>
    <cellStyle name="SAPBEXchaText 3 2 2 7" xfId="30226" xr:uid="{0CFC239E-80EA-4315-99EA-AAB53E6A5BFE}"/>
    <cellStyle name="SAPBEXchaText 3 2 3" xfId="25913" xr:uid="{00000000-0005-0000-0000-0000C5680000}"/>
    <cellStyle name="SAPBEXchaText 3 2 3 2" xfId="30802" xr:uid="{345C8EED-8C64-42D2-AA14-033B66E8540F}"/>
    <cellStyle name="SAPBEXchaText 3 2 4" xfId="27994" xr:uid="{00000000-0005-0000-0000-0000C6680000}"/>
    <cellStyle name="SAPBEXchaText 3 2 4 2" xfId="32552" xr:uid="{0F203140-2F63-4B68-AC42-9ED28990ABEA}"/>
    <cellStyle name="SAPBEXchaText 3 2 5" xfId="26718" xr:uid="{00000000-0005-0000-0000-0000C7680000}"/>
    <cellStyle name="SAPBEXchaText 3 2 5 2" xfId="31480" xr:uid="{26E5D45F-F8DC-433E-AFD3-483040E37F48}"/>
    <cellStyle name="SAPBEXchaText 3 2 6" xfId="29546" xr:uid="{00000000-0005-0000-0000-0000C8680000}"/>
    <cellStyle name="SAPBEXchaText 4" xfId="226" xr:uid="{00000000-0005-0000-0000-0000C9680000}"/>
    <cellStyle name="SAPBEXchaText 4 2" xfId="13711" xr:uid="{00000000-0005-0000-0000-0000CA680000}"/>
    <cellStyle name="SAPBEXchaText 4 2 2" xfId="25525" xr:uid="{00000000-0005-0000-0000-0000CB680000}"/>
    <cellStyle name="SAPBEXchaText 4 2 2 2" xfId="27678" xr:uid="{00000000-0005-0000-0000-0000CC680000}"/>
    <cellStyle name="SAPBEXchaText 4 2 2 2 2" xfId="32265" xr:uid="{B858C0E6-884F-43C1-856F-02073EDD28BC}"/>
    <cellStyle name="SAPBEXchaText 4 2 2 3" xfId="27999" xr:uid="{00000000-0005-0000-0000-0000CD680000}"/>
    <cellStyle name="SAPBEXchaText 4 2 2 3 2" xfId="32557" xr:uid="{126FAD87-261A-475C-BFB4-9A6DF554F308}"/>
    <cellStyle name="SAPBEXchaText 4 2 2 4" xfId="27223" xr:uid="{00000000-0005-0000-0000-0000CE680000}"/>
    <cellStyle name="SAPBEXchaText 4 2 2 4 2" xfId="31859" xr:uid="{8F1A7A25-B5FC-4A8E-ACC9-71D3496DF3D1}"/>
    <cellStyle name="SAPBEXchaText 4 2 2 5" xfId="29551" xr:uid="{00000000-0005-0000-0000-0000CF680000}"/>
    <cellStyle name="SAPBEXchaText 4 2 3" xfId="26631" xr:uid="{00000000-0005-0000-0000-0000D0680000}"/>
    <cellStyle name="SAPBEXchaText 4 2 3 2" xfId="31408" xr:uid="{AD8A075E-0EEE-41CF-8EAD-959871169ED0}"/>
    <cellStyle name="SAPBEXchaText 4 2 4" xfId="27998" xr:uid="{00000000-0005-0000-0000-0000D1680000}"/>
    <cellStyle name="SAPBEXchaText 4 2 4 2" xfId="32556" xr:uid="{25F0FD44-40FA-4D21-8FCE-55B875B9B62A}"/>
    <cellStyle name="SAPBEXchaText 4 2 5" xfId="26270" xr:uid="{00000000-0005-0000-0000-0000D2680000}"/>
    <cellStyle name="SAPBEXchaText 4 2 5 2" xfId="31058" xr:uid="{402BFFB3-3012-440C-8AEF-3B82D974ADB8}"/>
    <cellStyle name="SAPBEXchaText 4 2 6" xfId="29550" xr:uid="{00000000-0005-0000-0000-0000D3680000}"/>
    <cellStyle name="SAPBEXchaText 4 2 7" xfId="30227" xr:uid="{3DFDBC6F-83DD-4083-81B1-EADFFD07A279}"/>
    <cellStyle name="SAPBEXchaText 4 3" xfId="25914" xr:uid="{00000000-0005-0000-0000-0000D4680000}"/>
    <cellStyle name="SAPBEXchaText 4 3 2" xfId="30803" xr:uid="{C37FD4F3-BFD5-42A9-865D-B5A57A25AE38}"/>
    <cellStyle name="SAPBEXchaText 4 4" xfId="27997" xr:uid="{00000000-0005-0000-0000-0000D5680000}"/>
    <cellStyle name="SAPBEXchaText 4 4 2" xfId="32555" xr:uid="{D32D80FC-7857-4BAD-8490-CE2CCD4055AD}"/>
    <cellStyle name="SAPBEXchaText 4 5" xfId="26375" xr:uid="{00000000-0005-0000-0000-0000D6680000}"/>
    <cellStyle name="SAPBEXchaText 4 5 2" xfId="31163" xr:uid="{7E5B18B3-A912-4228-91F2-BEDE34E9722F}"/>
    <cellStyle name="SAPBEXchaText 4 6" xfId="29549" xr:uid="{00000000-0005-0000-0000-0000D7680000}"/>
    <cellStyle name="SAPBEXchaText 5" xfId="227" xr:uid="{00000000-0005-0000-0000-0000D8680000}"/>
    <cellStyle name="SAPBEXchaText 5 2" xfId="13712" xr:uid="{00000000-0005-0000-0000-0000D9680000}"/>
    <cellStyle name="SAPBEXchaText 5 2 2" xfId="25526" xr:uid="{00000000-0005-0000-0000-0000DA680000}"/>
    <cellStyle name="SAPBEXchaText 5 2 2 2" xfId="27679" xr:uid="{00000000-0005-0000-0000-0000DB680000}"/>
    <cellStyle name="SAPBEXchaText 5 2 2 2 2" xfId="32266" xr:uid="{559D65D3-4284-4BBA-BF6F-9BEE9934CD07}"/>
    <cellStyle name="SAPBEXchaText 5 2 2 3" xfId="28002" xr:uid="{00000000-0005-0000-0000-0000DC680000}"/>
    <cellStyle name="SAPBEXchaText 5 2 2 3 2" xfId="32560" xr:uid="{E51BC055-1EA6-4830-B219-ADFD0E0D7CB9}"/>
    <cellStyle name="SAPBEXchaText 5 2 2 4" xfId="26253" xr:uid="{00000000-0005-0000-0000-0000DD680000}"/>
    <cellStyle name="SAPBEXchaText 5 2 2 4 2" xfId="31041" xr:uid="{B55A74B8-5C8C-4324-A8FA-0A94A0C97580}"/>
    <cellStyle name="SAPBEXchaText 5 2 2 5" xfId="29554" xr:uid="{00000000-0005-0000-0000-0000DE680000}"/>
    <cellStyle name="SAPBEXchaText 5 2 3" xfId="26632" xr:uid="{00000000-0005-0000-0000-0000DF680000}"/>
    <cellStyle name="SAPBEXchaText 5 2 3 2" xfId="31409" xr:uid="{6ACFAD36-E70C-46E7-9053-97FA2C949D7C}"/>
    <cellStyle name="SAPBEXchaText 5 2 4" xfId="28001" xr:uid="{00000000-0005-0000-0000-0000E0680000}"/>
    <cellStyle name="SAPBEXchaText 5 2 4 2" xfId="32559" xr:uid="{287C3159-6452-4C62-9A82-2C8C5B8CFBB3}"/>
    <cellStyle name="SAPBEXchaText 5 2 5" xfId="26781" xr:uid="{00000000-0005-0000-0000-0000E1680000}"/>
    <cellStyle name="SAPBEXchaText 5 2 5 2" xfId="31542" xr:uid="{341607B4-327F-4147-A312-2D0BA2D963C8}"/>
    <cellStyle name="SAPBEXchaText 5 2 6" xfId="29553" xr:uid="{00000000-0005-0000-0000-0000E2680000}"/>
    <cellStyle name="SAPBEXchaText 5 2 7" xfId="30228" xr:uid="{9EB76801-C39F-4F54-8C5F-410EF4173CFB}"/>
    <cellStyle name="SAPBEXchaText 5 3" xfId="25915" xr:uid="{00000000-0005-0000-0000-0000E3680000}"/>
    <cellStyle name="SAPBEXchaText 5 3 2" xfId="30804" xr:uid="{3B7309FB-7002-47D1-A7EA-B0D2082A025B}"/>
    <cellStyle name="SAPBEXchaText 5 4" xfId="28000" xr:uid="{00000000-0005-0000-0000-0000E4680000}"/>
    <cellStyle name="SAPBEXchaText 5 4 2" xfId="32558" xr:uid="{AF5C3298-95BA-4815-BB85-7D0AA9C3A416}"/>
    <cellStyle name="SAPBEXchaText 5 5" xfId="26962" xr:uid="{00000000-0005-0000-0000-0000E5680000}"/>
    <cellStyle name="SAPBEXchaText 5 5 2" xfId="31723" xr:uid="{80BADA1D-B2A5-40FD-B758-7870739A022B}"/>
    <cellStyle name="SAPBEXchaText 5 6" xfId="29552" xr:uid="{00000000-0005-0000-0000-0000E6680000}"/>
    <cellStyle name="SAPBEXchaText 6" xfId="228" xr:uid="{00000000-0005-0000-0000-0000E7680000}"/>
    <cellStyle name="SAPBEXchaText 6 2" xfId="13713" xr:uid="{00000000-0005-0000-0000-0000E8680000}"/>
    <cellStyle name="SAPBEXchaText 6 2 2" xfId="25527" xr:uid="{00000000-0005-0000-0000-0000E9680000}"/>
    <cellStyle name="SAPBEXchaText 6 2 2 2" xfId="27680" xr:uid="{00000000-0005-0000-0000-0000EA680000}"/>
    <cellStyle name="SAPBEXchaText 6 2 2 2 2" xfId="32267" xr:uid="{22A278FE-4785-402F-A704-7DA684524221}"/>
    <cellStyle name="SAPBEXchaText 6 2 2 3" xfId="28005" xr:uid="{00000000-0005-0000-0000-0000EB680000}"/>
    <cellStyle name="SAPBEXchaText 6 2 2 3 2" xfId="32563" xr:uid="{77B492B7-E005-4BDA-9F60-41DA8B159D10}"/>
    <cellStyle name="SAPBEXchaText 6 2 2 4" xfId="26706" xr:uid="{00000000-0005-0000-0000-0000EC680000}"/>
    <cellStyle name="SAPBEXchaText 6 2 2 4 2" xfId="31468" xr:uid="{33769E03-8EF4-4941-B988-B72755493EDE}"/>
    <cellStyle name="SAPBEXchaText 6 2 2 5" xfId="29557" xr:uid="{00000000-0005-0000-0000-0000ED680000}"/>
    <cellStyle name="SAPBEXchaText 6 2 3" xfId="26633" xr:uid="{00000000-0005-0000-0000-0000EE680000}"/>
    <cellStyle name="SAPBEXchaText 6 2 3 2" xfId="31410" xr:uid="{C3F4B057-375E-4E64-AAD1-F9A576842C49}"/>
    <cellStyle name="SAPBEXchaText 6 2 4" xfId="28004" xr:uid="{00000000-0005-0000-0000-0000EF680000}"/>
    <cellStyle name="SAPBEXchaText 6 2 4 2" xfId="32562" xr:uid="{109A7494-49C9-465C-AA2F-E2D6A51FD5CE}"/>
    <cellStyle name="SAPBEXchaText 6 2 5" xfId="26313" xr:uid="{00000000-0005-0000-0000-0000F0680000}"/>
    <cellStyle name="SAPBEXchaText 6 2 5 2" xfId="31101" xr:uid="{AB4DD600-9408-4A1B-81D9-E0FD9C5940C9}"/>
    <cellStyle name="SAPBEXchaText 6 2 6" xfId="29556" xr:uid="{00000000-0005-0000-0000-0000F1680000}"/>
    <cellStyle name="SAPBEXchaText 6 2 7" xfId="30229" xr:uid="{07BFFDE9-19ED-40E2-9E84-D6EE921289DA}"/>
    <cellStyle name="SAPBEXchaText 6 3" xfId="25916" xr:uid="{00000000-0005-0000-0000-0000F2680000}"/>
    <cellStyle name="SAPBEXchaText 6 3 2" xfId="30805" xr:uid="{547E3CD4-5D04-4CA0-BE2A-40E85AA24C77}"/>
    <cellStyle name="SAPBEXchaText 6 4" xfId="28003" xr:uid="{00000000-0005-0000-0000-0000F3680000}"/>
    <cellStyle name="SAPBEXchaText 6 4 2" xfId="32561" xr:uid="{529CEF8C-1B0A-4E5F-AFBD-214A932D0894}"/>
    <cellStyle name="SAPBEXchaText 6 5" xfId="26443" xr:uid="{00000000-0005-0000-0000-0000F4680000}"/>
    <cellStyle name="SAPBEXchaText 6 5 2" xfId="31231" xr:uid="{6E0B9770-2E74-4348-A569-CE7AD2039FC6}"/>
    <cellStyle name="SAPBEXchaText 6 6" xfId="29555" xr:uid="{00000000-0005-0000-0000-0000F5680000}"/>
    <cellStyle name="SAPBEXchaText 7" xfId="229" xr:uid="{00000000-0005-0000-0000-0000F6680000}"/>
    <cellStyle name="SAPBEXchaText 7 2" xfId="485" xr:uid="{00000000-0005-0000-0000-0000F7680000}"/>
    <cellStyle name="SAPBEXchaText 7 2 2" xfId="13848" xr:uid="{00000000-0005-0000-0000-0000F8680000}"/>
    <cellStyle name="SAPBEXchaText 7 2 2 2" xfId="25378" xr:uid="{00000000-0005-0000-0000-0000F9680000}"/>
    <cellStyle name="SAPBEXchaText 7 2 2 2 2" xfId="27532" xr:uid="{00000000-0005-0000-0000-0000FA680000}"/>
    <cellStyle name="SAPBEXchaText 7 2 2 2 2 2" xfId="32123" xr:uid="{52542E1C-A245-421E-A63F-7149ED5CAF07}"/>
    <cellStyle name="SAPBEXchaText 7 2 2 2 3" xfId="28009" xr:uid="{00000000-0005-0000-0000-0000FB680000}"/>
    <cellStyle name="SAPBEXchaText 7 2 2 2 3 2" xfId="32567" xr:uid="{C9C49F1C-1922-46F2-97FA-C73D5DB36765}"/>
    <cellStyle name="SAPBEXchaText 7 2 2 2 4" xfId="26695" xr:uid="{00000000-0005-0000-0000-0000FC680000}"/>
    <cellStyle name="SAPBEXchaText 7 2 2 2 4 2" xfId="31457" xr:uid="{FA22BCDF-DEAB-494D-84F6-B17610115B94}"/>
    <cellStyle name="SAPBEXchaText 7 2 2 2 5" xfId="29561" xr:uid="{00000000-0005-0000-0000-0000FD680000}"/>
    <cellStyle name="SAPBEXchaText 7 2 2 2 6" xfId="30536" xr:uid="{85627ADD-2E70-4E0A-8761-79BD6BCCAF26}"/>
    <cellStyle name="SAPBEXchaText 7 2 2 3" xfId="26682" xr:uid="{00000000-0005-0000-0000-0000FE680000}"/>
    <cellStyle name="SAPBEXchaText 7 2 2 3 2" xfId="31445" xr:uid="{ADD5E1F4-7E87-490E-9C7A-235FE63FBCFB}"/>
    <cellStyle name="SAPBEXchaText 7 2 2 4" xfId="28008" xr:uid="{00000000-0005-0000-0000-0000FF680000}"/>
    <cellStyle name="SAPBEXchaText 7 2 2 4 2" xfId="32566" xr:uid="{E7EE46A1-CD47-4F0F-89F6-A508DD1D2D8D}"/>
    <cellStyle name="SAPBEXchaText 7 2 2 5" xfId="29560" xr:uid="{00000000-0005-0000-0000-000000690000}"/>
    <cellStyle name="SAPBEXchaText 7 2 3" xfId="25281" xr:uid="{00000000-0005-0000-0000-000001690000}"/>
    <cellStyle name="SAPBEXchaText 7 2 3 2" xfId="27436" xr:uid="{00000000-0005-0000-0000-000002690000}"/>
    <cellStyle name="SAPBEXchaText 7 2 3 2 2" xfId="32031" xr:uid="{26E9CF18-7C80-4994-B256-3A233AC3E1B3}"/>
    <cellStyle name="SAPBEXchaText 7 2 3 3" xfId="28010" xr:uid="{00000000-0005-0000-0000-000003690000}"/>
    <cellStyle name="SAPBEXchaText 7 2 3 3 2" xfId="32568" xr:uid="{268CFA2B-9333-4E7F-8E79-30FCCE0F08FB}"/>
    <cellStyle name="SAPBEXchaText 7 2 3 4" xfId="26172" xr:uid="{00000000-0005-0000-0000-000004690000}"/>
    <cellStyle name="SAPBEXchaText 7 2 3 4 2" xfId="30961" xr:uid="{6211BFA3-F975-4ADC-B443-86342960E308}"/>
    <cellStyle name="SAPBEXchaText 7 2 3 5" xfId="29562" xr:uid="{00000000-0005-0000-0000-000005690000}"/>
    <cellStyle name="SAPBEXchaText 7 2 3 6" xfId="30444" xr:uid="{D48E3575-3E9D-49E2-A962-DA2D92976549}"/>
    <cellStyle name="SAPBEXchaText 7 2 4" xfId="26035" xr:uid="{00000000-0005-0000-0000-000006690000}"/>
    <cellStyle name="SAPBEXchaText 7 2 4 2" xfId="30836" xr:uid="{BE4AE009-DB32-4BEF-B9BE-B1E8BE6C7331}"/>
    <cellStyle name="SAPBEXchaText 7 2 5" xfId="28007" xr:uid="{00000000-0005-0000-0000-000007690000}"/>
    <cellStyle name="SAPBEXchaText 7 2 5 2" xfId="32565" xr:uid="{D16DF65E-1078-4433-B752-4F6539E88B19}"/>
    <cellStyle name="SAPBEXchaText 7 2 6" xfId="29559" xr:uid="{00000000-0005-0000-0000-000008690000}"/>
    <cellStyle name="SAPBEXchaText 7 3" xfId="13714" xr:uid="{00000000-0005-0000-0000-000009690000}"/>
    <cellStyle name="SAPBEXchaText 7 3 2" xfId="25375" xr:uid="{00000000-0005-0000-0000-00000A690000}"/>
    <cellStyle name="SAPBEXchaText 7 3 2 2" xfId="27529" xr:uid="{00000000-0005-0000-0000-00000B690000}"/>
    <cellStyle name="SAPBEXchaText 7 3 2 2 2" xfId="32120" xr:uid="{A647E9DF-6CCA-4031-A463-0DD6CEDC2378}"/>
    <cellStyle name="SAPBEXchaText 7 3 2 3" xfId="28012" xr:uid="{00000000-0005-0000-0000-00000C690000}"/>
    <cellStyle name="SAPBEXchaText 7 3 2 3 2" xfId="32570" xr:uid="{24C38923-1612-4E01-A24D-179F16D43DE4}"/>
    <cellStyle name="SAPBEXchaText 7 3 2 4" xfId="26437" xr:uid="{00000000-0005-0000-0000-00000D690000}"/>
    <cellStyle name="SAPBEXchaText 7 3 2 4 2" xfId="31225" xr:uid="{450E58AE-F4B2-4393-B864-ED097D7AD114}"/>
    <cellStyle name="SAPBEXchaText 7 3 2 5" xfId="29564" xr:uid="{00000000-0005-0000-0000-00000E690000}"/>
    <cellStyle name="SAPBEXchaText 7 3 2 6" xfId="30533" xr:uid="{770AF651-E803-4298-890B-DA6387FB1EBB}"/>
    <cellStyle name="SAPBEXchaText 7 3 3" xfId="26634" xr:uid="{00000000-0005-0000-0000-00000F690000}"/>
    <cellStyle name="SAPBEXchaText 7 3 3 2" xfId="31411" xr:uid="{B3C62764-76AC-4CB8-BAFF-FCE08627574B}"/>
    <cellStyle name="SAPBEXchaText 7 3 4" xfId="28011" xr:uid="{00000000-0005-0000-0000-000010690000}"/>
    <cellStyle name="SAPBEXchaText 7 3 4 2" xfId="32569" xr:uid="{8E3A5CBB-D14F-4674-B376-9FA70177463D}"/>
    <cellStyle name="SAPBEXchaText 7 3 5" xfId="29563" xr:uid="{00000000-0005-0000-0000-000011690000}"/>
    <cellStyle name="SAPBEXchaText 7 4" xfId="25917" xr:uid="{00000000-0005-0000-0000-000012690000}"/>
    <cellStyle name="SAPBEXchaText 7 4 2" xfId="30806" xr:uid="{191C6D76-E4B9-4333-A259-1764C903BE3F}"/>
    <cellStyle name="SAPBEXchaText 7 5" xfId="28006" xr:uid="{00000000-0005-0000-0000-000013690000}"/>
    <cellStyle name="SAPBEXchaText 7 5 2" xfId="32564" xr:uid="{CE1F5832-9711-46C6-A2C8-4E99971A8664}"/>
    <cellStyle name="SAPBEXchaText 7 6" xfId="29558" xr:uid="{00000000-0005-0000-0000-000014690000}"/>
    <cellStyle name="SAPBEXchaText_Copy of xSAPtemp5457" xfId="230" xr:uid="{00000000-0005-0000-0000-000015690000}"/>
    <cellStyle name="SAPBEXexcBad7" xfId="79" xr:uid="{00000000-0005-0000-0000-000016690000}"/>
    <cellStyle name="SAPBEXexcBad7 2" xfId="13627" xr:uid="{00000000-0005-0000-0000-000017690000}"/>
    <cellStyle name="SAPBEXexcBad7 2 2" xfId="25465" xr:uid="{00000000-0005-0000-0000-000018690000}"/>
    <cellStyle name="SAPBEXexcBad7 2 2 2" xfId="27618" xr:uid="{00000000-0005-0000-0000-000019690000}"/>
    <cellStyle name="SAPBEXexcBad7 2 2 2 2" xfId="32205" xr:uid="{F6AD5AA4-ECBC-418A-A7E1-42E606DA1138}"/>
    <cellStyle name="SAPBEXexcBad7 2 2 3" xfId="28015" xr:uid="{00000000-0005-0000-0000-00001A690000}"/>
    <cellStyle name="SAPBEXexcBad7 2 2 3 2" xfId="32573" xr:uid="{026DF6A2-58DD-4587-AB07-5DDD7569B7C3}"/>
    <cellStyle name="SAPBEXexcBad7 2 2 4" xfId="26828" xr:uid="{00000000-0005-0000-0000-00001B690000}"/>
    <cellStyle name="SAPBEXexcBad7 2 2 4 2" xfId="31589" xr:uid="{ED6B7712-49D8-4AC5-9613-5B7648C281F3}"/>
    <cellStyle name="SAPBEXexcBad7 2 2 5" xfId="29567" xr:uid="{00000000-0005-0000-0000-00001C690000}"/>
    <cellStyle name="SAPBEXexcBad7 2 3" xfId="26569" xr:uid="{00000000-0005-0000-0000-00001D690000}"/>
    <cellStyle name="SAPBEXexcBad7 2 3 2" xfId="31347" xr:uid="{E481D17E-DB36-4148-8BD9-7983806C7D2E}"/>
    <cellStyle name="SAPBEXexcBad7 2 4" xfId="28014" xr:uid="{00000000-0005-0000-0000-00001E690000}"/>
    <cellStyle name="SAPBEXexcBad7 2 4 2" xfId="32572" xr:uid="{B6290ED8-9888-4644-B6FC-F4A47D8DED48}"/>
    <cellStyle name="SAPBEXexcBad7 2 5" xfId="26331" xr:uid="{00000000-0005-0000-0000-00001F690000}"/>
    <cellStyle name="SAPBEXexcBad7 2 5 2" xfId="31119" xr:uid="{53FBD389-691E-47E6-8664-A65B6E39A4F2}"/>
    <cellStyle name="SAPBEXexcBad7 2 6" xfId="29566" xr:uid="{00000000-0005-0000-0000-000020690000}"/>
    <cellStyle name="SAPBEXexcBad7 2 7" xfId="30167" xr:uid="{9AC65CE3-3E18-421D-BBD1-75D1B22F539E}"/>
    <cellStyle name="SAPBEXexcBad7 3" xfId="24682" xr:uid="{00000000-0005-0000-0000-000021690000}"/>
    <cellStyle name="SAPBEXexcBad7 3 2" xfId="25399" xr:uid="{00000000-0005-0000-0000-000022690000}"/>
    <cellStyle name="SAPBEXexcBad7 3 2 2" xfId="27553" xr:uid="{00000000-0005-0000-0000-000023690000}"/>
    <cellStyle name="SAPBEXexcBad7 3 2 2 2" xfId="32144" xr:uid="{A3D1E332-B276-4048-8F3F-270228DE3347}"/>
    <cellStyle name="SAPBEXexcBad7 3 2 3" xfId="28017" xr:uid="{00000000-0005-0000-0000-000024690000}"/>
    <cellStyle name="SAPBEXexcBad7 3 2 3 2" xfId="32575" xr:uid="{0B2F08D5-842A-416F-9D9B-C01C498C1ADF}"/>
    <cellStyle name="SAPBEXexcBad7 3 2 4" xfId="26769" xr:uid="{00000000-0005-0000-0000-000025690000}"/>
    <cellStyle name="SAPBEXexcBad7 3 2 4 2" xfId="31530" xr:uid="{52A2D7A2-1FC3-4E37-A58B-87DF89BCF9F6}"/>
    <cellStyle name="SAPBEXexcBad7 3 2 5" xfId="29569" xr:uid="{00000000-0005-0000-0000-000026690000}"/>
    <cellStyle name="SAPBEXexcBad7 3 2 6" xfId="30557" xr:uid="{8278BFE8-B196-4672-B445-CC80D6A98836}"/>
    <cellStyle name="SAPBEXexcBad7 3 3" xfId="25645" xr:uid="{00000000-0005-0000-0000-000027690000}"/>
    <cellStyle name="SAPBEXexcBad7 3 3 2" xfId="27798" xr:uid="{00000000-0005-0000-0000-000028690000}"/>
    <cellStyle name="SAPBEXexcBad7 3 3 2 2" xfId="32385" xr:uid="{F2119AA1-EDD3-491F-88FF-0347398E06C8}"/>
    <cellStyle name="SAPBEXexcBad7 3 3 3" xfId="28018" xr:uid="{00000000-0005-0000-0000-000029690000}"/>
    <cellStyle name="SAPBEXexcBad7 3 3 3 2" xfId="32576" xr:uid="{480CEA6E-DAF1-462E-9D0B-3B8941B61CB8}"/>
    <cellStyle name="SAPBEXexcBad7 3 3 4" xfId="26911" xr:uid="{00000000-0005-0000-0000-00002A690000}"/>
    <cellStyle name="SAPBEXexcBad7 3 3 4 2" xfId="31672" xr:uid="{AEC26E8F-A103-4FA9-A7F1-8BF1A2521750}"/>
    <cellStyle name="SAPBEXexcBad7 3 3 5" xfId="29570" xr:uid="{00000000-0005-0000-0000-00002B690000}"/>
    <cellStyle name="SAPBEXexcBad7 3 4" xfId="27272" xr:uid="{00000000-0005-0000-0000-00002C690000}"/>
    <cellStyle name="SAPBEXexcBad7 3 4 2" xfId="31907" xr:uid="{20113CD8-D19F-4F06-998C-0F238747D050}"/>
    <cellStyle name="SAPBEXexcBad7 3 5" xfId="28016" xr:uid="{00000000-0005-0000-0000-00002D690000}"/>
    <cellStyle name="SAPBEXexcBad7 3 5 2" xfId="32574" xr:uid="{57FF2C4B-ED26-469F-9020-53E139B0CB3F}"/>
    <cellStyle name="SAPBEXexcBad7 3 6" xfId="26377" xr:uid="{00000000-0005-0000-0000-00002E690000}"/>
    <cellStyle name="SAPBEXexcBad7 3 6 2" xfId="31165" xr:uid="{B8F6F46E-F3B9-4988-B763-D012B07ADF1A}"/>
    <cellStyle name="SAPBEXexcBad7 3 7" xfId="29568" xr:uid="{00000000-0005-0000-0000-00002F690000}"/>
    <cellStyle name="SAPBEXexcBad7 3 8" xfId="30347" xr:uid="{C438EF61-56CC-443D-B94B-C158C7907B5D}"/>
    <cellStyle name="SAPBEXexcBad7 4" xfId="25094" xr:uid="{00000000-0005-0000-0000-000030690000}"/>
    <cellStyle name="SAPBEXexcBad7 4 2" xfId="25304" xr:uid="{00000000-0005-0000-0000-000031690000}"/>
    <cellStyle name="SAPBEXexcBad7 4 2 2" xfId="27458" xr:uid="{00000000-0005-0000-0000-000032690000}"/>
    <cellStyle name="SAPBEXexcBad7 4 2 2 2" xfId="32050" xr:uid="{DC0AC1C3-3A0B-4C51-B482-90730169D534}"/>
    <cellStyle name="SAPBEXexcBad7 4 2 3" xfId="28020" xr:uid="{00000000-0005-0000-0000-000033690000}"/>
    <cellStyle name="SAPBEXexcBad7 4 2 3 2" xfId="32578" xr:uid="{A5DD4115-76F8-458B-97E7-994376CB98E9}"/>
    <cellStyle name="SAPBEXexcBad7 4 2 4" xfId="26171" xr:uid="{00000000-0005-0000-0000-000034690000}"/>
    <cellStyle name="SAPBEXexcBad7 4 2 4 2" xfId="30960" xr:uid="{396F3595-FB48-4E71-B1AF-03BB8F7F7B72}"/>
    <cellStyle name="SAPBEXexcBad7 4 2 5" xfId="29572" xr:uid="{00000000-0005-0000-0000-000035690000}"/>
    <cellStyle name="SAPBEXexcBad7 4 2 6" xfId="30463" xr:uid="{27A585FC-FFB6-454E-A6AB-F7CA56A56366}"/>
    <cellStyle name="SAPBEXexcBad7 4 3" xfId="25692" xr:uid="{00000000-0005-0000-0000-000036690000}"/>
    <cellStyle name="SAPBEXexcBad7 4 3 2" xfId="27845" xr:uid="{00000000-0005-0000-0000-000037690000}"/>
    <cellStyle name="SAPBEXexcBad7 4 3 2 2" xfId="32432" xr:uid="{6BA12DF8-8B2F-44B9-9EF2-978B0395EDA0}"/>
    <cellStyle name="SAPBEXexcBad7 4 3 3" xfId="28021" xr:uid="{00000000-0005-0000-0000-000038690000}"/>
    <cellStyle name="SAPBEXexcBad7 4 3 3 2" xfId="32579" xr:uid="{49B39C9B-31D8-4869-ACCD-9EDCB33B5E92}"/>
    <cellStyle name="SAPBEXexcBad7 4 3 4" xfId="26347" xr:uid="{00000000-0005-0000-0000-000039690000}"/>
    <cellStyle name="SAPBEXexcBad7 4 3 4 2" xfId="31135" xr:uid="{BE02F2D0-D3F5-4BFF-999F-2BD977846F25}"/>
    <cellStyle name="SAPBEXexcBad7 4 3 5" xfId="29573" xr:uid="{00000000-0005-0000-0000-00003A690000}"/>
    <cellStyle name="SAPBEXexcBad7 4 3 6" xfId="30686" xr:uid="{313CAF11-3654-4251-A8FE-A1E3486C57E4}"/>
    <cellStyle name="SAPBEXexcBad7 4 4" xfId="27379" xr:uid="{00000000-0005-0000-0000-00003B690000}"/>
    <cellStyle name="SAPBEXexcBad7 4 4 2" xfId="31977" xr:uid="{F565D8CC-E8DD-4837-8B46-DB948B1A2BD3}"/>
    <cellStyle name="SAPBEXexcBad7 4 5" xfId="28019" xr:uid="{00000000-0005-0000-0000-00003C690000}"/>
    <cellStyle name="SAPBEXexcBad7 4 5 2" xfId="32577" xr:uid="{00507B9B-AD04-436E-BE7A-0D8C06798B90}"/>
    <cellStyle name="SAPBEXexcBad7 4 6" xfId="26326" xr:uid="{00000000-0005-0000-0000-00003D690000}"/>
    <cellStyle name="SAPBEXexcBad7 4 6 2" xfId="31114" xr:uid="{78C2E43B-6293-449B-8D6D-B3866686CDDB}"/>
    <cellStyle name="SAPBEXexcBad7 4 7" xfId="29571" xr:uid="{00000000-0005-0000-0000-00003E690000}"/>
    <cellStyle name="SAPBEXexcBad7 4 8" xfId="30394" xr:uid="{FA2A5D41-B10D-424E-B95E-AFEE97770A6C}"/>
    <cellStyle name="SAPBEXexcBad7 5" xfId="25823" xr:uid="{00000000-0005-0000-0000-00003F690000}"/>
    <cellStyle name="SAPBEXexcBad7 5 2" xfId="30742" xr:uid="{0D73545B-EB51-4FF6-AE12-49D0D0152D10}"/>
    <cellStyle name="SAPBEXexcBad7 6" xfId="28013" xr:uid="{00000000-0005-0000-0000-000040690000}"/>
    <cellStyle name="SAPBEXexcBad7 6 2" xfId="32571" xr:uid="{9D5EAA66-2CBD-47B0-B41F-483478D1FBDC}"/>
    <cellStyle name="SAPBEXexcBad7 7" xfId="26762" xr:uid="{00000000-0005-0000-0000-000041690000}"/>
    <cellStyle name="SAPBEXexcBad7 7 2" xfId="31523" xr:uid="{5C276D8F-829A-4AEA-9CDD-E9CDA20805B5}"/>
    <cellStyle name="SAPBEXexcBad7 8" xfId="29565" xr:uid="{00000000-0005-0000-0000-000042690000}"/>
    <cellStyle name="SAPBEXexcBad8" xfId="80" xr:uid="{00000000-0005-0000-0000-000043690000}"/>
    <cellStyle name="SAPBEXexcBad8 2" xfId="13628" xr:uid="{00000000-0005-0000-0000-000044690000}"/>
    <cellStyle name="SAPBEXexcBad8 2 2" xfId="25466" xr:uid="{00000000-0005-0000-0000-000045690000}"/>
    <cellStyle name="SAPBEXexcBad8 2 2 2" xfId="27619" xr:uid="{00000000-0005-0000-0000-000046690000}"/>
    <cellStyle name="SAPBEXexcBad8 2 2 2 2" xfId="32206" xr:uid="{CDD3FB0F-3B32-4792-BAD7-01135437722A}"/>
    <cellStyle name="SAPBEXexcBad8 2 2 3" xfId="28024" xr:uid="{00000000-0005-0000-0000-000047690000}"/>
    <cellStyle name="SAPBEXexcBad8 2 2 3 2" xfId="32582" xr:uid="{852CDD5A-CFDD-41BD-884F-0764829DD48B}"/>
    <cellStyle name="SAPBEXexcBad8 2 2 4" xfId="26218" xr:uid="{00000000-0005-0000-0000-000048690000}"/>
    <cellStyle name="SAPBEXexcBad8 2 2 4 2" xfId="31006" xr:uid="{59F473EF-FFC9-47AC-AE9D-1D01CABA42AE}"/>
    <cellStyle name="SAPBEXexcBad8 2 2 5" xfId="29576" xr:uid="{00000000-0005-0000-0000-000049690000}"/>
    <cellStyle name="SAPBEXexcBad8 2 3" xfId="26570" xr:uid="{00000000-0005-0000-0000-00004A690000}"/>
    <cellStyle name="SAPBEXexcBad8 2 3 2" xfId="31348" xr:uid="{4FAA151D-0B1D-4247-AE0E-106F5F863E86}"/>
    <cellStyle name="SAPBEXexcBad8 2 4" xfId="28023" xr:uid="{00000000-0005-0000-0000-00004B690000}"/>
    <cellStyle name="SAPBEXexcBad8 2 4 2" xfId="32581" xr:uid="{16F42EA7-92D7-401F-B360-936F52931500}"/>
    <cellStyle name="SAPBEXexcBad8 2 5" xfId="27149" xr:uid="{00000000-0005-0000-0000-00004C690000}"/>
    <cellStyle name="SAPBEXexcBad8 2 5 2" xfId="31851" xr:uid="{A7C9056D-9180-4EF6-A8EF-7AFCE465DBD2}"/>
    <cellStyle name="SAPBEXexcBad8 2 6" xfId="29575" xr:uid="{00000000-0005-0000-0000-00004D690000}"/>
    <cellStyle name="SAPBEXexcBad8 2 7" xfId="30168" xr:uid="{121A054E-F96F-4E7D-A7D5-F5A6086CD662}"/>
    <cellStyle name="SAPBEXexcBad8 3" xfId="24681" xr:uid="{00000000-0005-0000-0000-00004E690000}"/>
    <cellStyle name="SAPBEXexcBad8 3 2" xfId="25383" xr:uid="{00000000-0005-0000-0000-00004F690000}"/>
    <cellStyle name="SAPBEXexcBad8 3 2 2" xfId="27537" xr:uid="{00000000-0005-0000-0000-000050690000}"/>
    <cellStyle name="SAPBEXexcBad8 3 2 2 2" xfId="32128" xr:uid="{F80C21A3-8BB8-446F-97B9-203291513ACD}"/>
    <cellStyle name="SAPBEXexcBad8 3 2 3" xfId="28026" xr:uid="{00000000-0005-0000-0000-000051690000}"/>
    <cellStyle name="SAPBEXexcBad8 3 2 3 2" xfId="32584" xr:uid="{F16DB7E5-F56D-4541-BA28-D3E480CE4FCD}"/>
    <cellStyle name="SAPBEXexcBad8 3 2 4" xfId="26788" xr:uid="{00000000-0005-0000-0000-000052690000}"/>
    <cellStyle name="SAPBEXexcBad8 3 2 4 2" xfId="31549" xr:uid="{58E2C0DA-65C7-4E44-8ED8-2A596A0076DC}"/>
    <cellStyle name="SAPBEXexcBad8 3 2 5" xfId="29578" xr:uid="{00000000-0005-0000-0000-000053690000}"/>
    <cellStyle name="SAPBEXexcBad8 3 2 6" xfId="30541" xr:uid="{3A15369D-004C-445B-8405-78A515CBFA0F}"/>
    <cellStyle name="SAPBEXexcBad8 3 3" xfId="25644" xr:uid="{00000000-0005-0000-0000-000054690000}"/>
    <cellStyle name="SAPBEXexcBad8 3 3 2" xfId="27797" xr:uid="{00000000-0005-0000-0000-000055690000}"/>
    <cellStyle name="SAPBEXexcBad8 3 3 2 2" xfId="32384" xr:uid="{26D793D6-4ED2-428F-BABF-41F68C2542AB}"/>
    <cellStyle name="SAPBEXexcBad8 3 3 3" xfId="28027" xr:uid="{00000000-0005-0000-0000-000056690000}"/>
    <cellStyle name="SAPBEXexcBad8 3 3 3 2" xfId="32585" xr:uid="{328ECF25-030C-449C-857B-3A0E8035D72C}"/>
    <cellStyle name="SAPBEXexcBad8 3 3 4" xfId="26093" xr:uid="{00000000-0005-0000-0000-000057690000}"/>
    <cellStyle name="SAPBEXexcBad8 3 3 4 2" xfId="30883" xr:uid="{DA520042-7A94-45D0-BDA5-7697230027FE}"/>
    <cellStyle name="SAPBEXexcBad8 3 3 5" xfId="29579" xr:uid="{00000000-0005-0000-0000-000058690000}"/>
    <cellStyle name="SAPBEXexcBad8 3 4" xfId="27271" xr:uid="{00000000-0005-0000-0000-000059690000}"/>
    <cellStyle name="SAPBEXexcBad8 3 4 2" xfId="31906" xr:uid="{741DA6BA-C344-46FA-82A5-C36E8F827DBA}"/>
    <cellStyle name="SAPBEXexcBad8 3 5" xfId="28025" xr:uid="{00000000-0005-0000-0000-00005A690000}"/>
    <cellStyle name="SAPBEXexcBad8 3 5 2" xfId="32583" xr:uid="{F9DE1F9E-A864-495D-BFC6-A9E860F5D52E}"/>
    <cellStyle name="SAPBEXexcBad8 3 6" xfId="26453" xr:uid="{00000000-0005-0000-0000-00005B690000}"/>
    <cellStyle name="SAPBEXexcBad8 3 6 2" xfId="31241" xr:uid="{A68E2025-D99A-431C-908B-1DFF8A453799}"/>
    <cellStyle name="SAPBEXexcBad8 3 7" xfId="29577" xr:uid="{00000000-0005-0000-0000-00005C690000}"/>
    <cellStyle name="SAPBEXexcBad8 3 8" xfId="30346" xr:uid="{8EBBC0D5-37FF-4FAA-BA5F-5BFF8369F726}"/>
    <cellStyle name="SAPBEXexcBad8 4" xfId="25095" xr:uid="{00000000-0005-0000-0000-00005D690000}"/>
    <cellStyle name="SAPBEXexcBad8 4 2" xfId="25407" xr:uid="{00000000-0005-0000-0000-00005E690000}"/>
    <cellStyle name="SAPBEXexcBad8 4 2 2" xfId="27561" xr:uid="{00000000-0005-0000-0000-00005F690000}"/>
    <cellStyle name="SAPBEXexcBad8 4 2 2 2" xfId="32152" xr:uid="{4C604C83-579A-4275-B506-5B2247491A78}"/>
    <cellStyle name="SAPBEXexcBad8 4 2 3" xfId="28029" xr:uid="{00000000-0005-0000-0000-000060690000}"/>
    <cellStyle name="SAPBEXexcBad8 4 2 3 2" xfId="32587" xr:uid="{7E77D617-98FF-4E59-A025-AD3A5B0E6444}"/>
    <cellStyle name="SAPBEXexcBad8 4 2 4" xfId="26104" xr:uid="{00000000-0005-0000-0000-000061690000}"/>
    <cellStyle name="SAPBEXexcBad8 4 2 4 2" xfId="30894" xr:uid="{C1DEDFA8-7657-4D64-8CDC-41E6BF6B7207}"/>
    <cellStyle name="SAPBEXexcBad8 4 2 5" xfId="29581" xr:uid="{00000000-0005-0000-0000-000062690000}"/>
    <cellStyle name="SAPBEXexcBad8 4 2 6" xfId="30565" xr:uid="{3B46A29E-DE8B-45F9-BE1F-4659838470C7}"/>
    <cellStyle name="SAPBEXexcBad8 4 3" xfId="25693" xr:uid="{00000000-0005-0000-0000-000063690000}"/>
    <cellStyle name="SAPBEXexcBad8 4 3 2" xfId="27846" xr:uid="{00000000-0005-0000-0000-000064690000}"/>
    <cellStyle name="SAPBEXexcBad8 4 3 2 2" xfId="32433" xr:uid="{8A2D5EE9-267D-4015-B097-FE5A481D2AF9}"/>
    <cellStyle name="SAPBEXexcBad8 4 3 3" xfId="28030" xr:uid="{00000000-0005-0000-0000-000065690000}"/>
    <cellStyle name="SAPBEXexcBad8 4 3 3 2" xfId="32588" xr:uid="{FA891C18-4D79-4A97-8002-B27C3CCFDBAF}"/>
    <cellStyle name="SAPBEXexcBad8 4 3 4" xfId="26900" xr:uid="{00000000-0005-0000-0000-000066690000}"/>
    <cellStyle name="SAPBEXexcBad8 4 3 4 2" xfId="31661" xr:uid="{C35F3C85-EC52-486B-BECD-F168DFDAA926}"/>
    <cellStyle name="SAPBEXexcBad8 4 3 5" xfId="29582" xr:uid="{00000000-0005-0000-0000-000067690000}"/>
    <cellStyle name="SAPBEXexcBad8 4 3 6" xfId="30687" xr:uid="{0805A494-1235-4227-9F3C-AEC439FDCD09}"/>
    <cellStyle name="SAPBEXexcBad8 4 4" xfId="27380" xr:uid="{00000000-0005-0000-0000-000068690000}"/>
    <cellStyle name="SAPBEXexcBad8 4 4 2" xfId="31978" xr:uid="{F0FEA23A-5C77-4FA6-AE45-94940C566A56}"/>
    <cellStyle name="SAPBEXexcBad8 4 5" xfId="28028" xr:uid="{00000000-0005-0000-0000-000069690000}"/>
    <cellStyle name="SAPBEXexcBad8 4 5 2" xfId="32586" xr:uid="{4B5902EA-D4CD-4A5B-8A5A-0401112C48E2}"/>
    <cellStyle name="SAPBEXexcBad8 4 6" xfId="26785" xr:uid="{00000000-0005-0000-0000-00006A690000}"/>
    <cellStyle name="SAPBEXexcBad8 4 6 2" xfId="31546" xr:uid="{1F66D3C7-B6ED-4FD8-A58B-E3C553854D24}"/>
    <cellStyle name="SAPBEXexcBad8 4 7" xfId="29580" xr:uid="{00000000-0005-0000-0000-00006B690000}"/>
    <cellStyle name="SAPBEXexcBad8 4 8" xfId="30395" xr:uid="{08675E25-B07C-4CA5-A6A7-C14738973FF5}"/>
    <cellStyle name="SAPBEXexcBad8 5" xfId="25824" xr:uid="{00000000-0005-0000-0000-00006C690000}"/>
    <cellStyle name="SAPBEXexcBad8 5 2" xfId="30743" xr:uid="{3E372EA9-0ED3-4A1E-9999-5127CCA3674D}"/>
    <cellStyle name="SAPBEXexcBad8 6" xfId="28022" xr:uid="{00000000-0005-0000-0000-00006D690000}"/>
    <cellStyle name="SAPBEXexcBad8 6 2" xfId="32580" xr:uid="{2CB1FFE1-73C1-48D3-B832-C247E2C55BB0}"/>
    <cellStyle name="SAPBEXexcBad8 7" xfId="26238" xr:uid="{00000000-0005-0000-0000-00006E690000}"/>
    <cellStyle name="SAPBEXexcBad8 7 2" xfId="31026" xr:uid="{26EA9E22-F38C-4C7E-8B09-A86D266C206F}"/>
    <cellStyle name="SAPBEXexcBad8 8" xfId="29574" xr:uid="{00000000-0005-0000-0000-00006F690000}"/>
    <cellStyle name="SAPBEXexcBad9" xfId="81" xr:uid="{00000000-0005-0000-0000-000070690000}"/>
    <cellStyle name="SAPBEXexcBad9 2" xfId="13629" xr:uid="{00000000-0005-0000-0000-000071690000}"/>
    <cellStyle name="SAPBEXexcBad9 2 2" xfId="25467" xr:uid="{00000000-0005-0000-0000-000072690000}"/>
    <cellStyle name="SAPBEXexcBad9 2 2 2" xfId="27620" xr:uid="{00000000-0005-0000-0000-000073690000}"/>
    <cellStyle name="SAPBEXexcBad9 2 2 2 2" xfId="32207" xr:uid="{9219C994-1373-4C88-8225-2AAE9430DDC0}"/>
    <cellStyle name="SAPBEXexcBad9 2 2 3" xfId="28033" xr:uid="{00000000-0005-0000-0000-000074690000}"/>
    <cellStyle name="SAPBEXexcBad9 2 2 3 2" xfId="32591" xr:uid="{147B5E01-F6E4-40B2-80F8-3A1C91AC2264}"/>
    <cellStyle name="SAPBEXexcBad9 2 2 4" xfId="26927" xr:uid="{00000000-0005-0000-0000-000075690000}"/>
    <cellStyle name="SAPBEXexcBad9 2 2 4 2" xfId="31688" xr:uid="{66310ED7-13E0-475D-943C-1B92209832B0}"/>
    <cellStyle name="SAPBEXexcBad9 2 2 5" xfId="29585" xr:uid="{00000000-0005-0000-0000-000076690000}"/>
    <cellStyle name="SAPBEXexcBad9 2 3" xfId="26571" xr:uid="{00000000-0005-0000-0000-000077690000}"/>
    <cellStyle name="SAPBEXexcBad9 2 3 2" xfId="31349" xr:uid="{468C88E9-5348-4798-A7FB-656C57D4C49D}"/>
    <cellStyle name="SAPBEXexcBad9 2 4" xfId="28032" xr:uid="{00000000-0005-0000-0000-000078690000}"/>
    <cellStyle name="SAPBEXexcBad9 2 4 2" xfId="32590" xr:uid="{FDAF5511-97AE-4C91-9200-BD6139B1CCD4}"/>
    <cellStyle name="SAPBEXexcBad9 2 5" xfId="26418" xr:uid="{00000000-0005-0000-0000-000079690000}"/>
    <cellStyle name="SAPBEXexcBad9 2 5 2" xfId="31206" xr:uid="{817733A6-CA2D-4868-A91E-D5F88F616E6C}"/>
    <cellStyle name="SAPBEXexcBad9 2 6" xfId="29584" xr:uid="{00000000-0005-0000-0000-00007A690000}"/>
    <cellStyle name="SAPBEXexcBad9 2 7" xfId="30169" xr:uid="{5A46BD8B-99BA-4ADD-BD92-D2EDF95E3C6C}"/>
    <cellStyle name="SAPBEXexcBad9 3" xfId="24680" xr:uid="{00000000-0005-0000-0000-00007B690000}"/>
    <cellStyle name="SAPBEXexcBad9 3 2" xfId="25370" xr:uid="{00000000-0005-0000-0000-00007C690000}"/>
    <cellStyle name="SAPBEXexcBad9 3 2 2" xfId="27524" xr:uid="{00000000-0005-0000-0000-00007D690000}"/>
    <cellStyle name="SAPBEXexcBad9 3 2 2 2" xfId="32115" xr:uid="{5904040C-3BBB-423B-8860-5CC46C45B118}"/>
    <cellStyle name="SAPBEXexcBad9 3 2 3" xfId="28035" xr:uid="{00000000-0005-0000-0000-00007E690000}"/>
    <cellStyle name="SAPBEXexcBad9 3 2 3 2" xfId="32593" xr:uid="{93D296E2-06AB-4437-921B-1E975D5F7F06}"/>
    <cellStyle name="SAPBEXexcBad9 3 2 4" xfId="26704" xr:uid="{00000000-0005-0000-0000-00007F690000}"/>
    <cellStyle name="SAPBEXexcBad9 3 2 4 2" xfId="31466" xr:uid="{71DE239D-58B4-48FA-83E7-39092D3A3F62}"/>
    <cellStyle name="SAPBEXexcBad9 3 2 5" xfId="29587" xr:uid="{00000000-0005-0000-0000-000080690000}"/>
    <cellStyle name="SAPBEXexcBad9 3 2 6" xfId="30528" xr:uid="{BE9D39FA-F8D5-4FCD-880A-65D34BEEBDD0}"/>
    <cellStyle name="SAPBEXexcBad9 3 3" xfId="25643" xr:uid="{00000000-0005-0000-0000-000081690000}"/>
    <cellStyle name="SAPBEXexcBad9 3 3 2" xfId="27796" xr:uid="{00000000-0005-0000-0000-000082690000}"/>
    <cellStyle name="SAPBEXexcBad9 3 3 2 2" xfId="32383" xr:uid="{E5EE7670-C79F-4A61-BB0E-8D5B921C5D6A}"/>
    <cellStyle name="SAPBEXexcBad9 3 3 3" xfId="28036" xr:uid="{00000000-0005-0000-0000-000083690000}"/>
    <cellStyle name="SAPBEXexcBad9 3 3 3 2" xfId="32594" xr:uid="{9F72F696-A5AD-430D-8B4F-5E7A509BF504}"/>
    <cellStyle name="SAPBEXexcBad9 3 3 4" xfId="26530" xr:uid="{00000000-0005-0000-0000-000084690000}"/>
    <cellStyle name="SAPBEXexcBad9 3 3 4 2" xfId="31317" xr:uid="{0AF54538-BDD5-451D-B991-E41725C3156C}"/>
    <cellStyle name="SAPBEXexcBad9 3 3 5" xfId="29588" xr:uid="{00000000-0005-0000-0000-000085690000}"/>
    <cellStyle name="SAPBEXexcBad9 3 4" xfId="27270" xr:uid="{00000000-0005-0000-0000-000086690000}"/>
    <cellStyle name="SAPBEXexcBad9 3 4 2" xfId="31905" xr:uid="{8D260CF6-18A3-468A-BC1F-EF8242DA7411}"/>
    <cellStyle name="SAPBEXexcBad9 3 5" xfId="28034" xr:uid="{00000000-0005-0000-0000-000087690000}"/>
    <cellStyle name="SAPBEXexcBad9 3 5 2" xfId="32592" xr:uid="{92BF6394-75C1-4E2B-A1A7-0B62F3217125}"/>
    <cellStyle name="SAPBEXexcBad9 3 6" xfId="26886" xr:uid="{00000000-0005-0000-0000-000088690000}"/>
    <cellStyle name="SAPBEXexcBad9 3 6 2" xfId="31647" xr:uid="{2CA139E6-A935-4D43-9079-DF3D0C324EC1}"/>
    <cellStyle name="SAPBEXexcBad9 3 7" xfId="29586" xr:uid="{00000000-0005-0000-0000-000089690000}"/>
    <cellStyle name="SAPBEXexcBad9 3 8" xfId="30345" xr:uid="{7723DB4C-AAD9-44A2-86D4-2332F61D552D}"/>
    <cellStyle name="SAPBEXexcBad9 4" xfId="25096" xr:uid="{00000000-0005-0000-0000-00008A690000}"/>
    <cellStyle name="SAPBEXexcBad9 4 2" xfId="25320" xr:uid="{00000000-0005-0000-0000-00008B690000}"/>
    <cellStyle name="SAPBEXexcBad9 4 2 2" xfId="27474" xr:uid="{00000000-0005-0000-0000-00008C690000}"/>
    <cellStyle name="SAPBEXexcBad9 4 2 2 2" xfId="32065" xr:uid="{D3264A37-97E2-4BFF-8403-2B0F38FB2298}"/>
    <cellStyle name="SAPBEXexcBad9 4 2 3" xfId="28038" xr:uid="{00000000-0005-0000-0000-00008D690000}"/>
    <cellStyle name="SAPBEXexcBad9 4 2 3 2" xfId="32596" xr:uid="{ECE4F3D6-7129-48B1-8496-F77E5A7631A6}"/>
    <cellStyle name="SAPBEXexcBad9 4 2 4" xfId="26083" xr:uid="{00000000-0005-0000-0000-00008E690000}"/>
    <cellStyle name="SAPBEXexcBad9 4 2 4 2" xfId="30873" xr:uid="{EF3785BF-319D-48F7-8611-86DE9D9805DD}"/>
    <cellStyle name="SAPBEXexcBad9 4 2 5" xfId="29590" xr:uid="{00000000-0005-0000-0000-00008F690000}"/>
    <cellStyle name="SAPBEXexcBad9 4 2 6" xfId="30478" xr:uid="{55512588-FCE6-4E34-9525-10C463DEDDB6}"/>
    <cellStyle name="SAPBEXexcBad9 4 3" xfId="25694" xr:uid="{00000000-0005-0000-0000-000090690000}"/>
    <cellStyle name="SAPBEXexcBad9 4 3 2" xfId="27847" xr:uid="{00000000-0005-0000-0000-000091690000}"/>
    <cellStyle name="SAPBEXexcBad9 4 3 2 2" xfId="32434" xr:uid="{7977C168-4F68-4452-B0C1-4E2C277010CA}"/>
    <cellStyle name="SAPBEXexcBad9 4 3 3" xfId="28039" xr:uid="{00000000-0005-0000-0000-000092690000}"/>
    <cellStyle name="SAPBEXexcBad9 4 3 3 2" xfId="32597" xr:uid="{F43F0C88-FE17-43C5-B8D0-A84D84C581B3}"/>
    <cellStyle name="SAPBEXexcBad9 4 3 4" xfId="27316" xr:uid="{00000000-0005-0000-0000-000093690000}"/>
    <cellStyle name="SAPBEXexcBad9 4 3 4 2" xfId="31936" xr:uid="{072C2996-7E58-48FA-9C3C-E0F1FDF93C39}"/>
    <cellStyle name="SAPBEXexcBad9 4 3 5" xfId="29591" xr:uid="{00000000-0005-0000-0000-000094690000}"/>
    <cellStyle name="SAPBEXexcBad9 4 3 6" xfId="30688" xr:uid="{E7B6A86E-F651-4499-A81A-9D2E5C8EA0D3}"/>
    <cellStyle name="SAPBEXexcBad9 4 4" xfId="27381" xr:uid="{00000000-0005-0000-0000-000095690000}"/>
    <cellStyle name="SAPBEXexcBad9 4 4 2" xfId="31979" xr:uid="{04528EAB-C978-4019-ADE5-1EB760ED5A63}"/>
    <cellStyle name="SAPBEXexcBad9 4 5" xfId="28037" xr:uid="{00000000-0005-0000-0000-000096690000}"/>
    <cellStyle name="SAPBEXexcBad9 4 5 2" xfId="32595" xr:uid="{E63F6B05-8010-4AEA-B68C-AD363D2196B2}"/>
    <cellStyle name="SAPBEXexcBad9 4 6" xfId="26261" xr:uid="{00000000-0005-0000-0000-000097690000}"/>
    <cellStyle name="SAPBEXexcBad9 4 6 2" xfId="31049" xr:uid="{036F90B6-FA9D-4D6C-9A07-816B59726EDE}"/>
    <cellStyle name="SAPBEXexcBad9 4 7" xfId="29589" xr:uid="{00000000-0005-0000-0000-000098690000}"/>
    <cellStyle name="SAPBEXexcBad9 4 8" xfId="30396" xr:uid="{5497B413-3269-428A-ADFF-E39FDCFD8C2C}"/>
    <cellStyle name="SAPBEXexcBad9 5" xfId="25825" xr:uid="{00000000-0005-0000-0000-000099690000}"/>
    <cellStyle name="SAPBEXexcBad9 5 2" xfId="30744" xr:uid="{B9FDB609-DEC1-4553-856F-FF209B25523E}"/>
    <cellStyle name="SAPBEXexcBad9 6" xfId="28031" xr:uid="{00000000-0005-0000-0000-00009A690000}"/>
    <cellStyle name="SAPBEXexcBad9 6 2" xfId="32589" xr:uid="{742128E4-5277-4C17-A150-4CB06F50C9E8}"/>
    <cellStyle name="SAPBEXexcBad9 7" xfId="26839" xr:uid="{00000000-0005-0000-0000-00009B690000}"/>
    <cellStyle name="SAPBEXexcBad9 7 2" xfId="31600" xr:uid="{1476D7C8-A60A-4FB1-B4A2-CAF306157B4B}"/>
    <cellStyle name="SAPBEXexcBad9 8" xfId="29583" xr:uid="{00000000-0005-0000-0000-00009C690000}"/>
    <cellStyle name="SAPBEXexcCritical4" xfId="82" xr:uid="{00000000-0005-0000-0000-00009D690000}"/>
    <cellStyle name="SAPBEXexcCritical4 2" xfId="13630" xr:uid="{00000000-0005-0000-0000-00009E690000}"/>
    <cellStyle name="SAPBEXexcCritical4 2 2" xfId="25468" xr:uid="{00000000-0005-0000-0000-00009F690000}"/>
    <cellStyle name="SAPBEXexcCritical4 2 2 2" xfId="27621" xr:uid="{00000000-0005-0000-0000-0000A0690000}"/>
    <cellStyle name="SAPBEXexcCritical4 2 2 2 2" xfId="32208" xr:uid="{4C1A3557-8559-446F-BEE3-03BF902472E1}"/>
    <cellStyle name="SAPBEXexcCritical4 2 2 3" xfId="28042" xr:uid="{00000000-0005-0000-0000-0000A1690000}"/>
    <cellStyle name="SAPBEXexcCritical4 2 2 3 2" xfId="32600" xr:uid="{1EC165D3-BD9F-40F4-A9A5-5784127958E8}"/>
    <cellStyle name="SAPBEXexcCritical4 2 2 4" xfId="26891" xr:uid="{00000000-0005-0000-0000-0000A2690000}"/>
    <cellStyle name="SAPBEXexcCritical4 2 2 4 2" xfId="31652" xr:uid="{B19CE2F8-6FA7-4669-BC20-9C52A5C86E66}"/>
    <cellStyle name="SAPBEXexcCritical4 2 2 5" xfId="29594" xr:uid="{00000000-0005-0000-0000-0000A3690000}"/>
    <cellStyle name="SAPBEXexcCritical4 2 3" xfId="26572" xr:uid="{00000000-0005-0000-0000-0000A4690000}"/>
    <cellStyle name="SAPBEXexcCritical4 2 3 2" xfId="31350" xr:uid="{2CEA8ACE-5515-4B13-A8A3-7F63E30DE0FA}"/>
    <cellStyle name="SAPBEXexcCritical4 2 4" xfId="28041" xr:uid="{00000000-0005-0000-0000-0000A5690000}"/>
    <cellStyle name="SAPBEXexcCritical4 2 4 2" xfId="32599" xr:uid="{91E586E4-3882-4DF8-A48E-1CBB37128C11}"/>
    <cellStyle name="SAPBEXexcCritical4 2 5" xfId="26440" xr:uid="{00000000-0005-0000-0000-0000A6690000}"/>
    <cellStyle name="SAPBEXexcCritical4 2 5 2" xfId="31228" xr:uid="{0A11A3EE-4D47-4AF6-BD3B-57C75A471220}"/>
    <cellStyle name="SAPBEXexcCritical4 2 6" xfId="29593" xr:uid="{00000000-0005-0000-0000-0000A7690000}"/>
    <cellStyle name="SAPBEXexcCritical4 2 7" xfId="30170" xr:uid="{58A3AECB-2DA0-425D-9D17-340E10EDBC4A}"/>
    <cellStyle name="SAPBEXexcCritical4 3" xfId="24679" xr:uid="{00000000-0005-0000-0000-0000A8690000}"/>
    <cellStyle name="SAPBEXexcCritical4 3 2" xfId="25288" xr:uid="{00000000-0005-0000-0000-0000A9690000}"/>
    <cellStyle name="SAPBEXexcCritical4 3 2 2" xfId="27443" xr:uid="{00000000-0005-0000-0000-0000AA690000}"/>
    <cellStyle name="SAPBEXexcCritical4 3 2 2 2" xfId="32038" xr:uid="{0C834BEA-1894-4C1F-B9A4-DEB4E7C18754}"/>
    <cellStyle name="SAPBEXexcCritical4 3 2 3" xfId="28044" xr:uid="{00000000-0005-0000-0000-0000AB690000}"/>
    <cellStyle name="SAPBEXexcCritical4 3 2 3 2" xfId="32602" xr:uid="{ADA7A4CD-29BC-4F1A-8F0B-96057CE648F7}"/>
    <cellStyle name="SAPBEXexcCritical4 3 2 4" xfId="26721" xr:uid="{00000000-0005-0000-0000-0000AC690000}"/>
    <cellStyle name="SAPBEXexcCritical4 3 2 4 2" xfId="31482" xr:uid="{23AA9DE3-CCD4-456B-83D4-945869CDD871}"/>
    <cellStyle name="SAPBEXexcCritical4 3 2 5" xfId="29596" xr:uid="{00000000-0005-0000-0000-0000AD690000}"/>
    <cellStyle name="SAPBEXexcCritical4 3 2 6" xfId="30451" xr:uid="{C9F467A4-EC64-4110-8658-0E9CC956A4AE}"/>
    <cellStyle name="SAPBEXexcCritical4 3 3" xfId="25642" xr:uid="{00000000-0005-0000-0000-0000AE690000}"/>
    <cellStyle name="SAPBEXexcCritical4 3 3 2" xfId="27795" xr:uid="{00000000-0005-0000-0000-0000AF690000}"/>
    <cellStyle name="SAPBEXexcCritical4 3 3 2 2" xfId="32382" xr:uid="{1BCD7247-65D7-4B38-A22A-30576908620A}"/>
    <cellStyle name="SAPBEXexcCritical4 3 3 3" xfId="28045" xr:uid="{00000000-0005-0000-0000-0000B0690000}"/>
    <cellStyle name="SAPBEXexcCritical4 3 3 3 2" xfId="32603" xr:uid="{6420519A-2F43-44DF-913D-2727A45F7DD6}"/>
    <cellStyle name="SAPBEXexcCritical4 3 3 4" xfId="26545" xr:uid="{00000000-0005-0000-0000-0000B1690000}"/>
    <cellStyle name="SAPBEXexcCritical4 3 3 4 2" xfId="31332" xr:uid="{D8E73EB4-E864-437B-8056-746880BFBB26}"/>
    <cellStyle name="SAPBEXexcCritical4 3 3 5" xfId="29597" xr:uid="{00000000-0005-0000-0000-0000B2690000}"/>
    <cellStyle name="SAPBEXexcCritical4 3 4" xfId="27269" xr:uid="{00000000-0005-0000-0000-0000B3690000}"/>
    <cellStyle name="SAPBEXexcCritical4 3 4 2" xfId="31904" xr:uid="{B939282D-E9C7-4A38-BC31-D08288318DAB}"/>
    <cellStyle name="SAPBEXexcCritical4 3 5" xfId="28043" xr:uid="{00000000-0005-0000-0000-0000B4690000}"/>
    <cellStyle name="SAPBEXexcCritical4 3 5 2" xfId="32601" xr:uid="{E511E918-D7D8-4C6F-9BF1-EF4F9A4F79B7}"/>
    <cellStyle name="SAPBEXexcCritical4 3 6" xfId="27431" xr:uid="{00000000-0005-0000-0000-0000B5690000}"/>
    <cellStyle name="SAPBEXexcCritical4 3 6 2" xfId="32029" xr:uid="{E734B8A6-8438-40C5-8402-F8A9F89A88E0}"/>
    <cellStyle name="SAPBEXexcCritical4 3 7" xfId="29595" xr:uid="{00000000-0005-0000-0000-0000B6690000}"/>
    <cellStyle name="SAPBEXexcCritical4 3 8" xfId="30344" xr:uid="{C74F7E1B-840F-45DA-A86A-EB45BC080B92}"/>
    <cellStyle name="SAPBEXexcCritical4 4" xfId="25097" xr:uid="{00000000-0005-0000-0000-0000B7690000}"/>
    <cellStyle name="SAPBEXexcCritical4 4 2" xfId="25419" xr:uid="{00000000-0005-0000-0000-0000B8690000}"/>
    <cellStyle name="SAPBEXexcCritical4 4 2 2" xfId="27573" xr:uid="{00000000-0005-0000-0000-0000B9690000}"/>
    <cellStyle name="SAPBEXexcCritical4 4 2 2 2" xfId="32164" xr:uid="{6C533E4F-C7F3-401D-A2CF-74009D23DA54}"/>
    <cellStyle name="SAPBEXexcCritical4 4 2 3" xfId="28047" xr:uid="{00000000-0005-0000-0000-0000BA690000}"/>
    <cellStyle name="SAPBEXexcCritical4 4 2 3 2" xfId="32605" xr:uid="{ABB5BBFD-C752-47A0-A672-E72912235D69}"/>
    <cellStyle name="SAPBEXexcCritical4 4 2 4" xfId="26864" xr:uid="{00000000-0005-0000-0000-0000BB690000}"/>
    <cellStyle name="SAPBEXexcCritical4 4 2 4 2" xfId="31625" xr:uid="{AC5EBFA1-63FE-4CC3-A54A-19267982CF04}"/>
    <cellStyle name="SAPBEXexcCritical4 4 2 5" xfId="29599" xr:uid="{00000000-0005-0000-0000-0000BC690000}"/>
    <cellStyle name="SAPBEXexcCritical4 4 2 6" xfId="30577" xr:uid="{7ED3A99F-705A-411B-830D-64F6E5CF8980}"/>
    <cellStyle name="SAPBEXexcCritical4 4 3" xfId="25695" xr:uid="{00000000-0005-0000-0000-0000BD690000}"/>
    <cellStyle name="SAPBEXexcCritical4 4 3 2" xfId="27848" xr:uid="{00000000-0005-0000-0000-0000BE690000}"/>
    <cellStyle name="SAPBEXexcCritical4 4 3 2 2" xfId="32435" xr:uid="{A739D6FD-5B35-4406-9571-BF10110B53C2}"/>
    <cellStyle name="SAPBEXexcCritical4 4 3 3" xfId="28048" xr:uid="{00000000-0005-0000-0000-0000BF690000}"/>
    <cellStyle name="SAPBEXexcCritical4 4 3 3 2" xfId="32606" xr:uid="{636F7462-3337-4DFB-8DE2-44497B315D7F}"/>
    <cellStyle name="SAPBEXexcCritical4 4 3 4" xfId="26473" xr:uid="{00000000-0005-0000-0000-0000C0690000}"/>
    <cellStyle name="SAPBEXexcCritical4 4 3 4 2" xfId="31261" xr:uid="{E5E4E37D-D955-4DEA-B86C-2DC3C6C64B46}"/>
    <cellStyle name="SAPBEXexcCritical4 4 3 5" xfId="29600" xr:uid="{00000000-0005-0000-0000-0000C1690000}"/>
    <cellStyle name="SAPBEXexcCritical4 4 3 6" xfId="30689" xr:uid="{F46028BE-D214-4024-B49F-8181E8E1C8F2}"/>
    <cellStyle name="SAPBEXexcCritical4 4 4" xfId="27382" xr:uid="{00000000-0005-0000-0000-0000C2690000}"/>
    <cellStyle name="SAPBEXexcCritical4 4 4 2" xfId="31980" xr:uid="{EDE1B859-C2C2-4F53-B8E3-BA10D956968C}"/>
    <cellStyle name="SAPBEXexcCritical4 4 5" xfId="28046" xr:uid="{00000000-0005-0000-0000-0000C3690000}"/>
    <cellStyle name="SAPBEXexcCritical4 4 5 2" xfId="32604" xr:uid="{3A204148-B177-4470-A7EE-47BDF5C2BCED}"/>
    <cellStyle name="SAPBEXexcCritical4 4 6" xfId="26875" xr:uid="{00000000-0005-0000-0000-0000C4690000}"/>
    <cellStyle name="SAPBEXexcCritical4 4 6 2" xfId="31636" xr:uid="{2F5DB930-50CA-4BDB-B31A-D8DD74879E2A}"/>
    <cellStyle name="SAPBEXexcCritical4 4 7" xfId="29598" xr:uid="{00000000-0005-0000-0000-0000C5690000}"/>
    <cellStyle name="SAPBEXexcCritical4 4 8" xfId="30397" xr:uid="{CC0440E0-F90D-4E0B-AC5F-21FF8BBE30C6}"/>
    <cellStyle name="SAPBEXexcCritical4 5" xfId="25826" xr:uid="{00000000-0005-0000-0000-0000C6690000}"/>
    <cellStyle name="SAPBEXexcCritical4 5 2" xfId="30745" xr:uid="{FB75A25C-B024-4FCB-9184-F92F74F57870}"/>
    <cellStyle name="SAPBEXexcCritical4 6" xfId="28040" xr:uid="{00000000-0005-0000-0000-0000C7690000}"/>
    <cellStyle name="SAPBEXexcCritical4 6 2" xfId="32598" xr:uid="{9407BCAC-FC5C-4527-914B-98099D843D16}"/>
    <cellStyle name="SAPBEXexcCritical4 7" xfId="28544" xr:uid="{00000000-0005-0000-0000-0000C8690000}"/>
    <cellStyle name="SAPBEXexcCritical4 7 2" xfId="33102" xr:uid="{2796E429-B2A0-4461-8D28-4C03E84A230C}"/>
    <cellStyle name="SAPBEXexcCritical4 8" xfId="29592" xr:uid="{00000000-0005-0000-0000-0000C9690000}"/>
    <cellStyle name="SAPBEXexcCritical5" xfId="83" xr:uid="{00000000-0005-0000-0000-0000CA690000}"/>
    <cellStyle name="SAPBEXexcCritical5 2" xfId="13631" xr:uid="{00000000-0005-0000-0000-0000CB690000}"/>
    <cellStyle name="SAPBEXexcCritical5 2 2" xfId="25469" xr:uid="{00000000-0005-0000-0000-0000CC690000}"/>
    <cellStyle name="SAPBEXexcCritical5 2 2 2" xfId="27622" xr:uid="{00000000-0005-0000-0000-0000CD690000}"/>
    <cellStyle name="SAPBEXexcCritical5 2 2 2 2" xfId="32209" xr:uid="{99E80E00-0114-4690-AA88-FBBFD0A6923A}"/>
    <cellStyle name="SAPBEXexcCritical5 2 2 3" xfId="28051" xr:uid="{00000000-0005-0000-0000-0000CE690000}"/>
    <cellStyle name="SAPBEXexcCritical5 2 2 3 2" xfId="32609" xr:uid="{5F50C9B8-F086-42FF-A2A1-B5A66226DE78}"/>
    <cellStyle name="SAPBEXexcCritical5 2 2 4" xfId="26876" xr:uid="{00000000-0005-0000-0000-0000CF690000}"/>
    <cellStyle name="SAPBEXexcCritical5 2 2 4 2" xfId="31637" xr:uid="{45822982-4981-4072-8B74-CEA78E3A33D3}"/>
    <cellStyle name="SAPBEXexcCritical5 2 2 5" xfId="29603" xr:uid="{00000000-0005-0000-0000-0000D0690000}"/>
    <cellStyle name="SAPBEXexcCritical5 2 3" xfId="26573" xr:uid="{00000000-0005-0000-0000-0000D1690000}"/>
    <cellStyle name="SAPBEXexcCritical5 2 3 2" xfId="31351" xr:uid="{E8207FE1-76BA-456B-9EF4-2E9F13EAE089}"/>
    <cellStyle name="SAPBEXexcCritical5 2 4" xfId="28050" xr:uid="{00000000-0005-0000-0000-0000D2690000}"/>
    <cellStyle name="SAPBEXexcCritical5 2 4 2" xfId="32608" xr:uid="{B399BDED-9CA3-4D65-BEAB-B6C374479F24}"/>
    <cellStyle name="SAPBEXexcCritical5 2 5" xfId="26879" xr:uid="{00000000-0005-0000-0000-0000D3690000}"/>
    <cellStyle name="SAPBEXexcCritical5 2 5 2" xfId="31640" xr:uid="{1564924A-79FD-4C8F-BB53-CC3E151FCB18}"/>
    <cellStyle name="SAPBEXexcCritical5 2 6" xfId="29602" xr:uid="{00000000-0005-0000-0000-0000D4690000}"/>
    <cellStyle name="SAPBEXexcCritical5 2 7" xfId="30171" xr:uid="{8AB3656F-2BD5-4509-9FE2-535ACCE267AF}"/>
    <cellStyle name="SAPBEXexcCritical5 3" xfId="24678" xr:uid="{00000000-0005-0000-0000-0000D5690000}"/>
    <cellStyle name="SAPBEXexcCritical5 3 2" xfId="25299" xr:uid="{00000000-0005-0000-0000-0000D6690000}"/>
    <cellStyle name="SAPBEXexcCritical5 3 2 2" xfId="27453" xr:uid="{00000000-0005-0000-0000-0000D7690000}"/>
    <cellStyle name="SAPBEXexcCritical5 3 2 2 2" xfId="32045" xr:uid="{4BBE141B-12A2-4264-B2A9-8AE31239A911}"/>
    <cellStyle name="SAPBEXexcCritical5 3 2 3" xfId="28053" xr:uid="{00000000-0005-0000-0000-0000D8690000}"/>
    <cellStyle name="SAPBEXexcCritical5 3 2 3 2" xfId="32611" xr:uid="{23E69A51-8BD5-47C3-B992-1976428EF0F8}"/>
    <cellStyle name="SAPBEXexcCritical5 3 2 4" xfId="27224" xr:uid="{00000000-0005-0000-0000-0000D9690000}"/>
    <cellStyle name="SAPBEXexcCritical5 3 2 4 2" xfId="31860" xr:uid="{FBF18294-D765-4281-B22C-CD3B9D4DAD4B}"/>
    <cellStyle name="SAPBEXexcCritical5 3 2 5" xfId="29605" xr:uid="{00000000-0005-0000-0000-0000DA690000}"/>
    <cellStyle name="SAPBEXexcCritical5 3 2 6" xfId="30458" xr:uid="{CE5A29A8-8F55-4042-9E8F-1DCC7629A69D}"/>
    <cellStyle name="SAPBEXexcCritical5 3 3" xfId="25641" xr:uid="{00000000-0005-0000-0000-0000DB690000}"/>
    <cellStyle name="SAPBEXexcCritical5 3 3 2" xfId="27794" xr:uid="{00000000-0005-0000-0000-0000DC690000}"/>
    <cellStyle name="SAPBEXexcCritical5 3 3 2 2" xfId="32381" xr:uid="{D4555CD7-9F7D-4217-BCE6-F19E7255C716}"/>
    <cellStyle name="SAPBEXexcCritical5 3 3 3" xfId="28054" xr:uid="{00000000-0005-0000-0000-0000DD690000}"/>
    <cellStyle name="SAPBEXexcCritical5 3 3 3 2" xfId="32612" xr:uid="{F74E00A1-BA2A-422F-9613-802CCF1AB182}"/>
    <cellStyle name="SAPBEXexcCritical5 3 3 4" xfId="26362" xr:uid="{00000000-0005-0000-0000-0000DE690000}"/>
    <cellStyle name="SAPBEXexcCritical5 3 3 4 2" xfId="31150" xr:uid="{E03FF879-4919-455B-AE32-1FFA11BD9809}"/>
    <cellStyle name="SAPBEXexcCritical5 3 3 5" xfId="29606" xr:uid="{00000000-0005-0000-0000-0000DF690000}"/>
    <cellStyle name="SAPBEXexcCritical5 3 4" xfId="27268" xr:uid="{00000000-0005-0000-0000-0000E0690000}"/>
    <cellStyle name="SAPBEXexcCritical5 3 4 2" xfId="31903" xr:uid="{774B2D2F-858E-4ACE-9046-DF90B26CCDDC}"/>
    <cellStyle name="SAPBEXexcCritical5 3 5" xfId="28052" xr:uid="{00000000-0005-0000-0000-0000E1690000}"/>
    <cellStyle name="SAPBEXexcCritical5 3 5 2" xfId="32610" xr:uid="{38F06F44-77DC-4238-BF75-A05E771BEB52}"/>
    <cellStyle name="SAPBEXexcCritical5 3 6" xfId="26740" xr:uid="{00000000-0005-0000-0000-0000E2690000}"/>
    <cellStyle name="SAPBEXexcCritical5 3 6 2" xfId="31501" xr:uid="{505BB946-528C-4EF9-A6DD-0F03651AEBD4}"/>
    <cellStyle name="SAPBEXexcCritical5 3 7" xfId="29604" xr:uid="{00000000-0005-0000-0000-0000E3690000}"/>
    <cellStyle name="SAPBEXexcCritical5 3 8" xfId="30343" xr:uid="{1A1A846D-0107-4192-B410-F868EDB2E91D}"/>
    <cellStyle name="SAPBEXexcCritical5 4" xfId="25098" xr:uid="{00000000-0005-0000-0000-0000E4690000}"/>
    <cellStyle name="SAPBEXexcCritical5 4 2" xfId="25336" xr:uid="{00000000-0005-0000-0000-0000E5690000}"/>
    <cellStyle name="SAPBEXexcCritical5 4 2 2" xfId="27490" xr:uid="{00000000-0005-0000-0000-0000E6690000}"/>
    <cellStyle name="SAPBEXexcCritical5 4 2 2 2" xfId="32081" xr:uid="{EC655B21-FA03-4566-A5C9-5B4F5A22BD5D}"/>
    <cellStyle name="SAPBEXexcCritical5 4 2 3" xfId="28056" xr:uid="{00000000-0005-0000-0000-0000E7690000}"/>
    <cellStyle name="SAPBEXexcCritical5 4 2 3 2" xfId="32614" xr:uid="{324C3DB6-A13C-4944-A644-ECBE3F5AD5DA}"/>
    <cellStyle name="SAPBEXexcCritical5 4 2 4" xfId="26070" xr:uid="{00000000-0005-0000-0000-0000E8690000}"/>
    <cellStyle name="SAPBEXexcCritical5 4 2 4 2" xfId="30860" xr:uid="{497AF3F7-8308-45D8-9571-DDE5783F35A6}"/>
    <cellStyle name="SAPBEXexcCritical5 4 2 5" xfId="29608" xr:uid="{00000000-0005-0000-0000-0000E9690000}"/>
    <cellStyle name="SAPBEXexcCritical5 4 2 6" xfId="30494" xr:uid="{B8293346-A057-4C86-AD9F-4FBFDE061BB6}"/>
    <cellStyle name="SAPBEXexcCritical5 4 3" xfId="25696" xr:uid="{00000000-0005-0000-0000-0000EA690000}"/>
    <cellStyle name="SAPBEXexcCritical5 4 3 2" xfId="27849" xr:uid="{00000000-0005-0000-0000-0000EB690000}"/>
    <cellStyle name="SAPBEXexcCritical5 4 3 2 2" xfId="32436" xr:uid="{7B598F7F-51CF-45D7-A39D-51AB66D6AECE}"/>
    <cellStyle name="SAPBEXexcCritical5 4 3 3" xfId="28057" xr:uid="{00000000-0005-0000-0000-0000EC690000}"/>
    <cellStyle name="SAPBEXexcCritical5 4 3 3 2" xfId="32615" xr:uid="{5A54520A-9397-4886-A10A-B596197A9C33}"/>
    <cellStyle name="SAPBEXexcCritical5 4 3 4" xfId="26746" xr:uid="{00000000-0005-0000-0000-0000ED690000}"/>
    <cellStyle name="SAPBEXexcCritical5 4 3 4 2" xfId="31507" xr:uid="{E5CFDEE8-8CF9-4105-846A-3BB297C1271D}"/>
    <cellStyle name="SAPBEXexcCritical5 4 3 5" xfId="29609" xr:uid="{00000000-0005-0000-0000-0000EE690000}"/>
    <cellStyle name="SAPBEXexcCritical5 4 3 6" xfId="30690" xr:uid="{27E4E16B-454C-42F5-9427-31E95FD262FC}"/>
    <cellStyle name="SAPBEXexcCritical5 4 4" xfId="27383" xr:uid="{00000000-0005-0000-0000-0000EF690000}"/>
    <cellStyle name="SAPBEXexcCritical5 4 4 2" xfId="31981" xr:uid="{406C21E6-E7F5-47DE-9F9E-6C269E9EEFE7}"/>
    <cellStyle name="SAPBEXexcCritical5 4 5" xfId="28055" xr:uid="{00000000-0005-0000-0000-0000F0690000}"/>
    <cellStyle name="SAPBEXexcCritical5 4 5 2" xfId="32613" xr:uid="{E0003B20-0BC9-4348-B8BE-1D760071D72D}"/>
    <cellStyle name="SAPBEXexcCritical5 4 6" xfId="26750" xr:uid="{00000000-0005-0000-0000-0000F1690000}"/>
    <cellStyle name="SAPBEXexcCritical5 4 6 2" xfId="31511" xr:uid="{2063EC52-EE65-42E4-8938-3E60A26469C7}"/>
    <cellStyle name="SAPBEXexcCritical5 4 7" xfId="29607" xr:uid="{00000000-0005-0000-0000-0000F2690000}"/>
    <cellStyle name="SAPBEXexcCritical5 4 8" xfId="30398" xr:uid="{C41AB15E-E90E-4BB9-8F6A-F12EFC0AED99}"/>
    <cellStyle name="SAPBEXexcCritical5 5" xfId="25827" xr:uid="{00000000-0005-0000-0000-0000F3690000}"/>
    <cellStyle name="SAPBEXexcCritical5 5 2" xfId="30746" xr:uid="{74FF13CE-F034-4FD7-9E48-C85A29E46F45}"/>
    <cellStyle name="SAPBEXexcCritical5 6" xfId="28049" xr:uid="{00000000-0005-0000-0000-0000F4690000}"/>
    <cellStyle name="SAPBEXexcCritical5 6 2" xfId="32607" xr:uid="{3BED9352-1054-45B8-B18B-651B6F8F5287}"/>
    <cellStyle name="SAPBEXexcCritical5 7" xfId="28545" xr:uid="{00000000-0005-0000-0000-0000F5690000}"/>
    <cellStyle name="SAPBEXexcCritical5 7 2" xfId="33103" xr:uid="{277E054A-76F1-451C-9F15-8E953D37490C}"/>
    <cellStyle name="SAPBEXexcCritical5 8" xfId="29601" xr:uid="{00000000-0005-0000-0000-0000F6690000}"/>
    <cellStyle name="SAPBEXexcCritical6" xfId="84" xr:uid="{00000000-0005-0000-0000-0000F7690000}"/>
    <cellStyle name="SAPBEXexcCritical6 2" xfId="13632" xr:uid="{00000000-0005-0000-0000-0000F8690000}"/>
    <cellStyle name="SAPBEXexcCritical6 2 2" xfId="25470" xr:uid="{00000000-0005-0000-0000-0000F9690000}"/>
    <cellStyle name="SAPBEXexcCritical6 2 2 2" xfId="27623" xr:uid="{00000000-0005-0000-0000-0000FA690000}"/>
    <cellStyle name="SAPBEXexcCritical6 2 2 2 2" xfId="32210" xr:uid="{26C34A81-857B-4B50-939F-847D5EF8BB0D}"/>
    <cellStyle name="SAPBEXexcCritical6 2 2 3" xfId="28060" xr:uid="{00000000-0005-0000-0000-0000FB690000}"/>
    <cellStyle name="SAPBEXexcCritical6 2 2 3 2" xfId="32618" xr:uid="{9C795C82-91F9-403D-BF84-8B9387B1E136}"/>
    <cellStyle name="SAPBEXexcCritical6 2 2 4" xfId="26101" xr:uid="{00000000-0005-0000-0000-0000FC690000}"/>
    <cellStyle name="SAPBEXexcCritical6 2 2 4 2" xfId="30891" xr:uid="{198236DB-A634-4026-B64F-F2770ABC047B}"/>
    <cellStyle name="SAPBEXexcCritical6 2 2 5" xfId="29612" xr:uid="{00000000-0005-0000-0000-0000FD690000}"/>
    <cellStyle name="SAPBEXexcCritical6 2 3" xfId="26574" xr:uid="{00000000-0005-0000-0000-0000FE690000}"/>
    <cellStyle name="SAPBEXexcCritical6 2 3 2" xfId="31352" xr:uid="{CAF24C9A-4ECE-461C-BC9A-38F31EBA7F13}"/>
    <cellStyle name="SAPBEXexcCritical6 2 4" xfId="28059" xr:uid="{00000000-0005-0000-0000-0000FF690000}"/>
    <cellStyle name="SAPBEXexcCritical6 2 4 2" xfId="32617" xr:uid="{FFE45A90-A2D8-4636-B93B-14DCCE8CF8F4}"/>
    <cellStyle name="SAPBEXexcCritical6 2 5" xfId="26150" xr:uid="{00000000-0005-0000-0000-0000006A0000}"/>
    <cellStyle name="SAPBEXexcCritical6 2 5 2" xfId="30939" xr:uid="{F85CE9DF-CF3C-4896-B486-D92EE7387B9D}"/>
    <cellStyle name="SAPBEXexcCritical6 2 6" xfId="29611" xr:uid="{00000000-0005-0000-0000-0000016A0000}"/>
    <cellStyle name="SAPBEXexcCritical6 2 7" xfId="30172" xr:uid="{BEA7DEE5-39EA-4D09-A6A1-EE3EFE981962}"/>
    <cellStyle name="SAPBEXexcCritical6 3" xfId="24677" xr:uid="{00000000-0005-0000-0000-0000026A0000}"/>
    <cellStyle name="SAPBEXexcCritical6 3 2" xfId="25362" xr:uid="{00000000-0005-0000-0000-0000036A0000}"/>
    <cellStyle name="SAPBEXexcCritical6 3 2 2" xfId="27516" xr:uid="{00000000-0005-0000-0000-0000046A0000}"/>
    <cellStyle name="SAPBEXexcCritical6 3 2 2 2" xfId="32107" xr:uid="{BC9DF1E4-ED4D-46DB-BBE4-982402979D81}"/>
    <cellStyle name="SAPBEXexcCritical6 3 2 3" xfId="28062" xr:uid="{00000000-0005-0000-0000-0000056A0000}"/>
    <cellStyle name="SAPBEXexcCritical6 3 2 3 2" xfId="32620" xr:uid="{90446207-9C44-49F8-89C4-5FB73ED2BD27}"/>
    <cellStyle name="SAPBEXexcCritical6 3 2 4" xfId="26708" xr:uid="{00000000-0005-0000-0000-0000066A0000}"/>
    <cellStyle name="SAPBEXexcCritical6 3 2 4 2" xfId="31470" xr:uid="{F720F3AE-7E85-43D0-BC11-C09B8DD7E7E9}"/>
    <cellStyle name="SAPBEXexcCritical6 3 2 5" xfId="29614" xr:uid="{00000000-0005-0000-0000-0000076A0000}"/>
    <cellStyle name="SAPBEXexcCritical6 3 2 6" xfId="30520" xr:uid="{252FAF12-B543-42ED-83AC-CE978A12E063}"/>
    <cellStyle name="SAPBEXexcCritical6 3 3" xfId="25640" xr:uid="{00000000-0005-0000-0000-0000086A0000}"/>
    <cellStyle name="SAPBEXexcCritical6 3 3 2" xfId="27793" xr:uid="{00000000-0005-0000-0000-0000096A0000}"/>
    <cellStyle name="SAPBEXexcCritical6 3 3 2 2" xfId="32380" xr:uid="{6FBC0C63-F853-459F-8F94-DFAB32193DEE}"/>
    <cellStyle name="SAPBEXexcCritical6 3 3 3" xfId="28063" xr:uid="{00000000-0005-0000-0000-00000A6A0000}"/>
    <cellStyle name="SAPBEXexcCritical6 3 3 3 2" xfId="32621" xr:uid="{90FF20C9-4445-4035-9AE5-2B0AA56AFDC2}"/>
    <cellStyle name="SAPBEXexcCritical6 3 3 4" xfId="26323" xr:uid="{00000000-0005-0000-0000-00000B6A0000}"/>
    <cellStyle name="SAPBEXexcCritical6 3 3 4 2" xfId="31111" xr:uid="{C867DDB9-90FA-403C-87C9-6A7843DAC652}"/>
    <cellStyle name="SAPBEXexcCritical6 3 3 5" xfId="29615" xr:uid="{00000000-0005-0000-0000-00000C6A0000}"/>
    <cellStyle name="SAPBEXexcCritical6 3 4" xfId="27267" xr:uid="{00000000-0005-0000-0000-00000D6A0000}"/>
    <cellStyle name="SAPBEXexcCritical6 3 4 2" xfId="31902" xr:uid="{8AE1FEEC-5E97-42A6-8F8A-8893BBEF5439}"/>
    <cellStyle name="SAPBEXexcCritical6 3 5" xfId="28061" xr:uid="{00000000-0005-0000-0000-00000E6A0000}"/>
    <cellStyle name="SAPBEXexcCritical6 3 5 2" xfId="32619" xr:uid="{479103A8-09C6-435C-8787-413CCEE292EA}"/>
    <cellStyle name="SAPBEXexcCritical6 3 6" xfId="27073" xr:uid="{00000000-0005-0000-0000-00000F6A0000}"/>
    <cellStyle name="SAPBEXexcCritical6 3 6 2" xfId="31804" xr:uid="{9F829EA6-CB8A-4632-B09E-AAA8DCBD6EF6}"/>
    <cellStyle name="SAPBEXexcCritical6 3 7" xfId="29613" xr:uid="{00000000-0005-0000-0000-0000106A0000}"/>
    <cellStyle name="SAPBEXexcCritical6 3 8" xfId="30342" xr:uid="{C7D8BE66-880E-4138-87EE-70045B017C2E}"/>
    <cellStyle name="SAPBEXexcCritical6 4" xfId="25099" xr:uid="{00000000-0005-0000-0000-0000116A0000}"/>
    <cellStyle name="SAPBEXexcCritical6 4 2" xfId="25438" xr:uid="{00000000-0005-0000-0000-0000126A0000}"/>
    <cellStyle name="SAPBEXexcCritical6 4 2 2" xfId="27592" xr:uid="{00000000-0005-0000-0000-0000136A0000}"/>
    <cellStyle name="SAPBEXexcCritical6 4 2 2 2" xfId="32183" xr:uid="{F7C952EB-8E06-403B-BBBA-6063029C6FAF}"/>
    <cellStyle name="SAPBEXexcCritical6 4 2 3" xfId="28065" xr:uid="{00000000-0005-0000-0000-0000146A0000}"/>
    <cellStyle name="SAPBEXexcCritical6 4 2 3 2" xfId="32623" xr:uid="{7D0C2908-1570-4C01-A1F5-1CE5F8CA8898}"/>
    <cellStyle name="SAPBEXexcCritical6 4 2 4" xfId="26224" xr:uid="{00000000-0005-0000-0000-0000156A0000}"/>
    <cellStyle name="SAPBEXexcCritical6 4 2 4 2" xfId="31012" xr:uid="{53832BBB-09D3-47C5-9B82-3288F6E9F6C8}"/>
    <cellStyle name="SAPBEXexcCritical6 4 2 5" xfId="29617" xr:uid="{00000000-0005-0000-0000-0000166A0000}"/>
    <cellStyle name="SAPBEXexcCritical6 4 2 6" xfId="30596" xr:uid="{86D1E3E9-3B9D-43FF-A852-2F508F91F0E4}"/>
    <cellStyle name="SAPBEXexcCritical6 4 3" xfId="25697" xr:uid="{00000000-0005-0000-0000-0000176A0000}"/>
    <cellStyle name="SAPBEXexcCritical6 4 3 2" xfId="27850" xr:uid="{00000000-0005-0000-0000-0000186A0000}"/>
    <cellStyle name="SAPBEXexcCritical6 4 3 2 2" xfId="32437" xr:uid="{7C0F64B8-8EFE-41B7-98F7-1CD676F8CE85}"/>
    <cellStyle name="SAPBEXexcCritical6 4 3 3" xfId="28066" xr:uid="{00000000-0005-0000-0000-0000196A0000}"/>
    <cellStyle name="SAPBEXexcCritical6 4 3 3 2" xfId="32624" xr:uid="{AC94CA22-EC00-4B1D-A0EB-E7A016E748AC}"/>
    <cellStyle name="SAPBEXexcCritical6 4 3 4" xfId="26065" xr:uid="{00000000-0005-0000-0000-00001A6A0000}"/>
    <cellStyle name="SAPBEXexcCritical6 4 3 4 2" xfId="30855" xr:uid="{A5465FA8-96D4-4D8A-8D59-7BB960916B85}"/>
    <cellStyle name="SAPBEXexcCritical6 4 3 5" xfId="29618" xr:uid="{00000000-0005-0000-0000-00001B6A0000}"/>
    <cellStyle name="SAPBEXexcCritical6 4 3 6" xfId="30691" xr:uid="{4440E5C3-E176-4791-83D3-9407B017EC12}"/>
    <cellStyle name="SAPBEXexcCritical6 4 4" xfId="27384" xr:uid="{00000000-0005-0000-0000-00001C6A0000}"/>
    <cellStyle name="SAPBEXexcCritical6 4 4 2" xfId="31982" xr:uid="{CFCD3C9B-61D8-4770-8909-8B5FC2C06F08}"/>
    <cellStyle name="SAPBEXexcCritical6 4 5" xfId="28064" xr:uid="{00000000-0005-0000-0000-00001D6A0000}"/>
    <cellStyle name="SAPBEXexcCritical6 4 5 2" xfId="32622" xr:uid="{07AB86AD-AD5F-48C9-8DE5-5371188711FA}"/>
    <cellStyle name="SAPBEXexcCritical6 4 6" xfId="26457" xr:uid="{00000000-0005-0000-0000-00001E6A0000}"/>
    <cellStyle name="SAPBEXexcCritical6 4 6 2" xfId="31245" xr:uid="{09EDA572-A7D9-4C55-92A3-8D39A9581983}"/>
    <cellStyle name="SAPBEXexcCritical6 4 7" xfId="29616" xr:uid="{00000000-0005-0000-0000-00001F6A0000}"/>
    <cellStyle name="SAPBEXexcCritical6 4 8" xfId="30399" xr:uid="{3B66F580-6130-4CE1-8FF4-609101A2D878}"/>
    <cellStyle name="SAPBEXexcCritical6 5" xfId="25828" xr:uid="{00000000-0005-0000-0000-0000206A0000}"/>
    <cellStyle name="SAPBEXexcCritical6 5 2" xfId="30747" xr:uid="{9DB1144A-4394-47BF-BA7F-C4B0DF001748}"/>
    <cellStyle name="SAPBEXexcCritical6 6" xfId="28058" xr:uid="{00000000-0005-0000-0000-0000216A0000}"/>
    <cellStyle name="SAPBEXexcCritical6 6 2" xfId="32616" xr:uid="{4293D8B5-777B-4FAA-93F0-CE6ED28DDDB6}"/>
    <cellStyle name="SAPBEXexcCritical6 7" xfId="28546" xr:uid="{00000000-0005-0000-0000-0000226A0000}"/>
    <cellStyle name="SAPBEXexcCritical6 7 2" xfId="33104" xr:uid="{F1E41F9A-04E7-4B63-A2CB-753D8A8D55DC}"/>
    <cellStyle name="SAPBEXexcCritical6 8" xfId="29610" xr:uid="{00000000-0005-0000-0000-0000236A0000}"/>
    <cellStyle name="SAPBEXexcGood1" xfId="85" xr:uid="{00000000-0005-0000-0000-0000246A0000}"/>
    <cellStyle name="SAPBEXexcGood1 2" xfId="13633" xr:uid="{00000000-0005-0000-0000-0000256A0000}"/>
    <cellStyle name="SAPBEXexcGood1 2 2" xfId="25471" xr:uid="{00000000-0005-0000-0000-0000266A0000}"/>
    <cellStyle name="SAPBEXexcGood1 2 2 2" xfId="27624" xr:uid="{00000000-0005-0000-0000-0000276A0000}"/>
    <cellStyle name="SAPBEXexcGood1 2 2 2 2" xfId="32211" xr:uid="{1554FC34-CDD6-4716-B0A9-E70B8A3D823C}"/>
    <cellStyle name="SAPBEXexcGood1 2 2 3" xfId="28069" xr:uid="{00000000-0005-0000-0000-0000286A0000}"/>
    <cellStyle name="SAPBEXexcGood1 2 2 3 2" xfId="32627" xr:uid="{1A193866-2C2A-4907-88AC-68478140D504}"/>
    <cellStyle name="SAPBEXexcGood1 2 2 4" xfId="26213" xr:uid="{00000000-0005-0000-0000-0000296A0000}"/>
    <cellStyle name="SAPBEXexcGood1 2 2 4 2" xfId="31001" xr:uid="{04288C11-B811-4AD9-92D5-2C5808BD5AD0}"/>
    <cellStyle name="SAPBEXexcGood1 2 2 5" xfId="29621" xr:uid="{00000000-0005-0000-0000-00002A6A0000}"/>
    <cellStyle name="SAPBEXexcGood1 2 3" xfId="26575" xr:uid="{00000000-0005-0000-0000-00002B6A0000}"/>
    <cellStyle name="SAPBEXexcGood1 2 3 2" xfId="31353" xr:uid="{D865EBC2-1568-495B-A788-86B26AE5F652}"/>
    <cellStyle name="SAPBEXexcGood1 2 4" xfId="28068" xr:uid="{00000000-0005-0000-0000-00002C6A0000}"/>
    <cellStyle name="SAPBEXexcGood1 2 4 2" xfId="32626" xr:uid="{A744162D-BA2C-41C3-9E23-FB6D1E30AF91}"/>
    <cellStyle name="SAPBEXexcGood1 2 5" xfId="26074" xr:uid="{00000000-0005-0000-0000-00002D6A0000}"/>
    <cellStyle name="SAPBEXexcGood1 2 5 2" xfId="30864" xr:uid="{CCBB113D-9534-4DF0-8282-31CBBB3F1285}"/>
    <cellStyle name="SAPBEXexcGood1 2 6" xfId="29620" xr:uid="{00000000-0005-0000-0000-00002E6A0000}"/>
    <cellStyle name="SAPBEXexcGood1 2 7" xfId="30173" xr:uid="{694AA585-5977-4FA0-B1BD-977082E313E0}"/>
    <cellStyle name="SAPBEXexcGood1 3" xfId="24676" xr:uid="{00000000-0005-0000-0000-00002F6A0000}"/>
    <cellStyle name="SAPBEXexcGood1 3 2" xfId="25450" xr:uid="{00000000-0005-0000-0000-0000306A0000}"/>
    <cellStyle name="SAPBEXexcGood1 3 2 2" xfId="27604" xr:uid="{00000000-0005-0000-0000-0000316A0000}"/>
    <cellStyle name="SAPBEXexcGood1 3 2 2 2" xfId="32195" xr:uid="{FCA0D5DE-D0AF-484D-BAB1-2174FD15E82E}"/>
    <cellStyle name="SAPBEXexcGood1 3 2 3" xfId="28071" xr:uid="{00000000-0005-0000-0000-0000326A0000}"/>
    <cellStyle name="SAPBEXexcGood1 3 2 3 2" xfId="32629" xr:uid="{C6CA798F-7E2F-49BC-82EB-D4004B74CF47}"/>
    <cellStyle name="SAPBEXexcGood1 3 2 4" xfId="26498" xr:uid="{00000000-0005-0000-0000-0000336A0000}"/>
    <cellStyle name="SAPBEXexcGood1 3 2 4 2" xfId="31286" xr:uid="{1A12BBAF-9EB6-41FF-A454-804CA27CAB32}"/>
    <cellStyle name="SAPBEXexcGood1 3 2 5" xfId="29623" xr:uid="{00000000-0005-0000-0000-0000346A0000}"/>
    <cellStyle name="SAPBEXexcGood1 3 2 6" xfId="30608" xr:uid="{27031809-4567-4529-94B6-D33DC6040BF8}"/>
    <cellStyle name="SAPBEXexcGood1 3 3" xfId="25639" xr:uid="{00000000-0005-0000-0000-0000356A0000}"/>
    <cellStyle name="SAPBEXexcGood1 3 3 2" xfId="27792" xr:uid="{00000000-0005-0000-0000-0000366A0000}"/>
    <cellStyle name="SAPBEXexcGood1 3 3 2 2" xfId="32379" xr:uid="{44F5446D-57FA-4C85-A406-FC1DE840F46C}"/>
    <cellStyle name="SAPBEXexcGood1 3 3 3" xfId="28072" xr:uid="{00000000-0005-0000-0000-0000376A0000}"/>
    <cellStyle name="SAPBEXexcGood1 3 3 3 2" xfId="32630" xr:uid="{E7F42345-24C6-43AB-BD6B-1B455E6AE0F5}"/>
    <cellStyle name="SAPBEXexcGood1 3 3 4" xfId="26228" xr:uid="{00000000-0005-0000-0000-0000386A0000}"/>
    <cellStyle name="SAPBEXexcGood1 3 3 4 2" xfId="31016" xr:uid="{D11218D4-AD56-4805-83AA-84CAB136D96A}"/>
    <cellStyle name="SAPBEXexcGood1 3 3 5" xfId="29624" xr:uid="{00000000-0005-0000-0000-0000396A0000}"/>
    <cellStyle name="SAPBEXexcGood1 3 4" xfId="27266" xr:uid="{00000000-0005-0000-0000-00003A6A0000}"/>
    <cellStyle name="SAPBEXexcGood1 3 4 2" xfId="31901" xr:uid="{3AF74F43-1478-4578-A364-EE2105D3CD5A}"/>
    <cellStyle name="SAPBEXexcGood1 3 5" xfId="28070" xr:uid="{00000000-0005-0000-0000-00003B6A0000}"/>
    <cellStyle name="SAPBEXexcGood1 3 5 2" xfId="32628" xr:uid="{707429E0-E0BF-4936-B632-87809561496C}"/>
    <cellStyle name="SAPBEXexcGood1 3 6" xfId="26246" xr:uid="{00000000-0005-0000-0000-00003C6A0000}"/>
    <cellStyle name="SAPBEXexcGood1 3 6 2" xfId="31034" xr:uid="{1EF74320-2807-43A2-ABAF-14D5B247D390}"/>
    <cellStyle name="SAPBEXexcGood1 3 7" xfId="29622" xr:uid="{00000000-0005-0000-0000-00003D6A0000}"/>
    <cellStyle name="SAPBEXexcGood1 3 8" xfId="30341" xr:uid="{41692377-6B35-4149-8304-115CFD5774E4}"/>
    <cellStyle name="SAPBEXexcGood1 4" xfId="25100" xr:uid="{00000000-0005-0000-0000-00003E6A0000}"/>
    <cellStyle name="SAPBEXexcGood1 4 2" xfId="25355" xr:uid="{00000000-0005-0000-0000-00003F6A0000}"/>
    <cellStyle name="SAPBEXexcGood1 4 2 2" xfId="27509" xr:uid="{00000000-0005-0000-0000-0000406A0000}"/>
    <cellStyle name="SAPBEXexcGood1 4 2 2 2" xfId="32100" xr:uid="{8E86C159-6546-42A9-A894-DF8699F4DE07}"/>
    <cellStyle name="SAPBEXexcGood1 4 2 3" xfId="28074" xr:uid="{00000000-0005-0000-0000-0000416A0000}"/>
    <cellStyle name="SAPBEXexcGood1 4 2 3 2" xfId="32632" xr:uid="{21DDFAA8-12AE-4B69-8C9E-03CA46089785}"/>
    <cellStyle name="SAPBEXexcGood1 4 2 4" xfId="26843" xr:uid="{00000000-0005-0000-0000-0000426A0000}"/>
    <cellStyle name="SAPBEXexcGood1 4 2 4 2" xfId="31604" xr:uid="{14E5F535-9B4A-450E-AEDC-88C4695A50AA}"/>
    <cellStyle name="SAPBEXexcGood1 4 2 5" xfId="29626" xr:uid="{00000000-0005-0000-0000-0000436A0000}"/>
    <cellStyle name="SAPBEXexcGood1 4 2 6" xfId="30513" xr:uid="{2531F6A2-FB06-4F55-8C64-AE2CE6308E97}"/>
    <cellStyle name="SAPBEXexcGood1 4 3" xfId="25698" xr:uid="{00000000-0005-0000-0000-0000446A0000}"/>
    <cellStyle name="SAPBEXexcGood1 4 3 2" xfId="27851" xr:uid="{00000000-0005-0000-0000-0000456A0000}"/>
    <cellStyle name="SAPBEXexcGood1 4 3 2 2" xfId="32438" xr:uid="{DDFBE7E5-8675-41FD-9C03-E40A631AB6AC}"/>
    <cellStyle name="SAPBEXexcGood1 4 3 3" xfId="28075" xr:uid="{00000000-0005-0000-0000-0000466A0000}"/>
    <cellStyle name="SAPBEXexcGood1 4 3 3 2" xfId="32633" xr:uid="{4770C9A7-DBBD-4CC1-BDDD-321449B2001E}"/>
    <cellStyle name="SAPBEXexcGood1 4 3 4" xfId="27024" xr:uid="{00000000-0005-0000-0000-0000476A0000}"/>
    <cellStyle name="SAPBEXexcGood1 4 3 4 2" xfId="31784" xr:uid="{3F8C1EC1-203E-4B3B-B840-0C24A179E8A9}"/>
    <cellStyle name="SAPBEXexcGood1 4 3 5" xfId="29627" xr:uid="{00000000-0005-0000-0000-0000486A0000}"/>
    <cellStyle name="SAPBEXexcGood1 4 3 6" xfId="30692" xr:uid="{D4CFF224-BEC7-499F-9402-EC58E069D31A}"/>
    <cellStyle name="SAPBEXexcGood1 4 4" xfId="27385" xr:uid="{00000000-0005-0000-0000-0000496A0000}"/>
    <cellStyle name="SAPBEXexcGood1 4 4 2" xfId="31983" xr:uid="{A2F1DF43-FC5F-441C-A782-052B657CB537}"/>
    <cellStyle name="SAPBEXexcGood1 4 5" xfId="28073" xr:uid="{00000000-0005-0000-0000-00004A6A0000}"/>
    <cellStyle name="SAPBEXexcGood1 4 5 2" xfId="32631" xr:uid="{D97346D4-F5C7-4FFD-8CEB-47F92E852D94}"/>
    <cellStyle name="SAPBEXexcGood1 4 6" xfId="26142" xr:uid="{00000000-0005-0000-0000-00004B6A0000}"/>
    <cellStyle name="SAPBEXexcGood1 4 6 2" xfId="30932" xr:uid="{E80A8D29-2682-486A-8253-F6F50016B787}"/>
    <cellStyle name="SAPBEXexcGood1 4 7" xfId="29625" xr:uid="{00000000-0005-0000-0000-00004C6A0000}"/>
    <cellStyle name="SAPBEXexcGood1 4 8" xfId="30400" xr:uid="{EC650EDD-9D71-4E77-8657-55783BCDA62B}"/>
    <cellStyle name="SAPBEXexcGood1 5" xfId="25829" xr:uid="{00000000-0005-0000-0000-00004D6A0000}"/>
    <cellStyle name="SAPBEXexcGood1 5 2" xfId="30748" xr:uid="{D4958BCC-8F06-4590-8FAE-490F1E3D21B6}"/>
    <cellStyle name="SAPBEXexcGood1 6" xfId="28067" xr:uid="{00000000-0005-0000-0000-00004E6A0000}"/>
    <cellStyle name="SAPBEXexcGood1 6 2" xfId="32625" xr:uid="{150F3749-7AD9-4907-A67B-2E799E00C8F4}"/>
    <cellStyle name="SAPBEXexcGood1 7" xfId="26896" xr:uid="{00000000-0005-0000-0000-00004F6A0000}"/>
    <cellStyle name="SAPBEXexcGood1 7 2" xfId="31657" xr:uid="{0A46D05A-E537-486A-A31C-CBED703883B6}"/>
    <cellStyle name="SAPBEXexcGood1 8" xfId="29619" xr:uid="{00000000-0005-0000-0000-0000506A0000}"/>
    <cellStyle name="SAPBEXexcGood2" xfId="86" xr:uid="{00000000-0005-0000-0000-0000516A0000}"/>
    <cellStyle name="SAPBEXexcGood2 2" xfId="13634" xr:uid="{00000000-0005-0000-0000-0000526A0000}"/>
    <cellStyle name="SAPBEXexcGood2 2 2" xfId="25472" xr:uid="{00000000-0005-0000-0000-0000536A0000}"/>
    <cellStyle name="SAPBEXexcGood2 2 2 2" xfId="27625" xr:uid="{00000000-0005-0000-0000-0000546A0000}"/>
    <cellStyle name="SAPBEXexcGood2 2 2 2 2" xfId="32212" xr:uid="{BD69BBB3-9687-4497-8F4F-B08F89A7B84A}"/>
    <cellStyle name="SAPBEXexcGood2 2 2 3" xfId="28078" xr:uid="{00000000-0005-0000-0000-0000556A0000}"/>
    <cellStyle name="SAPBEXexcGood2 2 2 3 2" xfId="32636" xr:uid="{72D861A5-ACF2-432F-84D0-5C18991D134E}"/>
    <cellStyle name="SAPBEXexcGood2 2 2 4" xfId="26163" xr:uid="{00000000-0005-0000-0000-0000566A0000}"/>
    <cellStyle name="SAPBEXexcGood2 2 2 4 2" xfId="30952" xr:uid="{46DDA0E1-6C1F-4551-B71C-92443BD04DE4}"/>
    <cellStyle name="SAPBEXexcGood2 2 2 5" xfId="29630" xr:uid="{00000000-0005-0000-0000-0000576A0000}"/>
    <cellStyle name="SAPBEXexcGood2 2 3" xfId="26576" xr:uid="{00000000-0005-0000-0000-0000586A0000}"/>
    <cellStyle name="SAPBEXexcGood2 2 3 2" xfId="31354" xr:uid="{216F7E7B-AAEE-4318-AAD7-176A2AD17B32}"/>
    <cellStyle name="SAPBEXexcGood2 2 4" xfId="28077" xr:uid="{00000000-0005-0000-0000-0000596A0000}"/>
    <cellStyle name="SAPBEXexcGood2 2 4 2" xfId="32635" xr:uid="{9DD9FC08-F2D3-4FE8-83C1-156620C5F18A}"/>
    <cellStyle name="SAPBEXexcGood2 2 5" xfId="27298" xr:uid="{00000000-0005-0000-0000-00005A6A0000}"/>
    <cellStyle name="SAPBEXexcGood2 2 5 2" xfId="31927" xr:uid="{9FEC5567-EA59-42CC-A79D-D4DB02762D0C}"/>
    <cellStyle name="SAPBEXexcGood2 2 6" xfId="29629" xr:uid="{00000000-0005-0000-0000-00005B6A0000}"/>
    <cellStyle name="SAPBEXexcGood2 2 7" xfId="30174" xr:uid="{3BAAA5C4-B903-4A36-B9E9-D4D9ECDA51CC}"/>
    <cellStyle name="SAPBEXexcGood2 3" xfId="24675" xr:uid="{00000000-0005-0000-0000-00005C6A0000}"/>
    <cellStyle name="SAPBEXexcGood2 3 2" xfId="25349" xr:uid="{00000000-0005-0000-0000-00005D6A0000}"/>
    <cellStyle name="SAPBEXexcGood2 3 2 2" xfId="27503" xr:uid="{00000000-0005-0000-0000-00005E6A0000}"/>
    <cellStyle name="SAPBEXexcGood2 3 2 2 2" xfId="32094" xr:uid="{6F96B1DB-4DF2-471B-BF87-EF2C0C7B2DE1}"/>
    <cellStyle name="SAPBEXexcGood2 3 2 3" xfId="28080" xr:uid="{00000000-0005-0000-0000-00005F6A0000}"/>
    <cellStyle name="SAPBEXexcGood2 3 2 3 2" xfId="32638" xr:uid="{CE68B3BA-3870-4696-AB4F-D988852EFDE1}"/>
    <cellStyle name="SAPBEXexcGood2 3 2 4" xfId="26538" xr:uid="{00000000-0005-0000-0000-0000606A0000}"/>
    <cellStyle name="SAPBEXexcGood2 3 2 4 2" xfId="31325" xr:uid="{C24BF63E-DF61-4479-9FE7-69E4CE8F0F64}"/>
    <cellStyle name="SAPBEXexcGood2 3 2 5" xfId="29632" xr:uid="{00000000-0005-0000-0000-0000616A0000}"/>
    <cellStyle name="SAPBEXexcGood2 3 2 6" xfId="30507" xr:uid="{595524C6-3DAB-49B0-A494-40E2E8AB83F2}"/>
    <cellStyle name="SAPBEXexcGood2 3 3" xfId="25638" xr:uid="{00000000-0005-0000-0000-0000626A0000}"/>
    <cellStyle name="SAPBEXexcGood2 3 3 2" xfId="27791" xr:uid="{00000000-0005-0000-0000-0000636A0000}"/>
    <cellStyle name="SAPBEXexcGood2 3 3 2 2" xfId="32378" xr:uid="{C8588750-E75A-4F59-B9A7-C7DFBA7CEF2F}"/>
    <cellStyle name="SAPBEXexcGood2 3 3 3" xfId="28081" xr:uid="{00000000-0005-0000-0000-0000646A0000}"/>
    <cellStyle name="SAPBEXexcGood2 3 3 3 2" xfId="32639" xr:uid="{68B64CCE-0B3D-4906-A5DF-0FD4A808BC59}"/>
    <cellStyle name="SAPBEXexcGood2 3 3 4" xfId="26774" xr:uid="{00000000-0005-0000-0000-0000656A0000}"/>
    <cellStyle name="SAPBEXexcGood2 3 3 4 2" xfId="31535" xr:uid="{7E05FCE6-CE01-40A6-B74C-27A45924EE2B}"/>
    <cellStyle name="SAPBEXexcGood2 3 3 5" xfId="29633" xr:uid="{00000000-0005-0000-0000-0000666A0000}"/>
    <cellStyle name="SAPBEXexcGood2 3 4" xfId="27265" xr:uid="{00000000-0005-0000-0000-0000676A0000}"/>
    <cellStyle name="SAPBEXexcGood2 3 4 2" xfId="31900" xr:uid="{8FC7BFFD-5F99-4FA9-AD9C-52A0239F0200}"/>
    <cellStyle name="SAPBEXexcGood2 3 5" xfId="28079" xr:uid="{00000000-0005-0000-0000-0000686A0000}"/>
    <cellStyle name="SAPBEXexcGood2 3 5 2" xfId="32637" xr:uid="{1A2CCA56-4E77-4FAA-A9F5-84F2822592EE}"/>
    <cellStyle name="SAPBEXexcGood2 3 6" xfId="26114" xr:uid="{00000000-0005-0000-0000-0000696A0000}"/>
    <cellStyle name="SAPBEXexcGood2 3 6 2" xfId="30904" xr:uid="{ED82B3D5-FE3E-4E59-BDCA-1452FA01E688}"/>
    <cellStyle name="SAPBEXexcGood2 3 7" xfId="29631" xr:uid="{00000000-0005-0000-0000-00006A6A0000}"/>
    <cellStyle name="SAPBEXexcGood2 3 8" xfId="30340" xr:uid="{B87C0325-503B-4E78-82B8-B77F65A2A6C9}"/>
    <cellStyle name="SAPBEXexcGood2 4" xfId="25101" xr:uid="{00000000-0005-0000-0000-00006B6A0000}"/>
    <cellStyle name="SAPBEXexcGood2 4 2" xfId="25389" xr:uid="{00000000-0005-0000-0000-00006C6A0000}"/>
    <cellStyle name="SAPBEXexcGood2 4 2 2" xfId="27543" xr:uid="{00000000-0005-0000-0000-00006D6A0000}"/>
    <cellStyle name="SAPBEXexcGood2 4 2 2 2" xfId="32134" xr:uid="{7675364F-0E93-416C-BF6B-FCC235F13888}"/>
    <cellStyle name="SAPBEXexcGood2 4 2 3" xfId="28083" xr:uid="{00000000-0005-0000-0000-00006E6A0000}"/>
    <cellStyle name="SAPBEXexcGood2 4 2 3 2" xfId="32641" xr:uid="{99A7084F-3A70-4F75-828D-19DA62E0CE1A}"/>
    <cellStyle name="SAPBEXexcGood2 4 2 4" xfId="26701" xr:uid="{00000000-0005-0000-0000-00006F6A0000}"/>
    <cellStyle name="SAPBEXexcGood2 4 2 4 2" xfId="31463" xr:uid="{FE819582-987C-46FC-865A-59163CBAA526}"/>
    <cellStyle name="SAPBEXexcGood2 4 2 5" xfId="29635" xr:uid="{00000000-0005-0000-0000-0000706A0000}"/>
    <cellStyle name="SAPBEXexcGood2 4 2 6" xfId="30547" xr:uid="{6C180AF8-F9FB-415F-85CE-E35E80562A24}"/>
    <cellStyle name="SAPBEXexcGood2 4 3" xfId="25699" xr:uid="{00000000-0005-0000-0000-0000716A0000}"/>
    <cellStyle name="SAPBEXexcGood2 4 3 2" xfId="27852" xr:uid="{00000000-0005-0000-0000-0000726A0000}"/>
    <cellStyle name="SAPBEXexcGood2 4 3 2 2" xfId="32439" xr:uid="{96EC0925-E6D8-43CC-95E3-B253057684E6}"/>
    <cellStyle name="SAPBEXexcGood2 4 3 3" xfId="28084" xr:uid="{00000000-0005-0000-0000-0000736A0000}"/>
    <cellStyle name="SAPBEXexcGood2 4 3 3 2" xfId="32642" xr:uid="{250934E6-CCE8-4E01-BE72-9CB3A8DB6B01}"/>
    <cellStyle name="SAPBEXexcGood2 4 3 4" xfId="26422" xr:uid="{00000000-0005-0000-0000-0000746A0000}"/>
    <cellStyle name="SAPBEXexcGood2 4 3 4 2" xfId="31210" xr:uid="{49BAD80E-2BC0-4DA3-B172-F8B58244A9FA}"/>
    <cellStyle name="SAPBEXexcGood2 4 3 5" xfId="29636" xr:uid="{00000000-0005-0000-0000-0000756A0000}"/>
    <cellStyle name="SAPBEXexcGood2 4 3 6" xfId="30693" xr:uid="{222B41BF-E9D8-426F-AAB9-BE653F407B35}"/>
    <cellStyle name="SAPBEXexcGood2 4 4" xfId="27386" xr:uid="{00000000-0005-0000-0000-0000766A0000}"/>
    <cellStyle name="SAPBEXexcGood2 4 4 2" xfId="31984" xr:uid="{5B4FA06C-1289-40EA-8C0C-7B49C58A48DE}"/>
    <cellStyle name="SAPBEXexcGood2 4 5" xfId="28082" xr:uid="{00000000-0005-0000-0000-0000776A0000}"/>
    <cellStyle name="SAPBEXexcGood2 4 5 2" xfId="32640" xr:uid="{D6114681-6D13-43F9-9715-B1F38D1BB53D}"/>
    <cellStyle name="SAPBEXexcGood2 4 6" xfId="26425" xr:uid="{00000000-0005-0000-0000-0000786A0000}"/>
    <cellStyle name="SAPBEXexcGood2 4 6 2" xfId="31213" xr:uid="{C82DD26D-FBD8-45AC-BBCA-A760CD788471}"/>
    <cellStyle name="SAPBEXexcGood2 4 7" xfId="29634" xr:uid="{00000000-0005-0000-0000-0000796A0000}"/>
    <cellStyle name="SAPBEXexcGood2 4 8" xfId="30401" xr:uid="{6C36F019-58B0-4C8D-84F1-D4D42765D3B7}"/>
    <cellStyle name="SAPBEXexcGood2 5" xfId="25830" xr:uid="{00000000-0005-0000-0000-00007A6A0000}"/>
    <cellStyle name="SAPBEXexcGood2 5 2" xfId="30749" xr:uid="{155F6BB7-0B12-422B-B9A6-F3D7A35B2E5A}"/>
    <cellStyle name="SAPBEXexcGood2 6" xfId="28076" xr:uid="{00000000-0005-0000-0000-00007B6A0000}"/>
    <cellStyle name="SAPBEXexcGood2 6 2" xfId="32634" xr:uid="{4390D5DC-DFE4-4901-9CD2-331CF3D24E28}"/>
    <cellStyle name="SAPBEXexcGood2 7" xfId="26834" xr:uid="{00000000-0005-0000-0000-00007C6A0000}"/>
    <cellStyle name="SAPBEXexcGood2 7 2" xfId="31595" xr:uid="{352FA75F-B9F5-44C6-A434-15029B45A5A3}"/>
    <cellStyle name="SAPBEXexcGood2 8" xfId="29628" xr:uid="{00000000-0005-0000-0000-00007D6A0000}"/>
    <cellStyle name="SAPBEXexcGood3" xfId="87" xr:uid="{00000000-0005-0000-0000-00007E6A0000}"/>
    <cellStyle name="SAPBEXexcGood3 2" xfId="13635" xr:uid="{00000000-0005-0000-0000-00007F6A0000}"/>
    <cellStyle name="SAPBEXexcGood3 2 2" xfId="25473" xr:uid="{00000000-0005-0000-0000-0000806A0000}"/>
    <cellStyle name="SAPBEXexcGood3 2 2 2" xfId="27626" xr:uid="{00000000-0005-0000-0000-0000816A0000}"/>
    <cellStyle name="SAPBEXexcGood3 2 2 2 2" xfId="32213" xr:uid="{308820AF-EA17-4165-8CB7-7173CBB6D535}"/>
    <cellStyle name="SAPBEXexcGood3 2 2 3" xfId="28087" xr:uid="{00000000-0005-0000-0000-0000826A0000}"/>
    <cellStyle name="SAPBEXexcGood3 2 2 3 2" xfId="32645" xr:uid="{B1A9B84F-CD48-4909-81D2-674130ABC560}"/>
    <cellStyle name="SAPBEXexcGood3 2 2 4" xfId="26321" xr:uid="{00000000-0005-0000-0000-0000836A0000}"/>
    <cellStyle name="SAPBEXexcGood3 2 2 4 2" xfId="31109" xr:uid="{2A2788E4-45DA-408E-9195-1DAC38F5CF7A}"/>
    <cellStyle name="SAPBEXexcGood3 2 2 5" xfId="29639" xr:uid="{00000000-0005-0000-0000-0000846A0000}"/>
    <cellStyle name="SAPBEXexcGood3 2 3" xfId="26577" xr:uid="{00000000-0005-0000-0000-0000856A0000}"/>
    <cellStyle name="SAPBEXexcGood3 2 3 2" xfId="31355" xr:uid="{B43766C2-2CDC-48FC-B6F9-418E16E51639}"/>
    <cellStyle name="SAPBEXexcGood3 2 4" xfId="28086" xr:uid="{00000000-0005-0000-0000-0000866A0000}"/>
    <cellStyle name="SAPBEXexcGood3 2 4 2" xfId="32644" xr:uid="{92D8CE86-9B32-4449-97FE-2A77309F59E0}"/>
    <cellStyle name="SAPBEXexcGood3 2 5" xfId="26918" xr:uid="{00000000-0005-0000-0000-0000876A0000}"/>
    <cellStyle name="SAPBEXexcGood3 2 5 2" xfId="31679" xr:uid="{96392683-3B26-48A7-B64D-276B7C277673}"/>
    <cellStyle name="SAPBEXexcGood3 2 6" xfId="29638" xr:uid="{00000000-0005-0000-0000-0000886A0000}"/>
    <cellStyle name="SAPBEXexcGood3 2 7" xfId="30175" xr:uid="{216BBBA7-92D6-4F0B-8D6E-F4AFC7622EEE}"/>
    <cellStyle name="SAPBEXexcGood3 3" xfId="24674" xr:uid="{00000000-0005-0000-0000-0000896A0000}"/>
    <cellStyle name="SAPBEXexcGood3 3 2" xfId="25433" xr:uid="{00000000-0005-0000-0000-00008A6A0000}"/>
    <cellStyle name="SAPBEXexcGood3 3 2 2" xfId="27587" xr:uid="{00000000-0005-0000-0000-00008B6A0000}"/>
    <cellStyle name="SAPBEXexcGood3 3 2 2 2" xfId="32178" xr:uid="{FA6B6EAE-9199-4A5F-9B96-7797C8C78F58}"/>
    <cellStyle name="SAPBEXexcGood3 3 2 3" xfId="28089" xr:uid="{00000000-0005-0000-0000-00008C6A0000}"/>
    <cellStyle name="SAPBEXexcGood3 3 2 3 2" xfId="32647" xr:uid="{9EFBE913-686F-4E8E-8ED1-3A81D116D952}"/>
    <cellStyle name="SAPBEXexcGood3 3 2 4" xfId="26852" xr:uid="{00000000-0005-0000-0000-00008D6A0000}"/>
    <cellStyle name="SAPBEXexcGood3 3 2 4 2" xfId="31613" xr:uid="{074EE185-0A89-4EBA-9DC5-2B4F090A3A94}"/>
    <cellStyle name="SAPBEXexcGood3 3 2 5" xfId="29641" xr:uid="{00000000-0005-0000-0000-00008E6A0000}"/>
    <cellStyle name="SAPBEXexcGood3 3 2 6" xfId="30591" xr:uid="{838D04DD-103B-414F-BC58-4C6DF5DF7315}"/>
    <cellStyle name="SAPBEXexcGood3 3 3" xfId="25637" xr:uid="{00000000-0005-0000-0000-00008F6A0000}"/>
    <cellStyle name="SAPBEXexcGood3 3 3 2" xfId="27790" xr:uid="{00000000-0005-0000-0000-0000906A0000}"/>
    <cellStyle name="SAPBEXexcGood3 3 3 2 2" xfId="32377" xr:uid="{1EFF2F61-1D5F-40CB-9D1C-865B3FC0AC24}"/>
    <cellStyle name="SAPBEXexcGood3 3 3 3" xfId="28090" xr:uid="{00000000-0005-0000-0000-0000916A0000}"/>
    <cellStyle name="SAPBEXexcGood3 3 3 3 2" xfId="32648" xr:uid="{0F16DB00-979B-45A2-8549-D10C3898B861}"/>
    <cellStyle name="SAPBEXexcGood3 3 3 4" xfId="26122" xr:uid="{00000000-0005-0000-0000-0000926A0000}"/>
    <cellStyle name="SAPBEXexcGood3 3 3 4 2" xfId="30912" xr:uid="{16F4B9F3-B3D8-4AE9-80B3-1BDECF8E1D1F}"/>
    <cellStyle name="SAPBEXexcGood3 3 3 5" xfId="29642" xr:uid="{00000000-0005-0000-0000-0000936A0000}"/>
    <cellStyle name="SAPBEXexcGood3 3 4" xfId="27264" xr:uid="{00000000-0005-0000-0000-0000946A0000}"/>
    <cellStyle name="SAPBEXexcGood3 3 4 2" xfId="31899" xr:uid="{C8E115A2-1050-4BE0-B1C2-E0550387E6E9}"/>
    <cellStyle name="SAPBEXexcGood3 3 5" xfId="28088" xr:uid="{00000000-0005-0000-0000-0000956A0000}"/>
    <cellStyle name="SAPBEXexcGood3 3 5 2" xfId="32646" xr:uid="{4593537D-1988-445A-B987-F76DB3C83564}"/>
    <cellStyle name="SAPBEXexcGood3 3 6" xfId="26497" xr:uid="{00000000-0005-0000-0000-0000966A0000}"/>
    <cellStyle name="SAPBEXexcGood3 3 6 2" xfId="31285" xr:uid="{A89ED4F8-B9F3-4585-B8ED-4B30C3A0B7DF}"/>
    <cellStyle name="SAPBEXexcGood3 3 7" xfId="29640" xr:uid="{00000000-0005-0000-0000-0000976A0000}"/>
    <cellStyle name="SAPBEXexcGood3 3 8" xfId="30339" xr:uid="{A10B9BBE-A017-4110-816E-976CEBC785EB}"/>
    <cellStyle name="SAPBEXexcGood3 4" xfId="25102" xr:uid="{00000000-0005-0000-0000-0000986A0000}"/>
    <cellStyle name="SAPBEXexcGood3 4 2" xfId="25403" xr:uid="{00000000-0005-0000-0000-0000996A0000}"/>
    <cellStyle name="SAPBEXexcGood3 4 2 2" xfId="27557" xr:uid="{00000000-0005-0000-0000-00009A6A0000}"/>
    <cellStyle name="SAPBEXexcGood3 4 2 2 2" xfId="32148" xr:uid="{542CF1F8-27C0-469F-8AEC-B0D7B4A50FF4}"/>
    <cellStyle name="SAPBEXexcGood3 4 2 3" xfId="28092" xr:uid="{00000000-0005-0000-0000-00009B6A0000}"/>
    <cellStyle name="SAPBEXexcGood3 4 2 3 2" xfId="32650" xr:uid="{15E0F195-36C6-40E2-8492-132C97A12795}"/>
    <cellStyle name="SAPBEXexcGood3 4 2 4" xfId="26429" xr:uid="{00000000-0005-0000-0000-00009C6A0000}"/>
    <cellStyle name="SAPBEXexcGood3 4 2 4 2" xfId="31217" xr:uid="{65498FA9-8518-4B20-83B7-75E062005796}"/>
    <cellStyle name="SAPBEXexcGood3 4 2 5" xfId="29644" xr:uid="{00000000-0005-0000-0000-00009D6A0000}"/>
    <cellStyle name="SAPBEXexcGood3 4 2 6" xfId="30561" xr:uid="{3EA48A4A-95C8-46B7-87B5-49395A280B9F}"/>
    <cellStyle name="SAPBEXexcGood3 4 3" xfId="25700" xr:uid="{00000000-0005-0000-0000-00009E6A0000}"/>
    <cellStyle name="SAPBEXexcGood3 4 3 2" xfId="27853" xr:uid="{00000000-0005-0000-0000-00009F6A0000}"/>
    <cellStyle name="SAPBEXexcGood3 4 3 2 2" xfId="32440" xr:uid="{D81E7EED-7569-4AD9-971D-1F7B7355FA1B}"/>
    <cellStyle name="SAPBEXexcGood3 4 3 3" xfId="28093" xr:uid="{00000000-0005-0000-0000-0000A06A0000}"/>
    <cellStyle name="SAPBEXexcGood3 4 3 3 2" xfId="32651" xr:uid="{16D3B326-3D72-4267-88CC-E67D6A54EF78}"/>
    <cellStyle name="SAPBEXexcGood3 4 3 4" xfId="27053" xr:uid="{00000000-0005-0000-0000-0000A16A0000}"/>
    <cellStyle name="SAPBEXexcGood3 4 3 4 2" xfId="31798" xr:uid="{2C68E6D1-3E67-409B-BF6C-B6084F228CD6}"/>
    <cellStyle name="SAPBEXexcGood3 4 3 5" xfId="29645" xr:uid="{00000000-0005-0000-0000-0000A26A0000}"/>
    <cellStyle name="SAPBEXexcGood3 4 3 6" xfId="30694" xr:uid="{B75B2F71-0114-47AF-96F5-188A76429835}"/>
    <cellStyle name="SAPBEXexcGood3 4 4" xfId="27387" xr:uid="{00000000-0005-0000-0000-0000A36A0000}"/>
    <cellStyle name="SAPBEXexcGood3 4 4 2" xfId="31985" xr:uid="{6A2A0B73-961F-4CB5-A15E-68039EFC5330}"/>
    <cellStyle name="SAPBEXexcGood3 4 5" xfId="28091" xr:uid="{00000000-0005-0000-0000-0000A46A0000}"/>
    <cellStyle name="SAPBEXexcGood3 4 5 2" xfId="32649" xr:uid="{FE3AED5C-5B6A-4D2F-810C-1EB9902D5B68}"/>
    <cellStyle name="SAPBEXexcGood3 4 6" xfId="26366" xr:uid="{00000000-0005-0000-0000-0000A56A0000}"/>
    <cellStyle name="SAPBEXexcGood3 4 6 2" xfId="31154" xr:uid="{7497A226-7643-4024-8C96-3F1A568E8FD9}"/>
    <cellStyle name="SAPBEXexcGood3 4 7" xfId="29643" xr:uid="{00000000-0005-0000-0000-0000A66A0000}"/>
    <cellStyle name="SAPBEXexcGood3 4 8" xfId="30402" xr:uid="{ED003E65-943C-433A-84DB-1FB42DB52D1B}"/>
    <cellStyle name="SAPBEXexcGood3 5" xfId="25831" xr:uid="{00000000-0005-0000-0000-0000A76A0000}"/>
    <cellStyle name="SAPBEXexcGood3 5 2" xfId="30750" xr:uid="{AF146F60-3BF2-4358-9326-F8C799AFC8A0}"/>
    <cellStyle name="SAPBEXexcGood3 6" xfId="28085" xr:uid="{00000000-0005-0000-0000-0000A86A0000}"/>
    <cellStyle name="SAPBEXexcGood3 6 2" xfId="32643" xr:uid="{438F3376-66E5-4807-8B5D-13A0DD7022A1}"/>
    <cellStyle name="SAPBEXexcGood3 7" xfId="28547" xr:uid="{00000000-0005-0000-0000-0000A96A0000}"/>
    <cellStyle name="SAPBEXexcGood3 7 2" xfId="33105" xr:uid="{CF99A7DA-DA15-46F4-87AC-C8AC1D81F52B}"/>
    <cellStyle name="SAPBEXexcGood3 8" xfId="29637" xr:uid="{00000000-0005-0000-0000-0000AA6A0000}"/>
    <cellStyle name="SAPBEXfilterDrill" xfId="88" xr:uid="{00000000-0005-0000-0000-0000AB6A0000}"/>
    <cellStyle name="SAPBEXfilterDrill 2" xfId="25832" xr:uid="{00000000-0005-0000-0000-0000AC6A0000}"/>
    <cellStyle name="SAPBEXfilterDrill 2 2" xfId="30751" xr:uid="{3491FB93-C1FC-46DE-99AF-DB71115FB942}"/>
    <cellStyle name="SAPBEXfilterItem" xfId="89" xr:uid="{00000000-0005-0000-0000-0000AD6A0000}"/>
    <cellStyle name="SAPBEXfilterItem 2" xfId="90" xr:uid="{00000000-0005-0000-0000-0000AE6A0000}"/>
    <cellStyle name="SAPBEXfilterItem 3" xfId="231" xr:uid="{00000000-0005-0000-0000-0000AF6A0000}"/>
    <cellStyle name="SAPBEXfilterItem 4" xfId="232" xr:uid="{00000000-0005-0000-0000-0000B06A0000}"/>
    <cellStyle name="SAPBEXfilterItem 5" xfId="233" xr:uid="{00000000-0005-0000-0000-0000B16A0000}"/>
    <cellStyle name="SAPBEXfilterItem 6" xfId="234" xr:uid="{00000000-0005-0000-0000-0000B26A0000}"/>
    <cellStyle name="SAPBEXfilterItem 7" xfId="235" xr:uid="{00000000-0005-0000-0000-0000B36A0000}"/>
    <cellStyle name="SAPBEXfilterItem 8" xfId="412" xr:uid="{00000000-0005-0000-0000-0000B46A0000}"/>
    <cellStyle name="SAPBEXfilterItem_Copy of xSAPtemp5457" xfId="236" xr:uid="{00000000-0005-0000-0000-0000B56A0000}"/>
    <cellStyle name="SAPBEXfilterText" xfId="91" xr:uid="{00000000-0005-0000-0000-0000B66A0000}"/>
    <cellStyle name="SAPBEXfilterText 2" xfId="92" xr:uid="{00000000-0005-0000-0000-0000B76A0000}"/>
    <cellStyle name="SAPBEXfilterText 2 2" xfId="24246" xr:uid="{00000000-0005-0000-0000-0000B86A0000}"/>
    <cellStyle name="SAPBEXfilterText 3" xfId="93" xr:uid="{00000000-0005-0000-0000-0000B96A0000}"/>
    <cellStyle name="SAPBEXfilterText 3 2" xfId="24247" xr:uid="{00000000-0005-0000-0000-0000BA6A0000}"/>
    <cellStyle name="SAPBEXfilterText 4" xfId="237" xr:uid="{00000000-0005-0000-0000-0000BB6A0000}"/>
    <cellStyle name="SAPBEXfilterText 5" xfId="238" xr:uid="{00000000-0005-0000-0000-0000BC6A0000}"/>
    <cellStyle name="SAPBEXformats" xfId="94" xr:uid="{00000000-0005-0000-0000-0000BD6A0000}"/>
    <cellStyle name="SAPBEXformats 2" xfId="13636" xr:uid="{00000000-0005-0000-0000-0000BE6A0000}"/>
    <cellStyle name="SAPBEXformats 2 2" xfId="25474" xr:uid="{00000000-0005-0000-0000-0000BF6A0000}"/>
    <cellStyle name="SAPBEXformats 2 2 2" xfId="27627" xr:uid="{00000000-0005-0000-0000-0000C06A0000}"/>
    <cellStyle name="SAPBEXformats 2 2 2 2" xfId="32214" xr:uid="{D278B83A-6DDC-4CEA-B434-95123C280B1E}"/>
    <cellStyle name="SAPBEXformats 2 2 3" xfId="28096" xr:uid="{00000000-0005-0000-0000-0000C16A0000}"/>
    <cellStyle name="SAPBEXformats 2 2 3 2" xfId="32654" xr:uid="{957C83D0-3927-47A9-A6FB-D8330177BF9A}"/>
    <cellStyle name="SAPBEXformats 2 2 4" xfId="27430" xr:uid="{00000000-0005-0000-0000-0000C26A0000}"/>
    <cellStyle name="SAPBEXformats 2 2 4 2" xfId="32028" xr:uid="{442177C5-4F97-41A7-BD70-69E13B4543F6}"/>
    <cellStyle name="SAPBEXformats 2 2 5" xfId="29648" xr:uid="{00000000-0005-0000-0000-0000C36A0000}"/>
    <cellStyle name="SAPBEXformats 2 3" xfId="26578" xr:uid="{00000000-0005-0000-0000-0000C46A0000}"/>
    <cellStyle name="SAPBEXformats 2 3 2" xfId="31356" xr:uid="{21DCC941-E0F1-463A-8AA4-9F34059D9DB5}"/>
    <cellStyle name="SAPBEXformats 2 4" xfId="28095" xr:uid="{00000000-0005-0000-0000-0000C56A0000}"/>
    <cellStyle name="SAPBEXformats 2 4 2" xfId="32653" xr:uid="{C6E7657E-F1DB-45D8-AA6B-208A5BF40671}"/>
    <cellStyle name="SAPBEXformats 2 5" xfId="29185" xr:uid="{00000000-0005-0000-0000-0000C66A0000}"/>
    <cellStyle name="SAPBEXformats 2 5 2" xfId="33168" xr:uid="{8F734FC7-1A1B-4AF3-AEAF-5F9D53DEC1C5}"/>
    <cellStyle name="SAPBEXformats 2 6" xfId="29647" xr:uid="{00000000-0005-0000-0000-0000C76A0000}"/>
    <cellStyle name="SAPBEXformats 2 7" xfId="30176" xr:uid="{3CCEDD8D-F920-4419-A45C-C955E685E11E}"/>
    <cellStyle name="SAPBEXformats 3" xfId="24673" xr:uid="{00000000-0005-0000-0000-0000C86A0000}"/>
    <cellStyle name="SAPBEXformats 3 2" xfId="25332" xr:uid="{00000000-0005-0000-0000-0000C96A0000}"/>
    <cellStyle name="SAPBEXformats 3 2 2" xfId="27486" xr:uid="{00000000-0005-0000-0000-0000CA6A0000}"/>
    <cellStyle name="SAPBEXformats 3 2 2 2" xfId="32077" xr:uid="{745C9583-D683-4F41-A694-04A8D1245772}"/>
    <cellStyle name="SAPBEXformats 3 2 3" xfId="28098" xr:uid="{00000000-0005-0000-0000-0000CB6A0000}"/>
    <cellStyle name="SAPBEXformats 3 2 3 2" xfId="32656" xr:uid="{EEEC1752-6C75-4172-930F-F60AB54966E1}"/>
    <cellStyle name="SAPBEXformats 3 2 4" xfId="26887" xr:uid="{00000000-0005-0000-0000-0000CC6A0000}"/>
    <cellStyle name="SAPBEXformats 3 2 4 2" xfId="31648" xr:uid="{1D5005B6-6A0B-4125-B5CA-C97B270D5A92}"/>
    <cellStyle name="SAPBEXformats 3 2 5" xfId="29650" xr:uid="{00000000-0005-0000-0000-0000CD6A0000}"/>
    <cellStyle name="SAPBEXformats 3 2 6" xfId="30490" xr:uid="{1FDD796B-D48C-4CF8-821F-B06FFC1504F6}"/>
    <cellStyle name="SAPBEXformats 3 3" xfId="25636" xr:uid="{00000000-0005-0000-0000-0000CE6A0000}"/>
    <cellStyle name="SAPBEXformats 3 3 2" xfId="27789" xr:uid="{00000000-0005-0000-0000-0000CF6A0000}"/>
    <cellStyle name="SAPBEXformats 3 3 2 2" xfId="32376" xr:uid="{2F4DAE6E-6C10-434E-BEB0-E82424E349E8}"/>
    <cellStyle name="SAPBEXformats 3 3 3" xfId="28099" xr:uid="{00000000-0005-0000-0000-0000D06A0000}"/>
    <cellStyle name="SAPBEXformats 3 3 3 2" xfId="32657" xr:uid="{E66069EF-D153-4575-8F1D-F5DAA9605257}"/>
    <cellStyle name="SAPBEXformats 3 3 4" xfId="26878" xr:uid="{00000000-0005-0000-0000-0000D16A0000}"/>
    <cellStyle name="SAPBEXformats 3 3 4 2" xfId="31639" xr:uid="{39317AA8-8D56-4917-BF65-A9663961389A}"/>
    <cellStyle name="SAPBEXformats 3 3 5" xfId="29651" xr:uid="{00000000-0005-0000-0000-0000D26A0000}"/>
    <cellStyle name="SAPBEXformats 3 4" xfId="27263" xr:uid="{00000000-0005-0000-0000-0000D36A0000}"/>
    <cellStyle name="SAPBEXformats 3 4 2" xfId="31898" xr:uid="{2DBB42DF-8BD6-45ED-86B9-BEC3FFF64943}"/>
    <cellStyle name="SAPBEXformats 3 5" xfId="28097" xr:uid="{00000000-0005-0000-0000-0000D46A0000}"/>
    <cellStyle name="SAPBEXformats 3 5 2" xfId="32655" xr:uid="{E01DF4DF-898C-4094-8EC5-C72246BDA1E8}"/>
    <cellStyle name="SAPBEXformats 3 6" xfId="26792" xr:uid="{00000000-0005-0000-0000-0000D56A0000}"/>
    <cellStyle name="SAPBEXformats 3 6 2" xfId="31553" xr:uid="{475C94B3-160D-4146-99BE-FF9364786E68}"/>
    <cellStyle name="SAPBEXformats 3 7" xfId="29649" xr:uid="{00000000-0005-0000-0000-0000D66A0000}"/>
    <cellStyle name="SAPBEXformats 3 8" xfId="30338" xr:uid="{CEE7A237-CC94-4644-A44B-4ABA4373387C}"/>
    <cellStyle name="SAPBEXformats 4" xfId="25103" xr:uid="{00000000-0005-0000-0000-0000D76A0000}"/>
    <cellStyle name="SAPBEXformats 4 2" xfId="25314" xr:uid="{00000000-0005-0000-0000-0000D86A0000}"/>
    <cellStyle name="SAPBEXformats 4 2 2" xfId="27468" xr:uid="{00000000-0005-0000-0000-0000D96A0000}"/>
    <cellStyle name="SAPBEXformats 4 2 2 2" xfId="32059" xr:uid="{531D6C35-7398-47CA-8E6E-396F0AAEC12F}"/>
    <cellStyle name="SAPBEXformats 4 2 3" xfId="28101" xr:uid="{00000000-0005-0000-0000-0000DA6A0000}"/>
    <cellStyle name="SAPBEXformats 4 2 3 2" xfId="32659" xr:uid="{9BA25405-5199-47A7-AA87-029BF4F03D3F}"/>
    <cellStyle name="SAPBEXformats 4 2 4" xfId="26088" xr:uid="{00000000-0005-0000-0000-0000DB6A0000}"/>
    <cellStyle name="SAPBEXformats 4 2 4 2" xfId="30878" xr:uid="{541FDA16-4D2D-452F-B7C0-950EA4155BF9}"/>
    <cellStyle name="SAPBEXformats 4 2 5" xfId="29653" xr:uid="{00000000-0005-0000-0000-0000DC6A0000}"/>
    <cellStyle name="SAPBEXformats 4 2 6" xfId="30472" xr:uid="{DC2B5A52-4E88-4582-8A8E-13F9568CC981}"/>
    <cellStyle name="SAPBEXformats 4 3" xfId="25701" xr:uid="{00000000-0005-0000-0000-0000DD6A0000}"/>
    <cellStyle name="SAPBEXformats 4 3 2" xfId="27854" xr:uid="{00000000-0005-0000-0000-0000DE6A0000}"/>
    <cellStyle name="SAPBEXformats 4 3 2 2" xfId="32441" xr:uid="{CAF41298-BE9F-4FAD-B7EC-08D9E35FB92D}"/>
    <cellStyle name="SAPBEXformats 4 3 3" xfId="28102" xr:uid="{00000000-0005-0000-0000-0000DF6A0000}"/>
    <cellStyle name="SAPBEXformats 4 3 3 2" xfId="32660" xr:uid="{6C596889-0A35-446B-B06C-7AD63BB08C62}"/>
    <cellStyle name="SAPBEXformats 4 3 4" xfId="26699" xr:uid="{00000000-0005-0000-0000-0000E06A0000}"/>
    <cellStyle name="SAPBEXformats 4 3 4 2" xfId="31461" xr:uid="{C84A56BF-5738-4D92-8DC6-A6289D6CC1C5}"/>
    <cellStyle name="SAPBEXformats 4 3 5" xfId="29654" xr:uid="{00000000-0005-0000-0000-0000E16A0000}"/>
    <cellStyle name="SAPBEXformats 4 3 6" xfId="30695" xr:uid="{BB3A1379-A04B-4717-B708-E5621F5C76EF}"/>
    <cellStyle name="SAPBEXformats 4 4" xfId="27388" xr:uid="{00000000-0005-0000-0000-0000E26A0000}"/>
    <cellStyle name="SAPBEXformats 4 4 2" xfId="31986" xr:uid="{8A8F8762-F47E-40B2-9EFD-F1CE7D48C2D4}"/>
    <cellStyle name="SAPBEXformats 4 5" xfId="28100" xr:uid="{00000000-0005-0000-0000-0000E36A0000}"/>
    <cellStyle name="SAPBEXformats 4 5 2" xfId="32658" xr:uid="{C3945E2D-B22C-4F0A-9C2F-E4D111202428}"/>
    <cellStyle name="SAPBEXformats 4 6" xfId="26778" xr:uid="{00000000-0005-0000-0000-0000E46A0000}"/>
    <cellStyle name="SAPBEXformats 4 6 2" xfId="31539" xr:uid="{45964939-CE95-43D5-A2DF-A04176C5BF09}"/>
    <cellStyle name="SAPBEXformats 4 7" xfId="29652" xr:uid="{00000000-0005-0000-0000-0000E56A0000}"/>
    <cellStyle name="SAPBEXformats 4 8" xfId="30403" xr:uid="{8BEB6974-6890-4108-ACB3-B23AC1CD07F7}"/>
    <cellStyle name="SAPBEXformats 5" xfId="25833" xr:uid="{00000000-0005-0000-0000-0000E66A0000}"/>
    <cellStyle name="SAPBEXformats 5 2" xfId="30752" xr:uid="{76D3A9B9-4571-4CC8-B939-11DE8342D48F}"/>
    <cellStyle name="SAPBEXformats 6" xfId="28094" xr:uid="{00000000-0005-0000-0000-0000E76A0000}"/>
    <cellStyle name="SAPBEXformats 6 2" xfId="32652" xr:uid="{29AA3335-CBC6-444E-90CE-A94CC5BEEE73}"/>
    <cellStyle name="SAPBEXformats 7" xfId="26969" xr:uid="{00000000-0005-0000-0000-0000E86A0000}"/>
    <cellStyle name="SAPBEXformats 7 2" xfId="31730" xr:uid="{A763D440-1575-44AC-92AC-9680ED033164}"/>
    <cellStyle name="SAPBEXformats 8" xfId="29646" xr:uid="{00000000-0005-0000-0000-0000E96A0000}"/>
    <cellStyle name="SAPBEXheaderItem" xfId="95" xr:uid="{00000000-0005-0000-0000-0000EA6A0000}"/>
    <cellStyle name="SAPBEXheaderItem 2" xfId="96" xr:uid="{00000000-0005-0000-0000-0000EB6A0000}"/>
    <cellStyle name="SAPBEXheaderItem 2 2" xfId="24249" xr:uid="{00000000-0005-0000-0000-0000EC6A0000}"/>
    <cellStyle name="SAPBEXheaderItem 3" xfId="97" xr:uid="{00000000-0005-0000-0000-0000ED6A0000}"/>
    <cellStyle name="SAPBEXheaderItem 3 2" xfId="98" xr:uid="{00000000-0005-0000-0000-0000EE6A0000}"/>
    <cellStyle name="SAPBEXheaderItem 3 3" xfId="24250" xr:uid="{00000000-0005-0000-0000-0000EF6A0000}"/>
    <cellStyle name="SAPBEXheaderItem 4" xfId="239" xr:uid="{00000000-0005-0000-0000-0000F06A0000}"/>
    <cellStyle name="SAPBEXheaderItem 5" xfId="240" xr:uid="{00000000-0005-0000-0000-0000F16A0000}"/>
    <cellStyle name="SAPBEXheaderItem 6" xfId="241" xr:uid="{00000000-0005-0000-0000-0000F26A0000}"/>
    <cellStyle name="SAPBEXheaderItem 7" xfId="242" xr:uid="{00000000-0005-0000-0000-0000F36A0000}"/>
    <cellStyle name="SAPBEXheaderItem 8" xfId="243" xr:uid="{00000000-0005-0000-0000-0000F46A0000}"/>
    <cellStyle name="SAPBEXheaderItem 9" xfId="413" xr:uid="{00000000-0005-0000-0000-0000F56A0000}"/>
    <cellStyle name="SAPBEXheaderItem_Copy of xSAPtemp5457" xfId="244" xr:uid="{00000000-0005-0000-0000-0000F66A0000}"/>
    <cellStyle name="SAPBEXheaderText" xfId="99" xr:uid="{00000000-0005-0000-0000-0000F76A0000}"/>
    <cellStyle name="SAPBEXheaderText 2" xfId="100" xr:uid="{00000000-0005-0000-0000-0000F86A0000}"/>
    <cellStyle name="SAPBEXheaderText 2 2" xfId="24251" xr:uid="{00000000-0005-0000-0000-0000F96A0000}"/>
    <cellStyle name="SAPBEXheaderText 3" xfId="101" xr:uid="{00000000-0005-0000-0000-0000FA6A0000}"/>
    <cellStyle name="SAPBEXheaderText 3 2" xfId="24252" xr:uid="{00000000-0005-0000-0000-0000FB6A0000}"/>
    <cellStyle name="SAPBEXheaderText 4" xfId="102" xr:uid="{00000000-0005-0000-0000-0000FC6A0000}"/>
    <cellStyle name="SAPBEXheaderText 5" xfId="245" xr:uid="{00000000-0005-0000-0000-0000FD6A0000}"/>
    <cellStyle name="SAPBEXheaderText 6" xfId="246" xr:uid="{00000000-0005-0000-0000-0000FE6A0000}"/>
    <cellStyle name="SAPBEXheaderText 7" xfId="247" xr:uid="{00000000-0005-0000-0000-0000FF6A0000}"/>
    <cellStyle name="SAPBEXheaderText 8" xfId="248" xr:uid="{00000000-0005-0000-0000-0000006B0000}"/>
    <cellStyle name="SAPBEXheaderText 9" xfId="414" xr:uid="{00000000-0005-0000-0000-0000016B0000}"/>
    <cellStyle name="SAPBEXheaderText_Copy of xSAPtemp5457" xfId="249" xr:uid="{00000000-0005-0000-0000-0000026B0000}"/>
    <cellStyle name="SAPBEXHLevel0" xfId="103" xr:uid="{00000000-0005-0000-0000-0000036B0000}"/>
    <cellStyle name="SAPBEXHLevel0 10" xfId="28103" xr:uid="{00000000-0005-0000-0000-0000046B0000}"/>
    <cellStyle name="SAPBEXHLevel0 10 2" xfId="32661" xr:uid="{1007D9F4-C483-4CB3-9678-CB0C7E24DE75}"/>
    <cellStyle name="SAPBEXHLevel0 11" xfId="26997" xr:uid="{00000000-0005-0000-0000-0000056B0000}"/>
    <cellStyle name="SAPBEXHLevel0 11 2" xfId="31758" xr:uid="{42874892-21AF-4921-A9C2-76034A26F922}"/>
    <cellStyle name="SAPBEXHLevel0 12" xfId="29655" xr:uid="{00000000-0005-0000-0000-0000066B0000}"/>
    <cellStyle name="SAPBEXHLevel0 2" xfId="104" xr:uid="{00000000-0005-0000-0000-0000076B0000}"/>
    <cellStyle name="SAPBEXHLevel0 2 2" xfId="13638" xr:uid="{00000000-0005-0000-0000-0000086B0000}"/>
    <cellStyle name="SAPBEXHLevel0 2 2 2" xfId="25476" xr:uid="{00000000-0005-0000-0000-0000096B0000}"/>
    <cellStyle name="SAPBEXHLevel0 2 2 2 2" xfId="27629" xr:uid="{00000000-0005-0000-0000-00000A6B0000}"/>
    <cellStyle name="SAPBEXHLevel0 2 2 2 2 2" xfId="32216" xr:uid="{7B298B73-A2C7-4972-BC63-D9B946A6E718}"/>
    <cellStyle name="SAPBEXHLevel0 2 2 2 3" xfId="28106" xr:uid="{00000000-0005-0000-0000-00000B6B0000}"/>
    <cellStyle name="SAPBEXHLevel0 2 2 2 3 2" xfId="32664" xr:uid="{E7F317E7-BCAD-47C6-B104-293C7D1AA01A}"/>
    <cellStyle name="SAPBEXHLevel0 2 2 2 4" xfId="26840" xr:uid="{00000000-0005-0000-0000-00000C6B0000}"/>
    <cellStyle name="SAPBEXHLevel0 2 2 2 4 2" xfId="31601" xr:uid="{3F3FE9FF-344C-41C9-887A-3164767D7DB7}"/>
    <cellStyle name="SAPBEXHLevel0 2 2 2 5" xfId="29658" xr:uid="{00000000-0005-0000-0000-00000D6B0000}"/>
    <cellStyle name="SAPBEXHLevel0 2 2 3" xfId="26580" xr:uid="{00000000-0005-0000-0000-00000E6B0000}"/>
    <cellStyle name="SAPBEXHLevel0 2 2 3 2" xfId="31358" xr:uid="{02E16D72-8899-4A71-AB65-2FF6BCF6D0D3}"/>
    <cellStyle name="SAPBEXHLevel0 2 2 4" xfId="28105" xr:uid="{00000000-0005-0000-0000-00000F6B0000}"/>
    <cellStyle name="SAPBEXHLevel0 2 2 4 2" xfId="32663" xr:uid="{84ACD932-5D46-4B99-B19C-3101C518DA30}"/>
    <cellStyle name="SAPBEXHLevel0 2 2 5" xfId="26371" xr:uid="{00000000-0005-0000-0000-0000106B0000}"/>
    <cellStyle name="SAPBEXHLevel0 2 2 5 2" xfId="31159" xr:uid="{9B100636-DCF6-4B61-8304-64FFB6A85262}"/>
    <cellStyle name="SAPBEXHLevel0 2 2 6" xfId="29657" xr:uid="{00000000-0005-0000-0000-0000116B0000}"/>
    <cellStyle name="SAPBEXHLevel0 2 2 7" xfId="30178" xr:uid="{21DC3046-D69E-4717-8D23-7A4404E4AB8B}"/>
    <cellStyle name="SAPBEXHLevel0 2 3" xfId="24253" xr:uid="{00000000-0005-0000-0000-0000126B0000}"/>
    <cellStyle name="SAPBEXHLevel0 2 3 2" xfId="25575" xr:uid="{00000000-0005-0000-0000-0000136B0000}"/>
    <cellStyle name="SAPBEXHLevel0 2 3 2 2" xfId="27728" xr:uid="{00000000-0005-0000-0000-0000146B0000}"/>
    <cellStyle name="SAPBEXHLevel0 2 3 2 2 2" xfId="32315" xr:uid="{5DBB23BE-9359-4EAA-8819-A0619DC5C6E1}"/>
    <cellStyle name="SAPBEXHLevel0 2 3 2 3" xfId="28108" xr:uid="{00000000-0005-0000-0000-0000156B0000}"/>
    <cellStyle name="SAPBEXHLevel0 2 3 2 3 2" xfId="32666" xr:uid="{345DAA13-C4F1-4369-9286-C5B2067437F6}"/>
    <cellStyle name="SAPBEXHLevel0 2 3 2 4" xfId="27010" xr:uid="{00000000-0005-0000-0000-0000166B0000}"/>
    <cellStyle name="SAPBEXHLevel0 2 3 2 4 2" xfId="31770" xr:uid="{86F98E1B-09DB-4E31-8D4C-DD8CA4BCFA29}"/>
    <cellStyle name="SAPBEXHLevel0 2 3 2 5" xfId="29660" xr:uid="{00000000-0005-0000-0000-0000176B0000}"/>
    <cellStyle name="SAPBEXHLevel0 2 3 3" xfId="27108" xr:uid="{00000000-0005-0000-0000-0000186B0000}"/>
    <cellStyle name="SAPBEXHLevel0 2 3 3 2" xfId="31826" xr:uid="{D779E60C-4A8F-4FC4-8A8F-131CF168D935}"/>
    <cellStyle name="SAPBEXHLevel0 2 3 4" xfId="28107" xr:uid="{00000000-0005-0000-0000-0000196B0000}"/>
    <cellStyle name="SAPBEXHLevel0 2 3 4 2" xfId="32665" xr:uid="{5D47A21C-D9B1-4D5E-BD7F-1C785E1F7012}"/>
    <cellStyle name="SAPBEXHLevel0 2 3 5" xfId="26929" xr:uid="{00000000-0005-0000-0000-00001A6B0000}"/>
    <cellStyle name="SAPBEXHLevel0 2 3 5 2" xfId="31690" xr:uid="{638F08CB-81F2-4D61-A114-BB295EF7714E}"/>
    <cellStyle name="SAPBEXHLevel0 2 3 6" xfId="29659" xr:uid="{00000000-0005-0000-0000-00001B6B0000}"/>
    <cellStyle name="SAPBEXHLevel0 2 3 7" xfId="30277" xr:uid="{06A6A1AD-8EF2-4F18-81C3-D40EA51BB9C0}"/>
    <cellStyle name="SAPBEXHLevel0 2 4" xfId="24668" xr:uid="{00000000-0005-0000-0000-00001C6B0000}"/>
    <cellStyle name="SAPBEXHLevel0 2 4 2" xfId="25357" xr:uid="{00000000-0005-0000-0000-00001D6B0000}"/>
    <cellStyle name="SAPBEXHLevel0 2 4 2 2" xfId="27511" xr:uid="{00000000-0005-0000-0000-00001E6B0000}"/>
    <cellStyle name="SAPBEXHLevel0 2 4 2 2 2" xfId="32102" xr:uid="{B9E554D5-3C00-4528-833B-90B9C97A6922}"/>
    <cellStyle name="SAPBEXHLevel0 2 4 2 3" xfId="28110" xr:uid="{00000000-0005-0000-0000-00001F6B0000}"/>
    <cellStyle name="SAPBEXHLevel0 2 4 2 3 2" xfId="32668" xr:uid="{F6BEE18A-83E5-48FE-BC26-1D4ECE9E122A}"/>
    <cellStyle name="SAPBEXHLevel0 2 4 2 4" xfId="26532" xr:uid="{00000000-0005-0000-0000-0000206B0000}"/>
    <cellStyle name="SAPBEXHLevel0 2 4 2 4 2" xfId="31319" xr:uid="{566CA492-9584-49DA-A226-C350F3AE1D5F}"/>
    <cellStyle name="SAPBEXHLevel0 2 4 2 5" xfId="29662" xr:uid="{00000000-0005-0000-0000-0000216B0000}"/>
    <cellStyle name="SAPBEXHLevel0 2 4 2 6" xfId="30515" xr:uid="{F572173F-BFEB-4274-B1BB-AFD32D4910DE}"/>
    <cellStyle name="SAPBEXHLevel0 2 4 3" xfId="25634" xr:uid="{00000000-0005-0000-0000-0000226B0000}"/>
    <cellStyle name="SAPBEXHLevel0 2 4 3 2" xfId="27787" xr:uid="{00000000-0005-0000-0000-0000236B0000}"/>
    <cellStyle name="SAPBEXHLevel0 2 4 3 2 2" xfId="32374" xr:uid="{BB80C584-F3F2-45C6-864C-49C53581BB44}"/>
    <cellStyle name="SAPBEXHLevel0 2 4 3 3" xfId="28111" xr:uid="{00000000-0005-0000-0000-0000246B0000}"/>
    <cellStyle name="SAPBEXHLevel0 2 4 3 3 2" xfId="32669" xr:uid="{83A420D9-A83C-4FD3-B58D-71620EFDE24C}"/>
    <cellStyle name="SAPBEXHLevel0 2 4 3 4" xfId="27001" xr:uid="{00000000-0005-0000-0000-0000256B0000}"/>
    <cellStyle name="SAPBEXHLevel0 2 4 3 4 2" xfId="31761" xr:uid="{FBFB06F9-0841-4C0C-BDA6-AE8C08186C8D}"/>
    <cellStyle name="SAPBEXHLevel0 2 4 3 5" xfId="29663" xr:uid="{00000000-0005-0000-0000-0000266B0000}"/>
    <cellStyle name="SAPBEXHLevel0 2 4 4" xfId="27261" xr:uid="{00000000-0005-0000-0000-0000276B0000}"/>
    <cellStyle name="SAPBEXHLevel0 2 4 4 2" xfId="31896" xr:uid="{33BB7FBC-5347-4BDA-BA57-A1CFCD3A8D28}"/>
    <cellStyle name="SAPBEXHLevel0 2 4 5" xfId="28109" xr:uid="{00000000-0005-0000-0000-0000286B0000}"/>
    <cellStyle name="SAPBEXHLevel0 2 4 5 2" xfId="32667" xr:uid="{BD92D1DD-FCC5-4429-BBE2-DB2FC2D92999}"/>
    <cellStyle name="SAPBEXHLevel0 2 4 6" xfId="26144" xr:uid="{00000000-0005-0000-0000-0000296B0000}"/>
    <cellStyle name="SAPBEXHLevel0 2 4 6 2" xfId="30934" xr:uid="{A2BA4C79-6BE7-4747-9B57-AB6F8D1E320C}"/>
    <cellStyle name="SAPBEXHLevel0 2 4 7" xfId="29661" xr:uid="{00000000-0005-0000-0000-00002A6B0000}"/>
    <cellStyle name="SAPBEXHLevel0 2 4 8" xfId="30336" xr:uid="{A5ECF39D-215E-47AA-89A5-7CA40D11AEC4}"/>
    <cellStyle name="SAPBEXHLevel0 2 5" xfId="25105" xr:uid="{00000000-0005-0000-0000-00002B6B0000}"/>
    <cellStyle name="SAPBEXHLevel0 2 5 2" xfId="25328" xr:uid="{00000000-0005-0000-0000-00002C6B0000}"/>
    <cellStyle name="SAPBEXHLevel0 2 5 2 2" xfId="27482" xr:uid="{00000000-0005-0000-0000-00002D6B0000}"/>
    <cellStyle name="SAPBEXHLevel0 2 5 2 2 2" xfId="32073" xr:uid="{1C827190-C06C-4044-BAF3-0F096D5852AB}"/>
    <cellStyle name="SAPBEXHLevel0 2 5 2 3" xfId="28113" xr:uid="{00000000-0005-0000-0000-00002E6B0000}"/>
    <cellStyle name="SAPBEXHLevel0 2 5 2 3 2" xfId="32671" xr:uid="{3E6251D2-76CD-46D8-96A3-5FD886CA0766}"/>
    <cellStyle name="SAPBEXHLevel0 2 5 2 4" xfId="26078" xr:uid="{00000000-0005-0000-0000-00002F6B0000}"/>
    <cellStyle name="SAPBEXHLevel0 2 5 2 4 2" xfId="30868" xr:uid="{CAFD4758-676E-43F2-A1B3-33C5E85CCBB9}"/>
    <cellStyle name="SAPBEXHLevel0 2 5 2 5" xfId="29665" xr:uid="{00000000-0005-0000-0000-0000306B0000}"/>
    <cellStyle name="SAPBEXHLevel0 2 5 2 6" xfId="30486" xr:uid="{79F67CD6-FD80-47E4-BDF5-B543871CC22A}"/>
    <cellStyle name="SAPBEXHLevel0 2 5 3" xfId="25703" xr:uid="{00000000-0005-0000-0000-0000316B0000}"/>
    <cellStyle name="SAPBEXHLevel0 2 5 3 2" xfId="27856" xr:uid="{00000000-0005-0000-0000-0000326B0000}"/>
    <cellStyle name="SAPBEXHLevel0 2 5 3 2 2" xfId="32443" xr:uid="{4C629BCE-B01E-4D89-97C2-20B3105583E0}"/>
    <cellStyle name="SAPBEXHLevel0 2 5 3 3" xfId="28114" xr:uid="{00000000-0005-0000-0000-0000336B0000}"/>
    <cellStyle name="SAPBEXHLevel0 2 5 3 3 2" xfId="32672" xr:uid="{0031AEA8-1D1E-4EC5-9B26-993A374E0880}"/>
    <cellStyle name="SAPBEXHLevel0 2 5 3 4" xfId="26980" xr:uid="{00000000-0005-0000-0000-0000346B0000}"/>
    <cellStyle name="SAPBEXHLevel0 2 5 3 4 2" xfId="31741" xr:uid="{DC4F3916-7B16-4725-B86F-EF6A81E74913}"/>
    <cellStyle name="SAPBEXHLevel0 2 5 3 5" xfId="29666" xr:uid="{00000000-0005-0000-0000-0000356B0000}"/>
    <cellStyle name="SAPBEXHLevel0 2 5 3 6" xfId="30697" xr:uid="{1680A952-2676-4583-96CB-493DE9B3435D}"/>
    <cellStyle name="SAPBEXHLevel0 2 5 4" xfId="27390" xr:uid="{00000000-0005-0000-0000-0000366B0000}"/>
    <cellStyle name="SAPBEXHLevel0 2 5 4 2" xfId="31988" xr:uid="{CDE7C17A-A04C-465E-B7BA-E51B906DA432}"/>
    <cellStyle name="SAPBEXHLevel0 2 5 5" xfId="28112" xr:uid="{00000000-0005-0000-0000-0000376B0000}"/>
    <cellStyle name="SAPBEXHLevel0 2 5 5 2" xfId="32670" xr:uid="{AD5B0E88-0C29-4CDD-BA0C-517DE75DB933}"/>
    <cellStyle name="SAPBEXHLevel0 2 5 6" xfId="26226" xr:uid="{00000000-0005-0000-0000-0000386B0000}"/>
    <cellStyle name="SAPBEXHLevel0 2 5 6 2" xfId="31014" xr:uid="{27E4CD17-B8A4-4CFE-989A-0AC71FD574EF}"/>
    <cellStyle name="SAPBEXHLevel0 2 5 7" xfId="29664" xr:uid="{00000000-0005-0000-0000-0000396B0000}"/>
    <cellStyle name="SAPBEXHLevel0 2 5 8" xfId="30405" xr:uid="{43A192A3-3703-44CB-BFA1-B0D9A2CD1193}"/>
    <cellStyle name="SAPBEXHLevel0 2 6" xfId="25835" xr:uid="{00000000-0005-0000-0000-00003A6B0000}"/>
    <cellStyle name="SAPBEXHLevel0 2 6 2" xfId="30754" xr:uid="{C0966D3F-A15A-4841-8F1B-C331F5FC3E49}"/>
    <cellStyle name="SAPBEXHLevel0 2 7" xfId="28104" xr:uid="{00000000-0005-0000-0000-00003B6B0000}"/>
    <cellStyle name="SAPBEXHLevel0 2 7 2" xfId="32662" xr:uid="{5CD015DB-9D79-4C4E-827B-6D03AE262D64}"/>
    <cellStyle name="SAPBEXHLevel0 2 8" xfId="26490" xr:uid="{00000000-0005-0000-0000-00003C6B0000}"/>
    <cellStyle name="SAPBEXHLevel0 2 8 2" xfId="31278" xr:uid="{8D9A7171-B877-4C8B-9662-1E2732232090}"/>
    <cellStyle name="SAPBEXHLevel0 2 9" xfId="29656" xr:uid="{00000000-0005-0000-0000-00003D6B0000}"/>
    <cellStyle name="SAPBEXHLevel0 3" xfId="105" xr:uid="{00000000-0005-0000-0000-00003E6B0000}"/>
    <cellStyle name="SAPBEXHLevel0 3 2" xfId="13639" xr:uid="{00000000-0005-0000-0000-00003F6B0000}"/>
    <cellStyle name="SAPBEXHLevel0 3 2 2" xfId="25477" xr:uid="{00000000-0005-0000-0000-0000406B0000}"/>
    <cellStyle name="SAPBEXHLevel0 3 2 2 2" xfId="27630" xr:uid="{00000000-0005-0000-0000-0000416B0000}"/>
    <cellStyle name="SAPBEXHLevel0 3 2 2 2 2" xfId="32217" xr:uid="{BFD1346D-0532-4B33-B2CB-EF7207C2EA8C}"/>
    <cellStyle name="SAPBEXHLevel0 3 2 2 3" xfId="28117" xr:uid="{00000000-0005-0000-0000-0000426B0000}"/>
    <cellStyle name="SAPBEXHLevel0 3 2 2 3 2" xfId="32675" xr:uid="{100C9099-C4FA-4A43-9BBF-06483191EA60}"/>
    <cellStyle name="SAPBEXHLevel0 3 2 2 4" xfId="26201" xr:uid="{00000000-0005-0000-0000-0000436B0000}"/>
    <cellStyle name="SAPBEXHLevel0 3 2 2 4 2" xfId="30989" xr:uid="{F886C104-FEB0-4396-B6D3-4A9288723D41}"/>
    <cellStyle name="SAPBEXHLevel0 3 2 2 5" xfId="29669" xr:uid="{00000000-0005-0000-0000-0000446B0000}"/>
    <cellStyle name="SAPBEXHLevel0 3 2 3" xfId="26581" xr:uid="{00000000-0005-0000-0000-0000456B0000}"/>
    <cellStyle name="SAPBEXHLevel0 3 2 3 2" xfId="31359" xr:uid="{806AE72E-E6BF-4AE1-BACC-25557BD03B3A}"/>
    <cellStyle name="SAPBEXHLevel0 3 2 4" xfId="28116" xr:uid="{00000000-0005-0000-0000-0000466B0000}"/>
    <cellStyle name="SAPBEXHLevel0 3 2 4 2" xfId="32674" xr:uid="{98F4DF41-9961-4216-B393-3A9F5B153380}"/>
    <cellStyle name="SAPBEXHLevel0 3 2 5" xfId="26085" xr:uid="{00000000-0005-0000-0000-0000476B0000}"/>
    <cellStyle name="SAPBEXHLevel0 3 2 5 2" xfId="30875" xr:uid="{11CBB1D0-2FA2-4DB6-B91E-F59B0AA19F88}"/>
    <cellStyle name="SAPBEXHLevel0 3 2 6" xfId="29668" xr:uid="{00000000-0005-0000-0000-0000486B0000}"/>
    <cellStyle name="SAPBEXHLevel0 3 2 7" xfId="30179" xr:uid="{59B81943-37CB-41A6-BB33-212DA07C1674}"/>
    <cellStyle name="SAPBEXHLevel0 3 3" xfId="24254" xr:uid="{00000000-0005-0000-0000-0000496B0000}"/>
    <cellStyle name="SAPBEXHLevel0 3 3 2" xfId="25576" xr:uid="{00000000-0005-0000-0000-00004A6B0000}"/>
    <cellStyle name="SAPBEXHLevel0 3 3 2 2" xfId="27729" xr:uid="{00000000-0005-0000-0000-00004B6B0000}"/>
    <cellStyle name="SAPBEXHLevel0 3 3 2 2 2" xfId="32316" xr:uid="{FD26BE80-B426-483B-8760-386C120CA39E}"/>
    <cellStyle name="SAPBEXHLevel0 3 3 2 3" xfId="28119" xr:uid="{00000000-0005-0000-0000-00004C6B0000}"/>
    <cellStyle name="SAPBEXHLevel0 3 3 2 3 2" xfId="32677" xr:uid="{6982FBCE-856E-406F-852D-2B487D78F7B9}"/>
    <cellStyle name="SAPBEXHLevel0 3 3 2 4" xfId="26441" xr:uid="{00000000-0005-0000-0000-00004D6B0000}"/>
    <cellStyle name="SAPBEXHLevel0 3 3 2 4 2" xfId="31229" xr:uid="{C5400D96-6C98-4650-A767-341CC507F3D8}"/>
    <cellStyle name="SAPBEXHLevel0 3 3 2 5" xfId="29671" xr:uid="{00000000-0005-0000-0000-00004E6B0000}"/>
    <cellStyle name="SAPBEXHLevel0 3 3 3" xfId="27109" xr:uid="{00000000-0005-0000-0000-00004F6B0000}"/>
    <cellStyle name="SAPBEXHLevel0 3 3 3 2" xfId="31827" xr:uid="{2FDB118B-CEA1-4E77-B029-341C3434B2B8}"/>
    <cellStyle name="SAPBEXHLevel0 3 3 4" xfId="28118" xr:uid="{00000000-0005-0000-0000-0000506B0000}"/>
    <cellStyle name="SAPBEXHLevel0 3 3 4 2" xfId="32676" xr:uid="{46BB1172-EB83-4E38-9E49-B9E2C6898E3A}"/>
    <cellStyle name="SAPBEXHLevel0 3 3 5" xfId="26529" xr:uid="{00000000-0005-0000-0000-0000516B0000}"/>
    <cellStyle name="SAPBEXHLevel0 3 3 5 2" xfId="31316" xr:uid="{4AEEC1B6-418C-4152-9400-4D83848F4298}"/>
    <cellStyle name="SAPBEXHLevel0 3 3 6" xfId="29670" xr:uid="{00000000-0005-0000-0000-0000526B0000}"/>
    <cellStyle name="SAPBEXHLevel0 3 3 7" xfId="30278" xr:uid="{9EBCC5A9-58E7-4514-8B14-8993E912190B}"/>
    <cellStyle name="SAPBEXHLevel0 3 4" xfId="24667" xr:uid="{00000000-0005-0000-0000-0000536B0000}"/>
    <cellStyle name="SAPBEXHLevel0 3 4 2" xfId="25441" xr:uid="{00000000-0005-0000-0000-0000546B0000}"/>
    <cellStyle name="SAPBEXHLevel0 3 4 2 2" xfId="27595" xr:uid="{00000000-0005-0000-0000-0000556B0000}"/>
    <cellStyle name="SAPBEXHLevel0 3 4 2 2 2" xfId="32186" xr:uid="{D2D852CA-D376-43F0-9C8C-99CDEBBD4B7B}"/>
    <cellStyle name="SAPBEXHLevel0 3 4 2 3" xfId="28121" xr:uid="{00000000-0005-0000-0000-0000566B0000}"/>
    <cellStyle name="SAPBEXHLevel0 3 4 2 3 2" xfId="32679" xr:uid="{88C41C01-949B-4E5F-A7DA-8E0D8DC9C2E3}"/>
    <cellStyle name="SAPBEXHLevel0 3 4 2 4" xfId="26845" xr:uid="{00000000-0005-0000-0000-0000576B0000}"/>
    <cellStyle name="SAPBEXHLevel0 3 4 2 4 2" xfId="31606" xr:uid="{45E4FCD2-8EA1-40E8-81BA-70921E007469}"/>
    <cellStyle name="SAPBEXHLevel0 3 4 2 5" xfId="29673" xr:uid="{00000000-0005-0000-0000-0000586B0000}"/>
    <cellStyle name="SAPBEXHLevel0 3 4 2 6" xfId="30599" xr:uid="{A57BFBDA-B5E7-4CC9-8B25-DDDA0B1F160E}"/>
    <cellStyle name="SAPBEXHLevel0 3 4 3" xfId="25633" xr:uid="{00000000-0005-0000-0000-0000596B0000}"/>
    <cellStyle name="SAPBEXHLevel0 3 4 3 2" xfId="27786" xr:uid="{00000000-0005-0000-0000-00005A6B0000}"/>
    <cellStyle name="SAPBEXHLevel0 3 4 3 2 2" xfId="32373" xr:uid="{1194E220-EB7E-4FE0-A56B-7FE85471F55D}"/>
    <cellStyle name="SAPBEXHLevel0 3 4 3 3" xfId="28122" xr:uid="{00000000-0005-0000-0000-00005B6B0000}"/>
    <cellStyle name="SAPBEXHLevel0 3 4 3 3 2" xfId="32680" xr:uid="{F5D76EF6-FAB0-476A-8BAB-3B7CADC2EAA5}"/>
    <cellStyle name="SAPBEXHLevel0 3 4 3 4" xfId="26402" xr:uid="{00000000-0005-0000-0000-00005C6B0000}"/>
    <cellStyle name="SAPBEXHLevel0 3 4 3 4 2" xfId="31190" xr:uid="{9459480F-01BB-484D-9706-FF15ED897B84}"/>
    <cellStyle name="SAPBEXHLevel0 3 4 3 5" xfId="29674" xr:uid="{00000000-0005-0000-0000-00005D6B0000}"/>
    <cellStyle name="SAPBEXHLevel0 3 4 4" xfId="27260" xr:uid="{00000000-0005-0000-0000-00005E6B0000}"/>
    <cellStyle name="SAPBEXHLevel0 3 4 4 2" xfId="31895" xr:uid="{CCBDFCD5-5B3B-47AD-A653-96EF926216CD}"/>
    <cellStyle name="SAPBEXHLevel0 3 4 5" xfId="28120" xr:uid="{00000000-0005-0000-0000-00005F6B0000}"/>
    <cellStyle name="SAPBEXHLevel0 3 4 5 2" xfId="32678" xr:uid="{265D5D4F-FCCE-494B-955D-916F83D7C6DF}"/>
    <cellStyle name="SAPBEXHLevel0 3 4 6" xfId="26733" xr:uid="{00000000-0005-0000-0000-0000606B0000}"/>
    <cellStyle name="SAPBEXHLevel0 3 4 6 2" xfId="31494" xr:uid="{C83020AE-F591-458B-86AB-37F6C80DD24C}"/>
    <cellStyle name="SAPBEXHLevel0 3 4 7" xfId="29672" xr:uid="{00000000-0005-0000-0000-0000616B0000}"/>
    <cellStyle name="SAPBEXHLevel0 3 4 8" xfId="30335" xr:uid="{D98330DF-852D-4268-9A94-31E6F00B06B7}"/>
    <cellStyle name="SAPBEXHLevel0 3 5" xfId="25106" xr:uid="{00000000-0005-0000-0000-0000626B0000}"/>
    <cellStyle name="SAPBEXHLevel0 3 5 2" xfId="25429" xr:uid="{00000000-0005-0000-0000-0000636B0000}"/>
    <cellStyle name="SAPBEXHLevel0 3 5 2 2" xfId="27583" xr:uid="{00000000-0005-0000-0000-0000646B0000}"/>
    <cellStyle name="SAPBEXHLevel0 3 5 2 2 2" xfId="32174" xr:uid="{EF93E376-A2CC-4DCA-BC6A-11EBED1714A5}"/>
    <cellStyle name="SAPBEXHLevel0 3 5 2 3" xfId="28124" xr:uid="{00000000-0005-0000-0000-0000656B0000}"/>
    <cellStyle name="SAPBEXHLevel0 3 5 2 3 2" xfId="32682" xr:uid="{3222C05A-A1B8-4AFF-8A95-B106161B6E14}"/>
    <cellStyle name="SAPBEXHLevel0 3 5 2 4" xfId="27009" xr:uid="{00000000-0005-0000-0000-0000666B0000}"/>
    <cellStyle name="SAPBEXHLevel0 3 5 2 4 2" xfId="31769" xr:uid="{BDDA8092-FD84-4CFF-93CE-F220997CA9C6}"/>
    <cellStyle name="SAPBEXHLevel0 3 5 2 5" xfId="29676" xr:uid="{00000000-0005-0000-0000-0000676B0000}"/>
    <cellStyle name="SAPBEXHLevel0 3 5 2 6" xfId="30587" xr:uid="{2334C0A9-A7A4-4E9B-B7F7-50876500DE06}"/>
    <cellStyle name="SAPBEXHLevel0 3 5 3" xfId="25704" xr:uid="{00000000-0005-0000-0000-0000686B0000}"/>
    <cellStyle name="SAPBEXHLevel0 3 5 3 2" xfId="27857" xr:uid="{00000000-0005-0000-0000-0000696B0000}"/>
    <cellStyle name="SAPBEXHLevel0 3 5 3 2 2" xfId="32444" xr:uid="{856636C0-117B-4C42-AF4F-F65DDBF0EE3C}"/>
    <cellStyle name="SAPBEXHLevel0 3 5 3 3" xfId="28125" xr:uid="{00000000-0005-0000-0000-00006A6B0000}"/>
    <cellStyle name="SAPBEXHLevel0 3 5 3 3 2" xfId="32683" xr:uid="{6F77F1A0-2447-4B5F-91A5-B13F357F65AD}"/>
    <cellStyle name="SAPBEXHLevel0 3 5 3 4" xfId="27021" xr:uid="{00000000-0005-0000-0000-00006B6B0000}"/>
    <cellStyle name="SAPBEXHLevel0 3 5 3 4 2" xfId="31781" xr:uid="{FD7F4A19-E230-4C1E-A0C2-64AE13A2608E}"/>
    <cellStyle name="SAPBEXHLevel0 3 5 3 5" xfId="29677" xr:uid="{00000000-0005-0000-0000-00006C6B0000}"/>
    <cellStyle name="SAPBEXHLevel0 3 5 3 6" xfId="30698" xr:uid="{F68EA673-18D3-4F0E-B671-BB6381AF3105}"/>
    <cellStyle name="SAPBEXHLevel0 3 5 4" xfId="27391" xr:uid="{00000000-0005-0000-0000-00006D6B0000}"/>
    <cellStyle name="SAPBEXHLevel0 3 5 4 2" xfId="31989" xr:uid="{25EADB60-2EF8-4D05-9FEA-0C9CD5760597}"/>
    <cellStyle name="SAPBEXHLevel0 3 5 5" xfId="28123" xr:uid="{00000000-0005-0000-0000-00006E6B0000}"/>
    <cellStyle name="SAPBEXHLevel0 3 5 5 2" xfId="32681" xr:uid="{C8EEDC7A-7A91-4415-9A9F-323E4A4DBAAD}"/>
    <cellStyle name="SAPBEXHLevel0 3 5 6" xfId="27005" xr:uid="{00000000-0005-0000-0000-00006F6B0000}"/>
    <cellStyle name="SAPBEXHLevel0 3 5 6 2" xfId="31765" xr:uid="{AB0915AC-D788-4C6B-B0CB-BF3764595F19}"/>
    <cellStyle name="SAPBEXHLevel0 3 5 7" xfId="29675" xr:uid="{00000000-0005-0000-0000-0000706B0000}"/>
    <cellStyle name="SAPBEXHLevel0 3 5 8" xfId="30406" xr:uid="{772847D6-7B6E-4F73-BBFE-2B270A93EA85}"/>
    <cellStyle name="SAPBEXHLevel0 3 6" xfId="25836" xr:uid="{00000000-0005-0000-0000-0000716B0000}"/>
    <cellStyle name="SAPBEXHLevel0 3 6 2" xfId="30755" xr:uid="{A086A5D5-5EF2-4082-9F74-52EB8C936D5A}"/>
    <cellStyle name="SAPBEXHLevel0 3 7" xfId="28115" xr:uid="{00000000-0005-0000-0000-0000726B0000}"/>
    <cellStyle name="SAPBEXHLevel0 3 7 2" xfId="32673" xr:uid="{96007978-E9F8-45C0-9FE4-F737B277DB8F}"/>
    <cellStyle name="SAPBEXHLevel0 3 8" xfId="26204" xr:uid="{00000000-0005-0000-0000-0000736B0000}"/>
    <cellStyle name="SAPBEXHLevel0 3 8 2" xfId="30992" xr:uid="{0F20A8D3-79FC-493F-BD0D-577744703242}"/>
    <cellStyle name="SAPBEXHLevel0 3 9" xfId="29667" xr:uid="{00000000-0005-0000-0000-0000746B0000}"/>
    <cellStyle name="SAPBEXHLevel0 4" xfId="106" xr:uid="{00000000-0005-0000-0000-0000756B0000}"/>
    <cellStyle name="SAPBEXHLevel0 4 2" xfId="13640" xr:uid="{00000000-0005-0000-0000-0000766B0000}"/>
    <cellStyle name="SAPBEXHLevel0 4 2 2" xfId="25478" xr:uid="{00000000-0005-0000-0000-0000776B0000}"/>
    <cellStyle name="SAPBEXHLevel0 4 2 2 2" xfId="27631" xr:uid="{00000000-0005-0000-0000-0000786B0000}"/>
    <cellStyle name="SAPBEXHLevel0 4 2 2 2 2" xfId="32218" xr:uid="{A545E99F-BAE7-4ABB-B35F-8530752C2561}"/>
    <cellStyle name="SAPBEXHLevel0 4 2 2 3" xfId="28128" xr:uid="{00000000-0005-0000-0000-0000796B0000}"/>
    <cellStyle name="SAPBEXHLevel0 4 2 2 3 2" xfId="32686" xr:uid="{4A769846-A8CD-4BAE-813A-DB5887665576}"/>
    <cellStyle name="SAPBEXHLevel0 4 2 2 4" xfId="26705" xr:uid="{00000000-0005-0000-0000-00007A6B0000}"/>
    <cellStyle name="SAPBEXHLevel0 4 2 2 4 2" xfId="31467" xr:uid="{61777D9E-FC0A-4FC6-92B7-727970EA2B70}"/>
    <cellStyle name="SAPBEXHLevel0 4 2 2 5" xfId="29680" xr:uid="{00000000-0005-0000-0000-00007B6B0000}"/>
    <cellStyle name="SAPBEXHLevel0 4 2 3" xfId="26582" xr:uid="{00000000-0005-0000-0000-00007C6B0000}"/>
    <cellStyle name="SAPBEXHLevel0 4 2 3 2" xfId="31360" xr:uid="{A450BEFD-EB8E-4A61-BBDF-D7382BDBD4D8}"/>
    <cellStyle name="SAPBEXHLevel0 4 2 4" xfId="28127" xr:uid="{00000000-0005-0000-0000-00007D6B0000}"/>
    <cellStyle name="SAPBEXHLevel0 4 2 4 2" xfId="32685" xr:uid="{9A0E4CDC-188E-4715-A1C9-2ACA6A956712}"/>
    <cellStyle name="SAPBEXHLevel0 4 2 5" xfId="26547" xr:uid="{00000000-0005-0000-0000-00007E6B0000}"/>
    <cellStyle name="SAPBEXHLevel0 4 2 5 2" xfId="31334" xr:uid="{E6538437-5485-44A8-841A-AFD81BC02337}"/>
    <cellStyle name="SAPBEXHLevel0 4 2 6" xfId="29679" xr:uid="{00000000-0005-0000-0000-00007F6B0000}"/>
    <cellStyle name="SAPBEXHLevel0 4 2 7" xfId="30180" xr:uid="{7492158F-705B-45DB-A441-7D6C5923FDD5}"/>
    <cellStyle name="SAPBEXHLevel0 4 3" xfId="25837" xr:uid="{00000000-0005-0000-0000-0000806B0000}"/>
    <cellStyle name="SAPBEXHLevel0 4 3 2" xfId="30756" xr:uid="{B2BB81FC-2E70-4855-939E-4B15CD37ADA7}"/>
    <cellStyle name="SAPBEXHLevel0 4 4" xfId="28126" xr:uid="{00000000-0005-0000-0000-0000816B0000}"/>
    <cellStyle name="SAPBEXHLevel0 4 4 2" xfId="32684" xr:uid="{60499724-0045-4467-8949-16ACE7F333C7}"/>
    <cellStyle name="SAPBEXHLevel0 4 5" xfId="26061" xr:uid="{00000000-0005-0000-0000-0000826B0000}"/>
    <cellStyle name="SAPBEXHLevel0 4 5 2" xfId="30851" xr:uid="{B567DEB5-896D-4B84-8CB0-1681DB686ED9}"/>
    <cellStyle name="SAPBEXHLevel0 4 6" xfId="29678" xr:uid="{00000000-0005-0000-0000-0000836B0000}"/>
    <cellStyle name="SAPBEXHLevel0 5" xfId="250" xr:uid="{00000000-0005-0000-0000-0000846B0000}"/>
    <cellStyle name="SAPBEXHLevel0 5 2" xfId="13715" xr:uid="{00000000-0005-0000-0000-0000856B0000}"/>
    <cellStyle name="SAPBEXHLevel0 5 2 2" xfId="25528" xr:uid="{00000000-0005-0000-0000-0000866B0000}"/>
    <cellStyle name="SAPBEXHLevel0 5 2 2 2" xfId="27681" xr:uid="{00000000-0005-0000-0000-0000876B0000}"/>
    <cellStyle name="SAPBEXHLevel0 5 2 2 2 2" xfId="32268" xr:uid="{EBED0559-1D72-45F8-B37F-F8D973FDA1D6}"/>
    <cellStyle name="SAPBEXHLevel0 5 2 2 3" xfId="28131" xr:uid="{00000000-0005-0000-0000-0000886B0000}"/>
    <cellStyle name="SAPBEXHLevel0 5 2 2 3 2" xfId="32689" xr:uid="{609FA4D9-F21E-4C44-8021-F18DAE79CC12}"/>
    <cellStyle name="SAPBEXHLevel0 5 2 2 4" xfId="26789" xr:uid="{00000000-0005-0000-0000-0000896B0000}"/>
    <cellStyle name="SAPBEXHLevel0 5 2 2 4 2" xfId="31550" xr:uid="{B816E61E-A432-4588-AA89-C8B6C1C2E8BC}"/>
    <cellStyle name="SAPBEXHLevel0 5 2 2 5" xfId="29683" xr:uid="{00000000-0005-0000-0000-00008A6B0000}"/>
    <cellStyle name="SAPBEXHLevel0 5 2 3" xfId="26635" xr:uid="{00000000-0005-0000-0000-00008B6B0000}"/>
    <cellStyle name="SAPBEXHLevel0 5 2 3 2" xfId="31412" xr:uid="{85204BAD-A489-4861-8478-96CEBCBAF1D2}"/>
    <cellStyle name="SAPBEXHLevel0 5 2 4" xfId="28130" xr:uid="{00000000-0005-0000-0000-00008C6B0000}"/>
    <cellStyle name="SAPBEXHLevel0 5 2 4 2" xfId="32688" xr:uid="{D52DEB0F-BA74-473B-B1DD-DAC20310594C}"/>
    <cellStyle name="SAPBEXHLevel0 5 2 5" xfId="26398" xr:uid="{00000000-0005-0000-0000-00008D6B0000}"/>
    <cellStyle name="SAPBEXHLevel0 5 2 5 2" xfId="31186" xr:uid="{2A1FF7C5-5288-48D6-8ED8-8092E73AFB70}"/>
    <cellStyle name="SAPBEXHLevel0 5 2 6" xfId="29682" xr:uid="{00000000-0005-0000-0000-00008E6B0000}"/>
    <cellStyle name="SAPBEXHLevel0 5 2 7" xfId="30230" xr:uid="{5815302A-B198-4EA4-B23C-3FC5DFEA672F}"/>
    <cellStyle name="SAPBEXHLevel0 5 3" xfId="25918" xr:uid="{00000000-0005-0000-0000-00008F6B0000}"/>
    <cellStyle name="SAPBEXHLevel0 5 3 2" xfId="30807" xr:uid="{CC2E2076-8488-4518-8EB0-0231B20790CF}"/>
    <cellStyle name="SAPBEXHLevel0 5 4" xfId="28129" xr:uid="{00000000-0005-0000-0000-0000906B0000}"/>
    <cellStyle name="SAPBEXHLevel0 5 4 2" xfId="32687" xr:uid="{2DC1CD4C-E326-4ABA-80A9-222759321115}"/>
    <cellStyle name="SAPBEXHLevel0 5 5" xfId="29190" xr:uid="{00000000-0005-0000-0000-0000916B0000}"/>
    <cellStyle name="SAPBEXHLevel0 5 5 2" xfId="33173" xr:uid="{4B796B5E-EDEC-4BF6-9251-E3AD10B44FEC}"/>
    <cellStyle name="SAPBEXHLevel0 5 6" xfId="29681" xr:uid="{00000000-0005-0000-0000-0000926B0000}"/>
    <cellStyle name="SAPBEXHLevel0 6" xfId="13637" xr:uid="{00000000-0005-0000-0000-0000936B0000}"/>
    <cellStyle name="SAPBEXHLevel0 6 2" xfId="25475" xr:uid="{00000000-0005-0000-0000-0000946B0000}"/>
    <cellStyle name="SAPBEXHLevel0 6 2 2" xfId="27628" xr:uid="{00000000-0005-0000-0000-0000956B0000}"/>
    <cellStyle name="SAPBEXHLevel0 6 2 2 2" xfId="32215" xr:uid="{E0F1872A-7BA1-4340-BB40-3F7A2F624174}"/>
    <cellStyle name="SAPBEXHLevel0 6 2 3" xfId="28133" xr:uid="{00000000-0005-0000-0000-0000966B0000}"/>
    <cellStyle name="SAPBEXHLevel0 6 2 3 2" xfId="32691" xr:uid="{561684E6-C828-4D01-830F-93A91AF29324}"/>
    <cellStyle name="SAPBEXHLevel0 6 2 4" xfId="26919" xr:uid="{00000000-0005-0000-0000-0000976B0000}"/>
    <cellStyle name="SAPBEXHLevel0 6 2 4 2" xfId="31680" xr:uid="{533D3999-5DB7-40FA-AD21-A4F95D2D8CB9}"/>
    <cellStyle name="SAPBEXHLevel0 6 2 5" xfId="29685" xr:uid="{00000000-0005-0000-0000-0000986B0000}"/>
    <cellStyle name="SAPBEXHLevel0 6 3" xfId="26579" xr:uid="{00000000-0005-0000-0000-0000996B0000}"/>
    <cellStyle name="SAPBEXHLevel0 6 3 2" xfId="31357" xr:uid="{943C731A-CDC6-4D0D-B853-69CBAEAB4906}"/>
    <cellStyle name="SAPBEXHLevel0 6 4" xfId="28132" xr:uid="{00000000-0005-0000-0000-00009A6B0000}"/>
    <cellStyle name="SAPBEXHLevel0 6 4 2" xfId="32690" xr:uid="{7931D933-31FB-409C-A83B-9E16416BE512}"/>
    <cellStyle name="SAPBEXHLevel0 6 5" xfId="27144" xr:uid="{00000000-0005-0000-0000-00009B6B0000}"/>
    <cellStyle name="SAPBEXHLevel0 6 5 2" xfId="31849" xr:uid="{6E34D456-0E34-4202-B4BF-572D593B6F45}"/>
    <cellStyle name="SAPBEXHLevel0 6 6" xfId="29684" xr:uid="{00000000-0005-0000-0000-00009C6B0000}"/>
    <cellStyle name="SAPBEXHLevel0 6 7" xfId="30177" xr:uid="{CFD994A6-6501-4B2B-99BF-E93F4A48507B}"/>
    <cellStyle name="SAPBEXHLevel0 7" xfId="24669" xr:uid="{00000000-0005-0000-0000-00009D6B0000}"/>
    <cellStyle name="SAPBEXHLevel0 7 2" xfId="25391" xr:uid="{00000000-0005-0000-0000-00009E6B0000}"/>
    <cellStyle name="SAPBEXHLevel0 7 2 2" xfId="27545" xr:uid="{00000000-0005-0000-0000-00009F6B0000}"/>
    <cellStyle name="SAPBEXHLevel0 7 2 2 2" xfId="32136" xr:uid="{0AC5CF73-0734-43F5-8D87-874A37AC53E4}"/>
    <cellStyle name="SAPBEXHLevel0 7 2 3" xfId="28135" xr:uid="{00000000-0005-0000-0000-0000A06B0000}"/>
    <cellStyle name="SAPBEXHLevel0 7 2 3 2" xfId="32693" xr:uid="{6C823A48-A695-4970-92BD-D215D67F83F3}"/>
    <cellStyle name="SAPBEXHLevel0 7 2 4" xfId="26780" xr:uid="{00000000-0005-0000-0000-0000A16B0000}"/>
    <cellStyle name="SAPBEXHLevel0 7 2 4 2" xfId="31541" xr:uid="{7B16A7E5-DE7B-4A41-855D-055E4EC11F4A}"/>
    <cellStyle name="SAPBEXHLevel0 7 2 5" xfId="29687" xr:uid="{00000000-0005-0000-0000-0000A26B0000}"/>
    <cellStyle name="SAPBEXHLevel0 7 2 6" xfId="30549" xr:uid="{93490D80-9DE1-4612-963E-3BA6C2EF60AB}"/>
    <cellStyle name="SAPBEXHLevel0 7 3" xfId="25635" xr:uid="{00000000-0005-0000-0000-0000A36B0000}"/>
    <cellStyle name="SAPBEXHLevel0 7 3 2" xfId="27788" xr:uid="{00000000-0005-0000-0000-0000A46B0000}"/>
    <cellStyle name="SAPBEXHLevel0 7 3 2 2" xfId="32375" xr:uid="{D76F547C-7B44-4794-9A6F-33E8ADBB4869}"/>
    <cellStyle name="SAPBEXHLevel0 7 3 3" xfId="28136" xr:uid="{00000000-0005-0000-0000-0000A56B0000}"/>
    <cellStyle name="SAPBEXHLevel0 7 3 3 2" xfId="32694" xr:uid="{31A7CCD6-C82F-4012-9E30-5DEC3276F24A}"/>
    <cellStyle name="SAPBEXHLevel0 7 3 4" xfId="26365" xr:uid="{00000000-0005-0000-0000-0000A66B0000}"/>
    <cellStyle name="SAPBEXHLevel0 7 3 4 2" xfId="31153" xr:uid="{7CFBE9AE-F9CD-4490-BA12-03769F4F184F}"/>
    <cellStyle name="SAPBEXHLevel0 7 3 5" xfId="29688" xr:uid="{00000000-0005-0000-0000-0000A76B0000}"/>
    <cellStyle name="SAPBEXHLevel0 7 4" xfId="27262" xr:uid="{00000000-0005-0000-0000-0000A86B0000}"/>
    <cellStyle name="SAPBEXHLevel0 7 4 2" xfId="31897" xr:uid="{93FBB33E-8157-4135-AF62-E043BC80DCCF}"/>
    <cellStyle name="SAPBEXHLevel0 7 5" xfId="28134" xr:uid="{00000000-0005-0000-0000-0000A96B0000}"/>
    <cellStyle name="SAPBEXHLevel0 7 5 2" xfId="32692" xr:uid="{7947C9FA-AF76-4AE8-90EB-75013C0EAD0E}"/>
    <cellStyle name="SAPBEXHLevel0 7 6" xfId="27012" xr:uid="{00000000-0005-0000-0000-0000AA6B0000}"/>
    <cellStyle name="SAPBEXHLevel0 7 6 2" xfId="31772" xr:uid="{7AD69FB1-FCA6-4251-8CC4-C83CFF1742B2}"/>
    <cellStyle name="SAPBEXHLevel0 7 7" xfId="29686" xr:uid="{00000000-0005-0000-0000-0000AB6B0000}"/>
    <cellStyle name="SAPBEXHLevel0 7 8" xfId="30337" xr:uid="{6FDB5BFB-86BC-431B-8A77-0AD9D3EBE4B8}"/>
    <cellStyle name="SAPBEXHLevel0 8" xfId="25104" xr:uid="{00000000-0005-0000-0000-0000AC6B0000}"/>
    <cellStyle name="SAPBEXHLevel0 8 2" xfId="25415" xr:uid="{00000000-0005-0000-0000-0000AD6B0000}"/>
    <cellStyle name="SAPBEXHLevel0 8 2 2" xfId="27569" xr:uid="{00000000-0005-0000-0000-0000AE6B0000}"/>
    <cellStyle name="SAPBEXHLevel0 8 2 2 2" xfId="32160" xr:uid="{6D91DBC5-B70A-4212-A877-1B276B6F7A31}"/>
    <cellStyle name="SAPBEXHLevel0 8 2 3" xfId="28138" xr:uid="{00000000-0005-0000-0000-0000AF6B0000}"/>
    <cellStyle name="SAPBEXHLevel0 8 2 3 2" xfId="32696" xr:uid="{CD60B01C-19EA-421C-BE31-3E8EBB4667E0}"/>
    <cellStyle name="SAPBEXHLevel0 8 2 4" xfId="26080" xr:uid="{00000000-0005-0000-0000-0000B06B0000}"/>
    <cellStyle name="SAPBEXHLevel0 8 2 4 2" xfId="30870" xr:uid="{6C780192-0EBC-49A3-B05C-E3ED33007B98}"/>
    <cellStyle name="SAPBEXHLevel0 8 2 5" xfId="29690" xr:uid="{00000000-0005-0000-0000-0000B16B0000}"/>
    <cellStyle name="SAPBEXHLevel0 8 2 6" xfId="30573" xr:uid="{CA2C7615-228E-44DE-A5FD-FC59C982D946}"/>
    <cellStyle name="SAPBEXHLevel0 8 3" xfId="25702" xr:uid="{00000000-0005-0000-0000-0000B26B0000}"/>
    <cellStyle name="SAPBEXHLevel0 8 3 2" xfId="27855" xr:uid="{00000000-0005-0000-0000-0000B36B0000}"/>
    <cellStyle name="SAPBEXHLevel0 8 3 2 2" xfId="32442" xr:uid="{522C4B89-C24D-45A5-8E84-C01ACCF7784C}"/>
    <cellStyle name="SAPBEXHLevel0 8 3 3" xfId="28139" xr:uid="{00000000-0005-0000-0000-0000B46B0000}"/>
    <cellStyle name="SAPBEXHLevel0 8 3 3 2" xfId="32697" xr:uid="{F2E27041-6872-4760-8D30-33792D29F20E}"/>
    <cellStyle name="SAPBEXHLevel0 8 3 4" xfId="26549" xr:uid="{00000000-0005-0000-0000-0000B56B0000}"/>
    <cellStyle name="SAPBEXHLevel0 8 3 4 2" xfId="31336" xr:uid="{7D3C6BED-BC9B-4DB5-B407-9FFDFCB01254}"/>
    <cellStyle name="SAPBEXHLevel0 8 3 5" xfId="29691" xr:uid="{00000000-0005-0000-0000-0000B66B0000}"/>
    <cellStyle name="SAPBEXHLevel0 8 3 6" xfId="30696" xr:uid="{DE7F4D57-DC7F-4187-B6D1-A8F5ACC59D10}"/>
    <cellStyle name="SAPBEXHLevel0 8 4" xfId="27389" xr:uid="{00000000-0005-0000-0000-0000B76B0000}"/>
    <cellStyle name="SAPBEXHLevel0 8 4 2" xfId="31987" xr:uid="{AAB0A216-CF9B-4D55-91B6-D29F6C4A43E8}"/>
    <cellStyle name="SAPBEXHLevel0 8 5" xfId="28137" xr:uid="{00000000-0005-0000-0000-0000B86B0000}"/>
    <cellStyle name="SAPBEXHLevel0 8 5 2" xfId="32695" xr:uid="{85921FAE-43CE-4A05-BC9C-BB72B2B796A2}"/>
    <cellStyle name="SAPBEXHLevel0 8 6" xfId="26295" xr:uid="{00000000-0005-0000-0000-0000B96B0000}"/>
    <cellStyle name="SAPBEXHLevel0 8 6 2" xfId="31083" xr:uid="{0ADCB927-0E38-4E8E-B770-51036CCAC3BA}"/>
    <cellStyle name="SAPBEXHLevel0 8 7" xfId="29689" xr:uid="{00000000-0005-0000-0000-0000BA6B0000}"/>
    <cellStyle name="SAPBEXHLevel0 8 8" xfId="30404" xr:uid="{29C1A2DD-D34E-46AF-A915-68ED6736FA7B}"/>
    <cellStyle name="SAPBEXHLevel0 9" xfId="25834" xr:uid="{00000000-0005-0000-0000-0000BB6B0000}"/>
    <cellStyle name="SAPBEXHLevel0 9 2" xfId="30753" xr:uid="{3AE4CC00-9412-422B-88E8-74631838471C}"/>
    <cellStyle name="SAPBEXHLevel0X" xfId="107" xr:uid="{00000000-0005-0000-0000-0000BC6B0000}"/>
    <cellStyle name="SAPBEXHLevel0X 10" xfId="28140" xr:uid="{00000000-0005-0000-0000-0000BD6B0000}"/>
    <cellStyle name="SAPBEXHLevel0X 10 2" xfId="32698" xr:uid="{0D978B8B-19A9-4634-869E-A811FAB29EEA}"/>
    <cellStyle name="SAPBEXHLevel0X 11" xfId="26525" xr:uid="{00000000-0005-0000-0000-0000BE6B0000}"/>
    <cellStyle name="SAPBEXHLevel0X 11 2" xfId="31312" xr:uid="{E9952243-C2BA-4821-A4BF-9F3C37B37100}"/>
    <cellStyle name="SAPBEXHLevel0X 12" xfId="29692" xr:uid="{00000000-0005-0000-0000-0000BF6B0000}"/>
    <cellStyle name="SAPBEXHLevel0X 2" xfId="108" xr:uid="{00000000-0005-0000-0000-0000C06B0000}"/>
    <cellStyle name="SAPBEXHLevel0X 2 2" xfId="13642" xr:uid="{00000000-0005-0000-0000-0000C16B0000}"/>
    <cellStyle name="SAPBEXHLevel0X 2 2 2" xfId="25480" xr:uid="{00000000-0005-0000-0000-0000C26B0000}"/>
    <cellStyle name="SAPBEXHLevel0X 2 2 2 2" xfId="27633" xr:uid="{00000000-0005-0000-0000-0000C36B0000}"/>
    <cellStyle name="SAPBEXHLevel0X 2 2 2 2 2" xfId="32220" xr:uid="{5F5C0DF3-F974-4A3E-B3A7-20FF18FBDB47}"/>
    <cellStyle name="SAPBEXHLevel0X 2 2 2 3" xfId="28143" xr:uid="{00000000-0005-0000-0000-0000C46B0000}"/>
    <cellStyle name="SAPBEXHLevel0X 2 2 2 3 2" xfId="32701" xr:uid="{756FBB4A-B066-4D70-A2EA-12C02F444673}"/>
    <cellStyle name="SAPBEXHLevel0X 2 2 2 4" xfId="26543" xr:uid="{00000000-0005-0000-0000-0000C56B0000}"/>
    <cellStyle name="SAPBEXHLevel0X 2 2 2 4 2" xfId="31330" xr:uid="{FD6712CD-B5A1-4A5E-A6D0-E3DBC4EF1742}"/>
    <cellStyle name="SAPBEXHLevel0X 2 2 2 5" xfId="29695" xr:uid="{00000000-0005-0000-0000-0000C66B0000}"/>
    <cellStyle name="SAPBEXHLevel0X 2 2 3" xfId="26584" xr:uid="{00000000-0005-0000-0000-0000C76B0000}"/>
    <cellStyle name="SAPBEXHLevel0X 2 2 3 2" xfId="31362" xr:uid="{984BB485-8D16-4EFC-8BA4-6E1B9867C409}"/>
    <cellStyle name="SAPBEXHLevel0X 2 2 4" xfId="28142" xr:uid="{00000000-0005-0000-0000-0000C86B0000}"/>
    <cellStyle name="SAPBEXHLevel0X 2 2 4 2" xfId="32700" xr:uid="{9E2D7014-B059-4003-94BF-9B0BB300CB34}"/>
    <cellStyle name="SAPBEXHLevel0X 2 2 5" xfId="26121" xr:uid="{00000000-0005-0000-0000-0000C96B0000}"/>
    <cellStyle name="SAPBEXHLevel0X 2 2 5 2" xfId="30911" xr:uid="{84072392-7CCC-48E6-AD2D-ABAC407696E9}"/>
    <cellStyle name="SAPBEXHLevel0X 2 2 6" xfId="29694" xr:uid="{00000000-0005-0000-0000-0000CA6B0000}"/>
    <cellStyle name="SAPBEXHLevel0X 2 2 7" xfId="30182" xr:uid="{A4BF9B73-74C4-463A-8790-43EDC18A2F99}"/>
    <cellStyle name="SAPBEXHLevel0X 2 3" xfId="24255" xr:uid="{00000000-0005-0000-0000-0000CB6B0000}"/>
    <cellStyle name="SAPBEXHLevel0X 2 3 2" xfId="25577" xr:uid="{00000000-0005-0000-0000-0000CC6B0000}"/>
    <cellStyle name="SAPBEXHLevel0X 2 3 2 2" xfId="27730" xr:uid="{00000000-0005-0000-0000-0000CD6B0000}"/>
    <cellStyle name="SAPBEXHLevel0X 2 3 2 2 2" xfId="32317" xr:uid="{C2B1B252-C63C-4DDC-98C4-410B602E9D21}"/>
    <cellStyle name="SAPBEXHLevel0X 2 3 2 3" xfId="28145" xr:uid="{00000000-0005-0000-0000-0000CE6B0000}"/>
    <cellStyle name="SAPBEXHLevel0X 2 3 2 3 2" xfId="32703" xr:uid="{0C5BE7B7-0737-4E5A-99EA-B096F0E46E21}"/>
    <cellStyle name="SAPBEXHLevel0X 2 3 2 4" xfId="26777" xr:uid="{00000000-0005-0000-0000-0000CF6B0000}"/>
    <cellStyle name="SAPBEXHLevel0X 2 3 2 4 2" xfId="31538" xr:uid="{3ED46327-C21A-4472-BF8E-C52D0C6A22A7}"/>
    <cellStyle name="SAPBEXHLevel0X 2 3 2 5" xfId="29697" xr:uid="{00000000-0005-0000-0000-0000D06B0000}"/>
    <cellStyle name="SAPBEXHLevel0X 2 3 3" xfId="27110" xr:uid="{00000000-0005-0000-0000-0000D16B0000}"/>
    <cellStyle name="SAPBEXHLevel0X 2 3 3 2" xfId="31828" xr:uid="{D129ACDD-892C-4160-A8A9-BF8F3D15C055}"/>
    <cellStyle name="SAPBEXHLevel0X 2 3 4" xfId="28144" xr:uid="{00000000-0005-0000-0000-0000D26B0000}"/>
    <cellStyle name="SAPBEXHLevel0X 2 3 4 2" xfId="32702" xr:uid="{B8D32C45-A2D3-4FBB-A6D3-243D2B4EC443}"/>
    <cellStyle name="SAPBEXHLevel0X 2 3 5" xfId="26893" xr:uid="{00000000-0005-0000-0000-0000D36B0000}"/>
    <cellStyle name="SAPBEXHLevel0X 2 3 5 2" xfId="31654" xr:uid="{23858E7E-0ED1-4097-9906-DD0D0CC8018E}"/>
    <cellStyle name="SAPBEXHLevel0X 2 3 6" xfId="29696" xr:uid="{00000000-0005-0000-0000-0000D46B0000}"/>
    <cellStyle name="SAPBEXHLevel0X 2 3 7" xfId="30279" xr:uid="{7EA7486F-43F2-4A97-B166-ABCC52EA1A6D}"/>
    <cellStyle name="SAPBEXHLevel0X 2 4" xfId="24665" xr:uid="{00000000-0005-0000-0000-0000D56B0000}"/>
    <cellStyle name="SAPBEXHLevel0X 2 4 2" xfId="25424" xr:uid="{00000000-0005-0000-0000-0000D66B0000}"/>
    <cellStyle name="SAPBEXHLevel0X 2 4 2 2" xfId="27578" xr:uid="{00000000-0005-0000-0000-0000D76B0000}"/>
    <cellStyle name="SAPBEXHLevel0X 2 4 2 2 2" xfId="32169" xr:uid="{CE088BD3-8CC4-46F0-A23F-B052E70E43F6}"/>
    <cellStyle name="SAPBEXHLevel0X 2 4 2 3" xfId="28147" xr:uid="{00000000-0005-0000-0000-0000D86B0000}"/>
    <cellStyle name="SAPBEXHLevel0X 2 4 2 3 2" xfId="32705" xr:uid="{B3F47BA7-80F7-4257-A7E1-A1F9F424E2B8}"/>
    <cellStyle name="SAPBEXHLevel0X 2 4 2 4" xfId="27016" xr:uid="{00000000-0005-0000-0000-0000D96B0000}"/>
    <cellStyle name="SAPBEXHLevel0X 2 4 2 4 2" xfId="31776" xr:uid="{D5516FC3-19EE-479E-9B96-9DC7F5DEB603}"/>
    <cellStyle name="SAPBEXHLevel0X 2 4 2 5" xfId="29699" xr:uid="{00000000-0005-0000-0000-0000DA6B0000}"/>
    <cellStyle name="SAPBEXHLevel0X 2 4 2 6" xfId="30582" xr:uid="{DBC196D2-F7E4-4EA4-9CC9-07E769976A11}"/>
    <cellStyle name="SAPBEXHLevel0X 2 4 3" xfId="25631" xr:uid="{00000000-0005-0000-0000-0000DB6B0000}"/>
    <cellStyle name="SAPBEXHLevel0X 2 4 3 2" xfId="27784" xr:uid="{00000000-0005-0000-0000-0000DC6B0000}"/>
    <cellStyle name="SAPBEXHLevel0X 2 4 3 2 2" xfId="32371" xr:uid="{920839CF-05DF-40D7-A57E-B5110AC3B82A}"/>
    <cellStyle name="SAPBEXHLevel0X 2 4 3 3" xfId="28148" xr:uid="{00000000-0005-0000-0000-0000DD6B0000}"/>
    <cellStyle name="SAPBEXHLevel0X 2 4 3 3 2" xfId="32706" xr:uid="{5680F8A0-B679-427D-B53C-D1CEAB701BC5}"/>
    <cellStyle name="SAPBEXHLevel0X 2 4 3 4" xfId="26982" xr:uid="{00000000-0005-0000-0000-0000DE6B0000}"/>
    <cellStyle name="SAPBEXHLevel0X 2 4 3 4 2" xfId="31743" xr:uid="{23B48326-5349-40E2-A8DF-E7F0492BBDC9}"/>
    <cellStyle name="SAPBEXHLevel0X 2 4 3 5" xfId="29700" xr:uid="{00000000-0005-0000-0000-0000DF6B0000}"/>
    <cellStyle name="SAPBEXHLevel0X 2 4 4" xfId="27258" xr:uid="{00000000-0005-0000-0000-0000E06B0000}"/>
    <cellStyle name="SAPBEXHLevel0X 2 4 4 2" xfId="31893" xr:uid="{17EED4AE-94BD-483F-9471-FF8EA1C195A0}"/>
    <cellStyle name="SAPBEXHLevel0X 2 4 5" xfId="28146" xr:uid="{00000000-0005-0000-0000-0000E16B0000}"/>
    <cellStyle name="SAPBEXHLevel0X 2 4 5 2" xfId="32704" xr:uid="{1C13C6EE-5DD4-4558-9BF0-C6481084191C}"/>
    <cellStyle name="SAPBEXHLevel0X 2 4 6" xfId="26417" xr:uid="{00000000-0005-0000-0000-0000E26B0000}"/>
    <cellStyle name="SAPBEXHLevel0X 2 4 6 2" xfId="31205" xr:uid="{DF92ECEE-3A26-4480-8B81-232617DB04E3}"/>
    <cellStyle name="SAPBEXHLevel0X 2 4 7" xfId="29698" xr:uid="{00000000-0005-0000-0000-0000E36B0000}"/>
    <cellStyle name="SAPBEXHLevel0X 2 4 8" xfId="30333" xr:uid="{43CD606D-5379-4797-B372-1DC8AD0B56D9}"/>
    <cellStyle name="SAPBEXHLevel0X 2 5" xfId="25108" xr:uid="{00000000-0005-0000-0000-0000E46B0000}"/>
    <cellStyle name="SAPBEXHLevel0X 2 5 2" xfId="25446" xr:uid="{00000000-0005-0000-0000-0000E56B0000}"/>
    <cellStyle name="SAPBEXHLevel0X 2 5 2 2" xfId="27600" xr:uid="{00000000-0005-0000-0000-0000E66B0000}"/>
    <cellStyle name="SAPBEXHLevel0X 2 5 2 2 2" xfId="32191" xr:uid="{B7418EE2-46E1-488C-A691-FA91050E99A2}"/>
    <cellStyle name="SAPBEXHLevel0X 2 5 2 3" xfId="28150" xr:uid="{00000000-0005-0000-0000-0000E76B0000}"/>
    <cellStyle name="SAPBEXHLevel0X 2 5 2 3 2" xfId="32708" xr:uid="{15A3457D-4CD9-46B4-93EE-D1CEDA11BC6B}"/>
    <cellStyle name="SAPBEXHLevel0X 2 5 2 4" xfId="26332" xr:uid="{00000000-0005-0000-0000-0000E86B0000}"/>
    <cellStyle name="SAPBEXHLevel0X 2 5 2 4 2" xfId="31120" xr:uid="{2255FA7A-FFE5-4B2E-9D60-33485FBFC4DE}"/>
    <cellStyle name="SAPBEXHLevel0X 2 5 2 5" xfId="29702" xr:uid="{00000000-0005-0000-0000-0000E96B0000}"/>
    <cellStyle name="SAPBEXHLevel0X 2 5 2 6" xfId="30604" xr:uid="{8DA777A9-A253-4FBD-8E23-D181935E71A9}"/>
    <cellStyle name="SAPBEXHLevel0X 2 5 3" xfId="25706" xr:uid="{00000000-0005-0000-0000-0000EA6B0000}"/>
    <cellStyle name="SAPBEXHLevel0X 2 5 3 2" xfId="27859" xr:uid="{00000000-0005-0000-0000-0000EB6B0000}"/>
    <cellStyle name="SAPBEXHLevel0X 2 5 3 2 2" xfId="32446" xr:uid="{426CC112-5E46-4AE7-B201-AC0F783267DE}"/>
    <cellStyle name="SAPBEXHLevel0X 2 5 3 3" xfId="28151" xr:uid="{00000000-0005-0000-0000-0000EC6B0000}"/>
    <cellStyle name="SAPBEXHLevel0X 2 5 3 3 2" xfId="32709" xr:uid="{F93BDA29-887E-4839-8EE4-FE8E24E9F114}"/>
    <cellStyle name="SAPBEXHLevel0X 2 5 3 4" xfId="26241" xr:uid="{00000000-0005-0000-0000-0000ED6B0000}"/>
    <cellStyle name="SAPBEXHLevel0X 2 5 3 4 2" xfId="31029" xr:uid="{262A61B2-7F35-4594-96E5-ED7398443199}"/>
    <cellStyle name="SAPBEXHLevel0X 2 5 3 5" xfId="29703" xr:uid="{00000000-0005-0000-0000-0000EE6B0000}"/>
    <cellStyle name="SAPBEXHLevel0X 2 5 3 6" xfId="30700" xr:uid="{1840FD7B-4152-438F-A010-AE8A945C9073}"/>
    <cellStyle name="SAPBEXHLevel0X 2 5 4" xfId="27393" xr:uid="{00000000-0005-0000-0000-0000EF6B0000}"/>
    <cellStyle name="SAPBEXHLevel0X 2 5 4 2" xfId="31991" xr:uid="{705EF500-2EB0-4933-9459-C7EEA688DDC6}"/>
    <cellStyle name="SAPBEXHLevel0X 2 5 5" xfId="28149" xr:uid="{00000000-0005-0000-0000-0000F06B0000}"/>
    <cellStyle name="SAPBEXHLevel0X 2 5 5 2" xfId="32707" xr:uid="{5823A751-A891-488B-8E80-0F1F414C92D6}"/>
    <cellStyle name="SAPBEXHLevel0X 2 5 6" xfId="26771" xr:uid="{00000000-0005-0000-0000-0000F16B0000}"/>
    <cellStyle name="SAPBEXHLevel0X 2 5 6 2" xfId="31532" xr:uid="{6AB1E7C9-8267-45D1-9B76-A1558F229879}"/>
    <cellStyle name="SAPBEXHLevel0X 2 5 7" xfId="29701" xr:uid="{00000000-0005-0000-0000-0000F26B0000}"/>
    <cellStyle name="SAPBEXHLevel0X 2 5 8" xfId="30408" xr:uid="{49ED1F34-3A71-4C6F-A518-5F7863EFC80D}"/>
    <cellStyle name="SAPBEXHLevel0X 2 6" xfId="25839" xr:uid="{00000000-0005-0000-0000-0000F36B0000}"/>
    <cellStyle name="SAPBEXHLevel0X 2 6 2" xfId="30758" xr:uid="{880DFA89-BB7D-4E22-824F-C1BFF4CFAF0A}"/>
    <cellStyle name="SAPBEXHLevel0X 2 7" xfId="28141" xr:uid="{00000000-0005-0000-0000-0000F46B0000}"/>
    <cellStyle name="SAPBEXHLevel0X 2 7 2" xfId="32699" xr:uid="{985F9370-6267-4D36-A265-447FDCC59FF2}"/>
    <cellStyle name="SAPBEXHLevel0X 2 8" xfId="26196" xr:uid="{00000000-0005-0000-0000-0000F56B0000}"/>
    <cellStyle name="SAPBEXHLevel0X 2 8 2" xfId="30984" xr:uid="{23071D6C-A992-4D9E-8033-43B4691BE96D}"/>
    <cellStyle name="SAPBEXHLevel0X 2 9" xfId="29693" xr:uid="{00000000-0005-0000-0000-0000F66B0000}"/>
    <cellStyle name="SAPBEXHLevel0X 3" xfId="109" xr:uid="{00000000-0005-0000-0000-0000F76B0000}"/>
    <cellStyle name="SAPBEXHLevel0X 3 2" xfId="13643" xr:uid="{00000000-0005-0000-0000-0000F86B0000}"/>
    <cellStyle name="SAPBEXHLevel0X 3 2 2" xfId="25481" xr:uid="{00000000-0005-0000-0000-0000F96B0000}"/>
    <cellStyle name="SAPBEXHLevel0X 3 2 2 2" xfId="27634" xr:uid="{00000000-0005-0000-0000-0000FA6B0000}"/>
    <cellStyle name="SAPBEXHLevel0X 3 2 2 2 2" xfId="32221" xr:uid="{222335D9-8B3D-4D52-AF20-FBD55851D16D}"/>
    <cellStyle name="SAPBEXHLevel0X 3 2 2 3" xfId="28154" xr:uid="{00000000-0005-0000-0000-0000FB6B0000}"/>
    <cellStyle name="SAPBEXHLevel0X 3 2 2 3 2" xfId="32712" xr:uid="{8460D106-61C0-4B0B-913D-EA4C7EF73623}"/>
    <cellStyle name="SAPBEXHLevel0X 3 2 2 4" xfId="26728" xr:uid="{00000000-0005-0000-0000-0000FC6B0000}"/>
    <cellStyle name="SAPBEXHLevel0X 3 2 2 4 2" xfId="31489" xr:uid="{A72E0832-217B-4076-B07F-A5B040FB6100}"/>
    <cellStyle name="SAPBEXHLevel0X 3 2 2 5" xfId="29706" xr:uid="{00000000-0005-0000-0000-0000FD6B0000}"/>
    <cellStyle name="SAPBEXHLevel0X 3 2 3" xfId="26585" xr:uid="{00000000-0005-0000-0000-0000FE6B0000}"/>
    <cellStyle name="SAPBEXHLevel0X 3 2 3 2" xfId="31363" xr:uid="{69A51FC2-7DDE-47D9-8E67-FC05642B5458}"/>
    <cellStyle name="SAPBEXHLevel0X 3 2 4" xfId="28153" xr:uid="{00000000-0005-0000-0000-0000FF6B0000}"/>
    <cellStyle name="SAPBEXHLevel0X 3 2 4 2" xfId="32711" xr:uid="{83559231-8A1C-4175-A3A6-72B70DCA2DC4}"/>
    <cellStyle name="SAPBEXHLevel0X 3 2 5" xfId="26912" xr:uid="{00000000-0005-0000-0000-0000006C0000}"/>
    <cellStyle name="SAPBEXHLevel0X 3 2 5 2" xfId="31673" xr:uid="{45C70A8A-9EDA-4049-82A0-D626C137CCE4}"/>
    <cellStyle name="SAPBEXHLevel0X 3 2 6" xfId="29705" xr:uid="{00000000-0005-0000-0000-0000016C0000}"/>
    <cellStyle name="SAPBEXHLevel0X 3 2 7" xfId="30183" xr:uid="{38385C5A-E38D-4916-BC70-FF1CD6562025}"/>
    <cellStyle name="SAPBEXHLevel0X 3 3" xfId="24256" xr:uid="{00000000-0005-0000-0000-0000026C0000}"/>
    <cellStyle name="SAPBEXHLevel0X 3 3 2" xfId="25578" xr:uid="{00000000-0005-0000-0000-0000036C0000}"/>
    <cellStyle name="SAPBEXHLevel0X 3 3 2 2" xfId="27731" xr:uid="{00000000-0005-0000-0000-0000046C0000}"/>
    <cellStyle name="SAPBEXHLevel0X 3 3 2 2 2" xfId="32318" xr:uid="{F746DC66-8725-42D5-84E3-2DC17F68E872}"/>
    <cellStyle name="SAPBEXHLevel0X 3 3 2 3" xfId="28156" xr:uid="{00000000-0005-0000-0000-0000056C0000}"/>
    <cellStyle name="SAPBEXHLevel0X 3 3 2 3 2" xfId="32714" xr:uid="{63709041-ED77-4BF1-A984-5F78DED57327}"/>
    <cellStyle name="SAPBEXHLevel0X 3 3 2 4" xfId="26820" xr:uid="{00000000-0005-0000-0000-0000066C0000}"/>
    <cellStyle name="SAPBEXHLevel0X 3 3 2 4 2" xfId="31581" xr:uid="{6442A844-A2FB-4683-B847-754779FB2C7B}"/>
    <cellStyle name="SAPBEXHLevel0X 3 3 2 5" xfId="29708" xr:uid="{00000000-0005-0000-0000-0000076C0000}"/>
    <cellStyle name="SAPBEXHLevel0X 3 3 3" xfId="27111" xr:uid="{00000000-0005-0000-0000-0000086C0000}"/>
    <cellStyle name="SAPBEXHLevel0X 3 3 3 2" xfId="31829" xr:uid="{889F0F1F-F7C8-413F-830C-663425D54062}"/>
    <cellStyle name="SAPBEXHLevel0X 3 3 4" xfId="28155" xr:uid="{00000000-0005-0000-0000-0000096C0000}"/>
    <cellStyle name="SAPBEXHLevel0X 3 3 4 2" xfId="32713" xr:uid="{360F5929-9AB1-499D-B91B-2C26F2211C1B}"/>
    <cellStyle name="SAPBEXHLevel0X 3 3 5" xfId="26284" xr:uid="{00000000-0005-0000-0000-00000A6C0000}"/>
    <cellStyle name="SAPBEXHLevel0X 3 3 5 2" xfId="31072" xr:uid="{69B4CAF3-76C0-419C-998A-902D1DEBAE88}"/>
    <cellStyle name="SAPBEXHLevel0X 3 3 6" xfId="29707" xr:uid="{00000000-0005-0000-0000-00000B6C0000}"/>
    <cellStyle name="SAPBEXHLevel0X 3 3 7" xfId="30280" xr:uid="{8314221C-2B84-4D68-A462-B4CA456FF1D3}"/>
    <cellStyle name="SAPBEXHLevel0X 3 4" xfId="24664" xr:uid="{00000000-0005-0000-0000-00000C6C0000}"/>
    <cellStyle name="SAPBEXHLevel0X 3 4 2" xfId="25323" xr:uid="{00000000-0005-0000-0000-00000D6C0000}"/>
    <cellStyle name="SAPBEXHLevel0X 3 4 2 2" xfId="27477" xr:uid="{00000000-0005-0000-0000-00000E6C0000}"/>
    <cellStyle name="SAPBEXHLevel0X 3 4 2 2 2" xfId="32068" xr:uid="{6F58EA4A-FEDB-4D64-A82C-1A6DC3EAF16A}"/>
    <cellStyle name="SAPBEXHLevel0X 3 4 2 3" xfId="28158" xr:uid="{00000000-0005-0000-0000-00000F6C0000}"/>
    <cellStyle name="SAPBEXHLevel0X 3 4 2 3 2" xfId="32716" xr:uid="{7F94030D-2073-40F5-87CF-1619FF09674F}"/>
    <cellStyle name="SAPBEXHLevel0X 3 4 2 4" xfId="26108" xr:uid="{00000000-0005-0000-0000-0000106C0000}"/>
    <cellStyle name="SAPBEXHLevel0X 3 4 2 4 2" xfId="30898" xr:uid="{215C7776-6A13-4A81-9DB4-3D53C090D2A3}"/>
    <cellStyle name="SAPBEXHLevel0X 3 4 2 5" xfId="29710" xr:uid="{00000000-0005-0000-0000-0000116C0000}"/>
    <cellStyle name="SAPBEXHLevel0X 3 4 2 6" xfId="30481" xr:uid="{4D5ED1E8-16FC-477A-9F3D-E460DD2C615E}"/>
    <cellStyle name="SAPBEXHLevel0X 3 4 3" xfId="25630" xr:uid="{00000000-0005-0000-0000-0000126C0000}"/>
    <cellStyle name="SAPBEXHLevel0X 3 4 3 2" xfId="27783" xr:uid="{00000000-0005-0000-0000-0000136C0000}"/>
    <cellStyle name="SAPBEXHLevel0X 3 4 3 2 2" xfId="32370" xr:uid="{5422064A-A531-4E1B-B505-6AF204CEF09E}"/>
    <cellStyle name="SAPBEXHLevel0X 3 4 3 3" xfId="28159" xr:uid="{00000000-0005-0000-0000-0000146C0000}"/>
    <cellStyle name="SAPBEXHLevel0X 3 4 3 3 2" xfId="32717" xr:uid="{07D300C8-C5DE-4FA6-9E51-21E80D6487ED}"/>
    <cellStyle name="SAPBEXHLevel0X 3 4 3 4" xfId="26233" xr:uid="{00000000-0005-0000-0000-0000156C0000}"/>
    <cellStyle name="SAPBEXHLevel0X 3 4 3 4 2" xfId="31021" xr:uid="{A2B54D75-A0F9-46EE-9AEE-66163B2BAFA9}"/>
    <cellStyle name="SAPBEXHLevel0X 3 4 3 5" xfId="29711" xr:uid="{00000000-0005-0000-0000-0000166C0000}"/>
    <cellStyle name="SAPBEXHLevel0X 3 4 4" xfId="27257" xr:uid="{00000000-0005-0000-0000-0000176C0000}"/>
    <cellStyle name="SAPBEXHLevel0X 3 4 4 2" xfId="31892" xr:uid="{5BF2E9FC-90D6-4B16-B80B-7FA6F6FD9429}"/>
    <cellStyle name="SAPBEXHLevel0X 3 4 5" xfId="28157" xr:uid="{00000000-0005-0000-0000-0000186C0000}"/>
    <cellStyle name="SAPBEXHLevel0X 3 4 5 2" xfId="32715" xr:uid="{2B993D69-6F96-4242-BF18-71F1D06575A1}"/>
    <cellStyle name="SAPBEXHLevel0X 3 4 6" xfId="26861" xr:uid="{00000000-0005-0000-0000-0000196C0000}"/>
    <cellStyle name="SAPBEXHLevel0X 3 4 6 2" xfId="31622" xr:uid="{F1DF144D-9D6B-4B36-800F-F7D5BBE23B7B}"/>
    <cellStyle name="SAPBEXHLevel0X 3 4 7" xfId="29709" xr:uid="{00000000-0005-0000-0000-00001A6C0000}"/>
    <cellStyle name="SAPBEXHLevel0X 3 4 8" xfId="30332" xr:uid="{A644D2FD-E8D5-4158-A964-3F22DA335423}"/>
    <cellStyle name="SAPBEXHLevel0X 3 5" xfId="25109" xr:uid="{00000000-0005-0000-0000-00001B6C0000}"/>
    <cellStyle name="SAPBEXHLevel0X 3 5 2" xfId="25360" xr:uid="{00000000-0005-0000-0000-00001C6C0000}"/>
    <cellStyle name="SAPBEXHLevel0X 3 5 2 2" xfId="27514" xr:uid="{00000000-0005-0000-0000-00001D6C0000}"/>
    <cellStyle name="SAPBEXHLevel0X 3 5 2 2 2" xfId="32105" xr:uid="{F5D98D43-A400-4385-AAD0-ADB2B396C91F}"/>
    <cellStyle name="SAPBEXHLevel0X 3 5 2 3" xfId="28161" xr:uid="{00000000-0005-0000-0000-00001E6C0000}"/>
    <cellStyle name="SAPBEXHLevel0X 3 5 2 3 2" xfId="32719" xr:uid="{F59F4520-3B58-43F6-9275-FDD814EAD842}"/>
    <cellStyle name="SAPBEXHLevel0X 3 5 2 4" xfId="26933" xr:uid="{00000000-0005-0000-0000-00001F6C0000}"/>
    <cellStyle name="SAPBEXHLevel0X 3 5 2 4 2" xfId="31694" xr:uid="{423238F5-5F9C-43DB-BE31-7AD3DD67AA23}"/>
    <cellStyle name="SAPBEXHLevel0X 3 5 2 5" xfId="29713" xr:uid="{00000000-0005-0000-0000-0000206C0000}"/>
    <cellStyle name="SAPBEXHLevel0X 3 5 2 6" xfId="30518" xr:uid="{141B03A0-2312-4EB4-8756-B4CC0C4FED11}"/>
    <cellStyle name="SAPBEXHLevel0X 3 5 3" xfId="25707" xr:uid="{00000000-0005-0000-0000-0000216C0000}"/>
    <cellStyle name="SAPBEXHLevel0X 3 5 3 2" xfId="27860" xr:uid="{00000000-0005-0000-0000-0000226C0000}"/>
    <cellStyle name="SAPBEXHLevel0X 3 5 3 2 2" xfId="32447" xr:uid="{83F92B81-CE82-43EB-9718-B62886F50221}"/>
    <cellStyle name="SAPBEXHLevel0X 3 5 3 3" xfId="28162" xr:uid="{00000000-0005-0000-0000-0000236C0000}"/>
    <cellStyle name="SAPBEXHLevel0X 3 5 3 3 2" xfId="32720" xr:uid="{8F050246-94F5-4599-9F33-8E128335668F}"/>
    <cellStyle name="SAPBEXHLevel0X 3 5 3 4" xfId="26090" xr:uid="{00000000-0005-0000-0000-0000246C0000}"/>
    <cellStyle name="SAPBEXHLevel0X 3 5 3 4 2" xfId="30880" xr:uid="{8763D03B-2C9D-4490-BB60-69FD9C19062A}"/>
    <cellStyle name="SAPBEXHLevel0X 3 5 3 5" xfId="29714" xr:uid="{00000000-0005-0000-0000-0000256C0000}"/>
    <cellStyle name="SAPBEXHLevel0X 3 5 3 6" xfId="30701" xr:uid="{8F4530B2-89EF-44EF-965E-76266C4D5893}"/>
    <cellStyle name="SAPBEXHLevel0X 3 5 4" xfId="27394" xr:uid="{00000000-0005-0000-0000-0000266C0000}"/>
    <cellStyle name="SAPBEXHLevel0X 3 5 4 2" xfId="31992" xr:uid="{11577B88-9FD9-4235-8DBC-4C2DE32BF00A}"/>
    <cellStyle name="SAPBEXHLevel0X 3 5 5" xfId="28160" xr:uid="{00000000-0005-0000-0000-0000276C0000}"/>
    <cellStyle name="SAPBEXHLevel0X 3 5 5 2" xfId="32718" xr:uid="{F8DDC203-5AC0-4BF6-9F85-9A059A2BFF0F}"/>
    <cellStyle name="SAPBEXHLevel0X 3 5 6" xfId="26174" xr:uid="{00000000-0005-0000-0000-0000286C0000}"/>
    <cellStyle name="SAPBEXHLevel0X 3 5 6 2" xfId="30963" xr:uid="{042775CD-D55C-4927-8ED7-4A2A520E6AD0}"/>
    <cellStyle name="SAPBEXHLevel0X 3 5 7" xfId="29712" xr:uid="{00000000-0005-0000-0000-0000296C0000}"/>
    <cellStyle name="SAPBEXHLevel0X 3 5 8" xfId="30409" xr:uid="{5C1A3400-EE1F-4C2B-B5C8-FECBDEFE12C2}"/>
    <cellStyle name="SAPBEXHLevel0X 3 6" xfId="25840" xr:uid="{00000000-0005-0000-0000-00002A6C0000}"/>
    <cellStyle name="SAPBEXHLevel0X 3 6 2" xfId="30759" xr:uid="{D4E26520-195B-48BB-8363-A5D5FDF34349}"/>
    <cellStyle name="SAPBEXHLevel0X 3 7" xfId="28152" xr:uid="{00000000-0005-0000-0000-00002B6C0000}"/>
    <cellStyle name="SAPBEXHLevel0X 3 7 2" xfId="32710" xr:uid="{DCA11ED5-9CC7-4116-A5A3-6DC4515AFA9B}"/>
    <cellStyle name="SAPBEXHLevel0X 3 8" xfId="26691" xr:uid="{00000000-0005-0000-0000-00002C6C0000}"/>
    <cellStyle name="SAPBEXHLevel0X 3 8 2" xfId="31453" xr:uid="{68C74980-1C47-4975-96D5-5047E9D9DC76}"/>
    <cellStyle name="SAPBEXHLevel0X 3 9" xfId="29704" xr:uid="{00000000-0005-0000-0000-00002D6C0000}"/>
    <cellStyle name="SAPBEXHLevel0X 4" xfId="110" xr:uid="{00000000-0005-0000-0000-00002E6C0000}"/>
    <cellStyle name="SAPBEXHLevel0X 4 2" xfId="13644" xr:uid="{00000000-0005-0000-0000-00002F6C0000}"/>
    <cellStyle name="SAPBEXHLevel0X 4 2 2" xfId="25482" xr:uid="{00000000-0005-0000-0000-0000306C0000}"/>
    <cellStyle name="SAPBEXHLevel0X 4 2 2 2" xfId="27635" xr:uid="{00000000-0005-0000-0000-0000316C0000}"/>
    <cellStyle name="SAPBEXHLevel0X 4 2 2 2 2" xfId="32222" xr:uid="{FA8AA0AF-2861-48AA-A1A8-3BACC06826CA}"/>
    <cellStyle name="SAPBEXHLevel0X 4 2 2 3" xfId="28165" xr:uid="{00000000-0005-0000-0000-0000326C0000}"/>
    <cellStyle name="SAPBEXHLevel0X 4 2 2 3 2" xfId="32723" xr:uid="{233EAD91-3FE9-49CE-99CA-E99F4B4174D1}"/>
    <cellStyle name="SAPBEXHLevel0X 4 2 2 4" xfId="26404" xr:uid="{00000000-0005-0000-0000-0000336C0000}"/>
    <cellStyle name="SAPBEXHLevel0X 4 2 2 4 2" xfId="31192" xr:uid="{1958C63F-6DF8-4D5D-80CE-8FB25682B14F}"/>
    <cellStyle name="SAPBEXHLevel0X 4 2 2 5" xfId="29717" xr:uid="{00000000-0005-0000-0000-0000346C0000}"/>
    <cellStyle name="SAPBEXHLevel0X 4 2 3" xfId="26586" xr:uid="{00000000-0005-0000-0000-0000356C0000}"/>
    <cellStyle name="SAPBEXHLevel0X 4 2 3 2" xfId="31364" xr:uid="{A918EF35-676E-49BC-98E5-85348B6CEF24}"/>
    <cellStyle name="SAPBEXHLevel0X 4 2 4" xfId="28164" xr:uid="{00000000-0005-0000-0000-0000366C0000}"/>
    <cellStyle name="SAPBEXHLevel0X 4 2 4 2" xfId="32722" xr:uid="{CA44422A-0218-4E58-9EE1-DF46C9C0570F}"/>
    <cellStyle name="SAPBEXHLevel0X 4 2 5" xfId="26515" xr:uid="{00000000-0005-0000-0000-0000376C0000}"/>
    <cellStyle name="SAPBEXHLevel0X 4 2 5 2" xfId="31303" xr:uid="{5711678B-9BBA-44E1-A017-DFF8A13E5C35}"/>
    <cellStyle name="SAPBEXHLevel0X 4 2 6" xfId="29716" xr:uid="{00000000-0005-0000-0000-0000386C0000}"/>
    <cellStyle name="SAPBEXHLevel0X 4 2 7" xfId="30184" xr:uid="{44EEE5C5-27E8-4658-8C2A-3CF8EAAB2B9C}"/>
    <cellStyle name="SAPBEXHLevel0X 4 3" xfId="25841" xr:uid="{00000000-0005-0000-0000-0000396C0000}"/>
    <cellStyle name="SAPBEXHLevel0X 4 3 2" xfId="30760" xr:uid="{B0685478-9D5B-4E5C-AC3B-BD0E61444379}"/>
    <cellStyle name="SAPBEXHLevel0X 4 4" xfId="28163" xr:uid="{00000000-0005-0000-0000-00003A6C0000}"/>
    <cellStyle name="SAPBEXHLevel0X 4 4 2" xfId="32721" xr:uid="{A6D7DCB6-8E7C-4857-9534-62C0A1FCAE9D}"/>
    <cellStyle name="SAPBEXHLevel0X 4 5" xfId="26761" xr:uid="{00000000-0005-0000-0000-00003B6C0000}"/>
    <cellStyle name="SAPBEXHLevel0X 4 5 2" xfId="31522" xr:uid="{70895AE1-0702-44EE-A4C9-8072C84053AA}"/>
    <cellStyle name="SAPBEXHLevel0X 4 6" xfId="29715" xr:uid="{00000000-0005-0000-0000-00003C6C0000}"/>
    <cellStyle name="SAPBEXHLevel0X 5" xfId="251" xr:uid="{00000000-0005-0000-0000-00003D6C0000}"/>
    <cellStyle name="SAPBEXHLevel0X 5 2" xfId="13716" xr:uid="{00000000-0005-0000-0000-00003E6C0000}"/>
    <cellStyle name="SAPBEXHLevel0X 5 2 2" xfId="25529" xr:uid="{00000000-0005-0000-0000-00003F6C0000}"/>
    <cellStyle name="SAPBEXHLevel0X 5 2 2 2" xfId="27682" xr:uid="{00000000-0005-0000-0000-0000406C0000}"/>
    <cellStyle name="SAPBEXHLevel0X 5 2 2 2 2" xfId="32269" xr:uid="{2D344B63-AE75-4FDC-A7F6-AFB067120F27}"/>
    <cellStyle name="SAPBEXHLevel0X 5 2 2 3" xfId="28168" xr:uid="{00000000-0005-0000-0000-0000416C0000}"/>
    <cellStyle name="SAPBEXHLevel0X 5 2 2 3 2" xfId="32726" xr:uid="{A4FD64D4-2F03-4A4F-9B4C-94336AEA5EBA}"/>
    <cellStyle name="SAPBEXHLevel0X 5 2 2 4" xfId="26279" xr:uid="{00000000-0005-0000-0000-0000426C0000}"/>
    <cellStyle name="SAPBEXHLevel0X 5 2 2 4 2" xfId="31067" xr:uid="{6BB8E393-45DA-454D-8E00-54DDDD4A1036}"/>
    <cellStyle name="SAPBEXHLevel0X 5 2 2 5" xfId="29720" xr:uid="{00000000-0005-0000-0000-0000436C0000}"/>
    <cellStyle name="SAPBEXHLevel0X 5 2 3" xfId="26636" xr:uid="{00000000-0005-0000-0000-0000446C0000}"/>
    <cellStyle name="SAPBEXHLevel0X 5 2 3 2" xfId="31413" xr:uid="{18F126E4-1137-41FB-8D39-AA59B7F836F9}"/>
    <cellStyle name="SAPBEXHLevel0X 5 2 4" xfId="28167" xr:uid="{00000000-0005-0000-0000-0000456C0000}"/>
    <cellStyle name="SAPBEXHLevel0X 5 2 4 2" xfId="32725" xr:uid="{5C99CABF-1F45-4199-B047-D57448C19D9F}"/>
    <cellStyle name="SAPBEXHLevel0X 5 2 5" xfId="26474" xr:uid="{00000000-0005-0000-0000-0000466C0000}"/>
    <cellStyle name="SAPBEXHLevel0X 5 2 5 2" xfId="31262" xr:uid="{240135D7-49E6-4FE4-86B9-6682B8FDD8C7}"/>
    <cellStyle name="SAPBEXHLevel0X 5 2 6" xfId="29719" xr:uid="{00000000-0005-0000-0000-0000476C0000}"/>
    <cellStyle name="SAPBEXHLevel0X 5 2 7" xfId="30231" xr:uid="{85623948-A7F6-413D-8949-41DBFF98B275}"/>
    <cellStyle name="SAPBEXHLevel0X 5 3" xfId="25919" xr:uid="{00000000-0005-0000-0000-0000486C0000}"/>
    <cellStyle name="SAPBEXHLevel0X 5 3 2" xfId="30808" xr:uid="{3BE948F4-1187-4CD2-B7FF-BEE04AE52BD7}"/>
    <cellStyle name="SAPBEXHLevel0X 5 4" xfId="28166" xr:uid="{00000000-0005-0000-0000-0000496C0000}"/>
    <cellStyle name="SAPBEXHLevel0X 5 4 2" xfId="32724" xr:uid="{CC380193-7035-4594-8A42-931D00053EEB}"/>
    <cellStyle name="SAPBEXHLevel0X 5 5" xfId="27100" xr:uid="{00000000-0005-0000-0000-00004A6C0000}"/>
    <cellStyle name="SAPBEXHLevel0X 5 5 2" xfId="31824" xr:uid="{17473B1E-099A-4660-809C-D0F7B631E7F3}"/>
    <cellStyle name="SAPBEXHLevel0X 5 6" xfId="29718" xr:uid="{00000000-0005-0000-0000-00004B6C0000}"/>
    <cellStyle name="SAPBEXHLevel0X 6" xfId="13641" xr:uid="{00000000-0005-0000-0000-00004C6C0000}"/>
    <cellStyle name="SAPBEXHLevel0X 6 2" xfId="25479" xr:uid="{00000000-0005-0000-0000-00004D6C0000}"/>
    <cellStyle name="SAPBEXHLevel0X 6 2 2" xfId="27632" xr:uid="{00000000-0005-0000-0000-00004E6C0000}"/>
    <cellStyle name="SAPBEXHLevel0X 6 2 2 2" xfId="32219" xr:uid="{2DEF0C49-B7E0-49B2-933D-0A9AA4BEE1DE}"/>
    <cellStyle name="SAPBEXHLevel0X 6 2 3" xfId="28170" xr:uid="{00000000-0005-0000-0000-00004F6C0000}"/>
    <cellStyle name="SAPBEXHLevel0X 6 2 3 2" xfId="32728" xr:uid="{ED7653B8-A3D7-4DFF-90EC-6622F9DBE3F4}"/>
    <cellStyle name="SAPBEXHLevel0X 6 2 4" xfId="26081" xr:uid="{00000000-0005-0000-0000-0000506C0000}"/>
    <cellStyle name="SAPBEXHLevel0X 6 2 4 2" xfId="30871" xr:uid="{FFDB6787-5F75-4DC4-A166-0E2E2C54233F}"/>
    <cellStyle name="SAPBEXHLevel0X 6 2 5" xfId="29722" xr:uid="{00000000-0005-0000-0000-0000516C0000}"/>
    <cellStyle name="SAPBEXHLevel0X 6 3" xfId="26583" xr:uid="{00000000-0005-0000-0000-0000526C0000}"/>
    <cellStyle name="SAPBEXHLevel0X 6 3 2" xfId="31361" xr:uid="{097A0261-233A-4F56-A4C0-20CC465F8583}"/>
    <cellStyle name="SAPBEXHLevel0X 6 4" xfId="28169" xr:uid="{00000000-0005-0000-0000-0000536C0000}"/>
    <cellStyle name="SAPBEXHLevel0X 6 4 2" xfId="32727" xr:uid="{291CF64F-53E6-4AF3-8E92-7CF0712DEBFE}"/>
    <cellStyle name="SAPBEXHLevel0X 6 5" xfId="26069" xr:uid="{00000000-0005-0000-0000-0000546C0000}"/>
    <cellStyle name="SAPBEXHLevel0X 6 5 2" xfId="30859" xr:uid="{4E2A7C1C-3BF3-43EE-B034-6E0BB8F91FC6}"/>
    <cellStyle name="SAPBEXHLevel0X 6 6" xfId="29721" xr:uid="{00000000-0005-0000-0000-0000556C0000}"/>
    <cellStyle name="SAPBEXHLevel0X 6 7" xfId="30181" xr:uid="{9B359903-B282-4615-9A95-FC096C07A9F3}"/>
    <cellStyle name="SAPBEXHLevel0X 7" xfId="24666" xr:uid="{00000000-0005-0000-0000-0000566C0000}"/>
    <cellStyle name="SAPBEXHLevel0X 7 2" xfId="25340" xr:uid="{00000000-0005-0000-0000-0000576C0000}"/>
    <cellStyle name="SAPBEXHLevel0X 7 2 2" xfId="27494" xr:uid="{00000000-0005-0000-0000-0000586C0000}"/>
    <cellStyle name="SAPBEXHLevel0X 7 2 2 2" xfId="32085" xr:uid="{2510A1D4-5003-43A5-BE00-FD8DF602B1D9}"/>
    <cellStyle name="SAPBEXHLevel0X 7 2 3" xfId="28172" xr:uid="{00000000-0005-0000-0000-0000596C0000}"/>
    <cellStyle name="SAPBEXHLevel0X 7 2 3 2" xfId="32730" xr:uid="{A5AF1248-62B9-4320-A71D-BD57E541C42E}"/>
    <cellStyle name="SAPBEXHLevel0X 7 2 4" xfId="26884" xr:uid="{00000000-0005-0000-0000-00005A6C0000}"/>
    <cellStyle name="SAPBEXHLevel0X 7 2 4 2" xfId="31645" xr:uid="{BB297D5C-BCF3-4BBC-9146-176485DAA169}"/>
    <cellStyle name="SAPBEXHLevel0X 7 2 5" xfId="29724" xr:uid="{00000000-0005-0000-0000-00005B6C0000}"/>
    <cellStyle name="SAPBEXHLevel0X 7 2 6" xfId="30498" xr:uid="{A098A655-E8E9-485B-81C2-A67A5881CEF6}"/>
    <cellStyle name="SAPBEXHLevel0X 7 3" xfId="25632" xr:uid="{00000000-0005-0000-0000-00005C6C0000}"/>
    <cellStyle name="SAPBEXHLevel0X 7 3 2" xfId="27785" xr:uid="{00000000-0005-0000-0000-00005D6C0000}"/>
    <cellStyle name="SAPBEXHLevel0X 7 3 2 2" xfId="32372" xr:uid="{51239595-D2D8-4976-83FE-1B3E72D6DEC5}"/>
    <cellStyle name="SAPBEXHLevel0X 7 3 3" xfId="28173" xr:uid="{00000000-0005-0000-0000-00005E6C0000}"/>
    <cellStyle name="SAPBEXHLevel0X 7 3 3 2" xfId="32731" xr:uid="{7D7D8214-B2BF-48F0-B301-C0BFEF77583F}"/>
    <cellStyle name="SAPBEXHLevel0X 7 3 4" xfId="26925" xr:uid="{00000000-0005-0000-0000-00005F6C0000}"/>
    <cellStyle name="SAPBEXHLevel0X 7 3 4 2" xfId="31686" xr:uid="{B07262F5-43B8-4852-AC62-4D6AF865889B}"/>
    <cellStyle name="SAPBEXHLevel0X 7 3 5" xfId="29725" xr:uid="{00000000-0005-0000-0000-0000606C0000}"/>
    <cellStyle name="SAPBEXHLevel0X 7 4" xfId="27259" xr:uid="{00000000-0005-0000-0000-0000616C0000}"/>
    <cellStyle name="SAPBEXHLevel0X 7 4 2" xfId="31894" xr:uid="{E6942AE5-CD7F-43F0-B26A-211B2F7CAF7F}"/>
    <cellStyle name="SAPBEXHLevel0X 7 5" xfId="28171" xr:uid="{00000000-0005-0000-0000-0000626C0000}"/>
    <cellStyle name="SAPBEXHLevel0X 7 5 2" xfId="32729" xr:uid="{DDE1713C-8C3B-41A8-93F3-E96793E6BB66}"/>
    <cellStyle name="SAPBEXHLevel0X 7 6" xfId="26827" xr:uid="{00000000-0005-0000-0000-0000636C0000}"/>
    <cellStyle name="SAPBEXHLevel0X 7 6 2" xfId="31588" xr:uid="{389506C8-B75E-4DE3-BAAB-1EBF472F955D}"/>
    <cellStyle name="SAPBEXHLevel0X 7 7" xfId="29723" xr:uid="{00000000-0005-0000-0000-0000646C0000}"/>
    <cellStyle name="SAPBEXHLevel0X 7 8" xfId="30334" xr:uid="{6B435508-BDB5-4AEA-B2B5-4CB138BEB518}"/>
    <cellStyle name="SAPBEXHLevel0X 8" xfId="25107" xr:uid="{00000000-0005-0000-0000-0000656C0000}"/>
    <cellStyle name="SAPBEXHLevel0X 8 2" xfId="25345" xr:uid="{00000000-0005-0000-0000-0000666C0000}"/>
    <cellStyle name="SAPBEXHLevel0X 8 2 2" xfId="27499" xr:uid="{00000000-0005-0000-0000-0000676C0000}"/>
    <cellStyle name="SAPBEXHLevel0X 8 2 2 2" xfId="32090" xr:uid="{834DE9E7-8742-4D2A-9AEE-9B2FC07E14C5}"/>
    <cellStyle name="SAPBEXHLevel0X 8 2 3" xfId="28175" xr:uid="{00000000-0005-0000-0000-0000686C0000}"/>
    <cellStyle name="SAPBEXHLevel0X 8 2 3 2" xfId="32733" xr:uid="{D976D29E-8B73-47EC-B15E-9C9C96CF6B1C}"/>
    <cellStyle name="SAPBEXHLevel0X 8 2 4" xfId="26880" xr:uid="{00000000-0005-0000-0000-0000696C0000}"/>
    <cellStyle name="SAPBEXHLevel0X 8 2 4 2" xfId="31641" xr:uid="{C6DA789A-0188-4E0D-83E8-7D30E4E32F11}"/>
    <cellStyle name="SAPBEXHLevel0X 8 2 5" xfId="29727" xr:uid="{00000000-0005-0000-0000-00006A6C0000}"/>
    <cellStyle name="SAPBEXHLevel0X 8 2 6" xfId="30503" xr:uid="{678118E3-6C7F-46A8-BBB6-0661A4177810}"/>
    <cellStyle name="SAPBEXHLevel0X 8 3" xfId="25705" xr:uid="{00000000-0005-0000-0000-00006B6C0000}"/>
    <cellStyle name="SAPBEXHLevel0X 8 3 2" xfId="27858" xr:uid="{00000000-0005-0000-0000-00006C6C0000}"/>
    <cellStyle name="SAPBEXHLevel0X 8 3 2 2" xfId="32445" xr:uid="{25D50D69-590C-4542-ABE3-554C0E4E8B1C}"/>
    <cellStyle name="SAPBEXHLevel0X 8 3 3" xfId="28176" xr:uid="{00000000-0005-0000-0000-00006D6C0000}"/>
    <cellStyle name="SAPBEXHLevel0X 8 3 3 2" xfId="32734" xr:uid="{3D745FB5-282F-4BD1-8A63-82FB137F6EB4}"/>
    <cellStyle name="SAPBEXHLevel0X 8 3 4" xfId="26264" xr:uid="{00000000-0005-0000-0000-00006E6C0000}"/>
    <cellStyle name="SAPBEXHLevel0X 8 3 4 2" xfId="31052" xr:uid="{04AA47A5-EBE8-4871-BC24-D9A34B27E01C}"/>
    <cellStyle name="SAPBEXHLevel0X 8 3 5" xfId="29728" xr:uid="{00000000-0005-0000-0000-00006F6C0000}"/>
    <cellStyle name="SAPBEXHLevel0X 8 3 6" xfId="30699" xr:uid="{FC6D1F86-5390-4172-9FF6-41901158B0A1}"/>
    <cellStyle name="SAPBEXHLevel0X 8 4" xfId="27392" xr:uid="{00000000-0005-0000-0000-0000706C0000}"/>
    <cellStyle name="SAPBEXHLevel0X 8 4 2" xfId="31990" xr:uid="{9A0D3281-A4A8-409E-8BD4-4378661193A2}"/>
    <cellStyle name="SAPBEXHLevel0X 8 5" xfId="28174" xr:uid="{00000000-0005-0000-0000-0000716C0000}"/>
    <cellStyle name="SAPBEXHLevel0X 8 5 2" xfId="32732" xr:uid="{B5402E2C-5FDC-4A10-AA3E-62AA613FF1C8}"/>
    <cellStyle name="SAPBEXHLevel0X 8 6" xfId="26111" xr:uid="{00000000-0005-0000-0000-0000726C0000}"/>
    <cellStyle name="SAPBEXHLevel0X 8 6 2" xfId="30901" xr:uid="{2F09EA3F-8055-445B-8CD0-1CC67F59C062}"/>
    <cellStyle name="SAPBEXHLevel0X 8 7" xfId="29726" xr:uid="{00000000-0005-0000-0000-0000736C0000}"/>
    <cellStyle name="SAPBEXHLevel0X 8 8" xfId="30407" xr:uid="{523FF7FA-57A0-4188-B745-6F27D7490531}"/>
    <cellStyle name="SAPBEXHLevel0X 9" xfId="25838" xr:uid="{00000000-0005-0000-0000-0000746C0000}"/>
    <cellStyle name="SAPBEXHLevel0X 9 2" xfId="30757" xr:uid="{C49C4BA4-AC42-40A0-B920-349A4428373A}"/>
    <cellStyle name="SAPBEXHLevel1" xfId="111" xr:uid="{00000000-0005-0000-0000-0000756C0000}"/>
    <cellStyle name="SAPBEXHLevel1 10" xfId="28177" xr:uid="{00000000-0005-0000-0000-0000766C0000}"/>
    <cellStyle name="SAPBEXHLevel1 10 2" xfId="32735" xr:uid="{37F3A5AF-0A15-4A23-8425-2C49646877DC}"/>
    <cellStyle name="SAPBEXHLevel1 11" xfId="26237" xr:uid="{00000000-0005-0000-0000-0000776C0000}"/>
    <cellStyle name="SAPBEXHLevel1 11 2" xfId="31025" xr:uid="{2E2E0EB5-33E7-4DAD-88F8-AC3EB45D31E8}"/>
    <cellStyle name="SAPBEXHLevel1 12" xfId="29729" xr:uid="{00000000-0005-0000-0000-0000786C0000}"/>
    <cellStyle name="SAPBEXHLevel1 2" xfId="112" xr:uid="{00000000-0005-0000-0000-0000796C0000}"/>
    <cellStyle name="SAPBEXHLevel1 2 2" xfId="13646" xr:uid="{00000000-0005-0000-0000-00007A6C0000}"/>
    <cellStyle name="SAPBEXHLevel1 2 2 2" xfId="25484" xr:uid="{00000000-0005-0000-0000-00007B6C0000}"/>
    <cellStyle name="SAPBEXHLevel1 2 2 2 2" xfId="27637" xr:uid="{00000000-0005-0000-0000-00007C6C0000}"/>
    <cellStyle name="SAPBEXHLevel1 2 2 2 2 2" xfId="32224" xr:uid="{DFC5A54A-443D-4DF0-94D6-6B1E2F82958B}"/>
    <cellStyle name="SAPBEXHLevel1 2 2 2 3" xfId="28180" xr:uid="{00000000-0005-0000-0000-00007D6C0000}"/>
    <cellStyle name="SAPBEXHLevel1 2 2 2 3 2" xfId="32738" xr:uid="{6CB7EB5E-9A35-49F6-8681-B48EA59DBFE2}"/>
    <cellStyle name="SAPBEXHLevel1 2 2 2 4" xfId="26132" xr:uid="{00000000-0005-0000-0000-00007E6C0000}"/>
    <cellStyle name="SAPBEXHLevel1 2 2 2 4 2" xfId="30922" xr:uid="{0AC7EB48-D657-4E5F-B1D2-9B73FF0EF68A}"/>
    <cellStyle name="SAPBEXHLevel1 2 2 2 5" xfId="29732" xr:uid="{00000000-0005-0000-0000-00007F6C0000}"/>
    <cellStyle name="SAPBEXHLevel1 2 2 3" xfId="26588" xr:uid="{00000000-0005-0000-0000-0000806C0000}"/>
    <cellStyle name="SAPBEXHLevel1 2 2 3 2" xfId="31366" xr:uid="{13864618-243F-4E99-AAF5-FA569E630D83}"/>
    <cellStyle name="SAPBEXHLevel1 2 2 4" xfId="28179" xr:uid="{00000000-0005-0000-0000-0000816C0000}"/>
    <cellStyle name="SAPBEXHLevel1 2 2 4 2" xfId="32737" xr:uid="{A6ABC6E5-E31A-4C8D-9188-94C8C2D5146A}"/>
    <cellStyle name="SAPBEXHLevel1 2 2 5" xfId="26550" xr:uid="{00000000-0005-0000-0000-0000826C0000}"/>
    <cellStyle name="SAPBEXHLevel1 2 2 5 2" xfId="31337" xr:uid="{B7375025-1182-4248-89B6-7C6FD542E755}"/>
    <cellStyle name="SAPBEXHLevel1 2 2 6" xfId="29731" xr:uid="{00000000-0005-0000-0000-0000836C0000}"/>
    <cellStyle name="SAPBEXHLevel1 2 2 7" xfId="30186" xr:uid="{6DA7BEC0-59EF-4ACD-8A71-8BB4085291C0}"/>
    <cellStyle name="SAPBEXHLevel1 2 3" xfId="24257" xr:uid="{00000000-0005-0000-0000-0000846C0000}"/>
    <cellStyle name="SAPBEXHLevel1 2 3 2" xfId="25579" xr:uid="{00000000-0005-0000-0000-0000856C0000}"/>
    <cellStyle name="SAPBEXHLevel1 2 3 2 2" xfId="27732" xr:uid="{00000000-0005-0000-0000-0000866C0000}"/>
    <cellStyle name="SAPBEXHLevel1 2 3 2 2 2" xfId="32319" xr:uid="{3593C65A-BD20-4AFC-A12B-8A5CE504E339}"/>
    <cellStyle name="SAPBEXHLevel1 2 3 2 3" xfId="28182" xr:uid="{00000000-0005-0000-0000-0000876C0000}"/>
    <cellStyle name="SAPBEXHLevel1 2 3 2 3 2" xfId="32740" xr:uid="{AC585BD9-7EE7-4B2F-9778-5597CBC9AE6C}"/>
    <cellStyle name="SAPBEXHLevel1 2 3 2 4" xfId="26511" xr:uid="{00000000-0005-0000-0000-0000886C0000}"/>
    <cellStyle name="SAPBEXHLevel1 2 3 2 4 2" xfId="31299" xr:uid="{4E557B10-347B-4683-BBF5-D2D143A244B6}"/>
    <cellStyle name="SAPBEXHLevel1 2 3 2 5" xfId="29734" xr:uid="{00000000-0005-0000-0000-0000896C0000}"/>
    <cellStyle name="SAPBEXHLevel1 2 3 3" xfId="27112" xr:uid="{00000000-0005-0000-0000-00008A6C0000}"/>
    <cellStyle name="SAPBEXHLevel1 2 3 3 2" xfId="31830" xr:uid="{E4F4A20C-67D9-4126-9C77-A3B1C410DD78}"/>
    <cellStyle name="SAPBEXHLevel1 2 3 4" xfId="28181" xr:uid="{00000000-0005-0000-0000-00008B6C0000}"/>
    <cellStyle name="SAPBEXHLevel1 2 3 4 2" xfId="32739" xr:uid="{FCDDB992-686E-4B5B-924A-FE64F39CD009}"/>
    <cellStyle name="SAPBEXHLevel1 2 3 5" xfId="26037" xr:uid="{00000000-0005-0000-0000-00008C6C0000}"/>
    <cellStyle name="SAPBEXHLevel1 2 3 5 2" xfId="30838" xr:uid="{C36C8373-0240-41E3-B0E1-1C78CD678D2A}"/>
    <cellStyle name="SAPBEXHLevel1 2 3 6" xfId="29733" xr:uid="{00000000-0005-0000-0000-00008D6C0000}"/>
    <cellStyle name="SAPBEXHLevel1 2 3 7" xfId="30281" xr:uid="{DF3EC625-0F63-423D-960E-BE79309EF40A}"/>
    <cellStyle name="SAPBEXHLevel1 2 4" xfId="24662" xr:uid="{00000000-0005-0000-0000-00008E6C0000}"/>
    <cellStyle name="SAPBEXHLevel1 2 4 2" xfId="25308" xr:uid="{00000000-0005-0000-0000-00008F6C0000}"/>
    <cellStyle name="SAPBEXHLevel1 2 4 2 2" xfId="27462" xr:uid="{00000000-0005-0000-0000-0000906C0000}"/>
    <cellStyle name="SAPBEXHLevel1 2 4 2 2 2" xfId="32054" xr:uid="{8A7FBA83-8AC8-48C4-8AE6-6D796304B853}"/>
    <cellStyle name="SAPBEXHLevel1 2 4 2 3" xfId="28184" xr:uid="{00000000-0005-0000-0000-0000916C0000}"/>
    <cellStyle name="SAPBEXHLevel1 2 4 2 3 2" xfId="32742" xr:uid="{241F142A-8C59-4962-81A7-229D9548B3FB}"/>
    <cellStyle name="SAPBEXHLevel1 2 4 2 4" xfId="26999" xr:uid="{00000000-0005-0000-0000-0000926C0000}"/>
    <cellStyle name="SAPBEXHLevel1 2 4 2 4 2" xfId="31760" xr:uid="{5DF48B92-0B12-4BF5-A80F-355711F1DAB2}"/>
    <cellStyle name="SAPBEXHLevel1 2 4 2 5" xfId="29736" xr:uid="{00000000-0005-0000-0000-0000936C0000}"/>
    <cellStyle name="SAPBEXHLevel1 2 4 2 6" xfId="30467" xr:uid="{83E894F2-3052-4D51-9900-CB4728E161C8}"/>
    <cellStyle name="SAPBEXHLevel1 2 4 3" xfId="25628" xr:uid="{00000000-0005-0000-0000-0000946C0000}"/>
    <cellStyle name="SAPBEXHLevel1 2 4 3 2" xfId="27781" xr:uid="{00000000-0005-0000-0000-0000956C0000}"/>
    <cellStyle name="SAPBEXHLevel1 2 4 3 2 2" xfId="32368" xr:uid="{5A62E6A9-3593-4059-B29A-4EC70F90CEC0}"/>
    <cellStyle name="SAPBEXHLevel1 2 4 3 3" xfId="28185" xr:uid="{00000000-0005-0000-0000-0000966C0000}"/>
    <cellStyle name="SAPBEXHLevel1 2 4 3 3 2" xfId="32743" xr:uid="{90158B03-5E5E-4EC9-997D-17895142E36A}"/>
    <cellStyle name="SAPBEXHLevel1 2 4 3 4" xfId="26885" xr:uid="{00000000-0005-0000-0000-0000976C0000}"/>
    <cellStyle name="SAPBEXHLevel1 2 4 3 4 2" xfId="31646" xr:uid="{AC025541-845B-4094-8348-D3E988EF9CE0}"/>
    <cellStyle name="SAPBEXHLevel1 2 4 3 5" xfId="29737" xr:uid="{00000000-0005-0000-0000-0000986C0000}"/>
    <cellStyle name="SAPBEXHLevel1 2 4 4" xfId="27255" xr:uid="{00000000-0005-0000-0000-0000996C0000}"/>
    <cellStyle name="SAPBEXHLevel1 2 4 4 2" xfId="31890" xr:uid="{5910CF6A-1FFB-45B6-A101-6D96F5830DFF}"/>
    <cellStyle name="SAPBEXHLevel1 2 4 5" xfId="28183" xr:uid="{00000000-0005-0000-0000-00009A6C0000}"/>
    <cellStyle name="SAPBEXHLevel1 2 4 5 2" xfId="32741" xr:uid="{8F4F928E-C2A5-4D8C-8472-F4F18D43E841}"/>
    <cellStyle name="SAPBEXHLevel1 2 4 6" xfId="26924" xr:uid="{00000000-0005-0000-0000-00009B6C0000}"/>
    <cellStyle name="SAPBEXHLevel1 2 4 6 2" xfId="31685" xr:uid="{5640BF9D-E594-4E3B-A0E7-C7B774BDED35}"/>
    <cellStyle name="SAPBEXHLevel1 2 4 7" xfId="29735" xr:uid="{00000000-0005-0000-0000-00009C6C0000}"/>
    <cellStyle name="SAPBEXHLevel1 2 4 8" xfId="30330" xr:uid="{8B84CE7C-F10F-4B96-A279-686E6CCA28F1}"/>
    <cellStyle name="SAPBEXHLevel1 2 5" xfId="25111" xr:uid="{00000000-0005-0000-0000-00009D6C0000}"/>
    <cellStyle name="SAPBEXHLevel1 2 5 2" xfId="25283" xr:uid="{00000000-0005-0000-0000-00009E6C0000}"/>
    <cellStyle name="SAPBEXHLevel1 2 5 2 2" xfId="27438" xr:uid="{00000000-0005-0000-0000-00009F6C0000}"/>
    <cellStyle name="SAPBEXHLevel1 2 5 2 2 2" xfId="32033" xr:uid="{6CCD872E-78C7-4454-8AD9-C742E2304ED5}"/>
    <cellStyle name="SAPBEXHLevel1 2 5 2 3" xfId="28187" xr:uid="{00000000-0005-0000-0000-0000A06C0000}"/>
    <cellStyle name="SAPBEXHLevel1 2 5 2 3 2" xfId="32745" xr:uid="{5CB14505-6043-4910-87BD-6DA93BBAF85E}"/>
    <cellStyle name="SAPBEXHLevel1 2 5 2 4" xfId="27360" xr:uid="{00000000-0005-0000-0000-0000A16C0000}"/>
    <cellStyle name="SAPBEXHLevel1 2 5 2 4 2" xfId="31958" xr:uid="{FFBBF117-F79E-4D41-9E7F-CD7AD538100E}"/>
    <cellStyle name="SAPBEXHLevel1 2 5 2 5" xfId="29739" xr:uid="{00000000-0005-0000-0000-0000A26C0000}"/>
    <cellStyle name="SAPBEXHLevel1 2 5 2 6" xfId="30446" xr:uid="{469E4B61-E977-4A25-AC2D-D45AA929C45F}"/>
    <cellStyle name="SAPBEXHLevel1 2 5 3" xfId="25709" xr:uid="{00000000-0005-0000-0000-0000A36C0000}"/>
    <cellStyle name="SAPBEXHLevel1 2 5 3 2" xfId="27862" xr:uid="{00000000-0005-0000-0000-0000A46C0000}"/>
    <cellStyle name="SAPBEXHLevel1 2 5 3 2 2" xfId="32449" xr:uid="{E5418F4C-D047-471F-8731-91273E01DB83}"/>
    <cellStyle name="SAPBEXHLevel1 2 5 3 3" xfId="28188" xr:uid="{00000000-0005-0000-0000-0000A56C0000}"/>
    <cellStyle name="SAPBEXHLevel1 2 5 3 3 2" xfId="32746" xr:uid="{2A3B5FE6-B163-4901-B678-F0E279F30BCC}"/>
    <cellStyle name="SAPBEXHLevel1 2 5 3 4" xfId="26152" xr:uid="{00000000-0005-0000-0000-0000A66C0000}"/>
    <cellStyle name="SAPBEXHLevel1 2 5 3 4 2" xfId="30941" xr:uid="{9C79D5F3-9B17-4006-A1D0-80A3264B0D85}"/>
    <cellStyle name="SAPBEXHLevel1 2 5 3 5" xfId="29740" xr:uid="{00000000-0005-0000-0000-0000A76C0000}"/>
    <cellStyle name="SAPBEXHLevel1 2 5 3 6" xfId="30703" xr:uid="{9E2D8A9C-F394-489E-919A-51F9D1B02AF5}"/>
    <cellStyle name="SAPBEXHLevel1 2 5 4" xfId="27396" xr:uid="{00000000-0005-0000-0000-0000A86C0000}"/>
    <cellStyle name="SAPBEXHLevel1 2 5 4 2" xfId="31994" xr:uid="{C7D08C3D-0966-4FAF-A830-28A5142A0708}"/>
    <cellStyle name="SAPBEXHLevel1 2 5 5" xfId="28186" xr:uid="{00000000-0005-0000-0000-0000A96C0000}"/>
    <cellStyle name="SAPBEXHLevel1 2 5 5 2" xfId="32744" xr:uid="{E45FD71A-4249-4247-A597-99F5075B9480}"/>
    <cellStyle name="SAPBEXHLevel1 2 5 6" xfId="27362" xr:uid="{00000000-0005-0000-0000-0000AA6C0000}"/>
    <cellStyle name="SAPBEXHLevel1 2 5 6 2" xfId="31960" xr:uid="{A07C6991-C7A7-4E53-A1AC-93E6AD85A7FE}"/>
    <cellStyle name="SAPBEXHLevel1 2 5 7" xfId="29738" xr:uid="{00000000-0005-0000-0000-0000AB6C0000}"/>
    <cellStyle name="SAPBEXHLevel1 2 5 8" xfId="30411" xr:uid="{D4481D37-F6CA-40AA-8E6D-98C58A7345EF}"/>
    <cellStyle name="SAPBEXHLevel1 2 6" xfId="25843" xr:uid="{00000000-0005-0000-0000-0000AC6C0000}"/>
    <cellStyle name="SAPBEXHLevel1 2 6 2" xfId="30762" xr:uid="{97164975-DA55-4048-99CA-77C10088B929}"/>
    <cellStyle name="SAPBEXHLevel1 2 7" xfId="28178" xr:uid="{00000000-0005-0000-0000-0000AD6C0000}"/>
    <cellStyle name="SAPBEXHLevel1 2 7 2" xfId="32736" xr:uid="{65CE9CA4-9034-432B-8968-EC2EDE919C8E}"/>
    <cellStyle name="SAPBEXHLevel1 2 8" xfId="26838" xr:uid="{00000000-0005-0000-0000-0000AE6C0000}"/>
    <cellStyle name="SAPBEXHLevel1 2 8 2" xfId="31599" xr:uid="{12116D8D-42F2-4DB2-BF75-CD15FAA52E64}"/>
    <cellStyle name="SAPBEXHLevel1 2 9" xfId="29730" xr:uid="{00000000-0005-0000-0000-0000AF6C0000}"/>
    <cellStyle name="SAPBEXHLevel1 3" xfId="113" xr:uid="{00000000-0005-0000-0000-0000B06C0000}"/>
    <cellStyle name="SAPBEXHLevel1 3 2" xfId="13647" xr:uid="{00000000-0005-0000-0000-0000B16C0000}"/>
    <cellStyle name="SAPBEXHLevel1 3 2 2" xfId="25485" xr:uid="{00000000-0005-0000-0000-0000B26C0000}"/>
    <cellStyle name="SAPBEXHLevel1 3 2 2 2" xfId="27638" xr:uid="{00000000-0005-0000-0000-0000B36C0000}"/>
    <cellStyle name="SAPBEXHLevel1 3 2 2 2 2" xfId="32225" xr:uid="{F32B8593-1ECA-4FBC-A6D0-E14EDBD7A277}"/>
    <cellStyle name="SAPBEXHLevel1 3 2 2 3" xfId="28191" xr:uid="{00000000-0005-0000-0000-0000B46C0000}"/>
    <cellStyle name="SAPBEXHLevel1 3 2 2 3 2" xfId="32749" xr:uid="{C126A245-AE2B-414E-840D-3CF863DC3F50}"/>
    <cellStyle name="SAPBEXHLevel1 3 2 2 4" xfId="26881" xr:uid="{00000000-0005-0000-0000-0000B56C0000}"/>
    <cellStyle name="SAPBEXHLevel1 3 2 2 4 2" xfId="31642" xr:uid="{D324096D-0186-464E-A37D-C31CEBF6743C}"/>
    <cellStyle name="SAPBEXHLevel1 3 2 2 5" xfId="29743" xr:uid="{00000000-0005-0000-0000-0000B66C0000}"/>
    <cellStyle name="SAPBEXHLevel1 3 2 3" xfId="26589" xr:uid="{00000000-0005-0000-0000-0000B76C0000}"/>
    <cellStyle name="SAPBEXHLevel1 3 2 3 2" xfId="31367" xr:uid="{54D44143-0702-4CD9-937F-01002BE577A0}"/>
    <cellStyle name="SAPBEXHLevel1 3 2 4" xfId="28190" xr:uid="{00000000-0005-0000-0000-0000B86C0000}"/>
    <cellStyle name="SAPBEXHLevel1 3 2 4 2" xfId="32748" xr:uid="{8C123B53-DB84-4446-BE32-D9CDDC9045E6}"/>
    <cellStyle name="SAPBEXHLevel1 3 2 5" xfId="26079" xr:uid="{00000000-0005-0000-0000-0000B96C0000}"/>
    <cellStyle name="SAPBEXHLevel1 3 2 5 2" xfId="30869" xr:uid="{255D7D5F-B9F0-4480-AB50-1DC0F16E216B}"/>
    <cellStyle name="SAPBEXHLevel1 3 2 6" xfId="29742" xr:uid="{00000000-0005-0000-0000-0000BA6C0000}"/>
    <cellStyle name="SAPBEXHLevel1 3 2 7" xfId="30187" xr:uid="{4400951F-078D-4D6A-BCCB-9A5672B115FD}"/>
    <cellStyle name="SAPBEXHLevel1 3 3" xfId="24258" xr:uid="{00000000-0005-0000-0000-0000BB6C0000}"/>
    <cellStyle name="SAPBEXHLevel1 3 3 2" xfId="25580" xr:uid="{00000000-0005-0000-0000-0000BC6C0000}"/>
    <cellStyle name="SAPBEXHLevel1 3 3 2 2" xfId="27733" xr:uid="{00000000-0005-0000-0000-0000BD6C0000}"/>
    <cellStyle name="SAPBEXHLevel1 3 3 2 2 2" xfId="32320" xr:uid="{D3635781-EA2E-44C0-8F0F-0C88EB4A3517}"/>
    <cellStyle name="SAPBEXHLevel1 3 3 2 3" xfId="28193" xr:uid="{00000000-0005-0000-0000-0000BE6C0000}"/>
    <cellStyle name="SAPBEXHLevel1 3 3 2 3 2" xfId="32751" xr:uid="{AEDCEC19-E766-4398-9140-92DE4B67D2A2}"/>
    <cellStyle name="SAPBEXHLevel1 3 3 2 4" xfId="26495" xr:uid="{00000000-0005-0000-0000-0000BF6C0000}"/>
    <cellStyle name="SAPBEXHLevel1 3 3 2 4 2" xfId="31283" xr:uid="{17E683A1-76D3-446F-879B-BB628C2B98A5}"/>
    <cellStyle name="SAPBEXHLevel1 3 3 2 5" xfId="29745" xr:uid="{00000000-0005-0000-0000-0000C06C0000}"/>
    <cellStyle name="SAPBEXHLevel1 3 3 3" xfId="27113" xr:uid="{00000000-0005-0000-0000-0000C16C0000}"/>
    <cellStyle name="SAPBEXHLevel1 3 3 3 2" xfId="31831" xr:uid="{BF3E599A-8621-4D82-BC0A-546FB6222B46}"/>
    <cellStyle name="SAPBEXHLevel1 3 3 4" xfId="28192" xr:uid="{00000000-0005-0000-0000-0000C26C0000}"/>
    <cellStyle name="SAPBEXHLevel1 3 3 4 2" xfId="32750" xr:uid="{E1CB69D6-95A0-42F6-B79E-087BB2E01584}"/>
    <cellStyle name="SAPBEXHLevel1 3 3 5" xfId="26216" xr:uid="{00000000-0005-0000-0000-0000C36C0000}"/>
    <cellStyle name="SAPBEXHLevel1 3 3 5 2" xfId="31004" xr:uid="{4E0B119C-38CB-4D5A-AFD8-57766B32BFD9}"/>
    <cellStyle name="SAPBEXHLevel1 3 3 6" xfId="29744" xr:uid="{00000000-0005-0000-0000-0000C46C0000}"/>
    <cellStyle name="SAPBEXHLevel1 3 3 7" xfId="30282" xr:uid="{0D46F34F-60CF-4D9A-84FB-9C355E1AF82A}"/>
    <cellStyle name="SAPBEXHLevel1 3 4" xfId="24661" xr:uid="{00000000-0005-0000-0000-0000C56C0000}"/>
    <cellStyle name="SAPBEXHLevel1 3 4 2" xfId="25400" xr:uid="{00000000-0005-0000-0000-0000C66C0000}"/>
    <cellStyle name="SAPBEXHLevel1 3 4 2 2" xfId="27554" xr:uid="{00000000-0005-0000-0000-0000C76C0000}"/>
    <cellStyle name="SAPBEXHLevel1 3 4 2 2 2" xfId="32145" xr:uid="{F0179A9C-151A-43F0-ABC9-E4F91A758A3B}"/>
    <cellStyle name="SAPBEXHLevel1 3 4 2 3" xfId="28195" xr:uid="{00000000-0005-0000-0000-0000C86C0000}"/>
    <cellStyle name="SAPBEXHLevel1 3 4 2 3 2" xfId="32753" xr:uid="{81B4343B-4C15-401D-97C3-8A42D434ABA9}"/>
    <cellStyle name="SAPBEXHLevel1 3 4 2 4" xfId="26135" xr:uid="{00000000-0005-0000-0000-0000C96C0000}"/>
    <cellStyle name="SAPBEXHLevel1 3 4 2 4 2" xfId="30925" xr:uid="{62DD3D26-8C47-4498-A7C1-3BFA20C861BD}"/>
    <cellStyle name="SAPBEXHLevel1 3 4 2 5" xfId="29747" xr:uid="{00000000-0005-0000-0000-0000CA6C0000}"/>
    <cellStyle name="SAPBEXHLevel1 3 4 2 6" xfId="30558" xr:uid="{E12223DB-A5F7-4527-B282-9B6D7E178CC8}"/>
    <cellStyle name="SAPBEXHLevel1 3 4 3" xfId="25627" xr:uid="{00000000-0005-0000-0000-0000CB6C0000}"/>
    <cellStyle name="SAPBEXHLevel1 3 4 3 2" xfId="27780" xr:uid="{00000000-0005-0000-0000-0000CC6C0000}"/>
    <cellStyle name="SAPBEXHLevel1 3 4 3 2 2" xfId="32367" xr:uid="{2C64B025-3F49-4629-A5D8-1D8C38655934}"/>
    <cellStyle name="SAPBEXHLevel1 3 4 3 3" xfId="28196" xr:uid="{00000000-0005-0000-0000-0000CD6C0000}"/>
    <cellStyle name="SAPBEXHLevel1 3 4 3 3 2" xfId="32754" xr:uid="{F9BA6243-0436-41F4-8F3B-55E7AFF1FE59}"/>
    <cellStyle name="SAPBEXHLevel1 3 4 3 4" xfId="27083" xr:uid="{00000000-0005-0000-0000-0000CE6C0000}"/>
    <cellStyle name="SAPBEXHLevel1 3 4 3 4 2" xfId="31807" xr:uid="{AF178533-D10D-4C4F-8641-0E55B940ED66}"/>
    <cellStyle name="SAPBEXHLevel1 3 4 3 5" xfId="29748" xr:uid="{00000000-0005-0000-0000-0000CF6C0000}"/>
    <cellStyle name="SAPBEXHLevel1 3 4 4" xfId="27254" xr:uid="{00000000-0005-0000-0000-0000D06C0000}"/>
    <cellStyle name="SAPBEXHLevel1 3 4 4 2" xfId="31889" xr:uid="{3543FF28-6B41-48E0-BABD-47382BB28A88}"/>
    <cellStyle name="SAPBEXHLevel1 3 4 5" xfId="28194" xr:uid="{00000000-0005-0000-0000-0000D16C0000}"/>
    <cellStyle name="SAPBEXHLevel1 3 4 5 2" xfId="32752" xr:uid="{86283293-0F25-491A-ACC3-732142F075E0}"/>
    <cellStyle name="SAPBEXHLevel1 3 4 6" xfId="26903" xr:uid="{00000000-0005-0000-0000-0000D26C0000}"/>
    <cellStyle name="SAPBEXHLevel1 3 4 6 2" xfId="31664" xr:uid="{6615C61E-3139-46C1-A41A-388F156BA64D}"/>
    <cellStyle name="SAPBEXHLevel1 3 4 7" xfId="29746" xr:uid="{00000000-0005-0000-0000-0000D36C0000}"/>
    <cellStyle name="SAPBEXHLevel1 3 4 8" xfId="30329" xr:uid="{6FE8461A-1E9E-40E8-85CB-3B75CDA2EC87}"/>
    <cellStyle name="SAPBEXHLevel1 3 5" xfId="25112" xr:uid="{00000000-0005-0000-0000-0000D46C0000}"/>
    <cellStyle name="SAPBEXHLevel1 3 5 2" xfId="25366" xr:uid="{00000000-0005-0000-0000-0000D56C0000}"/>
    <cellStyle name="SAPBEXHLevel1 3 5 2 2" xfId="27520" xr:uid="{00000000-0005-0000-0000-0000D66C0000}"/>
    <cellStyle name="SAPBEXHLevel1 3 5 2 2 2" xfId="32111" xr:uid="{D5D2E758-DF6F-43BE-874D-A839FE212441}"/>
    <cellStyle name="SAPBEXHLevel1 3 5 2 3" xfId="28198" xr:uid="{00000000-0005-0000-0000-0000D76C0000}"/>
    <cellStyle name="SAPBEXHLevel1 3 5 2 3 2" xfId="32756" xr:uid="{BD66785C-D3EB-43F1-B87E-6427F2006D3B}"/>
    <cellStyle name="SAPBEXHLevel1 3 5 2 4" xfId="26353" xr:uid="{00000000-0005-0000-0000-0000D86C0000}"/>
    <cellStyle name="SAPBEXHLevel1 3 5 2 4 2" xfId="31141" xr:uid="{269E844A-04D5-43C2-B406-9AD6EB9D331A}"/>
    <cellStyle name="SAPBEXHLevel1 3 5 2 5" xfId="29750" xr:uid="{00000000-0005-0000-0000-0000D96C0000}"/>
    <cellStyle name="SAPBEXHLevel1 3 5 2 6" xfId="30524" xr:uid="{CA7C7067-8A14-4C49-8D5F-C369307841B5}"/>
    <cellStyle name="SAPBEXHLevel1 3 5 3" xfId="25710" xr:uid="{00000000-0005-0000-0000-0000DA6C0000}"/>
    <cellStyle name="SAPBEXHLevel1 3 5 3 2" xfId="27863" xr:uid="{00000000-0005-0000-0000-0000DB6C0000}"/>
    <cellStyle name="SAPBEXHLevel1 3 5 3 2 2" xfId="32450" xr:uid="{BF33C965-2601-4DB7-9661-68E6AE24921B}"/>
    <cellStyle name="SAPBEXHLevel1 3 5 3 3" xfId="28199" xr:uid="{00000000-0005-0000-0000-0000DC6C0000}"/>
    <cellStyle name="SAPBEXHLevel1 3 5 3 3 2" xfId="32757" xr:uid="{AF05C8A7-CA83-4808-A2C7-0FE8BE96EA76}"/>
    <cellStyle name="SAPBEXHLevel1 3 5 3 4" xfId="26427" xr:uid="{00000000-0005-0000-0000-0000DD6C0000}"/>
    <cellStyle name="SAPBEXHLevel1 3 5 3 4 2" xfId="31215" xr:uid="{4E647CD9-E7E8-4BDF-9224-3E00BFB572D2}"/>
    <cellStyle name="SAPBEXHLevel1 3 5 3 5" xfId="29751" xr:uid="{00000000-0005-0000-0000-0000DE6C0000}"/>
    <cellStyle name="SAPBEXHLevel1 3 5 3 6" xfId="30704" xr:uid="{2B9C5F66-DA8A-4F1A-B52A-F8C7EB98E580}"/>
    <cellStyle name="SAPBEXHLevel1 3 5 4" xfId="27397" xr:uid="{00000000-0005-0000-0000-0000DF6C0000}"/>
    <cellStyle name="SAPBEXHLevel1 3 5 4 2" xfId="31995" xr:uid="{D76A2A1B-ACF9-4EBA-8A19-FBFC6BD739F1}"/>
    <cellStyle name="SAPBEXHLevel1 3 5 5" xfId="28197" xr:uid="{00000000-0005-0000-0000-0000E06C0000}"/>
    <cellStyle name="SAPBEXHLevel1 3 5 5 2" xfId="32755" xr:uid="{C5C579BA-0DE5-4B26-811D-377FB58F4C20}"/>
    <cellStyle name="SAPBEXHLevel1 3 5 6" xfId="26743" xr:uid="{00000000-0005-0000-0000-0000E16C0000}"/>
    <cellStyle name="SAPBEXHLevel1 3 5 6 2" xfId="31504" xr:uid="{E3C1C7D2-44A2-46F1-AE29-8367D4E7A14B}"/>
    <cellStyle name="SAPBEXHLevel1 3 5 7" xfId="29749" xr:uid="{00000000-0005-0000-0000-0000E26C0000}"/>
    <cellStyle name="SAPBEXHLevel1 3 5 8" xfId="30412" xr:uid="{4D9BF123-CD66-4C6F-8977-0ADD7964D1DB}"/>
    <cellStyle name="SAPBEXHLevel1 3 6" xfId="25844" xr:uid="{00000000-0005-0000-0000-0000E36C0000}"/>
    <cellStyle name="SAPBEXHLevel1 3 6 2" xfId="30763" xr:uid="{E78567D8-6A70-43CC-935D-D7E606AE6218}"/>
    <cellStyle name="SAPBEXHLevel1 3 7" xfId="28189" xr:uid="{00000000-0005-0000-0000-0000E46C0000}"/>
    <cellStyle name="SAPBEXHLevel1 3 7 2" xfId="32747" xr:uid="{79B59102-3C0E-41D4-A27E-06CC3B072BC6}"/>
    <cellStyle name="SAPBEXHLevel1 3 8" xfId="26311" xr:uid="{00000000-0005-0000-0000-0000E56C0000}"/>
    <cellStyle name="SAPBEXHLevel1 3 8 2" xfId="31099" xr:uid="{DFF4EC3C-54AB-455F-971D-27AC7F7948D4}"/>
    <cellStyle name="SAPBEXHLevel1 3 9" xfId="29741" xr:uid="{00000000-0005-0000-0000-0000E66C0000}"/>
    <cellStyle name="SAPBEXHLevel1 4" xfId="114" xr:uid="{00000000-0005-0000-0000-0000E76C0000}"/>
    <cellStyle name="SAPBEXHLevel1 4 2" xfId="13648" xr:uid="{00000000-0005-0000-0000-0000E86C0000}"/>
    <cellStyle name="SAPBEXHLevel1 4 2 2" xfId="25486" xr:uid="{00000000-0005-0000-0000-0000E96C0000}"/>
    <cellStyle name="SAPBEXHLevel1 4 2 2 2" xfId="27639" xr:uid="{00000000-0005-0000-0000-0000EA6C0000}"/>
    <cellStyle name="SAPBEXHLevel1 4 2 2 2 2" xfId="32226" xr:uid="{4608461E-C690-4022-8366-8610242488AE}"/>
    <cellStyle name="SAPBEXHLevel1 4 2 2 3" xfId="28202" xr:uid="{00000000-0005-0000-0000-0000EB6C0000}"/>
    <cellStyle name="SAPBEXHLevel1 4 2 2 3 2" xfId="32760" xr:uid="{D6EF4494-2980-4890-89EE-5781FC77D246}"/>
    <cellStyle name="SAPBEXHLevel1 4 2 2 4" xfId="26300" xr:uid="{00000000-0005-0000-0000-0000EC6C0000}"/>
    <cellStyle name="SAPBEXHLevel1 4 2 2 4 2" xfId="31088" xr:uid="{E6CF761B-BA3F-460B-A722-B8004BB34B2E}"/>
    <cellStyle name="SAPBEXHLevel1 4 2 2 5" xfId="29754" xr:uid="{00000000-0005-0000-0000-0000ED6C0000}"/>
    <cellStyle name="SAPBEXHLevel1 4 2 3" xfId="26590" xr:uid="{00000000-0005-0000-0000-0000EE6C0000}"/>
    <cellStyle name="SAPBEXHLevel1 4 2 3 2" xfId="31368" xr:uid="{E2B00220-A94E-46FD-8749-793A586F51E1}"/>
    <cellStyle name="SAPBEXHLevel1 4 2 4" xfId="28201" xr:uid="{00000000-0005-0000-0000-0000EF6C0000}"/>
    <cellStyle name="SAPBEXHLevel1 4 2 4 2" xfId="32759" xr:uid="{D6E8ED1A-A6CE-44D8-9FC4-72C950AE60F0}"/>
    <cellStyle name="SAPBEXHLevel1 4 2 5" xfId="26765" xr:uid="{00000000-0005-0000-0000-0000F06C0000}"/>
    <cellStyle name="SAPBEXHLevel1 4 2 5 2" xfId="31526" xr:uid="{6E5CE4CA-B46B-4EBF-8B8D-A399EA06D623}"/>
    <cellStyle name="SAPBEXHLevel1 4 2 6" xfId="29753" xr:uid="{00000000-0005-0000-0000-0000F16C0000}"/>
    <cellStyle name="SAPBEXHLevel1 4 2 7" xfId="30188" xr:uid="{14FADDF8-C325-457C-9868-4A96DC11E421}"/>
    <cellStyle name="SAPBEXHLevel1 4 3" xfId="25845" xr:uid="{00000000-0005-0000-0000-0000F26C0000}"/>
    <cellStyle name="SAPBEXHLevel1 4 3 2" xfId="30764" xr:uid="{E8284A36-D0F1-4D80-8294-985D2CC818D7}"/>
    <cellStyle name="SAPBEXHLevel1 4 4" xfId="28200" xr:uid="{00000000-0005-0000-0000-0000F36C0000}"/>
    <cellStyle name="SAPBEXHLevel1 4 4 2" xfId="32758" xr:uid="{888F82EA-6BF6-4434-AECD-6B720AC91A20}"/>
    <cellStyle name="SAPBEXHLevel1 4 5" xfId="26905" xr:uid="{00000000-0005-0000-0000-0000F46C0000}"/>
    <cellStyle name="SAPBEXHLevel1 4 5 2" xfId="31666" xr:uid="{4893EFDD-4951-4F63-B026-5395EF8849EA}"/>
    <cellStyle name="SAPBEXHLevel1 4 6" xfId="29752" xr:uid="{00000000-0005-0000-0000-0000F56C0000}"/>
    <cellStyle name="SAPBEXHLevel1 5" xfId="252" xr:uid="{00000000-0005-0000-0000-0000F66C0000}"/>
    <cellStyle name="SAPBEXHLevel1 5 2" xfId="13717" xr:uid="{00000000-0005-0000-0000-0000F76C0000}"/>
    <cellStyle name="SAPBEXHLevel1 5 2 2" xfId="25530" xr:uid="{00000000-0005-0000-0000-0000F86C0000}"/>
    <cellStyle name="SAPBEXHLevel1 5 2 2 2" xfId="27683" xr:uid="{00000000-0005-0000-0000-0000F96C0000}"/>
    <cellStyle name="SAPBEXHLevel1 5 2 2 2 2" xfId="32270" xr:uid="{8766F56C-0BB7-4B15-BB7F-7542B9EA79EE}"/>
    <cellStyle name="SAPBEXHLevel1 5 2 2 3" xfId="28205" xr:uid="{00000000-0005-0000-0000-0000FA6C0000}"/>
    <cellStyle name="SAPBEXHLevel1 5 2 2 3 2" xfId="32763" xr:uid="{3AB97583-28E6-44DF-A3D1-56C3EE264E81}"/>
    <cellStyle name="SAPBEXHLevel1 5 2 2 4" xfId="26479" xr:uid="{00000000-0005-0000-0000-0000FB6C0000}"/>
    <cellStyle name="SAPBEXHLevel1 5 2 2 4 2" xfId="31267" xr:uid="{D5D8835B-53EC-4CF7-B78A-33007BAAA280}"/>
    <cellStyle name="SAPBEXHLevel1 5 2 2 5" xfId="29757" xr:uid="{00000000-0005-0000-0000-0000FC6C0000}"/>
    <cellStyle name="SAPBEXHLevel1 5 2 3" xfId="26637" xr:uid="{00000000-0005-0000-0000-0000FD6C0000}"/>
    <cellStyle name="SAPBEXHLevel1 5 2 3 2" xfId="31414" xr:uid="{2BD4C4B7-39DC-4442-9F9A-203CF0B1CEF2}"/>
    <cellStyle name="SAPBEXHLevel1 5 2 4" xfId="28204" xr:uid="{00000000-0005-0000-0000-0000FE6C0000}"/>
    <cellStyle name="SAPBEXHLevel1 5 2 4 2" xfId="32762" xr:uid="{E566C56A-2A05-499D-A275-25D0B1C7B6C0}"/>
    <cellStyle name="SAPBEXHLevel1 5 2 5" xfId="26890" xr:uid="{00000000-0005-0000-0000-0000FF6C0000}"/>
    <cellStyle name="SAPBEXHLevel1 5 2 5 2" xfId="31651" xr:uid="{CCCD9D3E-C44C-40AF-8405-F1A7E0CF18D1}"/>
    <cellStyle name="SAPBEXHLevel1 5 2 6" xfId="29756" xr:uid="{00000000-0005-0000-0000-0000006D0000}"/>
    <cellStyle name="SAPBEXHLevel1 5 2 7" xfId="30232" xr:uid="{AF077EC7-E2FD-4B78-814D-29E96EB68C21}"/>
    <cellStyle name="SAPBEXHLevel1 5 3" xfId="25920" xr:uid="{00000000-0005-0000-0000-0000016D0000}"/>
    <cellStyle name="SAPBEXHLevel1 5 3 2" xfId="30809" xr:uid="{DD7D0190-0B52-496F-9A1D-BE6120C10A8C}"/>
    <cellStyle name="SAPBEXHLevel1 5 4" xfId="28203" xr:uid="{00000000-0005-0000-0000-0000026D0000}"/>
    <cellStyle name="SAPBEXHLevel1 5 4 2" xfId="32761" xr:uid="{D0D971DD-1D16-42DC-9A02-8F4488AC52B3}"/>
    <cellStyle name="SAPBEXHLevel1 5 5" xfId="29218" xr:uid="{00000000-0005-0000-0000-0000036D0000}"/>
    <cellStyle name="SAPBEXHLevel1 5 5 2" xfId="33201" xr:uid="{8E28EB01-CBBD-4541-A801-EC24163D25D5}"/>
    <cellStyle name="SAPBEXHLevel1 5 6" xfId="29755" xr:uid="{00000000-0005-0000-0000-0000046D0000}"/>
    <cellStyle name="SAPBEXHLevel1 6" xfId="13645" xr:uid="{00000000-0005-0000-0000-0000056D0000}"/>
    <cellStyle name="SAPBEXHLevel1 6 2" xfId="25483" xr:uid="{00000000-0005-0000-0000-0000066D0000}"/>
    <cellStyle name="SAPBEXHLevel1 6 2 2" xfId="27636" xr:uid="{00000000-0005-0000-0000-0000076D0000}"/>
    <cellStyle name="SAPBEXHLevel1 6 2 2 2" xfId="32223" xr:uid="{EAC44D98-5E89-4ED3-B23E-1346197F39CF}"/>
    <cellStyle name="SAPBEXHLevel1 6 2 3" xfId="28207" xr:uid="{00000000-0005-0000-0000-0000086D0000}"/>
    <cellStyle name="SAPBEXHLevel1 6 2 3 2" xfId="32765" xr:uid="{E896D2A4-59BE-4EBE-AA25-FDD6F20AB7D0}"/>
    <cellStyle name="SAPBEXHLevel1 6 2 4" xfId="26910" xr:uid="{00000000-0005-0000-0000-0000096D0000}"/>
    <cellStyle name="SAPBEXHLevel1 6 2 4 2" xfId="31671" xr:uid="{309A7D07-7F54-4A53-A3C1-48F06AD3B464}"/>
    <cellStyle name="SAPBEXHLevel1 6 2 5" xfId="29759" xr:uid="{00000000-0005-0000-0000-00000A6D0000}"/>
    <cellStyle name="SAPBEXHLevel1 6 3" xfId="26587" xr:uid="{00000000-0005-0000-0000-00000B6D0000}"/>
    <cellStyle name="SAPBEXHLevel1 6 3 2" xfId="31365" xr:uid="{18475630-9A47-4430-AE21-0B01A1B7E0AD}"/>
    <cellStyle name="SAPBEXHLevel1 6 4" xfId="28206" xr:uid="{00000000-0005-0000-0000-00000C6D0000}"/>
    <cellStyle name="SAPBEXHLevel1 6 4 2" xfId="32764" xr:uid="{1E6AC1F8-6AB4-4B54-9EAD-E95ABA754FA1}"/>
    <cellStyle name="SAPBEXHLevel1 6 5" xfId="26883" xr:uid="{00000000-0005-0000-0000-00000D6D0000}"/>
    <cellStyle name="SAPBEXHLevel1 6 5 2" xfId="31644" xr:uid="{603393B8-632E-4842-8F40-D5167605E4FF}"/>
    <cellStyle name="SAPBEXHLevel1 6 6" xfId="29758" xr:uid="{00000000-0005-0000-0000-00000E6D0000}"/>
    <cellStyle name="SAPBEXHLevel1 6 7" xfId="30185" xr:uid="{2BA1D673-B96A-472C-B632-E7C7E384126D}"/>
    <cellStyle name="SAPBEXHLevel1 7" xfId="24663" xr:uid="{00000000-0005-0000-0000-00000F6D0000}"/>
    <cellStyle name="SAPBEXHLevel1 7 2" xfId="25410" xr:uid="{00000000-0005-0000-0000-0000106D0000}"/>
    <cellStyle name="SAPBEXHLevel1 7 2 2" xfId="27564" xr:uid="{00000000-0005-0000-0000-0000116D0000}"/>
    <cellStyle name="SAPBEXHLevel1 7 2 2 2" xfId="32155" xr:uid="{F45A0540-4E4B-4C04-A136-4FE4521BD6E6}"/>
    <cellStyle name="SAPBEXHLevel1 7 2 3" xfId="28209" xr:uid="{00000000-0005-0000-0000-0000126D0000}"/>
    <cellStyle name="SAPBEXHLevel1 7 2 3 2" xfId="32767" xr:uid="{54861C80-131B-4EE4-A270-1BDD573FF131}"/>
    <cellStyle name="SAPBEXHLevel1 7 2 4" xfId="26775" xr:uid="{00000000-0005-0000-0000-0000136D0000}"/>
    <cellStyle name="SAPBEXHLevel1 7 2 4 2" xfId="31536" xr:uid="{6D89D195-1D6E-48AD-B0FE-AC5D617A6B57}"/>
    <cellStyle name="SAPBEXHLevel1 7 2 5" xfId="29761" xr:uid="{00000000-0005-0000-0000-0000146D0000}"/>
    <cellStyle name="SAPBEXHLevel1 7 2 6" xfId="30568" xr:uid="{F938F919-4448-4C52-A1D9-E219B866EDC7}"/>
    <cellStyle name="SAPBEXHLevel1 7 3" xfId="25629" xr:uid="{00000000-0005-0000-0000-0000156D0000}"/>
    <cellStyle name="SAPBEXHLevel1 7 3 2" xfId="27782" xr:uid="{00000000-0005-0000-0000-0000166D0000}"/>
    <cellStyle name="SAPBEXHLevel1 7 3 2 2" xfId="32369" xr:uid="{E35C3A78-34D8-4E35-B911-EA487034EF82}"/>
    <cellStyle name="SAPBEXHLevel1 7 3 3" xfId="28210" xr:uid="{00000000-0005-0000-0000-0000176D0000}"/>
    <cellStyle name="SAPBEXHLevel1 7 3 3 2" xfId="32768" xr:uid="{A6A48850-1858-4E57-94E0-B89C6D5A61CB}"/>
    <cellStyle name="SAPBEXHLevel1 7 3 4" xfId="26804" xr:uid="{00000000-0005-0000-0000-0000186D0000}"/>
    <cellStyle name="SAPBEXHLevel1 7 3 4 2" xfId="31565" xr:uid="{6CCDBFA5-2F5C-47AC-9A95-E03C57CD7DF3}"/>
    <cellStyle name="SAPBEXHLevel1 7 3 5" xfId="29762" xr:uid="{00000000-0005-0000-0000-0000196D0000}"/>
    <cellStyle name="SAPBEXHLevel1 7 4" xfId="27256" xr:uid="{00000000-0005-0000-0000-00001A6D0000}"/>
    <cellStyle name="SAPBEXHLevel1 7 4 2" xfId="31891" xr:uid="{CC7F1964-08AB-4118-B9C8-FE34027EB624}"/>
    <cellStyle name="SAPBEXHLevel1 7 5" xfId="28208" xr:uid="{00000000-0005-0000-0000-00001B6D0000}"/>
    <cellStyle name="SAPBEXHLevel1 7 5 2" xfId="32766" xr:uid="{8ED4E45B-CE91-4240-B360-C9D6637DF3B8}"/>
    <cellStyle name="SAPBEXHLevel1 7 6" xfId="26257" xr:uid="{00000000-0005-0000-0000-00001C6D0000}"/>
    <cellStyle name="SAPBEXHLevel1 7 6 2" xfId="31045" xr:uid="{B9A5DC6D-01E9-4570-B004-6CDFADEE71D7}"/>
    <cellStyle name="SAPBEXHLevel1 7 7" xfId="29760" xr:uid="{00000000-0005-0000-0000-00001D6D0000}"/>
    <cellStyle name="SAPBEXHLevel1 7 8" xfId="30331" xr:uid="{64882B99-1ACC-4C4E-B205-CAC470EA2593}"/>
    <cellStyle name="SAPBEXHLevel1 8" xfId="25110" xr:uid="{00000000-0005-0000-0000-00001E6D0000}"/>
    <cellStyle name="SAPBEXHLevel1 8 2" xfId="25297" xr:uid="{00000000-0005-0000-0000-00001F6D0000}"/>
    <cellStyle name="SAPBEXHLevel1 8 2 2" xfId="27451" xr:uid="{00000000-0005-0000-0000-0000206D0000}"/>
    <cellStyle name="SAPBEXHLevel1 8 2 2 2" xfId="32043" xr:uid="{E7839641-7F68-4164-AE4A-52F31B3951DF}"/>
    <cellStyle name="SAPBEXHLevel1 8 2 3" xfId="28212" xr:uid="{00000000-0005-0000-0000-0000216D0000}"/>
    <cellStyle name="SAPBEXHLevel1 8 2 3 2" xfId="32770" xr:uid="{D1774BB1-D6C6-4FC6-82DB-842A7D0A3E7C}"/>
    <cellStyle name="SAPBEXHLevel1 8 2 4" xfId="26269" xr:uid="{00000000-0005-0000-0000-0000226D0000}"/>
    <cellStyle name="SAPBEXHLevel1 8 2 4 2" xfId="31057" xr:uid="{AB52B957-ED78-4B61-AC72-6D3434AEB2A7}"/>
    <cellStyle name="SAPBEXHLevel1 8 2 5" xfId="29764" xr:uid="{00000000-0005-0000-0000-0000236D0000}"/>
    <cellStyle name="SAPBEXHLevel1 8 2 6" xfId="30456" xr:uid="{5E994DED-9EEC-4995-B24B-8EBEA31CB354}"/>
    <cellStyle name="SAPBEXHLevel1 8 3" xfId="25708" xr:uid="{00000000-0005-0000-0000-0000246D0000}"/>
    <cellStyle name="SAPBEXHLevel1 8 3 2" xfId="27861" xr:uid="{00000000-0005-0000-0000-0000256D0000}"/>
    <cellStyle name="SAPBEXHLevel1 8 3 2 2" xfId="32448" xr:uid="{C3ADF7B3-26EB-40BC-9D30-4A0886D04267}"/>
    <cellStyle name="SAPBEXHLevel1 8 3 3" xfId="28213" xr:uid="{00000000-0005-0000-0000-0000266D0000}"/>
    <cellStyle name="SAPBEXHLevel1 8 3 3 2" xfId="32771" xr:uid="{BEEE8DFF-7CC5-4D6E-9449-34263571CCB1}"/>
    <cellStyle name="SAPBEXHLevel1 8 3 4" xfId="26460" xr:uid="{00000000-0005-0000-0000-0000276D0000}"/>
    <cellStyle name="SAPBEXHLevel1 8 3 4 2" xfId="31248" xr:uid="{3FC5B51D-0EFC-4F82-91D8-EA678657E706}"/>
    <cellStyle name="SAPBEXHLevel1 8 3 5" xfId="29765" xr:uid="{00000000-0005-0000-0000-0000286D0000}"/>
    <cellStyle name="SAPBEXHLevel1 8 3 6" xfId="30702" xr:uid="{207CDC33-1F1A-4F8A-A002-ACD2B72CD500}"/>
    <cellStyle name="SAPBEXHLevel1 8 4" xfId="27395" xr:uid="{00000000-0005-0000-0000-0000296D0000}"/>
    <cellStyle name="SAPBEXHLevel1 8 4 2" xfId="31993" xr:uid="{F664371A-6249-404C-8311-94F1C27F77DB}"/>
    <cellStyle name="SAPBEXHLevel1 8 5" xfId="28211" xr:uid="{00000000-0005-0000-0000-00002A6D0000}"/>
    <cellStyle name="SAPBEXHLevel1 8 5 2" xfId="32769" xr:uid="{3817C8C8-E913-4F5C-BE2B-7876E48C72E1}"/>
    <cellStyle name="SAPBEXHLevel1 8 6" xfId="26464" xr:uid="{00000000-0005-0000-0000-00002B6D0000}"/>
    <cellStyle name="SAPBEXHLevel1 8 6 2" xfId="31252" xr:uid="{E9B0C959-214F-4F77-B077-7D70665D8DB7}"/>
    <cellStyle name="SAPBEXHLevel1 8 7" xfId="29763" xr:uid="{00000000-0005-0000-0000-00002C6D0000}"/>
    <cellStyle name="SAPBEXHLevel1 8 8" xfId="30410" xr:uid="{C87DB49F-8B07-4588-9366-CF133567B34C}"/>
    <cellStyle name="SAPBEXHLevel1 9" xfId="25842" xr:uid="{00000000-0005-0000-0000-00002D6D0000}"/>
    <cellStyle name="SAPBEXHLevel1 9 2" xfId="30761" xr:uid="{647A2604-0CCC-4DAD-99E8-0DF2B6B33B04}"/>
    <cellStyle name="SAPBEXHLevel1X" xfId="115" xr:uid="{00000000-0005-0000-0000-00002E6D0000}"/>
    <cellStyle name="SAPBEXHLevel1X 10" xfId="28214" xr:uid="{00000000-0005-0000-0000-00002F6D0000}"/>
    <cellStyle name="SAPBEXHLevel1X 10 2" xfId="32772" xr:uid="{1D1BF7D4-E181-484E-B919-7D0A67983C96}"/>
    <cellStyle name="SAPBEXHLevel1X 11" xfId="26381" xr:uid="{00000000-0005-0000-0000-0000306D0000}"/>
    <cellStyle name="SAPBEXHLevel1X 11 2" xfId="31169" xr:uid="{23E06D12-96F2-425C-9808-BAE86DF7E3B5}"/>
    <cellStyle name="SAPBEXHLevel1X 12" xfId="29766" xr:uid="{00000000-0005-0000-0000-0000316D0000}"/>
    <cellStyle name="SAPBEXHLevel1X 2" xfId="116" xr:uid="{00000000-0005-0000-0000-0000326D0000}"/>
    <cellStyle name="SAPBEXHLevel1X 2 2" xfId="13650" xr:uid="{00000000-0005-0000-0000-0000336D0000}"/>
    <cellStyle name="SAPBEXHLevel1X 2 2 2" xfId="25488" xr:uid="{00000000-0005-0000-0000-0000346D0000}"/>
    <cellStyle name="SAPBEXHLevel1X 2 2 2 2" xfId="27641" xr:uid="{00000000-0005-0000-0000-0000356D0000}"/>
    <cellStyle name="SAPBEXHLevel1X 2 2 2 2 2" xfId="32228" xr:uid="{A2EC119E-58C5-4A2B-A308-9A575E5E3F4B}"/>
    <cellStyle name="SAPBEXHLevel1X 2 2 2 3" xfId="28217" xr:uid="{00000000-0005-0000-0000-0000366D0000}"/>
    <cellStyle name="SAPBEXHLevel1X 2 2 2 3 2" xfId="32775" xr:uid="{07CB2A6E-6644-426A-937F-B7C44799EB88}"/>
    <cellStyle name="SAPBEXHLevel1X 2 2 2 4" xfId="26401" xr:uid="{00000000-0005-0000-0000-0000376D0000}"/>
    <cellStyle name="SAPBEXHLevel1X 2 2 2 4 2" xfId="31189" xr:uid="{F7379B7B-C189-4EA4-9D2F-4BAD1FCBE37B}"/>
    <cellStyle name="SAPBEXHLevel1X 2 2 2 5" xfId="29769" xr:uid="{00000000-0005-0000-0000-0000386D0000}"/>
    <cellStyle name="SAPBEXHLevel1X 2 2 3" xfId="26592" xr:uid="{00000000-0005-0000-0000-0000396D0000}"/>
    <cellStyle name="SAPBEXHLevel1X 2 2 3 2" xfId="31370" xr:uid="{743B6931-8CB0-47FA-8076-F8BFDE49E039}"/>
    <cellStyle name="SAPBEXHLevel1X 2 2 4" xfId="28216" xr:uid="{00000000-0005-0000-0000-00003A6D0000}"/>
    <cellStyle name="SAPBEXHLevel1X 2 2 4 2" xfId="32774" xr:uid="{1F152AD0-43EC-445F-851C-A448B7A61038}"/>
    <cellStyle name="SAPBEXHLevel1X 2 2 5" xfId="26184" xr:uid="{00000000-0005-0000-0000-00003B6D0000}"/>
    <cellStyle name="SAPBEXHLevel1X 2 2 5 2" xfId="30972" xr:uid="{BAA541BE-DDC1-45A7-8AA3-AF72EBA68F5C}"/>
    <cellStyle name="SAPBEXHLevel1X 2 2 6" xfId="29768" xr:uid="{00000000-0005-0000-0000-00003C6D0000}"/>
    <cellStyle name="SAPBEXHLevel1X 2 2 7" xfId="30190" xr:uid="{033F68AC-B7E5-468D-80A5-9BF792B9725F}"/>
    <cellStyle name="SAPBEXHLevel1X 2 3" xfId="24259" xr:uid="{00000000-0005-0000-0000-00003D6D0000}"/>
    <cellStyle name="SAPBEXHLevel1X 2 3 2" xfId="25581" xr:uid="{00000000-0005-0000-0000-00003E6D0000}"/>
    <cellStyle name="SAPBEXHLevel1X 2 3 2 2" xfId="27734" xr:uid="{00000000-0005-0000-0000-00003F6D0000}"/>
    <cellStyle name="SAPBEXHLevel1X 2 3 2 2 2" xfId="32321" xr:uid="{E93C4436-83E3-4A06-B9AA-13A937B06F87}"/>
    <cellStyle name="SAPBEXHLevel1X 2 3 2 3" xfId="28219" xr:uid="{00000000-0005-0000-0000-0000406D0000}"/>
    <cellStyle name="SAPBEXHLevel1X 2 3 2 3 2" xfId="32777" xr:uid="{FBA9389B-2E0A-45FD-803D-7099ABC30EAD}"/>
    <cellStyle name="SAPBEXHLevel1X 2 3 2 4" xfId="26096" xr:uid="{00000000-0005-0000-0000-0000416D0000}"/>
    <cellStyle name="SAPBEXHLevel1X 2 3 2 4 2" xfId="30886" xr:uid="{12CC5E50-4403-49C8-A24E-01203D759461}"/>
    <cellStyle name="SAPBEXHLevel1X 2 3 2 5" xfId="29771" xr:uid="{00000000-0005-0000-0000-0000426D0000}"/>
    <cellStyle name="SAPBEXHLevel1X 2 3 3" xfId="27114" xr:uid="{00000000-0005-0000-0000-0000436D0000}"/>
    <cellStyle name="SAPBEXHLevel1X 2 3 3 2" xfId="31832" xr:uid="{6CE510F7-9B1A-4C7C-940A-2D5709CFAF37}"/>
    <cellStyle name="SAPBEXHLevel1X 2 3 4" xfId="28218" xr:uid="{00000000-0005-0000-0000-0000446D0000}"/>
    <cellStyle name="SAPBEXHLevel1X 2 3 4 2" xfId="32776" xr:uid="{675FB070-9E4F-4A46-8A8C-C279F6C8E6B2}"/>
    <cellStyle name="SAPBEXHLevel1X 2 3 5" xfId="27028" xr:uid="{00000000-0005-0000-0000-0000456D0000}"/>
    <cellStyle name="SAPBEXHLevel1X 2 3 5 2" xfId="31788" xr:uid="{C5354754-E660-4596-8E3B-2C541FDF8E27}"/>
    <cellStyle name="SAPBEXHLevel1X 2 3 6" xfId="29770" xr:uid="{00000000-0005-0000-0000-0000466D0000}"/>
    <cellStyle name="SAPBEXHLevel1X 2 3 7" xfId="30283" xr:uid="{FEB7EFA6-C7F0-4C5D-BDBC-1DE7D958E1DE}"/>
    <cellStyle name="SAPBEXHLevel1X 2 4" xfId="24659" xr:uid="{00000000-0005-0000-0000-0000476D0000}"/>
    <cellStyle name="SAPBEXHLevel1X 2 4 2" xfId="25371" xr:uid="{00000000-0005-0000-0000-0000486D0000}"/>
    <cellStyle name="SAPBEXHLevel1X 2 4 2 2" xfId="27525" xr:uid="{00000000-0005-0000-0000-0000496D0000}"/>
    <cellStyle name="SAPBEXHLevel1X 2 4 2 2 2" xfId="32116" xr:uid="{296BEE4C-2A24-4E5A-987A-F8983FD4AE8C}"/>
    <cellStyle name="SAPBEXHLevel1X 2 4 2 3" xfId="28221" xr:uid="{00000000-0005-0000-0000-00004A6D0000}"/>
    <cellStyle name="SAPBEXHLevel1X 2 4 2 3 2" xfId="32779" xr:uid="{95A9F57A-65AA-4763-B93C-B131FFE7759A}"/>
    <cellStyle name="SAPBEXHLevel1X 2 4 2 4" xfId="26063" xr:uid="{00000000-0005-0000-0000-00004B6D0000}"/>
    <cellStyle name="SAPBEXHLevel1X 2 4 2 4 2" xfId="30853" xr:uid="{E6865548-A8E2-45D2-A109-6A32724CF8F1}"/>
    <cellStyle name="SAPBEXHLevel1X 2 4 2 5" xfId="29773" xr:uid="{00000000-0005-0000-0000-00004C6D0000}"/>
    <cellStyle name="SAPBEXHLevel1X 2 4 2 6" xfId="30529" xr:uid="{1694F7CD-FC66-4021-960D-F743C279E5DF}"/>
    <cellStyle name="SAPBEXHLevel1X 2 4 3" xfId="25625" xr:uid="{00000000-0005-0000-0000-00004D6D0000}"/>
    <cellStyle name="SAPBEXHLevel1X 2 4 3 2" xfId="27778" xr:uid="{00000000-0005-0000-0000-00004E6D0000}"/>
    <cellStyle name="SAPBEXHLevel1X 2 4 3 2 2" xfId="32365" xr:uid="{A1167B73-627E-4782-A7AB-ECB77DBF1146}"/>
    <cellStyle name="SAPBEXHLevel1X 2 4 3 3" xfId="28222" xr:uid="{00000000-0005-0000-0000-00004F6D0000}"/>
    <cellStyle name="SAPBEXHLevel1X 2 4 3 3 2" xfId="32780" xr:uid="{A7FE94E2-317A-4D50-A51B-0A4DD7013358}"/>
    <cellStyle name="SAPBEXHLevel1X 2 4 3 4" xfId="26156" xr:uid="{00000000-0005-0000-0000-0000506D0000}"/>
    <cellStyle name="SAPBEXHLevel1X 2 4 3 4 2" xfId="30945" xr:uid="{FC8698DA-1A1B-415F-8E18-9838FEE9DFAD}"/>
    <cellStyle name="SAPBEXHLevel1X 2 4 3 5" xfId="29774" xr:uid="{00000000-0005-0000-0000-0000516D0000}"/>
    <cellStyle name="SAPBEXHLevel1X 2 4 4" xfId="27252" xr:uid="{00000000-0005-0000-0000-0000526D0000}"/>
    <cellStyle name="SAPBEXHLevel1X 2 4 4 2" xfId="31887" xr:uid="{63AF0984-3E6B-4F43-9EDC-F2A5B8C35EDD}"/>
    <cellStyle name="SAPBEXHLevel1X 2 4 5" xfId="28220" xr:uid="{00000000-0005-0000-0000-0000536D0000}"/>
    <cellStyle name="SAPBEXHLevel1X 2 4 5 2" xfId="32778" xr:uid="{8BA00CCA-6B1A-4F43-8AB7-6A9ADAAEBFEA}"/>
    <cellStyle name="SAPBEXHLevel1X 2 4 6" xfId="26291" xr:uid="{00000000-0005-0000-0000-0000546D0000}"/>
    <cellStyle name="SAPBEXHLevel1X 2 4 6 2" xfId="31079" xr:uid="{F7582C0B-030B-4918-AD38-AAD701B10EB1}"/>
    <cellStyle name="SAPBEXHLevel1X 2 4 7" xfId="29772" xr:uid="{00000000-0005-0000-0000-0000556D0000}"/>
    <cellStyle name="SAPBEXHLevel1X 2 4 8" xfId="30327" xr:uid="{749C977A-905E-4978-83C8-60D23E0E4287}"/>
    <cellStyle name="SAPBEXHLevel1X 2 5" xfId="25114" xr:uid="{00000000-0005-0000-0000-0000566D0000}"/>
    <cellStyle name="SAPBEXHLevel1X 2 5 2" xfId="25394" xr:uid="{00000000-0005-0000-0000-0000576D0000}"/>
    <cellStyle name="SAPBEXHLevel1X 2 5 2 2" xfId="27548" xr:uid="{00000000-0005-0000-0000-0000586D0000}"/>
    <cellStyle name="SAPBEXHLevel1X 2 5 2 2 2" xfId="32139" xr:uid="{0302BD5D-67E8-4FE3-B0C1-9C25DC03CC4D}"/>
    <cellStyle name="SAPBEXHLevel1X 2 5 2 3" xfId="28224" xr:uid="{00000000-0005-0000-0000-0000596D0000}"/>
    <cellStyle name="SAPBEXHLevel1X 2 5 2 3 2" xfId="32782" xr:uid="{9029AD38-AF66-47D0-A0C7-01F9CDA4941F}"/>
    <cellStyle name="SAPBEXHLevel1X 2 5 2 4" xfId="26222" xr:uid="{00000000-0005-0000-0000-00005A6D0000}"/>
    <cellStyle name="SAPBEXHLevel1X 2 5 2 4 2" xfId="31010" xr:uid="{36692383-A3F7-40E5-ACAB-2F689B24EE02}"/>
    <cellStyle name="SAPBEXHLevel1X 2 5 2 5" xfId="29776" xr:uid="{00000000-0005-0000-0000-00005B6D0000}"/>
    <cellStyle name="SAPBEXHLevel1X 2 5 2 6" xfId="30552" xr:uid="{587935BD-CF96-4D08-BF20-8184FBC5ABF1}"/>
    <cellStyle name="SAPBEXHLevel1X 2 5 3" xfId="25712" xr:uid="{00000000-0005-0000-0000-00005C6D0000}"/>
    <cellStyle name="SAPBEXHLevel1X 2 5 3 2" xfId="27865" xr:uid="{00000000-0005-0000-0000-00005D6D0000}"/>
    <cellStyle name="SAPBEXHLevel1X 2 5 3 2 2" xfId="32452" xr:uid="{A7DF74C7-D19C-4FD1-99E2-233C4CBC832F}"/>
    <cellStyle name="SAPBEXHLevel1X 2 5 3 3" xfId="28225" xr:uid="{00000000-0005-0000-0000-00005E6D0000}"/>
    <cellStyle name="SAPBEXHLevel1X 2 5 3 3 2" xfId="32783" xr:uid="{8BEA2AFC-56D4-453F-A5B9-1FCD31D1457B}"/>
    <cellStyle name="SAPBEXHLevel1X 2 5 3 4" xfId="27017" xr:uid="{00000000-0005-0000-0000-00005F6D0000}"/>
    <cellStyle name="SAPBEXHLevel1X 2 5 3 4 2" xfId="31777" xr:uid="{35906D14-940A-46C5-81B3-E4E6DC6C7105}"/>
    <cellStyle name="SAPBEXHLevel1X 2 5 3 5" xfId="29777" xr:uid="{00000000-0005-0000-0000-0000606D0000}"/>
    <cellStyle name="SAPBEXHLevel1X 2 5 3 6" xfId="30706" xr:uid="{EB95B417-DC95-45A1-9AB7-EAE90CE10189}"/>
    <cellStyle name="SAPBEXHLevel1X 2 5 4" xfId="27399" xr:uid="{00000000-0005-0000-0000-0000616D0000}"/>
    <cellStyle name="SAPBEXHLevel1X 2 5 4 2" xfId="31997" xr:uid="{FE28787D-F9AD-459E-A7BB-C85F83207FE4}"/>
    <cellStyle name="SAPBEXHLevel1X 2 5 5" xfId="28223" xr:uid="{00000000-0005-0000-0000-0000626D0000}"/>
    <cellStyle name="SAPBEXHLevel1X 2 5 5 2" xfId="32781" xr:uid="{B4052269-6AA5-4358-A743-36342D330D5B}"/>
    <cellStyle name="SAPBEXHLevel1X 2 5 6" xfId="26308" xr:uid="{00000000-0005-0000-0000-0000636D0000}"/>
    <cellStyle name="SAPBEXHLevel1X 2 5 6 2" xfId="31096" xr:uid="{51CD9CC3-9664-42BB-BF8D-0714A9E8FC5A}"/>
    <cellStyle name="SAPBEXHLevel1X 2 5 7" xfId="29775" xr:uid="{00000000-0005-0000-0000-0000646D0000}"/>
    <cellStyle name="SAPBEXHLevel1X 2 5 8" xfId="30414" xr:uid="{8143D987-C63B-4588-8F48-C14DC4ECE823}"/>
    <cellStyle name="SAPBEXHLevel1X 2 6" xfId="25847" xr:uid="{00000000-0005-0000-0000-0000656D0000}"/>
    <cellStyle name="SAPBEXHLevel1X 2 6 2" xfId="30766" xr:uid="{4B4C246A-2F79-4DE8-ACCA-E981D0AC9640}"/>
    <cellStyle name="SAPBEXHLevel1X 2 7" xfId="28215" xr:uid="{00000000-0005-0000-0000-0000666D0000}"/>
    <cellStyle name="SAPBEXHLevel1X 2 7 2" xfId="32773" xr:uid="{9F74968A-1ECF-4840-B4E8-6B4974A91B52}"/>
    <cellStyle name="SAPBEXHLevel1X 2 8" xfId="26968" xr:uid="{00000000-0005-0000-0000-0000676D0000}"/>
    <cellStyle name="SAPBEXHLevel1X 2 8 2" xfId="31729" xr:uid="{E9993BCC-E2B8-45F5-8A35-5FE63CE9EF04}"/>
    <cellStyle name="SAPBEXHLevel1X 2 9" xfId="29767" xr:uid="{00000000-0005-0000-0000-0000686D0000}"/>
    <cellStyle name="SAPBEXHLevel1X 3" xfId="117" xr:uid="{00000000-0005-0000-0000-0000696D0000}"/>
    <cellStyle name="SAPBEXHLevel1X 3 2" xfId="13651" xr:uid="{00000000-0005-0000-0000-00006A6D0000}"/>
    <cellStyle name="SAPBEXHLevel1X 3 2 2" xfId="25489" xr:uid="{00000000-0005-0000-0000-00006B6D0000}"/>
    <cellStyle name="SAPBEXHLevel1X 3 2 2 2" xfId="27642" xr:uid="{00000000-0005-0000-0000-00006C6D0000}"/>
    <cellStyle name="SAPBEXHLevel1X 3 2 2 2 2" xfId="32229" xr:uid="{2A1AC2D3-2EF0-46AB-835B-9AC78B8D91E8}"/>
    <cellStyle name="SAPBEXHLevel1X 3 2 2 3" xfId="28228" xr:uid="{00000000-0005-0000-0000-00006D6D0000}"/>
    <cellStyle name="SAPBEXHLevel1X 3 2 2 3 2" xfId="32786" xr:uid="{FE21A18F-2C49-4101-9A10-2CF9561FF9A2}"/>
    <cellStyle name="SAPBEXHLevel1X 3 2 2 4" xfId="26364" xr:uid="{00000000-0005-0000-0000-00006E6D0000}"/>
    <cellStyle name="SAPBEXHLevel1X 3 2 2 4 2" xfId="31152" xr:uid="{ED4B4AA8-08B5-4AA1-9FEF-9D986313F4F1}"/>
    <cellStyle name="SAPBEXHLevel1X 3 2 2 5" xfId="29780" xr:uid="{00000000-0005-0000-0000-00006F6D0000}"/>
    <cellStyle name="SAPBEXHLevel1X 3 2 3" xfId="26593" xr:uid="{00000000-0005-0000-0000-0000706D0000}"/>
    <cellStyle name="SAPBEXHLevel1X 3 2 3 2" xfId="31371" xr:uid="{E25CEBC2-99B0-4F95-BA3D-98D7E40F6AEB}"/>
    <cellStyle name="SAPBEXHLevel1X 3 2 4" xfId="28227" xr:uid="{00000000-0005-0000-0000-0000716D0000}"/>
    <cellStyle name="SAPBEXHLevel1X 3 2 4 2" xfId="32785" xr:uid="{93E46DAD-5AA9-4CED-8B69-725580AFFB91}"/>
    <cellStyle name="SAPBEXHLevel1X 3 2 5" xfId="26378" xr:uid="{00000000-0005-0000-0000-0000726D0000}"/>
    <cellStyle name="SAPBEXHLevel1X 3 2 5 2" xfId="31166" xr:uid="{B03EFEAB-852B-43A9-A090-8FD8E5209064}"/>
    <cellStyle name="SAPBEXHLevel1X 3 2 6" xfId="29779" xr:uid="{00000000-0005-0000-0000-0000736D0000}"/>
    <cellStyle name="SAPBEXHLevel1X 3 2 7" xfId="30191" xr:uid="{07328008-6BC9-4838-B126-06D3DA013BCF}"/>
    <cellStyle name="SAPBEXHLevel1X 3 3" xfId="24260" xr:uid="{00000000-0005-0000-0000-0000746D0000}"/>
    <cellStyle name="SAPBEXHLevel1X 3 3 2" xfId="25582" xr:uid="{00000000-0005-0000-0000-0000756D0000}"/>
    <cellStyle name="SAPBEXHLevel1X 3 3 2 2" xfId="27735" xr:uid="{00000000-0005-0000-0000-0000766D0000}"/>
    <cellStyle name="SAPBEXHLevel1X 3 3 2 2 2" xfId="32322" xr:uid="{329ED777-D69B-41CB-A466-4CBB5AD04FF0}"/>
    <cellStyle name="SAPBEXHLevel1X 3 3 2 3" xfId="28230" xr:uid="{00000000-0005-0000-0000-0000776D0000}"/>
    <cellStyle name="SAPBEXHLevel1X 3 3 2 3 2" xfId="32788" xr:uid="{A0FA3413-E285-401F-A0D9-8F336AA0307A}"/>
    <cellStyle name="SAPBEXHLevel1X 3 3 2 4" xfId="26244" xr:uid="{00000000-0005-0000-0000-0000786D0000}"/>
    <cellStyle name="SAPBEXHLevel1X 3 3 2 4 2" xfId="31032" xr:uid="{FEC29357-5D12-4E5D-A6F8-61C7926070C8}"/>
    <cellStyle name="SAPBEXHLevel1X 3 3 2 5" xfId="29782" xr:uid="{00000000-0005-0000-0000-0000796D0000}"/>
    <cellStyle name="SAPBEXHLevel1X 3 3 3" xfId="27115" xr:uid="{00000000-0005-0000-0000-00007A6D0000}"/>
    <cellStyle name="SAPBEXHLevel1X 3 3 3 2" xfId="31833" xr:uid="{E98E2570-1D28-451A-8AAD-F9617DF5D53B}"/>
    <cellStyle name="SAPBEXHLevel1X 3 3 4" xfId="28229" xr:uid="{00000000-0005-0000-0000-00007B6D0000}"/>
    <cellStyle name="SAPBEXHLevel1X 3 3 4 2" xfId="32787" xr:uid="{AECEAC6E-8489-4B5C-8E13-06A0F308DA9D}"/>
    <cellStyle name="SAPBEXHLevel1X 3 3 5" xfId="26324" xr:uid="{00000000-0005-0000-0000-00007C6D0000}"/>
    <cellStyle name="SAPBEXHLevel1X 3 3 5 2" xfId="31112" xr:uid="{8D0E32B6-8F12-44B5-BD3D-88C3600F7C91}"/>
    <cellStyle name="SAPBEXHLevel1X 3 3 6" xfId="29781" xr:uid="{00000000-0005-0000-0000-00007D6D0000}"/>
    <cellStyle name="SAPBEXHLevel1X 3 3 7" xfId="30284" xr:uid="{3E88880E-E747-4EDA-9BAB-CD434869B99E}"/>
    <cellStyle name="SAPBEXHLevel1X 3 4" xfId="24658" xr:uid="{00000000-0005-0000-0000-00007E6D0000}"/>
    <cellStyle name="SAPBEXHLevel1X 3 4 2" xfId="25289" xr:uid="{00000000-0005-0000-0000-00007F6D0000}"/>
    <cellStyle name="SAPBEXHLevel1X 3 4 2 2" xfId="27444" xr:uid="{00000000-0005-0000-0000-0000806D0000}"/>
    <cellStyle name="SAPBEXHLevel1X 3 4 2 2 2" xfId="32039" xr:uid="{646EBB07-8BF6-4771-85CA-F5827B0292FA}"/>
    <cellStyle name="SAPBEXHLevel1X 3 4 2 3" xfId="28232" xr:uid="{00000000-0005-0000-0000-0000816D0000}"/>
    <cellStyle name="SAPBEXHLevel1X 3 4 2 3 2" xfId="32790" xr:uid="{E3C5FC84-923E-43AB-83D7-713C0119595D}"/>
    <cellStyle name="SAPBEXHLevel1X 3 4 2 4" xfId="26360" xr:uid="{00000000-0005-0000-0000-0000826D0000}"/>
    <cellStyle name="SAPBEXHLevel1X 3 4 2 4 2" xfId="31148" xr:uid="{A59897E2-6481-4991-89DC-FA0903FD48A3}"/>
    <cellStyle name="SAPBEXHLevel1X 3 4 2 5" xfId="29784" xr:uid="{00000000-0005-0000-0000-0000836D0000}"/>
    <cellStyle name="SAPBEXHLevel1X 3 4 2 6" xfId="30452" xr:uid="{CE796F3A-936D-4BCF-9718-CAD67F1D7544}"/>
    <cellStyle name="SAPBEXHLevel1X 3 4 3" xfId="25624" xr:uid="{00000000-0005-0000-0000-0000846D0000}"/>
    <cellStyle name="SAPBEXHLevel1X 3 4 3 2" xfId="27777" xr:uid="{00000000-0005-0000-0000-0000856D0000}"/>
    <cellStyle name="SAPBEXHLevel1X 3 4 3 2 2" xfId="32364" xr:uid="{2B3E7B29-1140-44F8-BEB8-8D13807414B6}"/>
    <cellStyle name="SAPBEXHLevel1X 3 4 3 3" xfId="28233" xr:uid="{00000000-0005-0000-0000-0000866D0000}"/>
    <cellStyle name="SAPBEXHLevel1X 3 4 3 3 2" xfId="32791" xr:uid="{65BC597E-E1E5-48DE-9902-82E9530DCCB3}"/>
    <cellStyle name="SAPBEXHLevel1X 3 4 3 4" xfId="26318" xr:uid="{00000000-0005-0000-0000-0000876D0000}"/>
    <cellStyle name="SAPBEXHLevel1X 3 4 3 4 2" xfId="31106" xr:uid="{576D0DCE-441E-4235-BDC2-45CBF8BD80F6}"/>
    <cellStyle name="SAPBEXHLevel1X 3 4 3 5" xfId="29785" xr:uid="{00000000-0005-0000-0000-0000886D0000}"/>
    <cellStyle name="SAPBEXHLevel1X 3 4 4" xfId="27251" xr:uid="{00000000-0005-0000-0000-0000896D0000}"/>
    <cellStyle name="SAPBEXHLevel1X 3 4 4 2" xfId="31886" xr:uid="{63F672A9-7163-4846-A4F7-F37A32EF9F4A}"/>
    <cellStyle name="SAPBEXHLevel1X 3 4 5" xfId="28231" xr:uid="{00000000-0005-0000-0000-00008A6D0000}"/>
    <cellStyle name="SAPBEXHLevel1X 3 4 5 2" xfId="32789" xr:uid="{86D57EB9-09D6-4B2A-B2B8-5F4F3D19E223}"/>
    <cellStyle name="SAPBEXHLevel1X 3 4 6" xfId="27086" xr:uid="{00000000-0005-0000-0000-00008B6D0000}"/>
    <cellStyle name="SAPBEXHLevel1X 3 4 6 2" xfId="31810" xr:uid="{231EB4B4-41F3-473F-B932-712202AC4A18}"/>
    <cellStyle name="SAPBEXHLevel1X 3 4 7" xfId="29783" xr:uid="{00000000-0005-0000-0000-00008C6D0000}"/>
    <cellStyle name="SAPBEXHLevel1X 3 4 8" xfId="30326" xr:uid="{EAB2EE3A-81E1-485D-8B35-11B3CBC29851}"/>
    <cellStyle name="SAPBEXHLevel1X 3 5" xfId="25115" xr:uid="{00000000-0005-0000-0000-00008D6D0000}"/>
    <cellStyle name="SAPBEXHLevel1X 3 5 2" xfId="25303" xr:uid="{00000000-0005-0000-0000-00008E6D0000}"/>
    <cellStyle name="SAPBEXHLevel1X 3 5 2 2" xfId="27457" xr:uid="{00000000-0005-0000-0000-00008F6D0000}"/>
    <cellStyle name="SAPBEXHLevel1X 3 5 2 2 2" xfId="32049" xr:uid="{201859FE-5A1E-4D6B-8FE0-69AE32E4043D}"/>
    <cellStyle name="SAPBEXHLevel1X 3 5 2 3" xfId="28235" xr:uid="{00000000-0005-0000-0000-0000906D0000}"/>
    <cellStyle name="SAPBEXHLevel1X 3 5 2 3 2" xfId="32793" xr:uid="{3D0B7D8D-E6A6-4E24-93BA-BFE4DAE78194}"/>
    <cellStyle name="SAPBEXHLevel1X 3 5 2 4" xfId="26810" xr:uid="{00000000-0005-0000-0000-0000916D0000}"/>
    <cellStyle name="SAPBEXHLevel1X 3 5 2 4 2" xfId="31571" xr:uid="{73618CF3-4B66-445D-A494-E4EF80301B5A}"/>
    <cellStyle name="SAPBEXHLevel1X 3 5 2 5" xfId="29787" xr:uid="{00000000-0005-0000-0000-0000926D0000}"/>
    <cellStyle name="SAPBEXHLevel1X 3 5 2 6" xfId="30462" xr:uid="{734ACAF3-142F-4246-B518-8C74B473D009}"/>
    <cellStyle name="SAPBEXHLevel1X 3 5 3" xfId="25713" xr:uid="{00000000-0005-0000-0000-0000936D0000}"/>
    <cellStyle name="SAPBEXHLevel1X 3 5 3 2" xfId="27866" xr:uid="{00000000-0005-0000-0000-0000946D0000}"/>
    <cellStyle name="SAPBEXHLevel1X 3 5 3 2 2" xfId="32453" xr:uid="{F6598966-1709-47D3-B99B-8EDAE8B66AF2}"/>
    <cellStyle name="SAPBEXHLevel1X 3 5 3 3" xfId="28236" xr:uid="{00000000-0005-0000-0000-0000956D0000}"/>
    <cellStyle name="SAPBEXHLevel1X 3 5 3 3 2" xfId="32794" xr:uid="{56A2F417-65C0-4037-B375-75A66F5B0BE8}"/>
    <cellStyle name="SAPBEXHLevel1X 3 5 3 4" xfId="26939" xr:uid="{00000000-0005-0000-0000-0000966D0000}"/>
    <cellStyle name="SAPBEXHLevel1X 3 5 3 4 2" xfId="31700" xr:uid="{5436CB58-5B4B-4CF4-9905-D5142EC69649}"/>
    <cellStyle name="SAPBEXHLevel1X 3 5 3 5" xfId="29788" xr:uid="{00000000-0005-0000-0000-0000976D0000}"/>
    <cellStyle name="SAPBEXHLevel1X 3 5 3 6" xfId="30707" xr:uid="{6FCC1C26-975C-4935-A2A3-0F1CF74EE553}"/>
    <cellStyle name="SAPBEXHLevel1X 3 5 4" xfId="27400" xr:uid="{00000000-0005-0000-0000-0000986D0000}"/>
    <cellStyle name="SAPBEXHLevel1X 3 5 4 2" xfId="31998" xr:uid="{BC7B6F65-474C-4670-AF1B-A8C89EB75C86}"/>
    <cellStyle name="SAPBEXHLevel1X 3 5 5" xfId="28234" xr:uid="{00000000-0005-0000-0000-0000996D0000}"/>
    <cellStyle name="SAPBEXHLevel1X 3 5 5 2" xfId="32792" xr:uid="{B207DADD-25CB-4D80-A15E-5200573048A8}"/>
    <cellStyle name="SAPBEXHLevel1X 3 5 6" xfId="26923" xr:uid="{00000000-0005-0000-0000-00009A6D0000}"/>
    <cellStyle name="SAPBEXHLevel1X 3 5 6 2" xfId="31684" xr:uid="{33EA3664-990E-4D36-A4D9-551F3E47C593}"/>
    <cellStyle name="SAPBEXHLevel1X 3 5 7" xfId="29786" xr:uid="{00000000-0005-0000-0000-00009B6D0000}"/>
    <cellStyle name="SAPBEXHLevel1X 3 5 8" xfId="30415" xr:uid="{386E2019-ABDD-4DC8-AE5C-8F33CB4F5E08}"/>
    <cellStyle name="SAPBEXHLevel1X 3 6" xfId="25848" xr:uid="{00000000-0005-0000-0000-00009C6D0000}"/>
    <cellStyle name="SAPBEXHLevel1X 3 6 2" xfId="30767" xr:uid="{9469DB00-BBEE-4534-8903-095ABB286398}"/>
    <cellStyle name="SAPBEXHLevel1X 3 7" xfId="28226" xr:uid="{00000000-0005-0000-0000-00009D6D0000}"/>
    <cellStyle name="SAPBEXHLevel1X 3 7 2" xfId="32784" xr:uid="{8E9C2538-EEC5-416E-9CA3-1D190F5A633C}"/>
    <cellStyle name="SAPBEXHLevel1X 3 8" xfId="26450" xr:uid="{00000000-0005-0000-0000-00009E6D0000}"/>
    <cellStyle name="SAPBEXHLevel1X 3 8 2" xfId="31238" xr:uid="{585F0348-A713-46F6-BFCB-E48EDD5DA3B7}"/>
    <cellStyle name="SAPBEXHLevel1X 3 9" xfId="29778" xr:uid="{00000000-0005-0000-0000-00009F6D0000}"/>
    <cellStyle name="SAPBEXHLevel1X 4" xfId="118" xr:uid="{00000000-0005-0000-0000-0000A06D0000}"/>
    <cellStyle name="SAPBEXHLevel1X 4 2" xfId="13652" xr:uid="{00000000-0005-0000-0000-0000A16D0000}"/>
    <cellStyle name="SAPBEXHLevel1X 4 2 2" xfId="25490" xr:uid="{00000000-0005-0000-0000-0000A26D0000}"/>
    <cellStyle name="SAPBEXHLevel1X 4 2 2 2" xfId="27643" xr:uid="{00000000-0005-0000-0000-0000A36D0000}"/>
    <cellStyle name="SAPBEXHLevel1X 4 2 2 2 2" xfId="32230" xr:uid="{C1BCD860-E347-4588-8466-E536128E4A66}"/>
    <cellStyle name="SAPBEXHLevel1X 4 2 2 3" xfId="28239" xr:uid="{00000000-0005-0000-0000-0000A46D0000}"/>
    <cellStyle name="SAPBEXHLevel1X 4 2 2 3 2" xfId="32797" xr:uid="{A1D8DAF0-5A68-4CEF-A6D4-5404F9F9CD94}"/>
    <cellStyle name="SAPBEXHLevel1X 4 2 2 4" xfId="26350" xr:uid="{00000000-0005-0000-0000-0000A56D0000}"/>
    <cellStyle name="SAPBEXHLevel1X 4 2 2 4 2" xfId="31138" xr:uid="{61F5B4B9-F42B-402E-9924-647E3784B993}"/>
    <cellStyle name="SAPBEXHLevel1X 4 2 2 5" xfId="29791" xr:uid="{00000000-0005-0000-0000-0000A66D0000}"/>
    <cellStyle name="SAPBEXHLevel1X 4 2 3" xfId="26594" xr:uid="{00000000-0005-0000-0000-0000A76D0000}"/>
    <cellStyle name="SAPBEXHLevel1X 4 2 3 2" xfId="31372" xr:uid="{5B888614-862B-49CE-A7C8-FDB0746AC848}"/>
    <cellStyle name="SAPBEXHLevel1X 4 2 4" xfId="28238" xr:uid="{00000000-0005-0000-0000-0000A86D0000}"/>
    <cellStyle name="SAPBEXHLevel1X 4 2 4 2" xfId="32796" xr:uid="{DC84D1BE-25A3-40F4-8ABF-51CFDFEC6C41}"/>
    <cellStyle name="SAPBEXHLevel1X 4 2 5" xfId="26855" xr:uid="{00000000-0005-0000-0000-0000A96D0000}"/>
    <cellStyle name="SAPBEXHLevel1X 4 2 5 2" xfId="31616" xr:uid="{D1455F49-F217-468F-AF81-93894F86DFBB}"/>
    <cellStyle name="SAPBEXHLevel1X 4 2 6" xfId="29790" xr:uid="{00000000-0005-0000-0000-0000AA6D0000}"/>
    <cellStyle name="SAPBEXHLevel1X 4 2 7" xfId="30192" xr:uid="{1DBE59E6-9AB9-4FDF-8CA5-C4B9CC85EC3E}"/>
    <cellStyle name="SAPBEXHLevel1X 4 3" xfId="25849" xr:uid="{00000000-0005-0000-0000-0000AB6D0000}"/>
    <cellStyle name="SAPBEXHLevel1X 4 3 2" xfId="30768" xr:uid="{32EFDCCB-36FD-472C-98BA-C029E28A1120}"/>
    <cellStyle name="SAPBEXHLevel1X 4 4" xfId="28237" xr:uid="{00000000-0005-0000-0000-0000AC6D0000}"/>
    <cellStyle name="SAPBEXHLevel1X 4 4 2" xfId="32795" xr:uid="{A961799A-0AA5-41D4-A181-C3DC80638E6D}"/>
    <cellStyle name="SAPBEXHLevel1X 4 5" xfId="29257" xr:uid="{00000000-0005-0000-0000-0000AD6D0000}"/>
    <cellStyle name="SAPBEXHLevel1X 4 5 2" xfId="33239" xr:uid="{46C812CC-398E-4888-91C5-5FC0E3311A2D}"/>
    <cellStyle name="SAPBEXHLevel1X 4 6" xfId="29789" xr:uid="{00000000-0005-0000-0000-0000AE6D0000}"/>
    <cellStyle name="SAPBEXHLevel1X 5" xfId="253" xr:uid="{00000000-0005-0000-0000-0000AF6D0000}"/>
    <cellStyle name="SAPBEXHLevel1X 5 2" xfId="13718" xr:uid="{00000000-0005-0000-0000-0000B06D0000}"/>
    <cellStyle name="SAPBEXHLevel1X 5 2 2" xfId="25531" xr:uid="{00000000-0005-0000-0000-0000B16D0000}"/>
    <cellStyle name="SAPBEXHLevel1X 5 2 2 2" xfId="27684" xr:uid="{00000000-0005-0000-0000-0000B26D0000}"/>
    <cellStyle name="SAPBEXHLevel1X 5 2 2 2 2" xfId="32271" xr:uid="{515C02B7-7EFF-48C7-989E-3ED08A7EF590}"/>
    <cellStyle name="SAPBEXHLevel1X 5 2 2 3" xfId="28242" xr:uid="{00000000-0005-0000-0000-0000B36D0000}"/>
    <cellStyle name="SAPBEXHLevel1X 5 2 2 3 2" xfId="32800" xr:uid="{0D448793-98C4-454C-919C-CCC4EEE1BCFE}"/>
    <cellStyle name="SAPBEXHLevel1X 5 2 2 4" xfId="26976" xr:uid="{00000000-0005-0000-0000-0000B46D0000}"/>
    <cellStyle name="SAPBEXHLevel1X 5 2 2 4 2" xfId="31737" xr:uid="{D0FE9E2B-8166-4A10-BFBC-374652E2A0E4}"/>
    <cellStyle name="SAPBEXHLevel1X 5 2 2 5" xfId="29794" xr:uid="{00000000-0005-0000-0000-0000B56D0000}"/>
    <cellStyle name="SAPBEXHLevel1X 5 2 3" xfId="26638" xr:uid="{00000000-0005-0000-0000-0000B66D0000}"/>
    <cellStyle name="SAPBEXHLevel1X 5 2 3 2" xfId="31415" xr:uid="{C85D6FD8-9283-4CF8-A106-2A087FA669AB}"/>
    <cellStyle name="SAPBEXHLevel1X 5 2 4" xfId="28241" xr:uid="{00000000-0005-0000-0000-0000B76D0000}"/>
    <cellStyle name="SAPBEXHLevel1X 5 2 4 2" xfId="32799" xr:uid="{034376D8-3324-45BF-AC4B-E7A46008B6CC}"/>
    <cellStyle name="SAPBEXHLevel1X 5 2 5" xfId="26066" xr:uid="{00000000-0005-0000-0000-0000B86D0000}"/>
    <cellStyle name="SAPBEXHLevel1X 5 2 5 2" xfId="30856" xr:uid="{5C26016D-D73F-4C40-B619-40FAD460D39D}"/>
    <cellStyle name="SAPBEXHLevel1X 5 2 6" xfId="29793" xr:uid="{00000000-0005-0000-0000-0000B96D0000}"/>
    <cellStyle name="SAPBEXHLevel1X 5 2 7" xfId="30233" xr:uid="{05AC14C5-307C-4030-9D03-24484CE872BD}"/>
    <cellStyle name="SAPBEXHLevel1X 5 3" xfId="25921" xr:uid="{00000000-0005-0000-0000-0000BA6D0000}"/>
    <cellStyle name="SAPBEXHLevel1X 5 3 2" xfId="30810" xr:uid="{2A31D332-CB0B-4AAA-BCA3-78AF2949C5C2}"/>
    <cellStyle name="SAPBEXHLevel1X 5 4" xfId="28240" xr:uid="{00000000-0005-0000-0000-0000BB6D0000}"/>
    <cellStyle name="SAPBEXHLevel1X 5 4 2" xfId="32798" xr:uid="{E8DA3C27-A5AC-431B-BC43-D9396C693F95}"/>
    <cellStyle name="SAPBEXHLevel1X 5 5" xfId="26472" xr:uid="{00000000-0005-0000-0000-0000BC6D0000}"/>
    <cellStyle name="SAPBEXHLevel1X 5 5 2" xfId="31260" xr:uid="{8F23E2C8-D5A5-44A3-9E3B-A0590CD2A96A}"/>
    <cellStyle name="SAPBEXHLevel1X 5 6" xfId="29792" xr:uid="{00000000-0005-0000-0000-0000BD6D0000}"/>
    <cellStyle name="SAPBEXHLevel1X 6" xfId="13649" xr:uid="{00000000-0005-0000-0000-0000BE6D0000}"/>
    <cellStyle name="SAPBEXHLevel1X 6 2" xfId="25487" xr:uid="{00000000-0005-0000-0000-0000BF6D0000}"/>
    <cellStyle name="SAPBEXHLevel1X 6 2 2" xfId="27640" xr:uid="{00000000-0005-0000-0000-0000C06D0000}"/>
    <cellStyle name="SAPBEXHLevel1X 6 2 2 2" xfId="32227" xr:uid="{2F7BD0D8-CC3A-4E86-A90A-E8F03AEE5EEC}"/>
    <cellStyle name="SAPBEXHLevel1X 6 2 3" xfId="28244" xr:uid="{00000000-0005-0000-0000-0000C16D0000}"/>
    <cellStyle name="SAPBEXHLevel1X 6 2 3 2" xfId="32802" xr:uid="{77CC2611-AFB1-4BCF-99EB-E06FAAA54A24}"/>
    <cellStyle name="SAPBEXHLevel1X 6 2 4" xfId="26077" xr:uid="{00000000-0005-0000-0000-0000C26D0000}"/>
    <cellStyle name="SAPBEXHLevel1X 6 2 4 2" xfId="30867" xr:uid="{CBB4310B-ECA9-4F3F-A1F3-EC47936D54DB}"/>
    <cellStyle name="SAPBEXHLevel1X 6 2 5" xfId="29796" xr:uid="{00000000-0005-0000-0000-0000C36D0000}"/>
    <cellStyle name="SAPBEXHLevel1X 6 3" xfId="26591" xr:uid="{00000000-0005-0000-0000-0000C46D0000}"/>
    <cellStyle name="SAPBEXHLevel1X 6 3 2" xfId="31369" xr:uid="{DADFDD32-9742-4B35-B016-3F10EFCA5CDE}"/>
    <cellStyle name="SAPBEXHLevel1X 6 4" xfId="28243" xr:uid="{00000000-0005-0000-0000-0000C56D0000}"/>
    <cellStyle name="SAPBEXHLevel1X 6 4 2" xfId="32801" xr:uid="{384CB625-7F6C-4DB4-A730-C463729B59DB}"/>
    <cellStyle name="SAPBEXHLevel1X 6 5" xfId="26188" xr:uid="{00000000-0005-0000-0000-0000C66D0000}"/>
    <cellStyle name="SAPBEXHLevel1X 6 5 2" xfId="30976" xr:uid="{8A2D5773-9E4B-468D-BF61-DADC03663E1A}"/>
    <cellStyle name="SAPBEXHLevel1X 6 6" xfId="29795" xr:uid="{00000000-0005-0000-0000-0000C76D0000}"/>
    <cellStyle name="SAPBEXHLevel1X 6 7" xfId="30189" xr:uid="{89424B0F-63F1-4DAD-9AD0-480D3DF47F15}"/>
    <cellStyle name="SAPBEXHLevel1X 7" xfId="24660" xr:uid="{00000000-0005-0000-0000-0000C86D0000}"/>
    <cellStyle name="SAPBEXHLevel1X 7 2" xfId="25384" xr:uid="{00000000-0005-0000-0000-0000C96D0000}"/>
    <cellStyle name="SAPBEXHLevel1X 7 2 2" xfId="27538" xr:uid="{00000000-0005-0000-0000-0000CA6D0000}"/>
    <cellStyle name="SAPBEXHLevel1X 7 2 2 2" xfId="32129" xr:uid="{E3F8D768-4E45-45AD-A328-5DD1CDD3A005}"/>
    <cellStyle name="SAPBEXHLevel1X 7 2 3" xfId="28246" xr:uid="{00000000-0005-0000-0000-0000CB6D0000}"/>
    <cellStyle name="SAPBEXHLevel1X 7 2 3 2" xfId="32804" xr:uid="{868805F1-A02D-4C73-BDA5-CFDBD81FD33E}"/>
    <cellStyle name="SAPBEXHLevel1X 7 2 4" xfId="26478" xr:uid="{00000000-0005-0000-0000-0000CC6D0000}"/>
    <cellStyle name="SAPBEXHLevel1X 7 2 4 2" xfId="31266" xr:uid="{57FEDCD9-D707-4D7B-BD5C-7979B07A6BD1}"/>
    <cellStyle name="SAPBEXHLevel1X 7 2 5" xfId="29798" xr:uid="{00000000-0005-0000-0000-0000CD6D0000}"/>
    <cellStyle name="SAPBEXHLevel1X 7 2 6" xfId="30542" xr:uid="{FE71CFAC-3E37-4B41-BF51-07972614AFE0}"/>
    <cellStyle name="SAPBEXHLevel1X 7 3" xfId="25626" xr:uid="{00000000-0005-0000-0000-0000CE6D0000}"/>
    <cellStyle name="SAPBEXHLevel1X 7 3 2" xfId="27779" xr:uid="{00000000-0005-0000-0000-0000CF6D0000}"/>
    <cellStyle name="SAPBEXHLevel1X 7 3 2 2" xfId="32366" xr:uid="{AA6ED78A-D6DD-44AA-A418-5F23D2BBC751}"/>
    <cellStyle name="SAPBEXHLevel1X 7 3 3" xfId="28247" xr:uid="{00000000-0005-0000-0000-0000D06D0000}"/>
    <cellStyle name="SAPBEXHLevel1X 7 3 3 2" xfId="32805" xr:uid="{69F631F9-210E-4759-8593-6B87CF1EE796}"/>
    <cellStyle name="SAPBEXHLevel1X 7 3 4" xfId="26287" xr:uid="{00000000-0005-0000-0000-0000D16D0000}"/>
    <cellStyle name="SAPBEXHLevel1X 7 3 4 2" xfId="31075" xr:uid="{0ABF05B7-6ABE-4542-867C-2BA95B8FAAE6}"/>
    <cellStyle name="SAPBEXHLevel1X 7 3 5" xfId="29799" xr:uid="{00000000-0005-0000-0000-0000D26D0000}"/>
    <cellStyle name="SAPBEXHLevel1X 7 4" xfId="27253" xr:uid="{00000000-0005-0000-0000-0000D36D0000}"/>
    <cellStyle name="SAPBEXHLevel1X 7 4 2" xfId="31888" xr:uid="{1C00ECD6-4BE2-4528-BCEA-EB20228F42EB}"/>
    <cellStyle name="SAPBEXHLevel1X 7 5" xfId="28245" xr:uid="{00000000-0005-0000-0000-0000D46D0000}"/>
    <cellStyle name="SAPBEXHLevel1X 7 5 2" xfId="32803" xr:uid="{969721FB-D643-4D75-9485-CD0869262CBC}"/>
    <cellStyle name="SAPBEXHLevel1X 7 6" xfId="26972" xr:uid="{00000000-0005-0000-0000-0000D56D0000}"/>
    <cellStyle name="SAPBEXHLevel1X 7 6 2" xfId="31733" xr:uid="{AAA01AFD-4F5B-4857-8E55-B1CFFF9F552C}"/>
    <cellStyle name="SAPBEXHLevel1X 7 7" xfId="29797" xr:uid="{00000000-0005-0000-0000-0000D66D0000}"/>
    <cellStyle name="SAPBEXHLevel1X 7 8" xfId="30328" xr:uid="{73345D3E-011D-4B5D-9BB5-FEBDDA2918C4}"/>
    <cellStyle name="SAPBEXHLevel1X 8" xfId="25113" xr:uid="{00000000-0005-0000-0000-0000D76D0000}"/>
    <cellStyle name="SAPBEXHLevel1X 8 2" xfId="25380" xr:uid="{00000000-0005-0000-0000-0000D86D0000}"/>
    <cellStyle name="SAPBEXHLevel1X 8 2 2" xfId="27534" xr:uid="{00000000-0005-0000-0000-0000D96D0000}"/>
    <cellStyle name="SAPBEXHLevel1X 8 2 2 2" xfId="32125" xr:uid="{EB54A12F-C3C9-408C-9C03-5BFB95FC73E8}"/>
    <cellStyle name="SAPBEXHLevel1X 8 2 3" xfId="28249" xr:uid="{00000000-0005-0000-0000-0000DA6D0000}"/>
    <cellStyle name="SAPBEXHLevel1X 8 2 3 2" xfId="32807" xr:uid="{8A43542F-11A9-4DA6-85F2-ACE09E3F23CB}"/>
    <cellStyle name="SAPBEXHLevel1X 8 2 4" xfId="26978" xr:uid="{00000000-0005-0000-0000-0000DB6D0000}"/>
    <cellStyle name="SAPBEXHLevel1X 8 2 4 2" xfId="31739" xr:uid="{709FD634-255B-4941-9184-DE017BF3646A}"/>
    <cellStyle name="SAPBEXHLevel1X 8 2 5" xfId="29801" xr:uid="{00000000-0005-0000-0000-0000DC6D0000}"/>
    <cellStyle name="SAPBEXHLevel1X 8 2 6" xfId="30538" xr:uid="{EB440985-0378-4039-9919-959C84D7D378}"/>
    <cellStyle name="SAPBEXHLevel1X 8 3" xfId="25711" xr:uid="{00000000-0005-0000-0000-0000DD6D0000}"/>
    <cellStyle name="SAPBEXHLevel1X 8 3 2" xfId="27864" xr:uid="{00000000-0005-0000-0000-0000DE6D0000}"/>
    <cellStyle name="SAPBEXHLevel1X 8 3 2 2" xfId="32451" xr:uid="{6D7F942A-914F-48BE-AE7A-943D2B2AB4F9}"/>
    <cellStyle name="SAPBEXHLevel1X 8 3 3" xfId="28250" xr:uid="{00000000-0005-0000-0000-0000DF6D0000}"/>
    <cellStyle name="SAPBEXHLevel1X 8 3 3 2" xfId="32808" xr:uid="{6EF56C93-48D0-4A8F-8D07-D9F573EFF668}"/>
    <cellStyle name="SAPBEXHLevel1X 8 3 4" xfId="26895" xr:uid="{00000000-0005-0000-0000-0000E06D0000}"/>
    <cellStyle name="SAPBEXHLevel1X 8 3 4 2" xfId="31656" xr:uid="{6BDA569C-B837-4519-A6A4-784621007E39}"/>
    <cellStyle name="SAPBEXHLevel1X 8 3 5" xfId="29802" xr:uid="{00000000-0005-0000-0000-0000E16D0000}"/>
    <cellStyle name="SAPBEXHLevel1X 8 3 6" xfId="30705" xr:uid="{01D8D8D4-C429-4C6C-B9A3-7644B152D0B5}"/>
    <cellStyle name="SAPBEXHLevel1X 8 4" xfId="27398" xr:uid="{00000000-0005-0000-0000-0000E26D0000}"/>
    <cellStyle name="SAPBEXHLevel1X 8 4 2" xfId="31996" xr:uid="{289ED923-19B9-4AB7-A872-DFBB9811D290}"/>
    <cellStyle name="SAPBEXHLevel1X 8 5" xfId="28248" xr:uid="{00000000-0005-0000-0000-0000E36D0000}"/>
    <cellStyle name="SAPBEXHLevel1X 8 5 2" xfId="32806" xr:uid="{A3B2CDEF-8CEE-40EF-9E4E-46D7695B4E7D}"/>
    <cellStyle name="SAPBEXHLevel1X 8 6" xfId="26971" xr:uid="{00000000-0005-0000-0000-0000E46D0000}"/>
    <cellStyle name="SAPBEXHLevel1X 8 6 2" xfId="31732" xr:uid="{F285A251-5170-4697-8D64-0425ABDECD41}"/>
    <cellStyle name="SAPBEXHLevel1X 8 7" xfId="29800" xr:uid="{00000000-0005-0000-0000-0000E56D0000}"/>
    <cellStyle name="SAPBEXHLevel1X 8 8" xfId="30413" xr:uid="{C51D6A8E-3252-41BA-9778-537C3A8A4CFE}"/>
    <cellStyle name="SAPBEXHLevel1X 9" xfId="25846" xr:uid="{00000000-0005-0000-0000-0000E66D0000}"/>
    <cellStyle name="SAPBEXHLevel1X 9 2" xfId="30765" xr:uid="{5BC7F63C-EAC2-4424-939C-381607A5129E}"/>
    <cellStyle name="SAPBEXHLevel2" xfId="119" xr:uid="{00000000-0005-0000-0000-0000E76D0000}"/>
    <cellStyle name="SAPBEXHLevel2 10" xfId="28251" xr:uid="{00000000-0005-0000-0000-0000E86D0000}"/>
    <cellStyle name="SAPBEXHLevel2 10 2" xfId="32809" xr:uid="{A3D3E06A-5513-4E5F-91F6-4FAC14199F8D}"/>
    <cellStyle name="SAPBEXHLevel2 11" xfId="29206" xr:uid="{00000000-0005-0000-0000-0000E96D0000}"/>
    <cellStyle name="SAPBEXHLevel2 11 2" xfId="33189" xr:uid="{86A1CC10-CCA7-4242-B5C9-DC9809DC3CE6}"/>
    <cellStyle name="SAPBEXHLevel2 12" xfId="29803" xr:uid="{00000000-0005-0000-0000-0000EA6D0000}"/>
    <cellStyle name="SAPBEXHLevel2 2" xfId="120" xr:uid="{00000000-0005-0000-0000-0000EB6D0000}"/>
    <cellStyle name="SAPBEXHLevel2 2 2" xfId="13654" xr:uid="{00000000-0005-0000-0000-0000EC6D0000}"/>
    <cellStyle name="SAPBEXHLevel2 2 2 2" xfId="25492" xr:uid="{00000000-0005-0000-0000-0000ED6D0000}"/>
    <cellStyle name="SAPBEXHLevel2 2 2 2 2" xfId="27645" xr:uid="{00000000-0005-0000-0000-0000EE6D0000}"/>
    <cellStyle name="SAPBEXHLevel2 2 2 2 2 2" xfId="32232" xr:uid="{06FD7798-04C7-49F7-ADEC-68DD7664A2C3}"/>
    <cellStyle name="SAPBEXHLevel2 2 2 2 3" xfId="28254" xr:uid="{00000000-0005-0000-0000-0000EF6D0000}"/>
    <cellStyle name="SAPBEXHLevel2 2 2 2 3 2" xfId="32812" xr:uid="{2FAE2923-34C3-4840-9655-0B08A418A4D6}"/>
    <cellStyle name="SAPBEXHLevel2 2 2 2 4" xfId="26071" xr:uid="{00000000-0005-0000-0000-0000F06D0000}"/>
    <cellStyle name="SAPBEXHLevel2 2 2 2 4 2" xfId="30861" xr:uid="{24DFBB97-8714-4DB9-95F9-3E9D95635A35}"/>
    <cellStyle name="SAPBEXHLevel2 2 2 2 5" xfId="29806" xr:uid="{00000000-0005-0000-0000-0000F16D0000}"/>
    <cellStyle name="SAPBEXHLevel2 2 2 3" xfId="26596" xr:uid="{00000000-0005-0000-0000-0000F26D0000}"/>
    <cellStyle name="SAPBEXHLevel2 2 2 3 2" xfId="31374" xr:uid="{2AACC676-0188-4899-B256-2E2BFD55C95B}"/>
    <cellStyle name="SAPBEXHLevel2 2 2 4" xfId="28253" xr:uid="{00000000-0005-0000-0000-0000F36D0000}"/>
    <cellStyle name="SAPBEXHLevel2 2 2 4 2" xfId="32811" xr:uid="{A73B4739-4538-453A-9BF7-03C5CF943844}"/>
    <cellStyle name="SAPBEXHLevel2 2 2 5" xfId="26747" xr:uid="{00000000-0005-0000-0000-0000F46D0000}"/>
    <cellStyle name="SAPBEXHLevel2 2 2 5 2" xfId="31508" xr:uid="{6449C02D-757E-40B1-B13D-7E65A61E3FD0}"/>
    <cellStyle name="SAPBEXHLevel2 2 2 6" xfId="29805" xr:uid="{00000000-0005-0000-0000-0000F56D0000}"/>
    <cellStyle name="SAPBEXHLevel2 2 2 7" xfId="30194" xr:uid="{A03D528A-C959-445B-A1D6-8F82FE5BDEB9}"/>
    <cellStyle name="SAPBEXHLevel2 2 3" xfId="24262" xr:uid="{00000000-0005-0000-0000-0000F66D0000}"/>
    <cellStyle name="SAPBEXHLevel2 2 3 2" xfId="25583" xr:uid="{00000000-0005-0000-0000-0000F76D0000}"/>
    <cellStyle name="SAPBEXHLevel2 2 3 2 2" xfId="27736" xr:uid="{00000000-0005-0000-0000-0000F86D0000}"/>
    <cellStyle name="SAPBEXHLevel2 2 3 2 2 2" xfId="32323" xr:uid="{005227D4-A81F-400E-A27F-4638D6CA4369}"/>
    <cellStyle name="SAPBEXHLevel2 2 3 2 3" xfId="28256" xr:uid="{00000000-0005-0000-0000-0000F96D0000}"/>
    <cellStyle name="SAPBEXHLevel2 2 3 2 3 2" xfId="32814" xr:uid="{ED71EB9A-7FBF-4B6E-993B-95A7EB5BC4BA}"/>
    <cellStyle name="SAPBEXHLevel2 2 3 2 4" xfId="26158" xr:uid="{00000000-0005-0000-0000-0000FA6D0000}"/>
    <cellStyle name="SAPBEXHLevel2 2 3 2 4 2" xfId="30947" xr:uid="{9A1477DC-7001-45D1-A39E-51B90E043F8D}"/>
    <cellStyle name="SAPBEXHLevel2 2 3 2 5" xfId="29808" xr:uid="{00000000-0005-0000-0000-0000FB6D0000}"/>
    <cellStyle name="SAPBEXHLevel2 2 3 3" xfId="27116" xr:uid="{00000000-0005-0000-0000-0000FC6D0000}"/>
    <cellStyle name="SAPBEXHLevel2 2 3 3 2" xfId="31834" xr:uid="{512B381D-420B-41AF-868F-1994945E8FC7}"/>
    <cellStyle name="SAPBEXHLevel2 2 3 4" xfId="28255" xr:uid="{00000000-0005-0000-0000-0000FD6D0000}"/>
    <cellStyle name="SAPBEXHLevel2 2 3 4 2" xfId="32813" xr:uid="{241FB119-66B3-403C-B1EA-5F8C3F68F95F}"/>
    <cellStyle name="SAPBEXHLevel2 2 3 5" xfId="26337" xr:uid="{00000000-0005-0000-0000-0000FE6D0000}"/>
    <cellStyle name="SAPBEXHLevel2 2 3 5 2" xfId="31125" xr:uid="{8AA08D84-CE9F-4751-9D73-8752D71DFE07}"/>
    <cellStyle name="SAPBEXHLevel2 2 3 6" xfId="29807" xr:uid="{00000000-0005-0000-0000-0000FF6D0000}"/>
    <cellStyle name="SAPBEXHLevel2 2 3 7" xfId="30285" xr:uid="{C0C5A759-96D1-4F0C-8732-F4843E4509A5}"/>
    <cellStyle name="SAPBEXHLevel2 2 4" xfId="24656" xr:uid="{00000000-0005-0000-0000-0000006E0000}"/>
    <cellStyle name="SAPBEXHLevel2 2 4 2" xfId="25363" xr:uid="{00000000-0005-0000-0000-0000016E0000}"/>
    <cellStyle name="SAPBEXHLevel2 2 4 2 2" xfId="27517" xr:uid="{00000000-0005-0000-0000-0000026E0000}"/>
    <cellStyle name="SAPBEXHLevel2 2 4 2 2 2" xfId="32108" xr:uid="{CE074DA2-9B3F-467E-B1F3-450F2A614D22}"/>
    <cellStyle name="SAPBEXHLevel2 2 4 2 3" xfId="28258" xr:uid="{00000000-0005-0000-0000-0000036E0000}"/>
    <cellStyle name="SAPBEXHLevel2 2 4 2 3 2" xfId="32816" xr:uid="{CBE2EA76-0ECB-4595-AE13-BAC5AD53EC28}"/>
    <cellStyle name="SAPBEXHLevel2 2 4 2 4" xfId="26987" xr:uid="{00000000-0005-0000-0000-0000046E0000}"/>
    <cellStyle name="SAPBEXHLevel2 2 4 2 4 2" xfId="31748" xr:uid="{1B407ABD-BFDA-4D5A-9ACD-D5EFC2F04539}"/>
    <cellStyle name="SAPBEXHLevel2 2 4 2 5" xfId="29810" xr:uid="{00000000-0005-0000-0000-0000056E0000}"/>
    <cellStyle name="SAPBEXHLevel2 2 4 2 6" xfId="30521" xr:uid="{18BE5C8E-9603-4C28-A8AF-1CD689AA3382}"/>
    <cellStyle name="SAPBEXHLevel2 2 4 3" xfId="25622" xr:uid="{00000000-0005-0000-0000-0000066E0000}"/>
    <cellStyle name="SAPBEXHLevel2 2 4 3 2" xfId="27775" xr:uid="{00000000-0005-0000-0000-0000076E0000}"/>
    <cellStyle name="SAPBEXHLevel2 2 4 3 2 2" xfId="32362" xr:uid="{9F28561E-3A49-4746-B882-B32377E806ED}"/>
    <cellStyle name="SAPBEXHLevel2 2 4 3 3" xfId="28259" xr:uid="{00000000-0005-0000-0000-0000086E0000}"/>
    <cellStyle name="SAPBEXHLevel2 2 4 3 3 2" xfId="32817" xr:uid="{7AD81A38-345A-4F04-BDC0-8FA1CA9F63A8}"/>
    <cellStyle name="SAPBEXHLevel2 2 4 3 4" xfId="26067" xr:uid="{00000000-0005-0000-0000-0000096E0000}"/>
    <cellStyle name="SAPBEXHLevel2 2 4 3 4 2" xfId="30857" xr:uid="{3E2A08D0-A9D1-4484-8D69-B4C16986B9CB}"/>
    <cellStyle name="SAPBEXHLevel2 2 4 3 5" xfId="29811" xr:uid="{00000000-0005-0000-0000-00000A6E0000}"/>
    <cellStyle name="SAPBEXHLevel2 2 4 4" xfId="27249" xr:uid="{00000000-0005-0000-0000-00000B6E0000}"/>
    <cellStyle name="SAPBEXHLevel2 2 4 4 2" xfId="31884" xr:uid="{6D935B50-432E-49F6-9326-699CA108C07A}"/>
    <cellStyle name="SAPBEXHLevel2 2 4 5" xfId="28257" xr:uid="{00000000-0005-0000-0000-00000C6E0000}"/>
    <cellStyle name="SAPBEXHLevel2 2 4 5 2" xfId="32815" xr:uid="{8CBD8714-094C-4092-BCF7-A4E11E8A7DA0}"/>
    <cellStyle name="SAPBEXHLevel2 2 4 6" xfId="26175" xr:uid="{00000000-0005-0000-0000-00000D6E0000}"/>
    <cellStyle name="SAPBEXHLevel2 2 4 6 2" xfId="30964" xr:uid="{369EB1D7-63FF-4833-8A9C-E20DC9534BD7}"/>
    <cellStyle name="SAPBEXHLevel2 2 4 7" xfId="29809" xr:uid="{00000000-0005-0000-0000-00000E6E0000}"/>
    <cellStyle name="SAPBEXHLevel2 2 4 8" xfId="30324" xr:uid="{C5E97B17-0015-4304-82EB-141DAC05A722}"/>
    <cellStyle name="SAPBEXHLevel2 2 5" xfId="25117" xr:uid="{00000000-0005-0000-0000-00000F6E0000}"/>
    <cellStyle name="SAPBEXHLevel2 2 5 2" xfId="25319" xr:uid="{00000000-0005-0000-0000-0000106E0000}"/>
    <cellStyle name="SAPBEXHLevel2 2 5 2 2" xfId="27473" xr:uid="{00000000-0005-0000-0000-0000116E0000}"/>
    <cellStyle name="SAPBEXHLevel2 2 5 2 2 2" xfId="32064" xr:uid="{AAF296A2-72DA-46FD-8D2E-FAFA54C860E2}"/>
    <cellStyle name="SAPBEXHLevel2 2 5 2 3" xfId="28261" xr:uid="{00000000-0005-0000-0000-0000126E0000}"/>
    <cellStyle name="SAPBEXHLevel2 2 5 2 3 2" xfId="32819" xr:uid="{551BF80C-B8F8-4C41-9F61-52D714ADA62D}"/>
    <cellStyle name="SAPBEXHLevel2 2 5 2 4" xfId="26289" xr:uid="{00000000-0005-0000-0000-0000136E0000}"/>
    <cellStyle name="SAPBEXHLevel2 2 5 2 4 2" xfId="31077" xr:uid="{FB2A98D3-1333-41EC-948B-CA3C0C384C18}"/>
    <cellStyle name="SAPBEXHLevel2 2 5 2 5" xfId="29813" xr:uid="{00000000-0005-0000-0000-0000146E0000}"/>
    <cellStyle name="SAPBEXHLevel2 2 5 2 6" xfId="30477" xr:uid="{C53DB107-816D-4071-A48C-3B293C25CF16}"/>
    <cellStyle name="SAPBEXHLevel2 2 5 3" xfId="25715" xr:uid="{00000000-0005-0000-0000-0000156E0000}"/>
    <cellStyle name="SAPBEXHLevel2 2 5 3 2" xfId="27868" xr:uid="{00000000-0005-0000-0000-0000166E0000}"/>
    <cellStyle name="SAPBEXHLevel2 2 5 3 2 2" xfId="32455" xr:uid="{7098BD23-4B70-4888-A6E5-4388066219A1}"/>
    <cellStyle name="SAPBEXHLevel2 2 5 3 3" xfId="28262" xr:uid="{00000000-0005-0000-0000-0000176E0000}"/>
    <cellStyle name="SAPBEXHLevel2 2 5 3 3 2" xfId="32820" xr:uid="{A8EC214C-108F-4598-93EC-D580DC8A6AEF}"/>
    <cellStyle name="SAPBEXHLevel2 2 5 3 4" xfId="27148" xr:uid="{00000000-0005-0000-0000-0000186E0000}"/>
    <cellStyle name="SAPBEXHLevel2 2 5 3 4 2" xfId="31850" xr:uid="{BC49B553-EA42-4DF0-88BC-FED62E4B5CBB}"/>
    <cellStyle name="SAPBEXHLevel2 2 5 3 5" xfId="29814" xr:uid="{00000000-0005-0000-0000-0000196E0000}"/>
    <cellStyle name="SAPBEXHLevel2 2 5 3 6" xfId="30709" xr:uid="{45D3B5A5-42C2-4ACC-B92E-206F914567FF}"/>
    <cellStyle name="SAPBEXHLevel2 2 5 4" xfId="27402" xr:uid="{00000000-0005-0000-0000-00001A6E0000}"/>
    <cellStyle name="SAPBEXHLevel2 2 5 4 2" xfId="32000" xr:uid="{16CB77B7-DE57-437F-AF1F-5D98B867886D}"/>
    <cellStyle name="SAPBEXHLevel2 2 5 5" xfId="28260" xr:uid="{00000000-0005-0000-0000-00001B6E0000}"/>
    <cellStyle name="SAPBEXHLevel2 2 5 5 2" xfId="32818" xr:uid="{CC0E23F3-1AA0-4032-8F6B-72A83F20EA81}"/>
    <cellStyle name="SAPBEXHLevel2 2 5 6" xfId="26860" xr:uid="{00000000-0005-0000-0000-00001C6E0000}"/>
    <cellStyle name="SAPBEXHLevel2 2 5 6 2" xfId="31621" xr:uid="{24ABD72B-DCDA-4F59-8E15-EAACD49A855E}"/>
    <cellStyle name="SAPBEXHLevel2 2 5 7" xfId="29812" xr:uid="{00000000-0005-0000-0000-00001D6E0000}"/>
    <cellStyle name="SAPBEXHLevel2 2 5 8" xfId="30417" xr:uid="{0FBF80A7-02C3-4C5C-94A7-72A1A9FDF956}"/>
    <cellStyle name="SAPBEXHLevel2 2 6" xfId="25851" xr:uid="{00000000-0005-0000-0000-00001E6E0000}"/>
    <cellStyle name="SAPBEXHLevel2 2 6 2" xfId="30770" xr:uid="{9590E993-97D8-4406-8CE6-F1F86D500F54}"/>
    <cellStyle name="SAPBEXHLevel2 2 7" xfId="28252" xr:uid="{00000000-0005-0000-0000-00001F6E0000}"/>
    <cellStyle name="SAPBEXHLevel2 2 7 2" xfId="32810" xr:uid="{8D367D9E-5CCF-4F3A-AB03-CCCCF0CEA32B}"/>
    <cellStyle name="SAPBEXHLevel2 2 8" xfId="29183" xr:uid="{00000000-0005-0000-0000-0000206E0000}"/>
    <cellStyle name="SAPBEXHLevel2 2 8 2" xfId="33166" xr:uid="{444240FB-534D-4169-B20B-87A2532061BB}"/>
    <cellStyle name="SAPBEXHLevel2 2 9" xfId="29804" xr:uid="{00000000-0005-0000-0000-0000216E0000}"/>
    <cellStyle name="SAPBEXHLevel2 3" xfId="121" xr:uid="{00000000-0005-0000-0000-0000226E0000}"/>
    <cellStyle name="SAPBEXHLevel2 3 2" xfId="13655" xr:uid="{00000000-0005-0000-0000-0000236E0000}"/>
    <cellStyle name="SAPBEXHLevel2 3 2 2" xfId="25493" xr:uid="{00000000-0005-0000-0000-0000246E0000}"/>
    <cellStyle name="SAPBEXHLevel2 3 2 2 2" xfId="27646" xr:uid="{00000000-0005-0000-0000-0000256E0000}"/>
    <cellStyle name="SAPBEXHLevel2 3 2 2 2 2" xfId="32233" xr:uid="{504F2774-0FA1-4D79-A136-52ED3839BB01}"/>
    <cellStyle name="SAPBEXHLevel2 3 2 2 3" xfId="28265" xr:uid="{00000000-0005-0000-0000-0000266E0000}"/>
    <cellStyle name="SAPBEXHLevel2 3 2 2 3 2" xfId="32823" xr:uid="{3E9416FC-A5FD-4D32-8919-027C9C2B4887}"/>
    <cellStyle name="SAPBEXHLevel2 3 2 2 4" xfId="26162" xr:uid="{00000000-0005-0000-0000-0000276E0000}"/>
    <cellStyle name="SAPBEXHLevel2 3 2 2 4 2" xfId="30951" xr:uid="{08565796-4B28-4EDC-A211-AB56246ADDF3}"/>
    <cellStyle name="SAPBEXHLevel2 3 2 2 5" xfId="29817" xr:uid="{00000000-0005-0000-0000-0000286E0000}"/>
    <cellStyle name="SAPBEXHLevel2 3 2 3" xfId="26597" xr:uid="{00000000-0005-0000-0000-0000296E0000}"/>
    <cellStyle name="SAPBEXHLevel2 3 2 3 2" xfId="31375" xr:uid="{F84F91DA-D7DE-439B-A121-CCADB104EB27}"/>
    <cellStyle name="SAPBEXHLevel2 3 2 4" xfId="28264" xr:uid="{00000000-0005-0000-0000-00002A6E0000}"/>
    <cellStyle name="SAPBEXHLevel2 3 2 4 2" xfId="32822" xr:uid="{55A94946-4DB4-41D4-A569-7B1DFA6F289D}"/>
    <cellStyle name="SAPBEXHLevel2 3 2 5" xfId="27003" xr:uid="{00000000-0005-0000-0000-00002B6E0000}"/>
    <cellStyle name="SAPBEXHLevel2 3 2 5 2" xfId="31763" xr:uid="{D409D6EC-0C24-4973-AF04-EB019E4141AE}"/>
    <cellStyle name="SAPBEXHLevel2 3 2 6" xfId="29816" xr:uid="{00000000-0005-0000-0000-00002C6E0000}"/>
    <cellStyle name="SAPBEXHLevel2 3 2 7" xfId="30195" xr:uid="{0EFF9024-79DD-4629-B0CB-5B3C6FDC3C58}"/>
    <cellStyle name="SAPBEXHLevel2 3 3" xfId="24263" xr:uid="{00000000-0005-0000-0000-00002D6E0000}"/>
    <cellStyle name="SAPBEXHLevel2 3 3 2" xfId="25584" xr:uid="{00000000-0005-0000-0000-00002E6E0000}"/>
    <cellStyle name="SAPBEXHLevel2 3 3 2 2" xfId="27737" xr:uid="{00000000-0005-0000-0000-00002F6E0000}"/>
    <cellStyle name="SAPBEXHLevel2 3 3 2 2 2" xfId="32324" xr:uid="{7E6853ED-931D-429B-9A1D-4A1714812003}"/>
    <cellStyle name="SAPBEXHLevel2 3 3 2 3" xfId="28267" xr:uid="{00000000-0005-0000-0000-0000306E0000}"/>
    <cellStyle name="SAPBEXHLevel2 3 3 2 3 2" xfId="32825" xr:uid="{A55765A4-3468-4444-BF46-F4D26843F335}"/>
    <cellStyle name="SAPBEXHLevel2 3 3 2 4" xfId="26738" xr:uid="{00000000-0005-0000-0000-0000316E0000}"/>
    <cellStyle name="SAPBEXHLevel2 3 3 2 4 2" xfId="31499" xr:uid="{D9893349-3E87-48A2-A491-0E8308C9B790}"/>
    <cellStyle name="SAPBEXHLevel2 3 3 2 5" xfId="29819" xr:uid="{00000000-0005-0000-0000-0000326E0000}"/>
    <cellStyle name="SAPBEXHLevel2 3 3 3" xfId="27117" xr:uid="{00000000-0005-0000-0000-0000336E0000}"/>
    <cellStyle name="SAPBEXHLevel2 3 3 3 2" xfId="31835" xr:uid="{5ACB60C2-BA3E-4CC8-80D5-F5F9E7441FB6}"/>
    <cellStyle name="SAPBEXHLevel2 3 3 4" xfId="28266" xr:uid="{00000000-0005-0000-0000-0000346E0000}"/>
    <cellStyle name="SAPBEXHLevel2 3 3 4 2" xfId="32824" xr:uid="{44E6EE00-DD9E-495F-B47E-B1540E11E3B5}"/>
    <cellStyle name="SAPBEXHLevel2 3 3 5" xfId="26068" xr:uid="{00000000-0005-0000-0000-0000356E0000}"/>
    <cellStyle name="SAPBEXHLevel2 3 3 5 2" xfId="30858" xr:uid="{08AB70E2-0FF9-42C1-B29F-8595AA6709F0}"/>
    <cellStyle name="SAPBEXHLevel2 3 3 6" xfId="29818" xr:uid="{00000000-0005-0000-0000-0000366E0000}"/>
    <cellStyle name="SAPBEXHLevel2 3 3 7" xfId="30286" xr:uid="{0CBC89F8-D54D-4D7C-B036-DCFC04385D4D}"/>
    <cellStyle name="SAPBEXHLevel2 3 4" xfId="24655" xr:uid="{00000000-0005-0000-0000-0000376E0000}"/>
    <cellStyle name="SAPBEXHLevel2 3 4 2" xfId="25451" xr:uid="{00000000-0005-0000-0000-0000386E0000}"/>
    <cellStyle name="SAPBEXHLevel2 3 4 2 2" xfId="27605" xr:uid="{00000000-0005-0000-0000-0000396E0000}"/>
    <cellStyle name="SAPBEXHLevel2 3 4 2 2 2" xfId="32196" xr:uid="{CF5FF323-CA47-4AF6-9D59-F6C5D0CCA909}"/>
    <cellStyle name="SAPBEXHLevel2 3 4 2 3" xfId="28269" xr:uid="{00000000-0005-0000-0000-00003A6E0000}"/>
    <cellStyle name="SAPBEXHLevel2 3 4 2 3 2" xfId="32827" xr:uid="{29FA21F9-6DA0-4B3D-A31B-A6472DEB1B58}"/>
    <cellStyle name="SAPBEXHLevel2 3 4 2 4" xfId="26164" xr:uid="{00000000-0005-0000-0000-00003B6E0000}"/>
    <cellStyle name="SAPBEXHLevel2 3 4 2 4 2" xfId="30953" xr:uid="{9E9AC64F-4D6E-4ECE-ACEE-731A5C8038D6}"/>
    <cellStyle name="SAPBEXHLevel2 3 4 2 5" xfId="29821" xr:uid="{00000000-0005-0000-0000-00003C6E0000}"/>
    <cellStyle name="SAPBEXHLevel2 3 4 2 6" xfId="30609" xr:uid="{0A556369-E3AD-45BE-9350-A886D48B039B}"/>
    <cellStyle name="SAPBEXHLevel2 3 4 3" xfId="25621" xr:uid="{00000000-0005-0000-0000-00003D6E0000}"/>
    <cellStyle name="SAPBEXHLevel2 3 4 3 2" xfId="27774" xr:uid="{00000000-0005-0000-0000-00003E6E0000}"/>
    <cellStyle name="SAPBEXHLevel2 3 4 3 2 2" xfId="32361" xr:uid="{62DFD7C2-824A-4D6C-B1AC-EC115990C98C}"/>
    <cellStyle name="SAPBEXHLevel2 3 4 3 3" xfId="28270" xr:uid="{00000000-0005-0000-0000-00003F6E0000}"/>
    <cellStyle name="SAPBEXHLevel2 3 4 3 3 2" xfId="32828" xr:uid="{214BDE5C-7CAC-480F-B76E-60D185188D0B}"/>
    <cellStyle name="SAPBEXHLevel2 3 4 3 4" xfId="26087" xr:uid="{00000000-0005-0000-0000-0000406E0000}"/>
    <cellStyle name="SAPBEXHLevel2 3 4 3 4 2" xfId="30877" xr:uid="{AE270984-DE80-4B1B-AEF9-A3CC2DC6A7E4}"/>
    <cellStyle name="SAPBEXHLevel2 3 4 3 5" xfId="29822" xr:uid="{00000000-0005-0000-0000-0000416E0000}"/>
    <cellStyle name="SAPBEXHLevel2 3 4 4" xfId="27248" xr:uid="{00000000-0005-0000-0000-0000426E0000}"/>
    <cellStyle name="SAPBEXHLevel2 3 4 4 2" xfId="31883" xr:uid="{F4108CE0-5C28-4A91-BA04-9DF48CDDFED6}"/>
    <cellStyle name="SAPBEXHLevel2 3 4 5" xfId="28268" xr:uid="{00000000-0005-0000-0000-0000436E0000}"/>
    <cellStyle name="SAPBEXHLevel2 3 4 5 2" xfId="32826" xr:uid="{A7649BAB-C2F9-4D61-A245-8A3F2C52FF2E}"/>
    <cellStyle name="SAPBEXHLevel2 3 4 6" xfId="26772" xr:uid="{00000000-0005-0000-0000-0000446E0000}"/>
    <cellStyle name="SAPBEXHLevel2 3 4 6 2" xfId="31533" xr:uid="{477CC66B-1C14-4CD3-85B7-38EB537E515C}"/>
    <cellStyle name="SAPBEXHLevel2 3 4 7" xfId="29820" xr:uid="{00000000-0005-0000-0000-0000456E0000}"/>
    <cellStyle name="SAPBEXHLevel2 3 4 8" xfId="30323" xr:uid="{9DAD2D41-5371-46A0-BCA3-57C25B4F5A2C}"/>
    <cellStyle name="SAPBEXHLevel2 3 5" xfId="25118" xr:uid="{00000000-0005-0000-0000-0000466E0000}"/>
    <cellStyle name="SAPBEXHLevel2 3 5 2" xfId="25420" xr:uid="{00000000-0005-0000-0000-0000476E0000}"/>
    <cellStyle name="SAPBEXHLevel2 3 5 2 2" xfId="27574" xr:uid="{00000000-0005-0000-0000-0000486E0000}"/>
    <cellStyle name="SAPBEXHLevel2 3 5 2 2 2" xfId="32165" xr:uid="{850FA2A6-080E-46D4-9AB0-F69D72DC2FD5}"/>
    <cellStyle name="SAPBEXHLevel2 3 5 2 3" xfId="28272" xr:uid="{00000000-0005-0000-0000-0000496E0000}"/>
    <cellStyle name="SAPBEXHLevel2 3 5 2 3 2" xfId="32830" xr:uid="{AD768DB6-A9AE-4EC2-A6A4-85005728DEA7}"/>
    <cellStyle name="SAPBEXHLevel2 3 5 2 4" xfId="26243" xr:uid="{00000000-0005-0000-0000-00004A6E0000}"/>
    <cellStyle name="SAPBEXHLevel2 3 5 2 4 2" xfId="31031" xr:uid="{C7B137BD-3316-430D-AF46-6F21E6C0F6CF}"/>
    <cellStyle name="SAPBEXHLevel2 3 5 2 5" xfId="29824" xr:uid="{00000000-0005-0000-0000-00004B6E0000}"/>
    <cellStyle name="SAPBEXHLevel2 3 5 2 6" xfId="30578" xr:uid="{FA1D6532-F3DE-441A-80D4-AEB44916EB96}"/>
    <cellStyle name="SAPBEXHLevel2 3 5 3" xfId="25716" xr:uid="{00000000-0005-0000-0000-00004C6E0000}"/>
    <cellStyle name="SAPBEXHLevel2 3 5 3 2" xfId="27869" xr:uid="{00000000-0005-0000-0000-00004D6E0000}"/>
    <cellStyle name="SAPBEXHLevel2 3 5 3 2 2" xfId="32456" xr:uid="{34B5AB80-D878-4825-A217-58B9BEFD4F30}"/>
    <cellStyle name="SAPBEXHLevel2 3 5 3 3" xfId="28273" xr:uid="{00000000-0005-0000-0000-00004E6E0000}"/>
    <cellStyle name="SAPBEXHLevel2 3 5 3 3 2" xfId="32831" xr:uid="{B7604C57-774E-41D5-8EC4-1019A3AAD5B6}"/>
    <cellStyle name="SAPBEXHLevel2 3 5 3 4" xfId="26744" xr:uid="{00000000-0005-0000-0000-00004F6E0000}"/>
    <cellStyle name="SAPBEXHLevel2 3 5 3 4 2" xfId="31505" xr:uid="{FA134876-857E-47DD-8CD3-746A19EC03DC}"/>
    <cellStyle name="SAPBEXHLevel2 3 5 3 5" xfId="29825" xr:uid="{00000000-0005-0000-0000-0000506E0000}"/>
    <cellStyle name="SAPBEXHLevel2 3 5 3 6" xfId="30710" xr:uid="{AAF0239A-3176-42F7-B7E4-9E0176ADA9E3}"/>
    <cellStyle name="SAPBEXHLevel2 3 5 4" xfId="27403" xr:uid="{00000000-0005-0000-0000-0000516E0000}"/>
    <cellStyle name="SAPBEXHLevel2 3 5 4 2" xfId="32001" xr:uid="{E8BA43F3-E339-4E8E-9DE5-4C17D8C0C8FD}"/>
    <cellStyle name="SAPBEXHLevel2 3 5 5" xfId="28271" xr:uid="{00000000-0005-0000-0000-0000526E0000}"/>
    <cellStyle name="SAPBEXHLevel2 3 5 5 2" xfId="32829" xr:uid="{F1315DF4-B89E-40B8-A2F4-CD61F19E423D}"/>
    <cellStyle name="SAPBEXHLevel2 3 5 6" xfId="26349" xr:uid="{00000000-0005-0000-0000-0000536E0000}"/>
    <cellStyle name="SAPBEXHLevel2 3 5 6 2" xfId="31137" xr:uid="{641B7158-DB69-43F5-B488-103DE3E35E69}"/>
    <cellStyle name="SAPBEXHLevel2 3 5 7" xfId="29823" xr:uid="{00000000-0005-0000-0000-0000546E0000}"/>
    <cellStyle name="SAPBEXHLevel2 3 5 8" xfId="30418" xr:uid="{18639F46-DDDC-46D5-8429-A7554DBF5E83}"/>
    <cellStyle name="SAPBEXHLevel2 3 6" xfId="25852" xr:uid="{00000000-0005-0000-0000-0000556E0000}"/>
    <cellStyle name="SAPBEXHLevel2 3 6 2" xfId="30771" xr:uid="{B8C8D3BB-A7C6-4FF1-9937-97B64B0E5201}"/>
    <cellStyle name="SAPBEXHLevel2 3 7" xfId="28263" xr:uid="{00000000-0005-0000-0000-0000566E0000}"/>
    <cellStyle name="SAPBEXHLevel2 3 7 2" xfId="32821" xr:uid="{F1A8DB8F-21F6-4167-8612-0E3F44DC5046}"/>
    <cellStyle name="SAPBEXHLevel2 3 8" xfId="29247" xr:uid="{00000000-0005-0000-0000-0000576E0000}"/>
    <cellStyle name="SAPBEXHLevel2 3 8 2" xfId="33229" xr:uid="{DE4EA4D9-744B-4F43-8C04-22CE27F1102C}"/>
    <cellStyle name="SAPBEXHLevel2 3 9" xfId="29815" xr:uid="{00000000-0005-0000-0000-0000586E0000}"/>
    <cellStyle name="SAPBEXHLevel2 4" xfId="122" xr:uid="{00000000-0005-0000-0000-0000596E0000}"/>
    <cellStyle name="SAPBEXHLevel2 4 2" xfId="13656" xr:uid="{00000000-0005-0000-0000-00005A6E0000}"/>
    <cellStyle name="SAPBEXHLevel2 4 2 2" xfId="25494" xr:uid="{00000000-0005-0000-0000-00005B6E0000}"/>
    <cellStyle name="SAPBEXHLevel2 4 2 2 2" xfId="27647" xr:uid="{00000000-0005-0000-0000-00005C6E0000}"/>
    <cellStyle name="SAPBEXHLevel2 4 2 2 2 2" xfId="32234" xr:uid="{942CDE0B-CBD9-42FB-A600-6BCC7D6FAA4A}"/>
    <cellStyle name="SAPBEXHLevel2 4 2 2 3" xfId="28276" xr:uid="{00000000-0005-0000-0000-00005D6E0000}"/>
    <cellStyle name="SAPBEXHLevel2 4 2 2 3 2" xfId="32834" xr:uid="{EED06FF0-8A48-4231-A3FB-B84E3070108B}"/>
    <cellStyle name="SAPBEXHLevel2 4 2 2 4" xfId="26915" xr:uid="{00000000-0005-0000-0000-00005E6E0000}"/>
    <cellStyle name="SAPBEXHLevel2 4 2 2 4 2" xfId="31676" xr:uid="{7F9017C4-129C-4467-8305-75837367C37A}"/>
    <cellStyle name="SAPBEXHLevel2 4 2 2 5" xfId="29828" xr:uid="{00000000-0005-0000-0000-00005F6E0000}"/>
    <cellStyle name="SAPBEXHLevel2 4 2 3" xfId="26598" xr:uid="{00000000-0005-0000-0000-0000606E0000}"/>
    <cellStyle name="SAPBEXHLevel2 4 2 3 2" xfId="31376" xr:uid="{44F3B272-EDE0-4A70-A896-BAC71D707CF8}"/>
    <cellStyle name="SAPBEXHLevel2 4 2 4" xfId="28275" xr:uid="{00000000-0005-0000-0000-0000616E0000}"/>
    <cellStyle name="SAPBEXHLevel2 4 2 4 2" xfId="32833" xr:uid="{F9C38EE1-C1ED-4A57-B197-0B19606F71BB}"/>
    <cellStyle name="SAPBEXHLevel2 4 2 5" xfId="27025" xr:uid="{00000000-0005-0000-0000-0000626E0000}"/>
    <cellStyle name="SAPBEXHLevel2 4 2 5 2" xfId="31785" xr:uid="{6887543D-A4EA-435B-862C-364836836105}"/>
    <cellStyle name="SAPBEXHLevel2 4 2 6" xfId="29827" xr:uid="{00000000-0005-0000-0000-0000636E0000}"/>
    <cellStyle name="SAPBEXHLevel2 4 2 7" xfId="30196" xr:uid="{F372C198-18D8-4002-AA99-ED04027F27E3}"/>
    <cellStyle name="SAPBEXHLevel2 4 3" xfId="25853" xr:uid="{00000000-0005-0000-0000-0000646E0000}"/>
    <cellStyle name="SAPBEXHLevel2 4 3 2" xfId="30772" xr:uid="{1CC161FB-38BA-4433-9F67-F4DC0EBCEF70}"/>
    <cellStyle name="SAPBEXHLevel2 4 4" xfId="28274" xr:uid="{00000000-0005-0000-0000-0000656E0000}"/>
    <cellStyle name="SAPBEXHLevel2 4 4 2" xfId="32832" xr:uid="{AC01FCF2-0640-455A-916C-F4BF6DB28B18}"/>
    <cellStyle name="SAPBEXHLevel2 4 5" xfId="29192" xr:uid="{00000000-0005-0000-0000-0000666E0000}"/>
    <cellStyle name="SAPBEXHLevel2 4 5 2" xfId="33175" xr:uid="{DB40BBE0-81A8-4F08-84E8-AF80CB7611E4}"/>
    <cellStyle name="SAPBEXHLevel2 4 6" xfId="29826" xr:uid="{00000000-0005-0000-0000-0000676E0000}"/>
    <cellStyle name="SAPBEXHLevel2 5" xfId="254" xr:uid="{00000000-0005-0000-0000-0000686E0000}"/>
    <cellStyle name="SAPBEXHLevel2 5 2" xfId="13719" xr:uid="{00000000-0005-0000-0000-0000696E0000}"/>
    <cellStyle name="SAPBEXHLevel2 5 2 2" xfId="25532" xr:uid="{00000000-0005-0000-0000-00006A6E0000}"/>
    <cellStyle name="SAPBEXHLevel2 5 2 2 2" xfId="27685" xr:uid="{00000000-0005-0000-0000-00006B6E0000}"/>
    <cellStyle name="SAPBEXHLevel2 5 2 2 2 2" xfId="32272" xr:uid="{05E64827-7396-438E-A1E2-DBE3D96CCE7A}"/>
    <cellStyle name="SAPBEXHLevel2 5 2 2 3" xfId="28279" xr:uid="{00000000-0005-0000-0000-00006C6E0000}"/>
    <cellStyle name="SAPBEXHLevel2 5 2 2 3 2" xfId="32837" xr:uid="{6F43E969-74D4-4EAA-B07E-875232CB39EE}"/>
    <cellStyle name="SAPBEXHLevel2 5 2 2 4" xfId="26126" xr:uid="{00000000-0005-0000-0000-00006D6E0000}"/>
    <cellStyle name="SAPBEXHLevel2 5 2 2 4 2" xfId="30916" xr:uid="{D8F46A64-0730-4C1A-8471-3433436EED0C}"/>
    <cellStyle name="SAPBEXHLevel2 5 2 2 5" xfId="29831" xr:uid="{00000000-0005-0000-0000-00006E6E0000}"/>
    <cellStyle name="SAPBEXHLevel2 5 2 3" xfId="26639" xr:uid="{00000000-0005-0000-0000-00006F6E0000}"/>
    <cellStyle name="SAPBEXHLevel2 5 2 3 2" xfId="31416" xr:uid="{203F62C2-42AE-4F58-BD65-553845A083C7}"/>
    <cellStyle name="SAPBEXHLevel2 5 2 4" xfId="28278" xr:uid="{00000000-0005-0000-0000-0000706E0000}"/>
    <cellStyle name="SAPBEXHLevel2 5 2 4 2" xfId="32836" xr:uid="{250545E3-D43B-4FDD-AC1E-391A295F03F8}"/>
    <cellStyle name="SAPBEXHLevel2 5 2 5" xfId="27350" xr:uid="{00000000-0005-0000-0000-0000716E0000}"/>
    <cellStyle name="SAPBEXHLevel2 5 2 5 2" xfId="31948" xr:uid="{6B523822-CF41-48AC-9964-78FDBC8D8806}"/>
    <cellStyle name="SAPBEXHLevel2 5 2 6" xfId="29830" xr:uid="{00000000-0005-0000-0000-0000726E0000}"/>
    <cellStyle name="SAPBEXHLevel2 5 2 7" xfId="30234" xr:uid="{C1D12180-FEF4-4B46-91BB-7F6B61276BA8}"/>
    <cellStyle name="SAPBEXHLevel2 5 3" xfId="25922" xr:uid="{00000000-0005-0000-0000-0000736E0000}"/>
    <cellStyle name="SAPBEXHLevel2 5 3 2" xfId="30811" xr:uid="{D63BA733-35F9-4C28-A805-F1105009E4A6}"/>
    <cellStyle name="SAPBEXHLevel2 5 4" xfId="28277" xr:uid="{00000000-0005-0000-0000-0000746E0000}"/>
    <cellStyle name="SAPBEXHLevel2 5 4 2" xfId="32835" xr:uid="{879802F9-9F7B-4643-8DC8-432010893E2B}"/>
    <cellStyle name="SAPBEXHLevel2 5 5" xfId="28567" xr:uid="{00000000-0005-0000-0000-0000756E0000}"/>
    <cellStyle name="SAPBEXHLevel2 5 5 2" xfId="33125" xr:uid="{37D2A4B9-CD3B-46C8-ABD2-52AE200002E5}"/>
    <cellStyle name="SAPBEXHLevel2 5 6" xfId="29829" xr:uid="{00000000-0005-0000-0000-0000766E0000}"/>
    <cellStyle name="SAPBEXHLevel2 6" xfId="13653" xr:uid="{00000000-0005-0000-0000-0000776E0000}"/>
    <cellStyle name="SAPBEXHLevel2 6 2" xfId="25491" xr:uid="{00000000-0005-0000-0000-0000786E0000}"/>
    <cellStyle name="SAPBEXHLevel2 6 2 2" xfId="27644" xr:uid="{00000000-0005-0000-0000-0000796E0000}"/>
    <cellStyle name="SAPBEXHLevel2 6 2 2 2" xfId="32231" xr:uid="{5E7C80D3-DBB6-41FA-99CF-E1FD34A916B7}"/>
    <cellStyle name="SAPBEXHLevel2 6 2 3" xfId="28281" xr:uid="{00000000-0005-0000-0000-00007A6E0000}"/>
    <cellStyle name="SAPBEXHLevel2 6 2 3 2" xfId="32839" xr:uid="{DF731675-6CF9-4012-ADDC-5EBFF82F2893}"/>
    <cellStyle name="SAPBEXHLevel2 6 2 4" xfId="26100" xr:uid="{00000000-0005-0000-0000-00007B6E0000}"/>
    <cellStyle name="SAPBEXHLevel2 6 2 4 2" xfId="30890" xr:uid="{2B145ECC-5801-4A25-9009-81F9347BAFB0}"/>
    <cellStyle name="SAPBEXHLevel2 6 2 5" xfId="29833" xr:uid="{00000000-0005-0000-0000-00007C6E0000}"/>
    <cellStyle name="SAPBEXHLevel2 6 3" xfId="26595" xr:uid="{00000000-0005-0000-0000-00007D6E0000}"/>
    <cellStyle name="SAPBEXHLevel2 6 3 2" xfId="31373" xr:uid="{80AD0B72-64DF-42BD-BCE4-F2E0D5EF34EE}"/>
    <cellStyle name="SAPBEXHLevel2 6 4" xfId="28280" xr:uid="{00000000-0005-0000-0000-00007E6E0000}"/>
    <cellStyle name="SAPBEXHLevel2 6 4 2" xfId="32838" xr:uid="{654AE24B-CBFA-4215-8124-F04D01806536}"/>
    <cellStyle name="SAPBEXHLevel2 6 5" xfId="26926" xr:uid="{00000000-0005-0000-0000-00007F6E0000}"/>
    <cellStyle name="SAPBEXHLevel2 6 5 2" xfId="31687" xr:uid="{96447FAB-74D5-4575-BD3F-C1FD341008F3}"/>
    <cellStyle name="SAPBEXHLevel2 6 6" xfId="29832" xr:uid="{00000000-0005-0000-0000-0000806E0000}"/>
    <cellStyle name="SAPBEXHLevel2 6 7" xfId="30193" xr:uid="{501B2B62-61CB-43F6-B007-4F814AA35E2B}"/>
    <cellStyle name="SAPBEXHLevel2 7" xfId="24657" xr:uid="{00000000-0005-0000-0000-0000816E0000}"/>
    <cellStyle name="SAPBEXHLevel2 7 2" xfId="25300" xr:uid="{00000000-0005-0000-0000-0000826E0000}"/>
    <cellStyle name="SAPBEXHLevel2 7 2 2" xfId="27454" xr:uid="{00000000-0005-0000-0000-0000836E0000}"/>
    <cellStyle name="SAPBEXHLevel2 7 2 2 2" xfId="32046" xr:uid="{72689DBE-8526-4B79-8C52-65485C5CC00A}"/>
    <cellStyle name="SAPBEXHLevel2 7 2 3" xfId="28283" xr:uid="{00000000-0005-0000-0000-0000846E0000}"/>
    <cellStyle name="SAPBEXHLevel2 7 2 3 2" xfId="32841" xr:uid="{2053B8D7-C4AD-4BAD-845D-FF8F4EEE9405}"/>
    <cellStyle name="SAPBEXHLevel2 7 2 4" xfId="26336" xr:uid="{00000000-0005-0000-0000-0000856E0000}"/>
    <cellStyle name="SAPBEXHLevel2 7 2 4 2" xfId="31124" xr:uid="{2F9E563C-73CD-4622-B3FA-1B7BC3D83C7D}"/>
    <cellStyle name="SAPBEXHLevel2 7 2 5" xfId="29835" xr:uid="{00000000-0005-0000-0000-0000866E0000}"/>
    <cellStyle name="SAPBEXHLevel2 7 2 6" xfId="30459" xr:uid="{76974117-37A5-42A9-B803-E7B7994D4F6B}"/>
    <cellStyle name="SAPBEXHLevel2 7 3" xfId="25623" xr:uid="{00000000-0005-0000-0000-0000876E0000}"/>
    <cellStyle name="SAPBEXHLevel2 7 3 2" xfId="27776" xr:uid="{00000000-0005-0000-0000-0000886E0000}"/>
    <cellStyle name="SAPBEXHLevel2 7 3 2 2" xfId="32363" xr:uid="{4E07E887-6096-4A33-AA54-BD03AB9110C3}"/>
    <cellStyle name="SAPBEXHLevel2 7 3 3" xfId="28284" xr:uid="{00000000-0005-0000-0000-0000896E0000}"/>
    <cellStyle name="SAPBEXHLevel2 7 3 3 2" xfId="32842" xr:uid="{031F7860-2711-4612-9597-CE65A14BBACF}"/>
    <cellStyle name="SAPBEXHLevel2 7 3 4" xfId="26094" xr:uid="{00000000-0005-0000-0000-00008A6E0000}"/>
    <cellStyle name="SAPBEXHLevel2 7 3 4 2" xfId="30884" xr:uid="{60BB0556-877A-4C34-9928-4EE5799B65D3}"/>
    <cellStyle name="SAPBEXHLevel2 7 3 5" xfId="29836" xr:uid="{00000000-0005-0000-0000-00008B6E0000}"/>
    <cellStyle name="SAPBEXHLevel2 7 4" xfId="27250" xr:uid="{00000000-0005-0000-0000-00008C6E0000}"/>
    <cellStyle name="SAPBEXHLevel2 7 4 2" xfId="31885" xr:uid="{7614FBCF-40BC-4674-9176-11EBB4D785EB}"/>
    <cellStyle name="SAPBEXHLevel2 7 5" xfId="28282" xr:uid="{00000000-0005-0000-0000-00008D6E0000}"/>
    <cellStyle name="SAPBEXHLevel2 7 5 2" xfId="32840" xr:uid="{9DCCA00F-282D-4C25-A3D6-218E58AAC836}"/>
    <cellStyle name="SAPBEXHLevel2 7 6" xfId="26465" xr:uid="{00000000-0005-0000-0000-00008E6E0000}"/>
    <cellStyle name="SAPBEXHLevel2 7 6 2" xfId="31253" xr:uid="{186EF82F-E42E-4228-B7C2-A2BB7283741E}"/>
    <cellStyle name="SAPBEXHLevel2 7 7" xfId="29834" xr:uid="{00000000-0005-0000-0000-00008F6E0000}"/>
    <cellStyle name="SAPBEXHLevel2 7 8" xfId="30325" xr:uid="{229E654F-908C-4B68-9077-0996C2E93BA8}"/>
    <cellStyle name="SAPBEXHLevel2 8" xfId="25116" xr:uid="{00000000-0005-0000-0000-0000906E0000}"/>
    <cellStyle name="SAPBEXHLevel2 8 2" xfId="25406" xr:uid="{00000000-0005-0000-0000-0000916E0000}"/>
    <cellStyle name="SAPBEXHLevel2 8 2 2" xfId="27560" xr:uid="{00000000-0005-0000-0000-0000926E0000}"/>
    <cellStyle name="SAPBEXHLevel2 8 2 2 2" xfId="32151" xr:uid="{90C7F42A-B312-4EAA-94EA-EE536237FCAD}"/>
    <cellStyle name="SAPBEXHLevel2 8 2 3" xfId="28286" xr:uid="{00000000-0005-0000-0000-0000936E0000}"/>
    <cellStyle name="SAPBEXHLevel2 8 2 3 2" xfId="32844" xr:uid="{35C54C1F-07AD-48F2-97FB-71FA763B4C90}"/>
    <cellStyle name="SAPBEXHLevel2 8 2 4" xfId="26730" xr:uid="{00000000-0005-0000-0000-0000946E0000}"/>
    <cellStyle name="SAPBEXHLevel2 8 2 4 2" xfId="31491" xr:uid="{A07F036E-BD5D-40B9-B7AE-AE262FE25B7E}"/>
    <cellStyle name="SAPBEXHLevel2 8 2 5" xfId="29838" xr:uid="{00000000-0005-0000-0000-0000956E0000}"/>
    <cellStyle name="SAPBEXHLevel2 8 2 6" xfId="30564" xr:uid="{5A113824-98B1-4C31-A967-D84ED557DABE}"/>
    <cellStyle name="SAPBEXHLevel2 8 3" xfId="25714" xr:uid="{00000000-0005-0000-0000-0000966E0000}"/>
    <cellStyle name="SAPBEXHLevel2 8 3 2" xfId="27867" xr:uid="{00000000-0005-0000-0000-0000976E0000}"/>
    <cellStyle name="SAPBEXHLevel2 8 3 2 2" xfId="32454" xr:uid="{24E2CAE4-7FE5-4584-BEF0-238A2CC18CFD}"/>
    <cellStyle name="SAPBEXHLevel2 8 3 3" xfId="28287" xr:uid="{00000000-0005-0000-0000-0000986E0000}"/>
    <cellStyle name="SAPBEXHLevel2 8 3 3 2" xfId="32845" xr:uid="{C42DA687-62E5-4635-85AA-B5DF710B513F}"/>
    <cellStyle name="SAPBEXHLevel2 8 3 4" xfId="26374" xr:uid="{00000000-0005-0000-0000-0000996E0000}"/>
    <cellStyle name="SAPBEXHLevel2 8 3 4 2" xfId="31162" xr:uid="{CFE6F01C-DCA3-46E9-A4EF-8394609C5E68}"/>
    <cellStyle name="SAPBEXHLevel2 8 3 5" xfId="29839" xr:uid="{00000000-0005-0000-0000-00009A6E0000}"/>
    <cellStyle name="SAPBEXHLevel2 8 3 6" xfId="30708" xr:uid="{EDC6D8C8-CD94-4559-AD2F-B6E4788414FA}"/>
    <cellStyle name="SAPBEXHLevel2 8 4" xfId="27401" xr:uid="{00000000-0005-0000-0000-00009B6E0000}"/>
    <cellStyle name="SAPBEXHLevel2 8 4 2" xfId="31999" xr:uid="{ECE974CF-DB81-430D-89B9-DEBC405A3DB2}"/>
    <cellStyle name="SAPBEXHLevel2 8 5" xfId="28285" xr:uid="{00000000-0005-0000-0000-00009C6E0000}"/>
    <cellStyle name="SAPBEXHLevel2 8 5 2" xfId="32843" xr:uid="{0A0A9490-D74F-4E2B-8EF9-BD9B92AC3879}"/>
    <cellStyle name="SAPBEXHLevel2 8 6" xfId="26256" xr:uid="{00000000-0005-0000-0000-00009D6E0000}"/>
    <cellStyle name="SAPBEXHLevel2 8 6 2" xfId="31044" xr:uid="{07BB5ED6-A7D3-4FA7-BE6D-D761EF9A2973}"/>
    <cellStyle name="SAPBEXHLevel2 8 7" xfId="29837" xr:uid="{00000000-0005-0000-0000-00009E6E0000}"/>
    <cellStyle name="SAPBEXHLevel2 8 8" xfId="30416" xr:uid="{BE5236FA-F633-4124-BE3E-46D7BA216F6D}"/>
    <cellStyle name="SAPBEXHLevel2 9" xfId="25850" xr:uid="{00000000-0005-0000-0000-00009F6E0000}"/>
    <cellStyle name="SAPBEXHLevel2 9 2" xfId="30769" xr:uid="{6A79FB55-0B3D-40CC-86F5-BAE994AC70BE}"/>
    <cellStyle name="SAPBEXHLevel2X" xfId="123" xr:uid="{00000000-0005-0000-0000-0000A06E0000}"/>
    <cellStyle name="SAPBEXHLevel2X 10" xfId="28288" xr:uid="{00000000-0005-0000-0000-0000A16E0000}"/>
    <cellStyle name="SAPBEXHLevel2X 10 2" xfId="32846" xr:uid="{39FF4711-184E-4155-B896-5E8F59BFA985}"/>
    <cellStyle name="SAPBEXHLevel2X 11" xfId="26051" xr:uid="{00000000-0005-0000-0000-0000A26E0000}"/>
    <cellStyle name="SAPBEXHLevel2X 11 2" xfId="30843" xr:uid="{160C7412-0291-488B-B8CE-934EDA184A09}"/>
    <cellStyle name="SAPBEXHLevel2X 12" xfId="29840" xr:uid="{00000000-0005-0000-0000-0000A36E0000}"/>
    <cellStyle name="SAPBEXHLevel2X 2" xfId="124" xr:uid="{00000000-0005-0000-0000-0000A46E0000}"/>
    <cellStyle name="SAPBEXHLevel2X 2 2" xfId="13658" xr:uid="{00000000-0005-0000-0000-0000A56E0000}"/>
    <cellStyle name="SAPBEXHLevel2X 2 2 2" xfId="25496" xr:uid="{00000000-0005-0000-0000-0000A66E0000}"/>
    <cellStyle name="SAPBEXHLevel2X 2 2 2 2" xfId="27649" xr:uid="{00000000-0005-0000-0000-0000A76E0000}"/>
    <cellStyle name="SAPBEXHLevel2X 2 2 2 2 2" xfId="32236" xr:uid="{B80A8785-D80F-41F8-A924-B5604ECBEDEC}"/>
    <cellStyle name="SAPBEXHLevel2X 2 2 2 3" xfId="28291" xr:uid="{00000000-0005-0000-0000-0000A86E0000}"/>
    <cellStyle name="SAPBEXHLevel2X 2 2 2 3 2" xfId="32849" xr:uid="{4F02ACB4-2CD5-4991-BC7A-1B9FA7180F9F}"/>
    <cellStyle name="SAPBEXHLevel2X 2 2 2 4" xfId="26394" xr:uid="{00000000-0005-0000-0000-0000A96E0000}"/>
    <cellStyle name="SAPBEXHLevel2X 2 2 2 4 2" xfId="31182" xr:uid="{064AB945-CEAF-4881-B569-8DA15229C9D0}"/>
    <cellStyle name="SAPBEXHLevel2X 2 2 2 5" xfId="29843" xr:uid="{00000000-0005-0000-0000-0000AA6E0000}"/>
    <cellStyle name="SAPBEXHLevel2X 2 2 3" xfId="26600" xr:uid="{00000000-0005-0000-0000-0000AB6E0000}"/>
    <cellStyle name="SAPBEXHLevel2X 2 2 3 2" xfId="31378" xr:uid="{73AD210C-C5DB-4949-B322-D12E40597808}"/>
    <cellStyle name="SAPBEXHLevel2X 2 2 4" xfId="28290" xr:uid="{00000000-0005-0000-0000-0000AC6E0000}"/>
    <cellStyle name="SAPBEXHLevel2X 2 2 4 2" xfId="32848" xr:uid="{5840D0B1-F0D1-4F79-9E02-223FE0D68081}"/>
    <cellStyle name="SAPBEXHLevel2X 2 2 5" xfId="26149" xr:uid="{00000000-0005-0000-0000-0000AD6E0000}"/>
    <cellStyle name="SAPBEXHLevel2X 2 2 5 2" xfId="30938" xr:uid="{2010BA28-F46B-4C4D-B415-2371015A13BD}"/>
    <cellStyle name="SAPBEXHLevel2X 2 2 6" xfId="29842" xr:uid="{00000000-0005-0000-0000-0000AE6E0000}"/>
    <cellStyle name="SAPBEXHLevel2X 2 2 7" xfId="30198" xr:uid="{E89ED948-DFA8-4487-B3E7-4268A0D64F00}"/>
    <cellStyle name="SAPBEXHLevel2X 2 3" xfId="24264" xr:uid="{00000000-0005-0000-0000-0000AF6E0000}"/>
    <cellStyle name="SAPBEXHLevel2X 2 3 2" xfId="25585" xr:uid="{00000000-0005-0000-0000-0000B06E0000}"/>
    <cellStyle name="SAPBEXHLevel2X 2 3 2 2" xfId="27738" xr:uid="{00000000-0005-0000-0000-0000B16E0000}"/>
    <cellStyle name="SAPBEXHLevel2X 2 3 2 2 2" xfId="32325" xr:uid="{B55DCE78-72F5-4335-84F2-1F3E37C0F8D3}"/>
    <cellStyle name="SAPBEXHLevel2X 2 3 2 3" xfId="28293" xr:uid="{00000000-0005-0000-0000-0000B26E0000}"/>
    <cellStyle name="SAPBEXHLevel2X 2 3 2 3 2" xfId="32851" xr:uid="{8CCD1EE3-D11E-486C-84D3-FB7A88A1BC14}"/>
    <cellStyle name="SAPBEXHLevel2X 2 3 2 4" xfId="27359" xr:uid="{00000000-0005-0000-0000-0000B36E0000}"/>
    <cellStyle name="SAPBEXHLevel2X 2 3 2 4 2" xfId="31957" xr:uid="{F62F5FC4-6A2F-4DAA-B1CA-D24826E8C0DD}"/>
    <cellStyle name="SAPBEXHLevel2X 2 3 2 5" xfId="29845" xr:uid="{00000000-0005-0000-0000-0000B46E0000}"/>
    <cellStyle name="SAPBEXHLevel2X 2 3 3" xfId="27118" xr:uid="{00000000-0005-0000-0000-0000B56E0000}"/>
    <cellStyle name="SAPBEXHLevel2X 2 3 3 2" xfId="31836" xr:uid="{1893E49A-9731-483D-BEFD-38693119A0C3}"/>
    <cellStyle name="SAPBEXHLevel2X 2 3 4" xfId="28292" xr:uid="{00000000-0005-0000-0000-0000B66E0000}"/>
    <cellStyle name="SAPBEXHLevel2X 2 3 4 2" xfId="32850" xr:uid="{6207CD6C-19D7-4F96-8118-96D4E17C7A89}"/>
    <cellStyle name="SAPBEXHLevel2X 2 3 5" xfId="26117" xr:uid="{00000000-0005-0000-0000-0000B76E0000}"/>
    <cellStyle name="SAPBEXHLevel2X 2 3 5 2" xfId="30907" xr:uid="{3159AE05-F3B5-40C0-A49C-93A7BD5CF36A}"/>
    <cellStyle name="SAPBEXHLevel2X 2 3 6" xfId="29844" xr:uid="{00000000-0005-0000-0000-0000B86E0000}"/>
    <cellStyle name="SAPBEXHLevel2X 2 3 7" xfId="30287" xr:uid="{BC6E286A-C994-4AFF-8332-49B985F50C0F}"/>
    <cellStyle name="SAPBEXHLevel2X 2 4" xfId="24653" xr:uid="{00000000-0005-0000-0000-0000B96E0000}"/>
    <cellStyle name="SAPBEXHLevel2X 2 4 2" xfId="25434" xr:uid="{00000000-0005-0000-0000-0000BA6E0000}"/>
    <cellStyle name="SAPBEXHLevel2X 2 4 2 2" xfId="27588" xr:uid="{00000000-0005-0000-0000-0000BB6E0000}"/>
    <cellStyle name="SAPBEXHLevel2X 2 4 2 2 2" xfId="32179" xr:uid="{0E315E71-56C1-4990-9C93-05CD6BF7503B}"/>
    <cellStyle name="SAPBEXHLevel2X 2 4 2 3" xfId="28295" xr:uid="{00000000-0005-0000-0000-0000BC6E0000}"/>
    <cellStyle name="SAPBEXHLevel2X 2 4 2 3 2" xfId="32853" xr:uid="{B58957F9-99E3-49F7-8243-5C2E97FF393F}"/>
    <cellStyle name="SAPBEXHLevel2X 2 4 2 4" xfId="26763" xr:uid="{00000000-0005-0000-0000-0000BD6E0000}"/>
    <cellStyle name="SAPBEXHLevel2X 2 4 2 4 2" xfId="31524" xr:uid="{77D57CD8-7F85-4C95-ADE5-E90B7D3F99AC}"/>
    <cellStyle name="SAPBEXHLevel2X 2 4 2 5" xfId="29847" xr:uid="{00000000-0005-0000-0000-0000BE6E0000}"/>
    <cellStyle name="SAPBEXHLevel2X 2 4 2 6" xfId="30592" xr:uid="{5E3FF7A5-9C71-46A0-BDE9-F91D8C6AE5D5}"/>
    <cellStyle name="SAPBEXHLevel2X 2 4 3" xfId="25619" xr:uid="{00000000-0005-0000-0000-0000BF6E0000}"/>
    <cellStyle name="SAPBEXHLevel2X 2 4 3 2" xfId="27772" xr:uid="{00000000-0005-0000-0000-0000C06E0000}"/>
    <cellStyle name="SAPBEXHLevel2X 2 4 3 2 2" xfId="32359" xr:uid="{3BFC3389-8B95-4FBF-8F74-5DA40F0D5496}"/>
    <cellStyle name="SAPBEXHLevel2X 2 4 3 3" xfId="28296" xr:uid="{00000000-0005-0000-0000-0000C16E0000}"/>
    <cellStyle name="SAPBEXHLevel2X 2 4 3 3 2" xfId="32854" xr:uid="{A4B3E655-93A8-479B-BF76-8671D269DD33}"/>
    <cellStyle name="SAPBEXHLevel2X 2 4 3 4" xfId="26850" xr:uid="{00000000-0005-0000-0000-0000C26E0000}"/>
    <cellStyle name="SAPBEXHLevel2X 2 4 3 4 2" xfId="31611" xr:uid="{E89EEC76-5DC2-47FF-B04F-8C74CA1EA7F9}"/>
    <cellStyle name="SAPBEXHLevel2X 2 4 3 5" xfId="29848" xr:uid="{00000000-0005-0000-0000-0000C36E0000}"/>
    <cellStyle name="SAPBEXHLevel2X 2 4 4" xfId="27246" xr:uid="{00000000-0005-0000-0000-0000C46E0000}"/>
    <cellStyle name="SAPBEXHLevel2X 2 4 4 2" xfId="31881" xr:uid="{E4FC204D-A7C0-46E6-8996-4BF9746D653F}"/>
    <cellStyle name="SAPBEXHLevel2X 2 4 5" xfId="28294" xr:uid="{00000000-0005-0000-0000-0000C56E0000}"/>
    <cellStyle name="SAPBEXHLevel2X 2 4 5 2" xfId="32852" xr:uid="{240CAA38-6DDF-4C2E-A40E-456D138501A4}"/>
    <cellStyle name="SAPBEXHLevel2X 2 4 6" xfId="27006" xr:uid="{00000000-0005-0000-0000-0000C66E0000}"/>
    <cellStyle name="SAPBEXHLevel2X 2 4 6 2" xfId="31766" xr:uid="{105FD8AB-48E8-45F4-BFF0-933DB92B4937}"/>
    <cellStyle name="SAPBEXHLevel2X 2 4 7" xfId="29846" xr:uid="{00000000-0005-0000-0000-0000C76E0000}"/>
    <cellStyle name="SAPBEXHLevel2X 2 4 8" xfId="30321" xr:uid="{2806D815-5F18-444E-8ED7-38A401405B00}"/>
    <cellStyle name="SAPBEXHLevel2X 2 5" xfId="25120" xr:uid="{00000000-0005-0000-0000-0000C86E0000}"/>
    <cellStyle name="SAPBEXHLevel2X 2 5 2" xfId="25437" xr:uid="{00000000-0005-0000-0000-0000C96E0000}"/>
    <cellStyle name="SAPBEXHLevel2X 2 5 2 2" xfId="27591" xr:uid="{00000000-0005-0000-0000-0000CA6E0000}"/>
    <cellStyle name="SAPBEXHLevel2X 2 5 2 2 2" xfId="32182" xr:uid="{146EB42F-5C83-4AE3-BE9F-4CB82BFE5F0D}"/>
    <cellStyle name="SAPBEXHLevel2X 2 5 2 3" xfId="28298" xr:uid="{00000000-0005-0000-0000-0000CB6E0000}"/>
    <cellStyle name="SAPBEXHLevel2X 2 5 2 3 2" xfId="32856" xr:uid="{70CF47E2-36FE-48FF-8B38-7F073D4C6CC9}"/>
    <cellStyle name="SAPBEXHLevel2X 2 5 2 4" xfId="26507" xr:uid="{00000000-0005-0000-0000-0000CC6E0000}"/>
    <cellStyle name="SAPBEXHLevel2X 2 5 2 4 2" xfId="31295" xr:uid="{62206DC2-A8DB-4625-879F-CCBB1E349A40}"/>
    <cellStyle name="SAPBEXHLevel2X 2 5 2 5" xfId="29850" xr:uid="{00000000-0005-0000-0000-0000CD6E0000}"/>
    <cellStyle name="SAPBEXHLevel2X 2 5 2 6" xfId="30595" xr:uid="{C2289268-0FCB-4B31-8762-CB57558D250E}"/>
    <cellStyle name="SAPBEXHLevel2X 2 5 3" xfId="25718" xr:uid="{00000000-0005-0000-0000-0000CE6E0000}"/>
    <cellStyle name="SAPBEXHLevel2X 2 5 3 2" xfId="27871" xr:uid="{00000000-0005-0000-0000-0000CF6E0000}"/>
    <cellStyle name="SAPBEXHLevel2X 2 5 3 2 2" xfId="32458" xr:uid="{EB1F5D69-68AF-447A-9BF1-33F449301EC0}"/>
    <cellStyle name="SAPBEXHLevel2X 2 5 3 3" xfId="28299" xr:uid="{00000000-0005-0000-0000-0000D06E0000}"/>
    <cellStyle name="SAPBEXHLevel2X 2 5 3 3 2" xfId="32857" xr:uid="{10D277D1-34CF-43B5-8979-A5793419D8E8}"/>
    <cellStyle name="SAPBEXHLevel2X 2 5 3 4" xfId="26528" xr:uid="{00000000-0005-0000-0000-0000D16E0000}"/>
    <cellStyle name="SAPBEXHLevel2X 2 5 3 4 2" xfId="31315" xr:uid="{5FC43C3A-F925-4069-8E91-207A51EDA085}"/>
    <cellStyle name="SAPBEXHLevel2X 2 5 3 5" xfId="29851" xr:uid="{00000000-0005-0000-0000-0000D26E0000}"/>
    <cellStyle name="SAPBEXHLevel2X 2 5 3 6" xfId="30712" xr:uid="{2C92B649-8AB1-4A21-8F08-48935CD35806}"/>
    <cellStyle name="SAPBEXHLevel2X 2 5 4" xfId="27405" xr:uid="{00000000-0005-0000-0000-0000D36E0000}"/>
    <cellStyle name="SAPBEXHLevel2X 2 5 4 2" xfId="32003" xr:uid="{44509791-5438-46FD-9F65-7FAEE2426485}"/>
    <cellStyle name="SAPBEXHLevel2X 2 5 5" xfId="28297" xr:uid="{00000000-0005-0000-0000-0000D46E0000}"/>
    <cellStyle name="SAPBEXHLevel2X 2 5 5 2" xfId="32855" xr:uid="{EC309A9B-E3FB-4E54-B5D6-E3D8866D7C7C}"/>
    <cellStyle name="SAPBEXHLevel2X 2 5 6" xfId="26732" xr:uid="{00000000-0005-0000-0000-0000D56E0000}"/>
    <cellStyle name="SAPBEXHLevel2X 2 5 6 2" xfId="31493" xr:uid="{110C8C70-758F-49A8-829C-38446E4B2D36}"/>
    <cellStyle name="SAPBEXHLevel2X 2 5 7" xfId="29849" xr:uid="{00000000-0005-0000-0000-0000D66E0000}"/>
    <cellStyle name="SAPBEXHLevel2X 2 5 8" xfId="30420" xr:uid="{F37C0D99-6EE7-459E-89E5-F6BCAD23A3FC}"/>
    <cellStyle name="SAPBEXHLevel2X 2 6" xfId="25855" xr:uid="{00000000-0005-0000-0000-0000D76E0000}"/>
    <cellStyle name="SAPBEXHLevel2X 2 6 2" xfId="30774" xr:uid="{ACCE309B-1CC4-4462-8476-FE1359A71F1C}"/>
    <cellStyle name="SAPBEXHLevel2X 2 7" xfId="28289" xr:uid="{00000000-0005-0000-0000-0000D86E0000}"/>
    <cellStyle name="SAPBEXHLevel2X 2 7 2" xfId="32847" xr:uid="{4C1DB4CB-9701-4254-A426-86ECD8207323}"/>
    <cellStyle name="SAPBEXHLevel2X 2 8" xfId="29232" xr:uid="{00000000-0005-0000-0000-0000D96E0000}"/>
    <cellStyle name="SAPBEXHLevel2X 2 8 2" xfId="33215" xr:uid="{5C335A7E-A0D0-418A-A9A7-41FAB1BDCE87}"/>
    <cellStyle name="SAPBEXHLevel2X 2 9" xfId="29841" xr:uid="{00000000-0005-0000-0000-0000DA6E0000}"/>
    <cellStyle name="SAPBEXHLevel2X 3" xfId="125" xr:uid="{00000000-0005-0000-0000-0000DB6E0000}"/>
    <cellStyle name="SAPBEXHLevel2X 3 2" xfId="13659" xr:uid="{00000000-0005-0000-0000-0000DC6E0000}"/>
    <cellStyle name="SAPBEXHLevel2X 3 2 2" xfId="25497" xr:uid="{00000000-0005-0000-0000-0000DD6E0000}"/>
    <cellStyle name="SAPBEXHLevel2X 3 2 2 2" xfId="27650" xr:uid="{00000000-0005-0000-0000-0000DE6E0000}"/>
    <cellStyle name="SAPBEXHLevel2X 3 2 2 2 2" xfId="32237" xr:uid="{68C814BA-31C8-4FF0-B521-FFC6EF9D9B2E}"/>
    <cellStyle name="SAPBEXHLevel2X 3 2 2 3" xfId="28302" xr:uid="{00000000-0005-0000-0000-0000DF6E0000}"/>
    <cellStyle name="SAPBEXHLevel2X 3 2 2 3 2" xfId="32860" xr:uid="{3561326F-3243-4A1F-ADB6-5C8D27C8BD4F}"/>
    <cellStyle name="SAPBEXHLevel2X 3 2 2 4" xfId="26312" xr:uid="{00000000-0005-0000-0000-0000E06E0000}"/>
    <cellStyle name="SAPBEXHLevel2X 3 2 2 4 2" xfId="31100" xr:uid="{08ED919A-E9E6-4EDE-B952-9AD494F4E66F}"/>
    <cellStyle name="SAPBEXHLevel2X 3 2 2 5" xfId="29854" xr:uid="{00000000-0005-0000-0000-0000E16E0000}"/>
    <cellStyle name="SAPBEXHLevel2X 3 2 3" xfId="26601" xr:uid="{00000000-0005-0000-0000-0000E26E0000}"/>
    <cellStyle name="SAPBEXHLevel2X 3 2 3 2" xfId="31379" xr:uid="{296C1C71-F8D2-4DDC-9F2C-0C4AD5DE6453}"/>
    <cellStyle name="SAPBEXHLevel2X 3 2 4" xfId="28301" xr:uid="{00000000-0005-0000-0000-0000E36E0000}"/>
    <cellStyle name="SAPBEXHLevel2X 3 2 4 2" xfId="32859" xr:uid="{C131D219-DAB1-4AC7-A4E7-9A9F531C34A3}"/>
    <cellStyle name="SAPBEXHLevel2X 3 2 5" xfId="26535" xr:uid="{00000000-0005-0000-0000-0000E46E0000}"/>
    <cellStyle name="SAPBEXHLevel2X 3 2 5 2" xfId="31322" xr:uid="{D412E13F-DA19-40B5-B9A4-97D4B53735A3}"/>
    <cellStyle name="SAPBEXHLevel2X 3 2 6" xfId="29853" xr:uid="{00000000-0005-0000-0000-0000E56E0000}"/>
    <cellStyle name="SAPBEXHLevel2X 3 2 7" xfId="30199" xr:uid="{B349369F-99CF-4011-B0A7-CC1173872BC4}"/>
    <cellStyle name="SAPBEXHLevel2X 3 3" xfId="24265" xr:uid="{00000000-0005-0000-0000-0000E66E0000}"/>
    <cellStyle name="SAPBEXHLevel2X 3 3 2" xfId="25586" xr:uid="{00000000-0005-0000-0000-0000E76E0000}"/>
    <cellStyle name="SAPBEXHLevel2X 3 3 2 2" xfId="27739" xr:uid="{00000000-0005-0000-0000-0000E86E0000}"/>
    <cellStyle name="SAPBEXHLevel2X 3 3 2 2 2" xfId="32326" xr:uid="{C2A2EF66-BE32-4DFA-8855-340BB683DC17}"/>
    <cellStyle name="SAPBEXHLevel2X 3 3 2 3" xfId="28304" xr:uid="{00000000-0005-0000-0000-0000E96E0000}"/>
    <cellStyle name="SAPBEXHLevel2X 3 3 2 3 2" xfId="32862" xr:uid="{76A1AFBB-E582-49E7-B0F8-8AECAF892336}"/>
    <cellStyle name="SAPBEXHLevel2X 3 3 2 4" xfId="26815" xr:uid="{00000000-0005-0000-0000-0000EA6E0000}"/>
    <cellStyle name="SAPBEXHLevel2X 3 3 2 4 2" xfId="31576" xr:uid="{6C80A768-3F40-4268-8A8A-9C47F79ABB07}"/>
    <cellStyle name="SAPBEXHLevel2X 3 3 2 5" xfId="29856" xr:uid="{00000000-0005-0000-0000-0000EB6E0000}"/>
    <cellStyle name="SAPBEXHLevel2X 3 3 3" xfId="27119" xr:uid="{00000000-0005-0000-0000-0000EC6E0000}"/>
    <cellStyle name="SAPBEXHLevel2X 3 3 3 2" xfId="31837" xr:uid="{E50DE7E4-2CE2-4068-BF91-765F266F453A}"/>
    <cellStyle name="SAPBEXHLevel2X 3 3 4" xfId="28303" xr:uid="{00000000-0005-0000-0000-0000ED6E0000}"/>
    <cellStyle name="SAPBEXHLevel2X 3 3 4 2" xfId="32861" xr:uid="{669A3092-DDC0-4A10-8493-E327A624300F}"/>
    <cellStyle name="SAPBEXHLevel2X 3 3 5" xfId="26319" xr:uid="{00000000-0005-0000-0000-0000EE6E0000}"/>
    <cellStyle name="SAPBEXHLevel2X 3 3 5 2" xfId="31107" xr:uid="{883B4567-434B-48C7-98E5-AA0FD6CA2CDB}"/>
    <cellStyle name="SAPBEXHLevel2X 3 3 6" xfId="29855" xr:uid="{00000000-0005-0000-0000-0000EF6E0000}"/>
    <cellStyle name="SAPBEXHLevel2X 3 3 7" xfId="30288" xr:uid="{350C7EE5-1DE1-4EE7-8E5E-4DDB1FD06BEF}"/>
    <cellStyle name="SAPBEXHLevel2X 3 4" xfId="24652" xr:uid="{00000000-0005-0000-0000-0000F06E0000}"/>
    <cellStyle name="SAPBEXHLevel2X 3 4 2" xfId="25333" xr:uid="{00000000-0005-0000-0000-0000F16E0000}"/>
    <cellStyle name="SAPBEXHLevel2X 3 4 2 2" xfId="27487" xr:uid="{00000000-0005-0000-0000-0000F26E0000}"/>
    <cellStyle name="SAPBEXHLevel2X 3 4 2 2 2" xfId="32078" xr:uid="{A83611BE-9A26-40FF-8CD1-9A3E6BE2E539}"/>
    <cellStyle name="SAPBEXHLevel2X 3 4 2 3" xfId="28306" xr:uid="{00000000-0005-0000-0000-0000F36E0000}"/>
    <cellStyle name="SAPBEXHLevel2X 3 4 2 3 2" xfId="32864" xr:uid="{52970F03-AB03-4B01-883D-C6CA0A84735B}"/>
    <cellStyle name="SAPBEXHLevel2X 3 4 2 4" xfId="26363" xr:uid="{00000000-0005-0000-0000-0000F46E0000}"/>
    <cellStyle name="SAPBEXHLevel2X 3 4 2 4 2" xfId="31151" xr:uid="{9CBEE3DC-A698-40AD-A48D-0CF945B10F1E}"/>
    <cellStyle name="SAPBEXHLevel2X 3 4 2 5" xfId="29858" xr:uid="{00000000-0005-0000-0000-0000F56E0000}"/>
    <cellStyle name="SAPBEXHLevel2X 3 4 2 6" xfId="30491" xr:uid="{A9C0E3A9-55F6-4015-AC68-573BEB21E894}"/>
    <cellStyle name="SAPBEXHLevel2X 3 4 3" xfId="25618" xr:uid="{00000000-0005-0000-0000-0000F66E0000}"/>
    <cellStyle name="SAPBEXHLevel2X 3 4 3 2" xfId="27771" xr:uid="{00000000-0005-0000-0000-0000F76E0000}"/>
    <cellStyle name="SAPBEXHLevel2X 3 4 3 2 2" xfId="32358" xr:uid="{42DF8C83-80E7-4331-BAE5-F05E9F80A5BB}"/>
    <cellStyle name="SAPBEXHLevel2X 3 4 3 3" xfId="28307" xr:uid="{00000000-0005-0000-0000-0000F86E0000}"/>
    <cellStyle name="SAPBEXHLevel2X 3 4 3 3 2" xfId="32865" xr:uid="{F218E463-7A97-4B09-AC7A-A8A5154395F3}"/>
    <cellStyle name="SAPBEXHLevel2X 3 4 3 4" xfId="26516" xr:uid="{00000000-0005-0000-0000-0000F96E0000}"/>
    <cellStyle name="SAPBEXHLevel2X 3 4 3 4 2" xfId="31304" xr:uid="{D4617993-C1B8-4067-B4A5-5ED3D22B95B7}"/>
    <cellStyle name="SAPBEXHLevel2X 3 4 3 5" xfId="29859" xr:uid="{00000000-0005-0000-0000-0000FA6E0000}"/>
    <cellStyle name="SAPBEXHLevel2X 3 4 4" xfId="27245" xr:uid="{00000000-0005-0000-0000-0000FB6E0000}"/>
    <cellStyle name="SAPBEXHLevel2X 3 4 4 2" xfId="31880" xr:uid="{524C7DE7-3A6B-441E-A669-D3CE7200549B}"/>
    <cellStyle name="SAPBEXHLevel2X 3 4 5" xfId="28305" xr:uid="{00000000-0005-0000-0000-0000FC6E0000}"/>
    <cellStyle name="SAPBEXHLevel2X 3 4 5 2" xfId="32863" xr:uid="{803751BF-85B9-4945-B68A-25825F65E398}"/>
    <cellStyle name="SAPBEXHLevel2X 3 4 6" xfId="26711" xr:uid="{00000000-0005-0000-0000-0000FD6E0000}"/>
    <cellStyle name="SAPBEXHLevel2X 3 4 6 2" xfId="31473" xr:uid="{C43972B6-828B-4B93-8A38-E4488229649C}"/>
    <cellStyle name="SAPBEXHLevel2X 3 4 7" xfId="29857" xr:uid="{00000000-0005-0000-0000-0000FE6E0000}"/>
    <cellStyle name="SAPBEXHLevel2X 3 4 8" xfId="30320" xr:uid="{26317DB7-6BDD-4B90-B40E-D2875A8142C5}"/>
    <cellStyle name="SAPBEXHLevel2X 3 5" xfId="25121" xr:uid="{00000000-0005-0000-0000-0000FF6E0000}"/>
    <cellStyle name="SAPBEXHLevel2X 3 5 2" xfId="25354" xr:uid="{00000000-0005-0000-0000-0000006F0000}"/>
    <cellStyle name="SAPBEXHLevel2X 3 5 2 2" xfId="27508" xr:uid="{00000000-0005-0000-0000-0000016F0000}"/>
    <cellStyle name="SAPBEXHLevel2X 3 5 2 2 2" xfId="32099" xr:uid="{DF2B96D1-52CE-4933-AFCF-F69E40F779CE}"/>
    <cellStyle name="SAPBEXHLevel2X 3 5 2 3" xfId="28309" xr:uid="{00000000-0005-0000-0000-0000026F0000}"/>
    <cellStyle name="SAPBEXHLevel2X 3 5 2 3 2" xfId="32867" xr:uid="{E90AE2DB-A9BA-40FE-BD0C-868BA220FD86}"/>
    <cellStyle name="SAPBEXHLevel2X 3 5 2 4" xfId="26955" xr:uid="{00000000-0005-0000-0000-0000036F0000}"/>
    <cellStyle name="SAPBEXHLevel2X 3 5 2 4 2" xfId="31716" xr:uid="{1905C4DC-7DD6-41C2-8F5F-3FAA3826B72C}"/>
    <cellStyle name="SAPBEXHLevel2X 3 5 2 5" xfId="29861" xr:uid="{00000000-0005-0000-0000-0000046F0000}"/>
    <cellStyle name="SAPBEXHLevel2X 3 5 2 6" xfId="30512" xr:uid="{4B44D0F1-4E54-4371-90AF-C8D4AE8B2862}"/>
    <cellStyle name="SAPBEXHLevel2X 3 5 3" xfId="25719" xr:uid="{00000000-0005-0000-0000-0000056F0000}"/>
    <cellStyle name="SAPBEXHLevel2X 3 5 3 2" xfId="27872" xr:uid="{00000000-0005-0000-0000-0000066F0000}"/>
    <cellStyle name="SAPBEXHLevel2X 3 5 3 2 2" xfId="32459" xr:uid="{6ECD7BC5-A01F-47C2-9F2A-A0BEDD710D11}"/>
    <cellStyle name="SAPBEXHLevel2X 3 5 3 3" xfId="28310" xr:uid="{00000000-0005-0000-0000-0000076F0000}"/>
    <cellStyle name="SAPBEXHLevel2X 3 5 3 3 2" xfId="32868" xr:uid="{E0BC4AFA-FA82-450F-84BE-7FD9A52DC0A1}"/>
    <cellStyle name="SAPBEXHLevel2X 3 5 3 4" xfId="26513" xr:uid="{00000000-0005-0000-0000-0000086F0000}"/>
    <cellStyle name="SAPBEXHLevel2X 3 5 3 4 2" xfId="31301" xr:uid="{5DB21D4A-477F-4CEC-B329-F4C0FF595831}"/>
    <cellStyle name="SAPBEXHLevel2X 3 5 3 5" xfId="29862" xr:uid="{00000000-0005-0000-0000-0000096F0000}"/>
    <cellStyle name="SAPBEXHLevel2X 3 5 3 6" xfId="30713" xr:uid="{CE0C89F6-3B8F-47AA-9EFD-ECA249DD3F91}"/>
    <cellStyle name="SAPBEXHLevel2X 3 5 4" xfId="27406" xr:uid="{00000000-0005-0000-0000-00000A6F0000}"/>
    <cellStyle name="SAPBEXHLevel2X 3 5 4 2" xfId="32004" xr:uid="{3C67262E-D7E2-43C3-95D6-3198AA0C5344}"/>
    <cellStyle name="SAPBEXHLevel2X 3 5 5" xfId="28308" xr:uid="{00000000-0005-0000-0000-00000B6F0000}"/>
    <cellStyle name="SAPBEXHLevel2X 3 5 5 2" xfId="32866" xr:uid="{F9D42687-1A7C-4D66-8C2D-8F7878AADFE5}"/>
    <cellStyle name="SAPBEXHLevel2X 3 5 6" xfId="26141" xr:uid="{00000000-0005-0000-0000-00000C6F0000}"/>
    <cellStyle name="SAPBEXHLevel2X 3 5 6 2" xfId="30931" xr:uid="{69C3F65B-65BA-45D6-B78B-A22DAEA2C73B}"/>
    <cellStyle name="SAPBEXHLevel2X 3 5 7" xfId="29860" xr:uid="{00000000-0005-0000-0000-00000D6F0000}"/>
    <cellStyle name="SAPBEXHLevel2X 3 5 8" xfId="30421" xr:uid="{6986DA9C-58F3-4D52-95F6-31BF86F9DCD1}"/>
    <cellStyle name="SAPBEXHLevel2X 3 6" xfId="25856" xr:uid="{00000000-0005-0000-0000-00000E6F0000}"/>
    <cellStyle name="SAPBEXHLevel2X 3 6 2" xfId="30775" xr:uid="{D0EE09E1-B8EA-40EC-A02E-467C33508226}"/>
    <cellStyle name="SAPBEXHLevel2X 3 7" xfId="28300" xr:uid="{00000000-0005-0000-0000-00000F6F0000}"/>
    <cellStyle name="SAPBEXHLevel2X 3 7 2" xfId="32858" xr:uid="{9EACCF4F-5707-4C1F-BADE-68B4708927D1}"/>
    <cellStyle name="SAPBEXHLevel2X 3 8" xfId="29214" xr:uid="{00000000-0005-0000-0000-0000106F0000}"/>
    <cellStyle name="SAPBEXHLevel2X 3 8 2" xfId="33197" xr:uid="{4D64B8D7-1A4B-49DA-B4AF-03D38E28536A}"/>
    <cellStyle name="SAPBEXHLevel2X 3 9" xfId="29852" xr:uid="{00000000-0005-0000-0000-0000116F0000}"/>
    <cellStyle name="SAPBEXHLevel2X 4" xfId="126" xr:uid="{00000000-0005-0000-0000-0000126F0000}"/>
    <cellStyle name="SAPBEXHLevel2X 4 2" xfId="13660" xr:uid="{00000000-0005-0000-0000-0000136F0000}"/>
    <cellStyle name="SAPBEXHLevel2X 4 2 2" xfId="25498" xr:uid="{00000000-0005-0000-0000-0000146F0000}"/>
    <cellStyle name="SAPBEXHLevel2X 4 2 2 2" xfId="27651" xr:uid="{00000000-0005-0000-0000-0000156F0000}"/>
    <cellStyle name="SAPBEXHLevel2X 4 2 2 2 2" xfId="32238" xr:uid="{769983A9-FC25-4B24-845E-345081FEB88C}"/>
    <cellStyle name="SAPBEXHLevel2X 4 2 2 3" xfId="28313" xr:uid="{00000000-0005-0000-0000-0000166F0000}"/>
    <cellStyle name="SAPBEXHLevel2X 4 2 2 3 2" xfId="32871" xr:uid="{2D8F571C-74DA-48DB-9E7D-CE15639BEA6F}"/>
    <cellStyle name="SAPBEXHLevel2X 4 2 2 4" xfId="27348" xr:uid="{00000000-0005-0000-0000-0000176F0000}"/>
    <cellStyle name="SAPBEXHLevel2X 4 2 2 4 2" xfId="31946" xr:uid="{7D14A477-1CB6-4F9E-BE25-CCDF30EE4B3D}"/>
    <cellStyle name="SAPBEXHLevel2X 4 2 2 5" xfId="29865" xr:uid="{00000000-0005-0000-0000-0000186F0000}"/>
    <cellStyle name="SAPBEXHLevel2X 4 2 3" xfId="26602" xr:uid="{00000000-0005-0000-0000-0000196F0000}"/>
    <cellStyle name="SAPBEXHLevel2X 4 2 3 2" xfId="31380" xr:uid="{CC15C65E-53C9-4EF0-987E-5BCB52B43667}"/>
    <cellStyle name="SAPBEXHLevel2X 4 2 4" xfId="28312" xr:uid="{00000000-0005-0000-0000-00001A6F0000}"/>
    <cellStyle name="SAPBEXHLevel2X 4 2 4 2" xfId="32870" xr:uid="{348F290E-97A2-426E-AEF8-FF08E05C193F}"/>
    <cellStyle name="SAPBEXHLevel2X 4 2 5" xfId="27082" xr:uid="{00000000-0005-0000-0000-00001B6F0000}"/>
    <cellStyle name="SAPBEXHLevel2X 4 2 5 2" xfId="31806" xr:uid="{9968531E-208C-4393-8B61-AD4ECE53455F}"/>
    <cellStyle name="SAPBEXHLevel2X 4 2 6" xfId="29864" xr:uid="{00000000-0005-0000-0000-00001C6F0000}"/>
    <cellStyle name="SAPBEXHLevel2X 4 2 7" xfId="30200" xr:uid="{973650EE-48B8-407C-A2EF-2928BD22E9A5}"/>
    <cellStyle name="SAPBEXHLevel2X 4 3" xfId="25857" xr:uid="{00000000-0005-0000-0000-00001D6F0000}"/>
    <cellStyle name="SAPBEXHLevel2X 4 3 2" xfId="30776" xr:uid="{6F22AA6E-5ACF-4450-A3A3-206F1A076CB3}"/>
    <cellStyle name="SAPBEXHLevel2X 4 4" xfId="28311" xr:uid="{00000000-0005-0000-0000-00001E6F0000}"/>
    <cellStyle name="SAPBEXHLevel2X 4 4 2" xfId="32869" xr:uid="{896D0740-6BAD-422F-B817-AEC5931338C7}"/>
    <cellStyle name="SAPBEXHLevel2X 4 5" xfId="26370" xr:uid="{00000000-0005-0000-0000-00001F6F0000}"/>
    <cellStyle name="SAPBEXHLevel2X 4 5 2" xfId="31158" xr:uid="{E95CA076-8D58-4743-9DF5-2ECA034581DC}"/>
    <cellStyle name="SAPBEXHLevel2X 4 6" xfId="29863" xr:uid="{00000000-0005-0000-0000-0000206F0000}"/>
    <cellStyle name="SAPBEXHLevel2X 5" xfId="255" xr:uid="{00000000-0005-0000-0000-0000216F0000}"/>
    <cellStyle name="SAPBEXHLevel2X 5 2" xfId="13720" xr:uid="{00000000-0005-0000-0000-0000226F0000}"/>
    <cellStyle name="SAPBEXHLevel2X 5 2 2" xfId="25533" xr:uid="{00000000-0005-0000-0000-0000236F0000}"/>
    <cellStyle name="SAPBEXHLevel2X 5 2 2 2" xfId="27686" xr:uid="{00000000-0005-0000-0000-0000246F0000}"/>
    <cellStyle name="SAPBEXHLevel2X 5 2 2 2 2" xfId="32273" xr:uid="{969DB673-F132-4CBE-994C-665BFBD48362}"/>
    <cellStyle name="SAPBEXHLevel2X 5 2 2 3" xfId="28316" xr:uid="{00000000-0005-0000-0000-0000256F0000}"/>
    <cellStyle name="SAPBEXHLevel2X 5 2 2 3 2" xfId="32874" xr:uid="{5AF32070-A573-43CF-A82F-F76A65150F26}"/>
    <cellStyle name="SAPBEXHLevel2X 5 2 2 4" xfId="26214" xr:uid="{00000000-0005-0000-0000-0000266F0000}"/>
    <cellStyle name="SAPBEXHLevel2X 5 2 2 4 2" xfId="31002" xr:uid="{97AC4181-D357-4B1E-8C2A-AC0B62651307}"/>
    <cellStyle name="SAPBEXHLevel2X 5 2 2 5" xfId="29868" xr:uid="{00000000-0005-0000-0000-0000276F0000}"/>
    <cellStyle name="SAPBEXHLevel2X 5 2 3" xfId="26640" xr:uid="{00000000-0005-0000-0000-0000286F0000}"/>
    <cellStyle name="SAPBEXHLevel2X 5 2 3 2" xfId="31417" xr:uid="{E29B80E2-11AB-4507-84F4-47950C32AA74}"/>
    <cellStyle name="SAPBEXHLevel2X 5 2 4" xfId="28315" xr:uid="{00000000-0005-0000-0000-0000296F0000}"/>
    <cellStyle name="SAPBEXHLevel2X 5 2 4 2" xfId="32873" xr:uid="{301B100A-14DB-4657-9AD5-698FB11EB8AD}"/>
    <cellStyle name="SAPBEXHLevel2X 5 2 5" xfId="27008" xr:uid="{00000000-0005-0000-0000-00002A6F0000}"/>
    <cellStyle name="SAPBEXHLevel2X 5 2 5 2" xfId="31768" xr:uid="{46C5460C-2A05-4E8D-80FC-DACAB3901175}"/>
    <cellStyle name="SAPBEXHLevel2X 5 2 6" xfId="29867" xr:uid="{00000000-0005-0000-0000-00002B6F0000}"/>
    <cellStyle name="SAPBEXHLevel2X 5 2 7" xfId="30235" xr:uid="{C03BD525-83C6-47A9-BC30-CB915168A97D}"/>
    <cellStyle name="SAPBEXHLevel2X 5 3" xfId="25923" xr:uid="{00000000-0005-0000-0000-00002C6F0000}"/>
    <cellStyle name="SAPBEXHLevel2X 5 3 2" xfId="30812" xr:uid="{05DEC17D-FB44-425C-8C75-470DC3851EBE}"/>
    <cellStyle name="SAPBEXHLevel2X 5 4" xfId="28314" xr:uid="{00000000-0005-0000-0000-00002D6F0000}"/>
    <cellStyle name="SAPBEXHLevel2X 5 4 2" xfId="32872" xr:uid="{2E98358B-10FF-44FC-AF6F-5FD64FD46555}"/>
    <cellStyle name="SAPBEXHLevel2X 5 5" xfId="27924" xr:uid="{00000000-0005-0000-0000-00002E6F0000}"/>
    <cellStyle name="SAPBEXHLevel2X 5 5 2" xfId="32482" xr:uid="{DF0E5E79-F03F-4499-909D-9C987E0A765E}"/>
    <cellStyle name="SAPBEXHLevel2X 5 6" xfId="29866" xr:uid="{00000000-0005-0000-0000-00002F6F0000}"/>
    <cellStyle name="SAPBEXHLevel2X 6" xfId="13657" xr:uid="{00000000-0005-0000-0000-0000306F0000}"/>
    <cellStyle name="SAPBEXHLevel2X 6 2" xfId="25495" xr:uid="{00000000-0005-0000-0000-0000316F0000}"/>
    <cellStyle name="SAPBEXHLevel2X 6 2 2" xfId="27648" xr:uid="{00000000-0005-0000-0000-0000326F0000}"/>
    <cellStyle name="SAPBEXHLevel2X 6 2 2 2" xfId="32235" xr:uid="{62D6E3E9-F16D-4400-89DF-D5E2BD38B569}"/>
    <cellStyle name="SAPBEXHLevel2X 6 2 3" xfId="28318" xr:uid="{00000000-0005-0000-0000-0000336F0000}"/>
    <cellStyle name="SAPBEXHLevel2X 6 2 3 2" xfId="32876" xr:uid="{7F3B2853-9A74-4353-865D-F8D35928BB50}"/>
    <cellStyle name="SAPBEXHLevel2X 6 2 4" xfId="27321" xr:uid="{00000000-0005-0000-0000-0000346F0000}"/>
    <cellStyle name="SAPBEXHLevel2X 6 2 4 2" xfId="31940" xr:uid="{B24DB459-6A37-4D29-9C5D-6DE37E9678FD}"/>
    <cellStyle name="SAPBEXHLevel2X 6 2 5" xfId="29870" xr:uid="{00000000-0005-0000-0000-0000356F0000}"/>
    <cellStyle name="SAPBEXHLevel2X 6 3" xfId="26599" xr:uid="{00000000-0005-0000-0000-0000366F0000}"/>
    <cellStyle name="SAPBEXHLevel2X 6 3 2" xfId="31377" xr:uid="{127269DD-B4D7-4E7D-92C1-E9F349449EE5}"/>
    <cellStyle name="SAPBEXHLevel2X 6 4" xfId="28317" xr:uid="{00000000-0005-0000-0000-0000376F0000}"/>
    <cellStyle name="SAPBEXHLevel2X 6 4 2" xfId="32875" xr:uid="{7D039002-1AF4-47D8-AA52-29136A2095D9}"/>
    <cellStyle name="SAPBEXHLevel2X 6 5" xfId="26352" xr:uid="{00000000-0005-0000-0000-0000386F0000}"/>
    <cellStyle name="SAPBEXHLevel2X 6 5 2" xfId="31140" xr:uid="{24C10434-4703-4634-A24A-B7999810F8E0}"/>
    <cellStyle name="SAPBEXHLevel2X 6 6" xfId="29869" xr:uid="{00000000-0005-0000-0000-0000396F0000}"/>
    <cellStyle name="SAPBEXHLevel2X 6 7" xfId="30197" xr:uid="{0DBA6F2A-DBB0-4119-96D4-9A08BB066EFA}"/>
    <cellStyle name="SAPBEXHLevel2X 7" xfId="24654" xr:uid="{00000000-0005-0000-0000-00003A6F0000}"/>
    <cellStyle name="SAPBEXHLevel2X 7 2" xfId="25350" xr:uid="{00000000-0005-0000-0000-00003B6F0000}"/>
    <cellStyle name="SAPBEXHLevel2X 7 2 2" xfId="27504" xr:uid="{00000000-0005-0000-0000-00003C6F0000}"/>
    <cellStyle name="SAPBEXHLevel2X 7 2 2 2" xfId="32095" xr:uid="{F85131B8-CC45-4460-A75E-29E81793FD40}"/>
    <cellStyle name="SAPBEXHLevel2X 7 2 3" xfId="28320" xr:uid="{00000000-0005-0000-0000-00003D6F0000}"/>
    <cellStyle name="SAPBEXHLevel2X 7 2 3 2" xfId="32878" xr:uid="{04C7A79E-6BF2-497C-8C1C-03BB16105FEC}"/>
    <cellStyle name="SAPBEXHLevel2X 7 2 4" xfId="26206" xr:uid="{00000000-0005-0000-0000-00003E6F0000}"/>
    <cellStyle name="SAPBEXHLevel2X 7 2 4 2" xfId="30994" xr:uid="{7753D107-6785-493D-8438-04D4AD959D57}"/>
    <cellStyle name="SAPBEXHLevel2X 7 2 5" xfId="29872" xr:uid="{00000000-0005-0000-0000-00003F6F0000}"/>
    <cellStyle name="SAPBEXHLevel2X 7 2 6" xfId="30508" xr:uid="{675FD031-24F5-4CED-B577-29B0C1D816EC}"/>
    <cellStyle name="SAPBEXHLevel2X 7 3" xfId="25620" xr:uid="{00000000-0005-0000-0000-0000406F0000}"/>
    <cellStyle name="SAPBEXHLevel2X 7 3 2" xfId="27773" xr:uid="{00000000-0005-0000-0000-0000416F0000}"/>
    <cellStyle name="SAPBEXHLevel2X 7 3 2 2" xfId="32360" xr:uid="{C826C5D0-40E6-4EDE-8663-C9AC6AAE5153}"/>
    <cellStyle name="SAPBEXHLevel2X 7 3 3" xfId="28321" xr:uid="{00000000-0005-0000-0000-0000426F0000}"/>
    <cellStyle name="SAPBEXHLevel2X 7 3 3 2" xfId="32879" xr:uid="{C3DDCAA5-A4BD-411B-8856-CBBA4B8F3FE0}"/>
    <cellStyle name="SAPBEXHLevel2X 7 3 4" xfId="26888" xr:uid="{00000000-0005-0000-0000-0000436F0000}"/>
    <cellStyle name="SAPBEXHLevel2X 7 3 4 2" xfId="31649" xr:uid="{21D57C68-30F9-4B6C-9844-67B585BDE5AE}"/>
    <cellStyle name="SAPBEXHLevel2X 7 3 5" xfId="29873" xr:uid="{00000000-0005-0000-0000-0000446F0000}"/>
    <cellStyle name="SAPBEXHLevel2X 7 4" xfId="27247" xr:uid="{00000000-0005-0000-0000-0000456F0000}"/>
    <cellStyle name="SAPBEXHLevel2X 7 4 2" xfId="31882" xr:uid="{1F50CDA6-D426-4BE3-93AA-CB66526806EF}"/>
    <cellStyle name="SAPBEXHLevel2X 7 5" xfId="28319" xr:uid="{00000000-0005-0000-0000-0000466F0000}"/>
    <cellStyle name="SAPBEXHLevel2X 7 5 2" xfId="32877" xr:uid="{03C2483C-A434-4110-A236-1E6DD3535078}"/>
    <cellStyle name="SAPBEXHLevel2X 7 6" xfId="26115" xr:uid="{00000000-0005-0000-0000-0000476F0000}"/>
    <cellStyle name="SAPBEXHLevel2X 7 6 2" xfId="30905" xr:uid="{129CF6D2-70A9-455A-BFB0-65BC28E450D7}"/>
    <cellStyle name="SAPBEXHLevel2X 7 7" xfId="29871" xr:uid="{00000000-0005-0000-0000-0000486F0000}"/>
    <cellStyle name="SAPBEXHLevel2X 7 8" xfId="30322" xr:uid="{9C2CAA50-A93A-4420-AE48-305EBCF23106}"/>
    <cellStyle name="SAPBEXHLevel2X 8" xfId="25119" xr:uid="{00000000-0005-0000-0000-0000496F0000}"/>
    <cellStyle name="SAPBEXHLevel2X 8 2" xfId="25337" xr:uid="{00000000-0005-0000-0000-00004A6F0000}"/>
    <cellStyle name="SAPBEXHLevel2X 8 2 2" xfId="27491" xr:uid="{00000000-0005-0000-0000-00004B6F0000}"/>
    <cellStyle name="SAPBEXHLevel2X 8 2 2 2" xfId="32082" xr:uid="{686CFDCF-31B4-455B-AE48-7F75F05EE172}"/>
    <cellStyle name="SAPBEXHLevel2X 8 2 3" xfId="28323" xr:uid="{00000000-0005-0000-0000-00004C6F0000}"/>
    <cellStyle name="SAPBEXHLevel2X 8 2 3 2" xfId="32881" xr:uid="{8854D5C0-02DF-4691-A393-6F32A7509F3E}"/>
    <cellStyle name="SAPBEXHLevel2X 8 2 4" xfId="26138" xr:uid="{00000000-0005-0000-0000-00004D6F0000}"/>
    <cellStyle name="SAPBEXHLevel2X 8 2 4 2" xfId="30928" xr:uid="{4C73DAD2-5CC0-48FE-838B-08B6E4FF6FD6}"/>
    <cellStyle name="SAPBEXHLevel2X 8 2 5" xfId="29875" xr:uid="{00000000-0005-0000-0000-00004E6F0000}"/>
    <cellStyle name="SAPBEXHLevel2X 8 2 6" xfId="30495" xr:uid="{CC2F96E7-3868-4F9E-906C-EA6B106A0B19}"/>
    <cellStyle name="SAPBEXHLevel2X 8 3" xfId="25717" xr:uid="{00000000-0005-0000-0000-00004F6F0000}"/>
    <cellStyle name="SAPBEXHLevel2X 8 3 2" xfId="27870" xr:uid="{00000000-0005-0000-0000-0000506F0000}"/>
    <cellStyle name="SAPBEXHLevel2X 8 3 2 2" xfId="32457" xr:uid="{B23026B2-2D81-4A57-8853-B023293739F1}"/>
    <cellStyle name="SAPBEXHLevel2X 8 3 3" xfId="28324" xr:uid="{00000000-0005-0000-0000-0000516F0000}"/>
    <cellStyle name="SAPBEXHLevel2X 8 3 3 2" xfId="32882" xr:uid="{117AC622-D2D6-4810-BD6D-24D778F585A5}"/>
    <cellStyle name="SAPBEXHLevel2X 8 3 4" xfId="26822" xr:uid="{00000000-0005-0000-0000-0000526F0000}"/>
    <cellStyle name="SAPBEXHLevel2X 8 3 4 2" xfId="31583" xr:uid="{D4DB7635-284C-414E-BEC7-B40091DDE713}"/>
    <cellStyle name="SAPBEXHLevel2X 8 3 5" xfId="29876" xr:uid="{00000000-0005-0000-0000-0000536F0000}"/>
    <cellStyle name="SAPBEXHLevel2X 8 3 6" xfId="30711" xr:uid="{AAB3D7A8-2466-4FE4-A4B2-92DA429CF465}"/>
    <cellStyle name="SAPBEXHLevel2X 8 4" xfId="27404" xr:uid="{00000000-0005-0000-0000-0000546F0000}"/>
    <cellStyle name="SAPBEXHLevel2X 8 4 2" xfId="32002" xr:uid="{421B840A-CBB3-4937-9CBB-1689F18F6E06}"/>
    <cellStyle name="SAPBEXHLevel2X 8 5" xfId="28322" xr:uid="{00000000-0005-0000-0000-0000556F0000}"/>
    <cellStyle name="SAPBEXHLevel2X 8 5 2" xfId="32880" xr:uid="{800D98A4-FE35-4C07-97C7-594FE8FE102F}"/>
    <cellStyle name="SAPBEXHLevel2X 8 6" xfId="26826" xr:uid="{00000000-0005-0000-0000-0000566F0000}"/>
    <cellStyle name="SAPBEXHLevel2X 8 6 2" xfId="31587" xr:uid="{B5C5A7A9-5D59-4A1E-A74F-1A3BE4914B90}"/>
    <cellStyle name="SAPBEXHLevel2X 8 7" xfId="29874" xr:uid="{00000000-0005-0000-0000-0000576F0000}"/>
    <cellStyle name="SAPBEXHLevel2X 8 8" xfId="30419" xr:uid="{25479D68-A9E2-4939-8BD0-4B760DB2443B}"/>
    <cellStyle name="SAPBEXHLevel2X 9" xfId="25854" xr:uid="{00000000-0005-0000-0000-0000586F0000}"/>
    <cellStyle name="SAPBEXHLevel2X 9 2" xfId="30773" xr:uid="{0C939519-7478-4B4C-9B66-38110537D7E9}"/>
    <cellStyle name="SAPBEXHLevel3" xfId="127" xr:uid="{00000000-0005-0000-0000-0000596F0000}"/>
    <cellStyle name="SAPBEXHLevel3 10" xfId="28325" xr:uid="{00000000-0005-0000-0000-00005A6F0000}"/>
    <cellStyle name="SAPBEXHLevel3 10 2" xfId="32883" xr:uid="{390F4228-059F-4A06-8E9C-87458E7D9AB6}"/>
    <cellStyle name="SAPBEXHLevel3 11" xfId="26726" xr:uid="{00000000-0005-0000-0000-00005B6F0000}"/>
    <cellStyle name="SAPBEXHLevel3 11 2" xfId="31487" xr:uid="{C42E8870-3739-4180-A974-9A6B484EBF9F}"/>
    <cellStyle name="SAPBEXHLevel3 12" xfId="29877" xr:uid="{00000000-0005-0000-0000-00005C6F0000}"/>
    <cellStyle name="SAPBEXHLevel3 2" xfId="128" xr:uid="{00000000-0005-0000-0000-00005D6F0000}"/>
    <cellStyle name="SAPBEXHLevel3 2 2" xfId="13662" xr:uid="{00000000-0005-0000-0000-00005E6F0000}"/>
    <cellStyle name="SAPBEXHLevel3 2 2 2" xfId="25500" xr:uid="{00000000-0005-0000-0000-00005F6F0000}"/>
    <cellStyle name="SAPBEXHLevel3 2 2 2 2" xfId="27653" xr:uid="{00000000-0005-0000-0000-0000606F0000}"/>
    <cellStyle name="SAPBEXHLevel3 2 2 2 2 2" xfId="32240" xr:uid="{3ACD2E27-846A-4B3D-982F-B31A0A7D6651}"/>
    <cellStyle name="SAPBEXHLevel3 2 2 2 3" xfId="28328" xr:uid="{00000000-0005-0000-0000-0000616F0000}"/>
    <cellStyle name="SAPBEXHLevel3 2 2 2 3 2" xfId="32886" xr:uid="{6DD8A478-4974-45E0-808C-38EDE4A00250}"/>
    <cellStyle name="SAPBEXHLevel3 2 2 2 4" xfId="26782" xr:uid="{00000000-0005-0000-0000-0000626F0000}"/>
    <cellStyle name="SAPBEXHLevel3 2 2 2 4 2" xfId="31543" xr:uid="{12E4A735-9FA2-4D1F-90CB-43A10226922B}"/>
    <cellStyle name="SAPBEXHLevel3 2 2 2 5" xfId="29880" xr:uid="{00000000-0005-0000-0000-0000636F0000}"/>
    <cellStyle name="SAPBEXHLevel3 2 2 3" xfId="26604" xr:uid="{00000000-0005-0000-0000-0000646F0000}"/>
    <cellStyle name="SAPBEXHLevel3 2 2 3 2" xfId="31382" xr:uid="{2BF13B17-76AD-4804-8BFD-D27D192C32F4}"/>
    <cellStyle name="SAPBEXHLevel3 2 2 4" xfId="28327" xr:uid="{00000000-0005-0000-0000-0000656F0000}"/>
    <cellStyle name="SAPBEXHLevel3 2 2 4 2" xfId="32885" xr:uid="{729EA39B-151C-4472-AB98-B67533377E4C}"/>
    <cellStyle name="SAPBEXHLevel3 2 2 5" xfId="26542" xr:uid="{00000000-0005-0000-0000-0000666F0000}"/>
    <cellStyle name="SAPBEXHLevel3 2 2 5 2" xfId="31329" xr:uid="{02455393-3BD4-4378-B5DE-5E9774295F4C}"/>
    <cellStyle name="SAPBEXHLevel3 2 2 6" xfId="29879" xr:uid="{00000000-0005-0000-0000-0000676F0000}"/>
    <cellStyle name="SAPBEXHLevel3 2 2 7" xfId="30202" xr:uid="{BBBD1AA3-778C-4BC5-B153-4DBD9FED934E}"/>
    <cellStyle name="SAPBEXHLevel3 2 3" xfId="24266" xr:uid="{00000000-0005-0000-0000-0000686F0000}"/>
    <cellStyle name="SAPBEXHLevel3 2 3 2" xfId="25587" xr:uid="{00000000-0005-0000-0000-0000696F0000}"/>
    <cellStyle name="SAPBEXHLevel3 2 3 2 2" xfId="27740" xr:uid="{00000000-0005-0000-0000-00006A6F0000}"/>
    <cellStyle name="SAPBEXHLevel3 2 3 2 2 2" xfId="32327" xr:uid="{D0A71B44-117A-491D-9D77-C62ED6F72671}"/>
    <cellStyle name="SAPBEXHLevel3 2 3 2 3" xfId="28330" xr:uid="{00000000-0005-0000-0000-00006B6F0000}"/>
    <cellStyle name="SAPBEXHLevel3 2 3 2 3 2" xfId="32888" xr:uid="{779DF8D9-F3A5-4B76-9F83-BF7EEF5892FA}"/>
    <cellStyle name="SAPBEXHLevel3 2 3 2 4" xfId="26451" xr:uid="{00000000-0005-0000-0000-00006C6F0000}"/>
    <cellStyle name="SAPBEXHLevel3 2 3 2 4 2" xfId="31239" xr:uid="{109D2016-F41B-480D-BC0C-C5FCE043689B}"/>
    <cellStyle name="SAPBEXHLevel3 2 3 2 5" xfId="29882" xr:uid="{00000000-0005-0000-0000-00006D6F0000}"/>
    <cellStyle name="SAPBEXHLevel3 2 3 3" xfId="27120" xr:uid="{00000000-0005-0000-0000-00006E6F0000}"/>
    <cellStyle name="SAPBEXHLevel3 2 3 3 2" xfId="31838" xr:uid="{0035D12D-E24C-42A4-8B52-91AF1B552E95}"/>
    <cellStyle name="SAPBEXHLevel3 2 3 4" xfId="28329" xr:uid="{00000000-0005-0000-0000-00006F6F0000}"/>
    <cellStyle name="SAPBEXHLevel3 2 3 4 2" xfId="32887" xr:uid="{930115E3-D16F-416E-ACF4-402ECFCA5D9E}"/>
    <cellStyle name="SAPBEXHLevel3 2 3 5" xfId="26176" xr:uid="{00000000-0005-0000-0000-0000706F0000}"/>
    <cellStyle name="SAPBEXHLevel3 2 3 5 2" xfId="30965" xr:uid="{D3E7D36C-B590-4E1F-BAC3-EDDFD6CE0B97}"/>
    <cellStyle name="SAPBEXHLevel3 2 3 6" xfId="29881" xr:uid="{00000000-0005-0000-0000-0000716F0000}"/>
    <cellStyle name="SAPBEXHLevel3 2 3 7" xfId="30289" xr:uid="{68786F03-A1A1-4938-93E2-D324674A8DE4}"/>
    <cellStyle name="SAPBEXHLevel3 2 4" xfId="24650" xr:uid="{00000000-0005-0000-0000-0000726F0000}"/>
    <cellStyle name="SAPBEXHLevel3 2 4 2" xfId="25317" xr:uid="{00000000-0005-0000-0000-0000736F0000}"/>
    <cellStyle name="SAPBEXHLevel3 2 4 2 2" xfId="27471" xr:uid="{00000000-0005-0000-0000-0000746F0000}"/>
    <cellStyle name="SAPBEXHLevel3 2 4 2 2 2" xfId="32062" xr:uid="{087651B0-C2A5-440D-A983-A13AAAD9FFB2}"/>
    <cellStyle name="SAPBEXHLevel3 2 4 2 3" xfId="28332" xr:uid="{00000000-0005-0000-0000-0000756F0000}"/>
    <cellStyle name="SAPBEXHLevel3 2 4 2 3 2" xfId="32890" xr:uid="{81CAC22D-97C2-41A5-AA93-6A2BE40E4D51}"/>
    <cellStyle name="SAPBEXHLevel3 2 4 2 4" xfId="26320" xr:uid="{00000000-0005-0000-0000-0000766F0000}"/>
    <cellStyle name="SAPBEXHLevel3 2 4 2 4 2" xfId="31108" xr:uid="{22E4178D-3D0E-4144-8E6B-706FB7BAC68D}"/>
    <cellStyle name="SAPBEXHLevel3 2 4 2 5" xfId="29884" xr:uid="{00000000-0005-0000-0000-0000776F0000}"/>
    <cellStyle name="SAPBEXHLevel3 2 4 2 6" xfId="30475" xr:uid="{5702EFEA-1A7C-4A1C-A697-D4BB52DC9D11}"/>
    <cellStyle name="SAPBEXHLevel3 2 4 3" xfId="25616" xr:uid="{00000000-0005-0000-0000-0000786F0000}"/>
    <cellStyle name="SAPBEXHLevel3 2 4 3 2" xfId="27769" xr:uid="{00000000-0005-0000-0000-0000796F0000}"/>
    <cellStyle name="SAPBEXHLevel3 2 4 3 2 2" xfId="32356" xr:uid="{FF46548E-6827-40A5-849B-98132378A016}"/>
    <cellStyle name="SAPBEXHLevel3 2 4 3 3" xfId="28333" xr:uid="{00000000-0005-0000-0000-00007A6F0000}"/>
    <cellStyle name="SAPBEXHLevel3 2 4 3 3 2" xfId="32891" xr:uid="{67E0CFF0-24D8-410F-8918-D8E809EE90F4}"/>
    <cellStyle name="SAPBEXHLevel3 2 4 3 4" xfId="26124" xr:uid="{00000000-0005-0000-0000-00007B6F0000}"/>
    <cellStyle name="SAPBEXHLevel3 2 4 3 4 2" xfId="30914" xr:uid="{2B225268-935F-48D5-A725-BD5D521C3B4D}"/>
    <cellStyle name="SAPBEXHLevel3 2 4 3 5" xfId="29885" xr:uid="{00000000-0005-0000-0000-00007C6F0000}"/>
    <cellStyle name="SAPBEXHLevel3 2 4 4" xfId="27243" xr:uid="{00000000-0005-0000-0000-00007D6F0000}"/>
    <cellStyle name="SAPBEXHLevel3 2 4 4 2" xfId="31878" xr:uid="{238F233A-17CE-4BE0-8753-89AFBE7CD717}"/>
    <cellStyle name="SAPBEXHLevel3 2 4 5" xfId="28331" xr:uid="{00000000-0005-0000-0000-00007E6F0000}"/>
    <cellStyle name="SAPBEXHLevel3 2 4 5 2" xfId="32889" xr:uid="{5E7EB697-EAC7-4C7E-BFC5-B133B717C656}"/>
    <cellStyle name="SAPBEXHLevel3 2 4 6" xfId="26779" xr:uid="{00000000-0005-0000-0000-00007F6F0000}"/>
    <cellStyle name="SAPBEXHLevel3 2 4 6 2" xfId="31540" xr:uid="{C3F2AA8E-3F21-4B99-92DB-6A5A99513555}"/>
    <cellStyle name="SAPBEXHLevel3 2 4 7" xfId="29883" xr:uid="{00000000-0005-0000-0000-0000806F0000}"/>
    <cellStyle name="SAPBEXHLevel3 2 4 8" xfId="30318" xr:uid="{88A181F7-9BE4-4925-AB9B-79CFE2B35AFB}"/>
    <cellStyle name="SAPBEXHLevel3 2 5" xfId="25123" xr:uid="{00000000-0005-0000-0000-0000816F0000}"/>
    <cellStyle name="SAPBEXHLevel3 2 5 2" xfId="25402" xr:uid="{00000000-0005-0000-0000-0000826F0000}"/>
    <cellStyle name="SAPBEXHLevel3 2 5 2 2" xfId="27556" xr:uid="{00000000-0005-0000-0000-0000836F0000}"/>
    <cellStyle name="SAPBEXHLevel3 2 5 2 2 2" xfId="32147" xr:uid="{79723505-481C-4012-88DC-7AE670F6A53C}"/>
    <cellStyle name="SAPBEXHLevel3 2 5 2 3" xfId="28335" xr:uid="{00000000-0005-0000-0000-0000846F0000}"/>
    <cellStyle name="SAPBEXHLevel3 2 5 2 3 2" xfId="32893" xr:uid="{4AFEEAF3-B2C2-45A4-996E-B5B2C2F0F2A1}"/>
    <cellStyle name="SAPBEXHLevel3 2 5 2 4" xfId="26989" xr:uid="{00000000-0005-0000-0000-0000856F0000}"/>
    <cellStyle name="SAPBEXHLevel3 2 5 2 4 2" xfId="31750" xr:uid="{B7FBEA03-64BB-4DA4-9C46-AF239438FA02}"/>
    <cellStyle name="SAPBEXHLevel3 2 5 2 5" xfId="29887" xr:uid="{00000000-0005-0000-0000-0000866F0000}"/>
    <cellStyle name="SAPBEXHLevel3 2 5 2 6" xfId="30560" xr:uid="{CA2C2169-2D1F-4F95-BDBB-CF94ADFF2567}"/>
    <cellStyle name="SAPBEXHLevel3 2 5 3" xfId="25721" xr:uid="{00000000-0005-0000-0000-0000876F0000}"/>
    <cellStyle name="SAPBEXHLevel3 2 5 3 2" xfId="27874" xr:uid="{00000000-0005-0000-0000-0000886F0000}"/>
    <cellStyle name="SAPBEXHLevel3 2 5 3 2 2" xfId="32461" xr:uid="{69800BA3-D48D-4B18-96D2-0DD317045434}"/>
    <cellStyle name="SAPBEXHLevel3 2 5 3 3" xfId="28336" xr:uid="{00000000-0005-0000-0000-0000896F0000}"/>
    <cellStyle name="SAPBEXHLevel3 2 5 3 3 2" xfId="32894" xr:uid="{57A8D45B-64EC-4794-8B86-C47441E1AC10}"/>
    <cellStyle name="SAPBEXHLevel3 2 5 3 4" xfId="26130" xr:uid="{00000000-0005-0000-0000-00008A6F0000}"/>
    <cellStyle name="SAPBEXHLevel3 2 5 3 4 2" xfId="30920" xr:uid="{3BFFD6D9-40CD-4806-8DC9-DD4EEF0FF543}"/>
    <cellStyle name="SAPBEXHLevel3 2 5 3 5" xfId="29888" xr:uid="{00000000-0005-0000-0000-00008B6F0000}"/>
    <cellStyle name="SAPBEXHLevel3 2 5 3 6" xfId="30715" xr:uid="{0EF3445F-1D0C-493F-A0F2-6F462B587C13}"/>
    <cellStyle name="SAPBEXHLevel3 2 5 4" xfId="27408" xr:uid="{00000000-0005-0000-0000-00008C6F0000}"/>
    <cellStyle name="SAPBEXHLevel3 2 5 4 2" xfId="32006" xr:uid="{44DE8BE0-F503-404A-9748-C95551C1BF22}"/>
    <cellStyle name="SAPBEXHLevel3 2 5 5" xfId="28334" xr:uid="{00000000-0005-0000-0000-00008D6F0000}"/>
    <cellStyle name="SAPBEXHLevel3 2 5 5 2" xfId="32892" xr:uid="{2D895C81-B1DF-4DC3-8081-FE71A6F9FAD3}"/>
    <cellStyle name="SAPBEXHLevel3 2 5 6" xfId="26958" xr:uid="{00000000-0005-0000-0000-00008E6F0000}"/>
    <cellStyle name="SAPBEXHLevel3 2 5 6 2" xfId="31719" xr:uid="{F47F5D6D-AB91-4FBA-AB14-8F8540202F69}"/>
    <cellStyle name="SAPBEXHLevel3 2 5 7" xfId="29886" xr:uid="{00000000-0005-0000-0000-00008F6F0000}"/>
    <cellStyle name="SAPBEXHLevel3 2 5 8" xfId="30423" xr:uid="{4B230C4A-C462-4013-AD36-50D48C947651}"/>
    <cellStyle name="SAPBEXHLevel3 2 6" xfId="25859" xr:uid="{00000000-0005-0000-0000-0000906F0000}"/>
    <cellStyle name="SAPBEXHLevel3 2 6 2" xfId="30778" xr:uid="{F1404CA5-F8C1-40E4-842C-54A69C099A43}"/>
    <cellStyle name="SAPBEXHLevel3 2 7" xfId="28326" xr:uid="{00000000-0005-0000-0000-0000916F0000}"/>
    <cellStyle name="SAPBEXHLevel3 2 7 2" xfId="32884" xr:uid="{A948E8AE-495D-4A27-8E05-0989FA2C5EFF}"/>
    <cellStyle name="SAPBEXHLevel3 2 8" xfId="26803" xr:uid="{00000000-0005-0000-0000-0000926F0000}"/>
    <cellStyle name="SAPBEXHLevel3 2 8 2" xfId="31564" xr:uid="{492255BB-88EE-4248-A3B2-0C39480E8EE2}"/>
    <cellStyle name="SAPBEXHLevel3 2 9" xfId="29878" xr:uid="{00000000-0005-0000-0000-0000936F0000}"/>
    <cellStyle name="SAPBEXHLevel3 3" xfId="129" xr:uid="{00000000-0005-0000-0000-0000946F0000}"/>
    <cellStyle name="SAPBEXHLevel3 3 2" xfId="13663" xr:uid="{00000000-0005-0000-0000-0000956F0000}"/>
    <cellStyle name="SAPBEXHLevel3 3 2 2" xfId="25501" xr:uid="{00000000-0005-0000-0000-0000966F0000}"/>
    <cellStyle name="SAPBEXHLevel3 3 2 2 2" xfId="27654" xr:uid="{00000000-0005-0000-0000-0000976F0000}"/>
    <cellStyle name="SAPBEXHLevel3 3 2 2 2 2" xfId="32241" xr:uid="{A6EC6A46-D1F6-46A4-992F-BCF644129001}"/>
    <cellStyle name="SAPBEXHLevel3 3 2 2 3" xfId="28339" xr:uid="{00000000-0005-0000-0000-0000986F0000}"/>
    <cellStyle name="SAPBEXHLevel3 3 2 2 3 2" xfId="32897" xr:uid="{9118F691-F55F-413D-9A51-8BC53DB98C83}"/>
    <cellStyle name="SAPBEXHLevel3 3 2 2 4" xfId="26540" xr:uid="{00000000-0005-0000-0000-0000996F0000}"/>
    <cellStyle name="SAPBEXHLevel3 3 2 2 4 2" xfId="31327" xr:uid="{A3F8F7AE-9154-4276-98E4-C633C6443E50}"/>
    <cellStyle name="SAPBEXHLevel3 3 2 2 5" xfId="29891" xr:uid="{00000000-0005-0000-0000-00009A6F0000}"/>
    <cellStyle name="SAPBEXHLevel3 3 2 3" xfId="26605" xr:uid="{00000000-0005-0000-0000-00009B6F0000}"/>
    <cellStyle name="SAPBEXHLevel3 3 2 3 2" xfId="31383" xr:uid="{D9AD2042-6F3D-4596-B9B7-37B22D32625A}"/>
    <cellStyle name="SAPBEXHLevel3 3 2 4" xfId="28338" xr:uid="{00000000-0005-0000-0000-00009C6F0000}"/>
    <cellStyle name="SAPBEXHLevel3 3 2 4 2" xfId="32896" xr:uid="{543C8F61-54F0-4192-ACB1-FBC492EB7016}"/>
    <cellStyle name="SAPBEXHLevel3 3 2 5" xfId="26712" xr:uid="{00000000-0005-0000-0000-00009D6F0000}"/>
    <cellStyle name="SAPBEXHLevel3 3 2 5 2" xfId="31474" xr:uid="{E9A2D744-F419-4C0E-A33E-5BC6521381CC}"/>
    <cellStyle name="SAPBEXHLevel3 3 2 6" xfId="29890" xr:uid="{00000000-0005-0000-0000-00009E6F0000}"/>
    <cellStyle name="SAPBEXHLevel3 3 2 7" xfId="30203" xr:uid="{5572BB18-1275-4C03-8CB0-DAA99260A2D9}"/>
    <cellStyle name="SAPBEXHLevel3 3 3" xfId="24267" xr:uid="{00000000-0005-0000-0000-00009F6F0000}"/>
    <cellStyle name="SAPBEXHLevel3 3 3 2" xfId="25588" xr:uid="{00000000-0005-0000-0000-0000A06F0000}"/>
    <cellStyle name="SAPBEXHLevel3 3 3 2 2" xfId="27741" xr:uid="{00000000-0005-0000-0000-0000A16F0000}"/>
    <cellStyle name="SAPBEXHLevel3 3 3 2 2 2" xfId="32328" xr:uid="{C66C74D3-B0A0-4F9A-A1C6-999A655606BD}"/>
    <cellStyle name="SAPBEXHLevel3 3 3 2 3" xfId="28341" xr:uid="{00000000-0005-0000-0000-0000A26F0000}"/>
    <cellStyle name="SAPBEXHLevel3 3 3 2 3 2" xfId="32899" xr:uid="{7C5522E9-BCDD-451C-96B9-365DBEAFBD0C}"/>
    <cellStyle name="SAPBEXHLevel3 3 3 2 4" xfId="26688" xr:uid="{00000000-0005-0000-0000-0000A36F0000}"/>
    <cellStyle name="SAPBEXHLevel3 3 3 2 4 2" xfId="31450" xr:uid="{323BA747-4870-4FCF-A32A-136477FDD5BB}"/>
    <cellStyle name="SAPBEXHLevel3 3 3 2 5" xfId="29893" xr:uid="{00000000-0005-0000-0000-0000A46F0000}"/>
    <cellStyle name="SAPBEXHLevel3 3 3 3" xfId="27121" xr:uid="{00000000-0005-0000-0000-0000A56F0000}"/>
    <cellStyle name="SAPBEXHLevel3 3 3 3 2" xfId="31839" xr:uid="{03133A09-158C-488E-9CE1-56186442D499}"/>
    <cellStyle name="SAPBEXHLevel3 3 3 4" xfId="28340" xr:uid="{00000000-0005-0000-0000-0000A66F0000}"/>
    <cellStyle name="SAPBEXHLevel3 3 3 4 2" xfId="32898" xr:uid="{E816AAF6-8948-4786-AB4C-F13407C38A06}"/>
    <cellStyle name="SAPBEXHLevel3 3 3 5" xfId="26288" xr:uid="{00000000-0005-0000-0000-0000A76F0000}"/>
    <cellStyle name="SAPBEXHLevel3 3 3 5 2" xfId="31076" xr:uid="{D251BE32-D48F-4108-AD45-5769E870534E}"/>
    <cellStyle name="SAPBEXHLevel3 3 3 6" xfId="29892" xr:uid="{00000000-0005-0000-0000-0000A86F0000}"/>
    <cellStyle name="SAPBEXHLevel3 3 3 7" xfId="30290" xr:uid="{B8AA07B4-C741-4A59-9FBC-77EF44526F45}"/>
    <cellStyle name="SAPBEXHLevel3 3 4" xfId="24649" xr:uid="{00000000-0005-0000-0000-0000A96F0000}"/>
    <cellStyle name="SAPBEXHLevel3 3 4 2" xfId="25405" xr:uid="{00000000-0005-0000-0000-0000AA6F0000}"/>
    <cellStyle name="SAPBEXHLevel3 3 4 2 2" xfId="27559" xr:uid="{00000000-0005-0000-0000-0000AB6F0000}"/>
    <cellStyle name="SAPBEXHLevel3 3 4 2 2 2" xfId="32150" xr:uid="{D52E23B2-4AF2-4F12-AC37-F00499E96FFF}"/>
    <cellStyle name="SAPBEXHLevel3 3 4 2 3" xfId="28343" xr:uid="{00000000-0005-0000-0000-0000AC6F0000}"/>
    <cellStyle name="SAPBEXHLevel3 3 4 2 3 2" xfId="32901" xr:uid="{433E9049-26DA-4E9A-AD48-3CD77353E62C}"/>
    <cellStyle name="SAPBEXHLevel3 3 4 2 4" xfId="26748" xr:uid="{00000000-0005-0000-0000-0000AD6F0000}"/>
    <cellStyle name="SAPBEXHLevel3 3 4 2 4 2" xfId="31509" xr:uid="{3A03C3C8-0558-4A63-98B8-AFEB51F8E7D4}"/>
    <cellStyle name="SAPBEXHLevel3 3 4 2 5" xfId="29895" xr:uid="{00000000-0005-0000-0000-0000AE6F0000}"/>
    <cellStyle name="SAPBEXHLevel3 3 4 2 6" xfId="30563" xr:uid="{72BFE700-20DC-4B40-AA68-9D423C320EEA}"/>
    <cellStyle name="SAPBEXHLevel3 3 4 3" xfId="25615" xr:uid="{00000000-0005-0000-0000-0000AF6F0000}"/>
    <cellStyle name="SAPBEXHLevel3 3 4 3 2" xfId="27768" xr:uid="{00000000-0005-0000-0000-0000B06F0000}"/>
    <cellStyle name="SAPBEXHLevel3 3 4 3 2 2" xfId="32355" xr:uid="{856F8FD3-8C00-4C11-BB47-D96F6009832F}"/>
    <cellStyle name="SAPBEXHLevel3 3 4 3 3" xfId="28344" xr:uid="{00000000-0005-0000-0000-0000B16F0000}"/>
    <cellStyle name="SAPBEXHLevel3 3 4 3 3 2" xfId="32902" xr:uid="{2FB193E1-5489-44B9-B429-E9E44E059481}"/>
    <cellStyle name="SAPBEXHLevel3 3 4 3 4" xfId="26282" xr:uid="{00000000-0005-0000-0000-0000B26F0000}"/>
    <cellStyle name="SAPBEXHLevel3 3 4 3 4 2" xfId="31070" xr:uid="{A910F346-740B-48C6-89CB-269109A7C369}"/>
    <cellStyle name="SAPBEXHLevel3 3 4 3 5" xfId="29896" xr:uid="{00000000-0005-0000-0000-0000B36F0000}"/>
    <cellStyle name="SAPBEXHLevel3 3 4 4" xfId="27242" xr:uid="{00000000-0005-0000-0000-0000B46F0000}"/>
    <cellStyle name="SAPBEXHLevel3 3 4 4 2" xfId="31877" xr:uid="{22EC87EE-F0C9-4F5A-99FA-6208E08F42B2}"/>
    <cellStyle name="SAPBEXHLevel3 3 4 5" xfId="28342" xr:uid="{00000000-0005-0000-0000-0000B56F0000}"/>
    <cellStyle name="SAPBEXHLevel3 3 4 5 2" xfId="32900" xr:uid="{3223B95C-34AC-4A1C-9DC6-FBE44E6203D3}"/>
    <cellStyle name="SAPBEXHLevel3 3 4 6" xfId="26368" xr:uid="{00000000-0005-0000-0000-0000B66F0000}"/>
    <cellStyle name="SAPBEXHLevel3 3 4 6 2" xfId="31156" xr:uid="{D5298CA2-60BA-4D1F-B65F-51C11EDEB375}"/>
    <cellStyle name="SAPBEXHLevel3 3 4 7" xfId="29894" xr:uid="{00000000-0005-0000-0000-0000B76F0000}"/>
    <cellStyle name="SAPBEXHLevel3 3 4 8" xfId="30317" xr:uid="{A8B505F8-E93C-4EB0-A3CB-8D06F0A9843A}"/>
    <cellStyle name="SAPBEXHLevel3 3 5" xfId="25124" xr:uid="{00000000-0005-0000-0000-0000B86F0000}"/>
    <cellStyle name="SAPBEXHLevel3 3 5 2" xfId="25313" xr:uid="{00000000-0005-0000-0000-0000B96F0000}"/>
    <cellStyle name="SAPBEXHLevel3 3 5 2 2" xfId="27467" xr:uid="{00000000-0005-0000-0000-0000BA6F0000}"/>
    <cellStyle name="SAPBEXHLevel3 3 5 2 2 2" xfId="32058" xr:uid="{A6F23E69-091F-43AD-B7C9-CAD44631E320}"/>
    <cellStyle name="SAPBEXHLevel3 3 5 2 3" xfId="28346" xr:uid="{00000000-0005-0000-0000-0000BB6F0000}"/>
    <cellStyle name="SAPBEXHLevel3 3 5 2 3 2" xfId="32904" xr:uid="{4824B40C-4DC6-4D45-A2AC-A325A7349EE2}"/>
    <cellStyle name="SAPBEXHLevel3 3 5 2 4" xfId="26766" xr:uid="{00000000-0005-0000-0000-0000BC6F0000}"/>
    <cellStyle name="SAPBEXHLevel3 3 5 2 4 2" xfId="31527" xr:uid="{BBFA4BB5-8801-4BDD-82D3-0EF4357319CA}"/>
    <cellStyle name="SAPBEXHLevel3 3 5 2 5" xfId="29898" xr:uid="{00000000-0005-0000-0000-0000BD6F0000}"/>
    <cellStyle name="SAPBEXHLevel3 3 5 2 6" xfId="30471" xr:uid="{DBFB9A03-9BDF-468A-BCFD-2403DB498759}"/>
    <cellStyle name="SAPBEXHLevel3 3 5 3" xfId="25722" xr:uid="{00000000-0005-0000-0000-0000BE6F0000}"/>
    <cellStyle name="SAPBEXHLevel3 3 5 3 2" xfId="27875" xr:uid="{00000000-0005-0000-0000-0000BF6F0000}"/>
    <cellStyle name="SAPBEXHLevel3 3 5 3 2 2" xfId="32462" xr:uid="{2B821AC4-D019-4154-B121-CB4B15430B01}"/>
    <cellStyle name="SAPBEXHLevel3 3 5 3 3" xfId="28347" xr:uid="{00000000-0005-0000-0000-0000C06F0000}"/>
    <cellStyle name="SAPBEXHLevel3 3 5 3 3 2" xfId="32905" xr:uid="{0CC86C96-ECF4-4652-B072-330B8CD4A97D}"/>
    <cellStyle name="SAPBEXHLevel3 3 5 3 4" xfId="26947" xr:uid="{00000000-0005-0000-0000-0000C16F0000}"/>
    <cellStyle name="SAPBEXHLevel3 3 5 3 4 2" xfId="31708" xr:uid="{CE1F4693-F839-4099-BF08-9700AAE61C9E}"/>
    <cellStyle name="SAPBEXHLevel3 3 5 3 5" xfId="29899" xr:uid="{00000000-0005-0000-0000-0000C26F0000}"/>
    <cellStyle name="SAPBEXHLevel3 3 5 3 6" xfId="30716" xr:uid="{FEDC0ECE-9E8C-4814-A2BF-14F076955364}"/>
    <cellStyle name="SAPBEXHLevel3 3 5 4" xfId="27409" xr:uid="{00000000-0005-0000-0000-0000C36F0000}"/>
    <cellStyle name="SAPBEXHLevel3 3 5 4 2" xfId="32007" xr:uid="{39BD0938-5642-409A-84E5-4862C597B0E0}"/>
    <cellStyle name="SAPBEXHLevel3 3 5 5" xfId="28345" xr:uid="{00000000-0005-0000-0000-0000C46F0000}"/>
    <cellStyle name="SAPBEXHLevel3 3 5 5 2" xfId="32903" xr:uid="{398EB182-6084-426C-8E7B-DC153011D061}"/>
    <cellStyle name="SAPBEXHLevel3 3 5 6" xfId="26250" xr:uid="{00000000-0005-0000-0000-0000C56F0000}"/>
    <cellStyle name="SAPBEXHLevel3 3 5 6 2" xfId="31038" xr:uid="{4B98F7A7-8D59-41CB-B46C-AF3C0BD2B46B}"/>
    <cellStyle name="SAPBEXHLevel3 3 5 7" xfId="29897" xr:uid="{00000000-0005-0000-0000-0000C66F0000}"/>
    <cellStyle name="SAPBEXHLevel3 3 5 8" xfId="30424" xr:uid="{CD66E6E1-73DC-4CCA-A799-0A161640029B}"/>
    <cellStyle name="SAPBEXHLevel3 3 6" xfId="25860" xr:uid="{00000000-0005-0000-0000-0000C76F0000}"/>
    <cellStyle name="SAPBEXHLevel3 3 6 2" xfId="30779" xr:uid="{B7D70DE1-5CB6-42F4-A047-B3EFE4AB17AF}"/>
    <cellStyle name="SAPBEXHLevel3 3 7" xfId="28337" xr:uid="{00000000-0005-0000-0000-0000C86F0000}"/>
    <cellStyle name="SAPBEXHLevel3 3 7 2" xfId="32895" xr:uid="{B11384A2-482C-41A0-8123-04BFB108CE62}"/>
    <cellStyle name="SAPBEXHLevel3 3 8" xfId="26277" xr:uid="{00000000-0005-0000-0000-0000C96F0000}"/>
    <cellStyle name="SAPBEXHLevel3 3 8 2" xfId="31065" xr:uid="{E75C802E-1F11-4E60-AF63-3C04D2FC4AF9}"/>
    <cellStyle name="SAPBEXHLevel3 3 9" xfId="29889" xr:uid="{00000000-0005-0000-0000-0000CA6F0000}"/>
    <cellStyle name="SAPBEXHLevel3 4" xfId="130" xr:uid="{00000000-0005-0000-0000-0000CB6F0000}"/>
    <cellStyle name="SAPBEXHLevel3 4 2" xfId="13664" xr:uid="{00000000-0005-0000-0000-0000CC6F0000}"/>
    <cellStyle name="SAPBEXHLevel3 4 2 2" xfId="25502" xr:uid="{00000000-0005-0000-0000-0000CD6F0000}"/>
    <cellStyle name="SAPBEXHLevel3 4 2 2 2" xfId="27655" xr:uid="{00000000-0005-0000-0000-0000CE6F0000}"/>
    <cellStyle name="SAPBEXHLevel3 4 2 2 2 2" xfId="32242" xr:uid="{DCF34BC6-C1ED-4D4E-8CD2-00A315050FC3}"/>
    <cellStyle name="SAPBEXHLevel3 4 2 2 3" xfId="28350" xr:uid="{00000000-0005-0000-0000-0000CF6F0000}"/>
    <cellStyle name="SAPBEXHLevel3 4 2 2 3 2" xfId="32908" xr:uid="{D4EA904A-7EF7-487C-B227-50F81470DD38}"/>
    <cellStyle name="SAPBEXHLevel3 4 2 2 4" xfId="26709" xr:uid="{00000000-0005-0000-0000-0000D06F0000}"/>
    <cellStyle name="SAPBEXHLevel3 4 2 2 4 2" xfId="31471" xr:uid="{AA5AA700-C16F-4356-A6FC-79E66AF508EF}"/>
    <cellStyle name="SAPBEXHLevel3 4 2 2 5" xfId="29902" xr:uid="{00000000-0005-0000-0000-0000D16F0000}"/>
    <cellStyle name="SAPBEXHLevel3 4 2 3" xfId="26606" xr:uid="{00000000-0005-0000-0000-0000D26F0000}"/>
    <cellStyle name="SAPBEXHLevel3 4 2 3 2" xfId="31384" xr:uid="{31EB22C3-8594-40C4-BD48-3E1498FFDCBF}"/>
    <cellStyle name="SAPBEXHLevel3 4 2 4" xfId="28349" xr:uid="{00000000-0005-0000-0000-0000D36F0000}"/>
    <cellStyle name="SAPBEXHLevel3 4 2 4 2" xfId="32907" xr:uid="{D4D71F68-A404-42DB-A5EB-C1CF690FBD16}"/>
    <cellStyle name="SAPBEXHLevel3 4 2 5" xfId="26531" xr:uid="{00000000-0005-0000-0000-0000D46F0000}"/>
    <cellStyle name="SAPBEXHLevel3 4 2 5 2" xfId="31318" xr:uid="{4109E92F-63E2-4110-953B-D440C7DF01FA}"/>
    <cellStyle name="SAPBEXHLevel3 4 2 6" xfId="29901" xr:uid="{00000000-0005-0000-0000-0000D56F0000}"/>
    <cellStyle name="SAPBEXHLevel3 4 2 7" xfId="30204" xr:uid="{78E148D1-4B9F-4F13-8416-C8ABA4C9B8CB}"/>
    <cellStyle name="SAPBEXHLevel3 4 3" xfId="25861" xr:uid="{00000000-0005-0000-0000-0000D66F0000}"/>
    <cellStyle name="SAPBEXHLevel3 4 3 2" xfId="30780" xr:uid="{4793C011-09A9-41AE-91F7-6B1D3563F9B5}"/>
    <cellStyle name="SAPBEXHLevel3 4 4" xfId="28348" xr:uid="{00000000-0005-0000-0000-0000D76F0000}"/>
    <cellStyle name="SAPBEXHLevel3 4 4 2" xfId="32906" xr:uid="{5C370678-43BA-4143-8DC2-66461B3508E8}"/>
    <cellStyle name="SAPBEXHLevel3 4 5" xfId="26872" xr:uid="{00000000-0005-0000-0000-0000D86F0000}"/>
    <cellStyle name="SAPBEXHLevel3 4 5 2" xfId="31633" xr:uid="{9281A1B2-4AAE-4617-B8BA-ACECFF9D935F}"/>
    <cellStyle name="SAPBEXHLevel3 4 6" xfId="29900" xr:uid="{00000000-0005-0000-0000-0000D96F0000}"/>
    <cellStyle name="SAPBEXHLevel3 5" xfId="256" xr:uid="{00000000-0005-0000-0000-0000DA6F0000}"/>
    <cellStyle name="SAPBEXHLevel3 5 2" xfId="13721" xr:uid="{00000000-0005-0000-0000-0000DB6F0000}"/>
    <cellStyle name="SAPBEXHLevel3 5 2 2" xfId="25534" xr:uid="{00000000-0005-0000-0000-0000DC6F0000}"/>
    <cellStyle name="SAPBEXHLevel3 5 2 2 2" xfId="27687" xr:uid="{00000000-0005-0000-0000-0000DD6F0000}"/>
    <cellStyle name="SAPBEXHLevel3 5 2 2 2 2" xfId="32274" xr:uid="{5B25153C-21D5-4CC1-A987-84663E8FB2FF}"/>
    <cellStyle name="SAPBEXHLevel3 5 2 2 3" xfId="28353" xr:uid="{00000000-0005-0000-0000-0000DE6F0000}"/>
    <cellStyle name="SAPBEXHLevel3 5 2 2 3 2" xfId="32911" xr:uid="{08B18678-FA3B-46B9-809C-D530B3883FEB}"/>
    <cellStyle name="SAPBEXHLevel3 5 2 2 4" xfId="26367" xr:uid="{00000000-0005-0000-0000-0000DF6F0000}"/>
    <cellStyle name="SAPBEXHLevel3 5 2 2 4 2" xfId="31155" xr:uid="{C37B0BD9-8E79-469D-B398-9D802812FE38}"/>
    <cellStyle name="SAPBEXHLevel3 5 2 2 5" xfId="29905" xr:uid="{00000000-0005-0000-0000-0000E06F0000}"/>
    <cellStyle name="SAPBEXHLevel3 5 2 3" xfId="26641" xr:uid="{00000000-0005-0000-0000-0000E16F0000}"/>
    <cellStyle name="SAPBEXHLevel3 5 2 3 2" xfId="31418" xr:uid="{416B3960-B635-459F-8510-8D481B44FE18}"/>
    <cellStyle name="SAPBEXHLevel3 5 2 4" xfId="28352" xr:uid="{00000000-0005-0000-0000-0000E26F0000}"/>
    <cellStyle name="SAPBEXHLevel3 5 2 4 2" xfId="32910" xr:uid="{EA392423-7540-4DE5-9633-53EEF87AE1F0}"/>
    <cellStyle name="SAPBEXHLevel3 5 2 5" xfId="26147" xr:uid="{00000000-0005-0000-0000-0000E36F0000}"/>
    <cellStyle name="SAPBEXHLevel3 5 2 5 2" xfId="30936" xr:uid="{98E377F1-087C-48A6-93A6-32101F4D07BC}"/>
    <cellStyle name="SAPBEXHLevel3 5 2 6" xfId="29904" xr:uid="{00000000-0005-0000-0000-0000E46F0000}"/>
    <cellStyle name="SAPBEXHLevel3 5 2 7" xfId="30236" xr:uid="{2F74F913-0742-4C11-964F-17CD59297CB0}"/>
    <cellStyle name="SAPBEXHLevel3 5 3" xfId="25924" xr:uid="{00000000-0005-0000-0000-0000E56F0000}"/>
    <cellStyle name="SAPBEXHLevel3 5 3 2" xfId="30813" xr:uid="{F1C2AE9C-FD5E-45DB-ACA5-8F36E833280E}"/>
    <cellStyle name="SAPBEXHLevel3 5 4" xfId="28351" xr:uid="{00000000-0005-0000-0000-0000E66F0000}"/>
    <cellStyle name="SAPBEXHLevel3 5 4 2" xfId="32909" xr:uid="{B3DFA827-607E-4F8D-A577-BC4406EDF386}"/>
    <cellStyle name="SAPBEXHLevel3 5 5" xfId="27925" xr:uid="{00000000-0005-0000-0000-0000E76F0000}"/>
    <cellStyle name="SAPBEXHLevel3 5 5 2" xfId="32483" xr:uid="{D7F33FEC-024A-4948-A435-DEC870447515}"/>
    <cellStyle name="SAPBEXHLevel3 5 6" xfId="29903" xr:uid="{00000000-0005-0000-0000-0000E86F0000}"/>
    <cellStyle name="SAPBEXHLevel3 6" xfId="13661" xr:uid="{00000000-0005-0000-0000-0000E96F0000}"/>
    <cellStyle name="SAPBEXHLevel3 6 2" xfId="25499" xr:uid="{00000000-0005-0000-0000-0000EA6F0000}"/>
    <cellStyle name="SAPBEXHLevel3 6 2 2" xfId="27652" xr:uid="{00000000-0005-0000-0000-0000EB6F0000}"/>
    <cellStyle name="SAPBEXHLevel3 6 2 2 2" xfId="32239" xr:uid="{668D9F72-6A8C-4DE4-9C85-9EB40FC43A15}"/>
    <cellStyle name="SAPBEXHLevel3 6 2 3" xfId="28355" xr:uid="{00000000-0005-0000-0000-0000EC6F0000}"/>
    <cellStyle name="SAPBEXHLevel3 6 2 3 2" xfId="32913" xr:uid="{CB48DB85-A35F-4FEE-960E-5E7D48793C60}"/>
    <cellStyle name="SAPBEXHLevel3 6 2 4" xfId="26794" xr:uid="{00000000-0005-0000-0000-0000ED6F0000}"/>
    <cellStyle name="SAPBEXHLevel3 6 2 4 2" xfId="31555" xr:uid="{E176367F-542D-4131-8C4F-C0A0499599A7}"/>
    <cellStyle name="SAPBEXHLevel3 6 2 5" xfId="29907" xr:uid="{00000000-0005-0000-0000-0000EE6F0000}"/>
    <cellStyle name="SAPBEXHLevel3 6 3" xfId="26603" xr:uid="{00000000-0005-0000-0000-0000EF6F0000}"/>
    <cellStyle name="SAPBEXHLevel3 6 3 2" xfId="31381" xr:uid="{5F545534-DD63-4537-8E5B-E127F68486C8}"/>
    <cellStyle name="SAPBEXHLevel3 6 4" xfId="28354" xr:uid="{00000000-0005-0000-0000-0000F06F0000}"/>
    <cellStyle name="SAPBEXHLevel3 6 4 2" xfId="32912" xr:uid="{EB195557-1EBF-44AB-9361-F9DF343FF301}"/>
    <cellStyle name="SAPBEXHLevel3 6 5" xfId="26393" xr:uid="{00000000-0005-0000-0000-0000F16F0000}"/>
    <cellStyle name="SAPBEXHLevel3 6 5 2" xfId="31181" xr:uid="{4C4ED018-D722-4C94-9A2F-04D92C87ED0D}"/>
    <cellStyle name="SAPBEXHLevel3 6 6" xfId="29906" xr:uid="{00000000-0005-0000-0000-0000F26F0000}"/>
    <cellStyle name="SAPBEXHLevel3 6 7" xfId="30201" xr:uid="{9F4B375B-9C1F-4E71-ABB8-95C9CC45826E}"/>
    <cellStyle name="SAPBEXHLevel3 7" xfId="24651" xr:uid="{00000000-0005-0000-0000-0000F36F0000}"/>
    <cellStyle name="SAPBEXHLevel3 7 2" xfId="25418" xr:uid="{00000000-0005-0000-0000-0000F46F0000}"/>
    <cellStyle name="SAPBEXHLevel3 7 2 2" xfId="27572" xr:uid="{00000000-0005-0000-0000-0000F56F0000}"/>
    <cellStyle name="SAPBEXHLevel3 7 2 2 2" xfId="32163" xr:uid="{A04F3B43-2F39-4407-9E2C-77353E529F96}"/>
    <cellStyle name="SAPBEXHLevel3 7 2 3" xfId="28357" xr:uid="{00000000-0005-0000-0000-0000F66F0000}"/>
    <cellStyle name="SAPBEXHLevel3 7 2 3 2" xfId="32915" xr:uid="{805D60E6-F214-410B-8ED9-33B0B7A90C1D}"/>
    <cellStyle name="SAPBEXHLevel3 7 2 4" xfId="26385" xr:uid="{00000000-0005-0000-0000-0000F76F0000}"/>
    <cellStyle name="SAPBEXHLevel3 7 2 4 2" xfId="31173" xr:uid="{474F3DD6-0578-4BE0-920F-723127349A54}"/>
    <cellStyle name="SAPBEXHLevel3 7 2 5" xfId="29909" xr:uid="{00000000-0005-0000-0000-0000F86F0000}"/>
    <cellStyle name="SAPBEXHLevel3 7 2 6" xfId="30576" xr:uid="{8F984D2E-47FB-439E-9F86-48863A21BC1C}"/>
    <cellStyle name="SAPBEXHLevel3 7 3" xfId="25617" xr:uid="{00000000-0005-0000-0000-0000F96F0000}"/>
    <cellStyle name="SAPBEXHLevel3 7 3 2" xfId="27770" xr:uid="{00000000-0005-0000-0000-0000FA6F0000}"/>
    <cellStyle name="SAPBEXHLevel3 7 3 2 2" xfId="32357" xr:uid="{A61A6933-F8BB-4307-87FC-C237DF279BE1}"/>
    <cellStyle name="SAPBEXHLevel3 7 3 3" xfId="28358" xr:uid="{00000000-0005-0000-0000-0000FB6F0000}"/>
    <cellStyle name="SAPBEXHLevel3 7 3 3 2" xfId="32916" xr:uid="{E44D309F-6BA7-49EC-8C89-1451E2A6AD81}"/>
    <cellStyle name="SAPBEXHLevel3 7 3 4" xfId="27042" xr:uid="{00000000-0005-0000-0000-0000FC6F0000}"/>
    <cellStyle name="SAPBEXHLevel3 7 3 4 2" xfId="31790" xr:uid="{BE553B79-05D6-4193-9234-800F319C7455}"/>
    <cellStyle name="SAPBEXHLevel3 7 3 5" xfId="29910" xr:uid="{00000000-0005-0000-0000-0000FD6F0000}"/>
    <cellStyle name="SAPBEXHLevel3 7 4" xfId="27244" xr:uid="{00000000-0005-0000-0000-0000FE6F0000}"/>
    <cellStyle name="SAPBEXHLevel3 7 4 2" xfId="31879" xr:uid="{7B68BD0B-CF30-4926-9AE9-636DD273FD3A}"/>
    <cellStyle name="SAPBEXHLevel3 7 5" xfId="28356" xr:uid="{00000000-0005-0000-0000-0000FF6F0000}"/>
    <cellStyle name="SAPBEXHLevel3 7 5 2" xfId="32914" xr:uid="{A4201494-3AED-4732-854F-36AC61FC814B}"/>
    <cellStyle name="SAPBEXHLevel3 7 6" xfId="26436" xr:uid="{00000000-0005-0000-0000-000000700000}"/>
    <cellStyle name="SAPBEXHLevel3 7 6 2" xfId="31224" xr:uid="{A13C6F1F-C9B2-4637-BBF5-34473A453CF2}"/>
    <cellStyle name="SAPBEXHLevel3 7 7" xfId="29908" xr:uid="{00000000-0005-0000-0000-000001700000}"/>
    <cellStyle name="SAPBEXHLevel3 7 8" xfId="30319" xr:uid="{B11FE871-B35C-4986-9DF7-5A2060F8D49E}"/>
    <cellStyle name="SAPBEXHLevel3 8" xfId="25122" xr:uid="{00000000-0005-0000-0000-000002700000}"/>
    <cellStyle name="SAPBEXHLevel3 8 2" xfId="25388" xr:uid="{00000000-0005-0000-0000-000003700000}"/>
    <cellStyle name="SAPBEXHLevel3 8 2 2" xfId="27542" xr:uid="{00000000-0005-0000-0000-000004700000}"/>
    <cellStyle name="SAPBEXHLevel3 8 2 2 2" xfId="32133" xr:uid="{1BE6C9C2-FF59-4CD3-9BFC-2F1A68A02B35}"/>
    <cellStyle name="SAPBEXHLevel3 8 2 3" xfId="28360" xr:uid="{00000000-0005-0000-0000-000005700000}"/>
    <cellStyle name="SAPBEXHLevel3 8 2 3 2" xfId="32918" xr:uid="{A9A4C4EA-B837-47FB-968D-7AEB77BA049E}"/>
    <cellStyle name="SAPBEXHLevel3 8 2 4" xfId="26167" xr:uid="{00000000-0005-0000-0000-000006700000}"/>
    <cellStyle name="SAPBEXHLevel3 8 2 4 2" xfId="30956" xr:uid="{DA2571E1-2719-4E78-9545-47DA2E951D59}"/>
    <cellStyle name="SAPBEXHLevel3 8 2 5" xfId="29912" xr:uid="{00000000-0005-0000-0000-000007700000}"/>
    <cellStyle name="SAPBEXHLevel3 8 2 6" xfId="30546" xr:uid="{7DC491B1-983E-4C2B-BF6F-C9B3873ABC14}"/>
    <cellStyle name="SAPBEXHLevel3 8 3" xfId="25720" xr:uid="{00000000-0005-0000-0000-000008700000}"/>
    <cellStyle name="SAPBEXHLevel3 8 3 2" xfId="27873" xr:uid="{00000000-0005-0000-0000-000009700000}"/>
    <cellStyle name="SAPBEXHLevel3 8 3 2 2" xfId="32460" xr:uid="{A821DC7E-DAC6-4D4F-AAE2-24FF2B8A8FAE}"/>
    <cellStyle name="SAPBEXHLevel3 8 3 3" xfId="28361" xr:uid="{00000000-0005-0000-0000-00000A700000}"/>
    <cellStyle name="SAPBEXHLevel3 8 3 3 2" xfId="32919" xr:uid="{D1977913-2B64-468C-9881-AC5C3D7DF6AF}"/>
    <cellStyle name="SAPBEXHLevel3 8 3 4" xfId="27007" xr:uid="{00000000-0005-0000-0000-00000B700000}"/>
    <cellStyle name="SAPBEXHLevel3 8 3 4 2" xfId="31767" xr:uid="{C51FB8F3-9580-43FD-93AA-B0DFAC0F43B0}"/>
    <cellStyle name="SAPBEXHLevel3 8 3 5" xfId="29913" xr:uid="{00000000-0005-0000-0000-00000C700000}"/>
    <cellStyle name="SAPBEXHLevel3 8 3 6" xfId="30714" xr:uid="{F9848995-1295-42F8-95CC-5CA13C5980FE}"/>
    <cellStyle name="SAPBEXHLevel3 8 4" xfId="27407" xr:uid="{00000000-0005-0000-0000-00000D700000}"/>
    <cellStyle name="SAPBEXHLevel3 8 4 2" xfId="32005" xr:uid="{2F1555A1-B554-49EC-9141-30EF248D14EE}"/>
    <cellStyle name="SAPBEXHLevel3 8 5" xfId="28359" xr:uid="{00000000-0005-0000-0000-00000E700000}"/>
    <cellStyle name="SAPBEXHLevel3 8 5 2" xfId="32917" xr:uid="{610FB90E-49C4-4B0F-AD15-5023090204D0}"/>
    <cellStyle name="SAPBEXHLevel3 8 6" xfId="27011" xr:uid="{00000000-0005-0000-0000-00000F700000}"/>
    <cellStyle name="SAPBEXHLevel3 8 6 2" xfId="31771" xr:uid="{C762534F-965B-4BE1-8104-19AF190FDA03}"/>
    <cellStyle name="SAPBEXHLevel3 8 7" xfId="29911" xr:uid="{00000000-0005-0000-0000-000010700000}"/>
    <cellStyle name="SAPBEXHLevel3 8 8" xfId="30422" xr:uid="{F6BE29FF-10AE-4C07-8CB3-6CE8CEF910D2}"/>
    <cellStyle name="SAPBEXHLevel3 9" xfId="25858" xr:uid="{00000000-0005-0000-0000-000011700000}"/>
    <cellStyle name="SAPBEXHLevel3 9 2" xfId="30777" xr:uid="{268C28AB-60F0-499B-8CE2-918873F2311A}"/>
    <cellStyle name="SAPBEXHLevel3X" xfId="131" xr:uid="{00000000-0005-0000-0000-000012700000}"/>
    <cellStyle name="SAPBEXHLevel3X 10" xfId="28362" xr:uid="{00000000-0005-0000-0000-000013700000}"/>
    <cellStyle name="SAPBEXHLevel3X 10 2" xfId="32920" xr:uid="{11621F44-FDEB-4865-8F9A-08A93EE8731D}"/>
    <cellStyle name="SAPBEXHLevel3X 11" xfId="26346" xr:uid="{00000000-0005-0000-0000-000014700000}"/>
    <cellStyle name="SAPBEXHLevel3X 11 2" xfId="31134" xr:uid="{FA68AC57-2062-46B1-A5DF-F5927AE8776B}"/>
    <cellStyle name="SAPBEXHLevel3X 12" xfId="29914" xr:uid="{00000000-0005-0000-0000-000015700000}"/>
    <cellStyle name="SAPBEXHLevel3X 2" xfId="132" xr:uid="{00000000-0005-0000-0000-000016700000}"/>
    <cellStyle name="SAPBEXHLevel3X 2 2" xfId="13666" xr:uid="{00000000-0005-0000-0000-000017700000}"/>
    <cellStyle name="SAPBEXHLevel3X 2 2 2" xfId="25504" xr:uid="{00000000-0005-0000-0000-000018700000}"/>
    <cellStyle name="SAPBEXHLevel3X 2 2 2 2" xfId="27657" xr:uid="{00000000-0005-0000-0000-000019700000}"/>
    <cellStyle name="SAPBEXHLevel3X 2 2 2 2 2" xfId="32244" xr:uid="{A94E29C9-0001-4209-A89C-49E31D0A7749}"/>
    <cellStyle name="SAPBEXHLevel3X 2 2 2 3" xfId="28365" xr:uid="{00000000-0005-0000-0000-00001A700000}"/>
    <cellStyle name="SAPBEXHLevel3X 2 2 2 3 2" xfId="32923" xr:uid="{2E97E469-414C-4FD2-B278-36779B074FA2}"/>
    <cellStyle name="SAPBEXHLevel3X 2 2 2 4" xfId="26988" xr:uid="{00000000-0005-0000-0000-00001B700000}"/>
    <cellStyle name="SAPBEXHLevel3X 2 2 2 4 2" xfId="31749" xr:uid="{D0ED1A95-A758-4BD1-B905-CA6F27234B6E}"/>
    <cellStyle name="SAPBEXHLevel3X 2 2 2 5" xfId="29917" xr:uid="{00000000-0005-0000-0000-00001C700000}"/>
    <cellStyle name="SAPBEXHLevel3X 2 2 3" xfId="26608" xr:uid="{00000000-0005-0000-0000-00001D700000}"/>
    <cellStyle name="SAPBEXHLevel3X 2 2 3 2" xfId="31386" xr:uid="{C40AF5BB-0917-4918-9CF5-71FF6F2AF2C5}"/>
    <cellStyle name="SAPBEXHLevel3X 2 2 4" xfId="28364" xr:uid="{00000000-0005-0000-0000-00001E700000}"/>
    <cellStyle name="SAPBEXHLevel3X 2 2 4 2" xfId="32922" xr:uid="{A45550F3-51A4-4793-8FD2-DE19B259EDB3}"/>
    <cellStyle name="SAPBEXHLevel3X 2 2 5" xfId="26389" xr:uid="{00000000-0005-0000-0000-00001F700000}"/>
    <cellStyle name="SAPBEXHLevel3X 2 2 5 2" xfId="31177" xr:uid="{AB680CDE-526D-49FC-8FBC-4051E2F047FA}"/>
    <cellStyle name="SAPBEXHLevel3X 2 2 6" xfId="29916" xr:uid="{00000000-0005-0000-0000-000020700000}"/>
    <cellStyle name="SAPBEXHLevel3X 2 2 7" xfId="30206" xr:uid="{40CB4C43-24BF-4F00-ADEF-639D5F2188AB}"/>
    <cellStyle name="SAPBEXHLevel3X 2 3" xfId="24268" xr:uid="{00000000-0005-0000-0000-000021700000}"/>
    <cellStyle name="SAPBEXHLevel3X 2 3 2" xfId="25589" xr:uid="{00000000-0005-0000-0000-000022700000}"/>
    <cellStyle name="SAPBEXHLevel3X 2 3 2 2" xfId="27742" xr:uid="{00000000-0005-0000-0000-000023700000}"/>
    <cellStyle name="SAPBEXHLevel3X 2 3 2 2 2" xfId="32329" xr:uid="{DB735D1E-414A-464B-9CF6-43F01866573D}"/>
    <cellStyle name="SAPBEXHLevel3X 2 3 2 3" xfId="28367" xr:uid="{00000000-0005-0000-0000-000024700000}"/>
    <cellStyle name="SAPBEXHLevel3X 2 3 2 3 2" xfId="32925" xr:uid="{92FFC510-0780-4E32-8FC0-4866BC9D9F49}"/>
    <cellStyle name="SAPBEXHLevel3X 2 3 2 4" xfId="26922" xr:uid="{00000000-0005-0000-0000-000025700000}"/>
    <cellStyle name="SAPBEXHLevel3X 2 3 2 4 2" xfId="31683" xr:uid="{04C871BF-A386-41FE-840B-26A3E0419F42}"/>
    <cellStyle name="SAPBEXHLevel3X 2 3 2 5" xfId="29919" xr:uid="{00000000-0005-0000-0000-000026700000}"/>
    <cellStyle name="SAPBEXHLevel3X 2 3 3" xfId="27122" xr:uid="{00000000-0005-0000-0000-000027700000}"/>
    <cellStyle name="SAPBEXHLevel3X 2 3 3 2" xfId="31840" xr:uid="{9DAFE868-A6DA-41A0-851F-28068239C1C6}"/>
    <cellStyle name="SAPBEXHLevel3X 2 3 4" xfId="28366" xr:uid="{00000000-0005-0000-0000-000028700000}"/>
    <cellStyle name="SAPBEXHLevel3X 2 3 4 2" xfId="32924" xr:uid="{43C271B0-82E4-4B15-9AD0-81870F98FE3F}"/>
    <cellStyle name="SAPBEXHLevel3X 2 3 5" xfId="27164" xr:uid="{00000000-0005-0000-0000-000029700000}"/>
    <cellStyle name="SAPBEXHLevel3X 2 3 5 2" xfId="31855" xr:uid="{8663B18A-E581-4164-8027-AED7E7E69FD0}"/>
    <cellStyle name="SAPBEXHLevel3X 2 3 6" xfId="29918" xr:uid="{00000000-0005-0000-0000-00002A700000}"/>
    <cellStyle name="SAPBEXHLevel3X 2 3 7" xfId="30291" xr:uid="{C63E0506-4261-4F0D-BA32-E6D4B9B3F60D}"/>
    <cellStyle name="SAPBEXHLevel3X 2 4" xfId="24647" xr:uid="{00000000-0005-0000-0000-00002B700000}"/>
    <cellStyle name="SAPBEXHLevel3X 2 4 2" xfId="25358" xr:uid="{00000000-0005-0000-0000-00002C700000}"/>
    <cellStyle name="SAPBEXHLevel3X 2 4 2 2" xfId="27512" xr:uid="{00000000-0005-0000-0000-00002D700000}"/>
    <cellStyle name="SAPBEXHLevel3X 2 4 2 2 2" xfId="32103" xr:uid="{D7C9F1CC-12C8-41F1-B606-60011B4D22AE}"/>
    <cellStyle name="SAPBEXHLevel3X 2 4 2 3" xfId="28369" xr:uid="{00000000-0005-0000-0000-00002E700000}"/>
    <cellStyle name="SAPBEXHLevel3X 2 4 2 3 2" xfId="32927" xr:uid="{C2C4B16F-011E-485D-A304-6B8FAFEBE8A7}"/>
    <cellStyle name="SAPBEXHLevel3X 2 4 2 4" xfId="26137" xr:uid="{00000000-0005-0000-0000-00002F700000}"/>
    <cellStyle name="SAPBEXHLevel3X 2 4 2 4 2" xfId="30927" xr:uid="{2A25FF93-81DC-4245-85F2-7CBE6C48EE92}"/>
    <cellStyle name="SAPBEXHLevel3X 2 4 2 5" xfId="29921" xr:uid="{00000000-0005-0000-0000-000030700000}"/>
    <cellStyle name="SAPBEXHLevel3X 2 4 2 6" xfId="30516" xr:uid="{B4DCA501-5C1A-4F2A-A8A3-1517461D3419}"/>
    <cellStyle name="SAPBEXHLevel3X 2 4 3" xfId="25613" xr:uid="{00000000-0005-0000-0000-000031700000}"/>
    <cellStyle name="SAPBEXHLevel3X 2 4 3 2" xfId="27766" xr:uid="{00000000-0005-0000-0000-000032700000}"/>
    <cellStyle name="SAPBEXHLevel3X 2 4 3 2 2" xfId="32353" xr:uid="{43BB4D17-1E35-4B40-817B-4827DAAB81DD}"/>
    <cellStyle name="SAPBEXHLevel3X 2 4 3 3" xfId="28370" xr:uid="{00000000-0005-0000-0000-000033700000}"/>
    <cellStyle name="SAPBEXHLevel3X 2 4 3 3 2" xfId="32928" xr:uid="{016662A2-605E-48D3-AD0C-4689DC12773B}"/>
    <cellStyle name="SAPBEXHLevel3X 2 4 3 4" xfId="26416" xr:uid="{00000000-0005-0000-0000-000034700000}"/>
    <cellStyle name="SAPBEXHLevel3X 2 4 3 4 2" xfId="31204" xr:uid="{27C49BFC-72BA-4824-BA3D-F153A3E89D3F}"/>
    <cellStyle name="SAPBEXHLevel3X 2 4 3 5" xfId="29922" xr:uid="{00000000-0005-0000-0000-000035700000}"/>
    <cellStyle name="SAPBEXHLevel3X 2 4 4" xfId="27240" xr:uid="{00000000-0005-0000-0000-000036700000}"/>
    <cellStyle name="SAPBEXHLevel3X 2 4 4 2" xfId="31875" xr:uid="{ED0BC1E4-4364-4F95-B507-334C449D03D8}"/>
    <cellStyle name="SAPBEXHLevel3X 2 4 5" xfId="28368" xr:uid="{00000000-0005-0000-0000-000037700000}"/>
    <cellStyle name="SAPBEXHLevel3X 2 4 5 2" xfId="32926" xr:uid="{1174CCE6-2E97-42C9-B9FC-433ED4CF3D6D}"/>
    <cellStyle name="SAPBEXHLevel3X 2 4 6" xfId="26145" xr:uid="{00000000-0005-0000-0000-000038700000}"/>
    <cellStyle name="SAPBEXHLevel3X 2 4 6 2" xfId="30935" xr:uid="{FEEAC14C-EEEB-45D6-A5EA-973896FDA51F}"/>
    <cellStyle name="SAPBEXHLevel3X 2 4 7" xfId="29920" xr:uid="{00000000-0005-0000-0000-000039700000}"/>
    <cellStyle name="SAPBEXHLevel3X 2 4 8" xfId="30315" xr:uid="{77FC5731-9C3C-4578-9FA9-DA2BF5988AAE}"/>
    <cellStyle name="SAPBEXHLevel3X 2 5" xfId="25126" xr:uid="{00000000-0005-0000-0000-00003A700000}"/>
    <cellStyle name="SAPBEXHLevel3X 2 5 2" xfId="25327" xr:uid="{00000000-0005-0000-0000-00003B700000}"/>
    <cellStyle name="SAPBEXHLevel3X 2 5 2 2" xfId="27481" xr:uid="{00000000-0005-0000-0000-00003C700000}"/>
    <cellStyle name="SAPBEXHLevel3X 2 5 2 2 2" xfId="32072" xr:uid="{74D14D4D-B4BA-4416-8881-AF21335FAADA}"/>
    <cellStyle name="SAPBEXHLevel3X 2 5 2 3" xfId="28372" xr:uid="{00000000-0005-0000-0000-00003D700000}"/>
    <cellStyle name="SAPBEXHLevel3X 2 5 2 3 2" xfId="32930" xr:uid="{5910C690-B46C-4CB4-9A01-EAEDB0F63403}"/>
    <cellStyle name="SAPBEXHLevel3X 2 5 2 4" xfId="27084" xr:uid="{00000000-0005-0000-0000-00003E700000}"/>
    <cellStyle name="SAPBEXHLevel3X 2 5 2 4 2" xfId="31808" xr:uid="{598B73BA-12A2-4ED9-ACA8-D34CB7704AE5}"/>
    <cellStyle name="SAPBEXHLevel3X 2 5 2 5" xfId="29924" xr:uid="{00000000-0005-0000-0000-00003F700000}"/>
    <cellStyle name="SAPBEXHLevel3X 2 5 2 6" xfId="30485" xr:uid="{5F4BB849-C8DB-4B40-A74A-D0DC5A1488CE}"/>
    <cellStyle name="SAPBEXHLevel3X 2 5 3" xfId="25724" xr:uid="{00000000-0005-0000-0000-000040700000}"/>
    <cellStyle name="SAPBEXHLevel3X 2 5 3 2" xfId="27877" xr:uid="{00000000-0005-0000-0000-000041700000}"/>
    <cellStyle name="SAPBEXHLevel3X 2 5 3 2 2" xfId="32464" xr:uid="{089F2F43-5561-43EF-8547-5B9BB64E6E6E}"/>
    <cellStyle name="SAPBEXHLevel3X 2 5 3 3" xfId="28373" xr:uid="{00000000-0005-0000-0000-000042700000}"/>
    <cellStyle name="SAPBEXHLevel3X 2 5 3 3 2" xfId="32931" xr:uid="{1D7FD07F-E432-43A4-933D-F681EA8460FC}"/>
    <cellStyle name="SAPBEXHLevel3X 2 5 3 4" xfId="26467" xr:uid="{00000000-0005-0000-0000-000043700000}"/>
    <cellStyle name="SAPBEXHLevel3X 2 5 3 4 2" xfId="31255" xr:uid="{BB46B35F-4917-4B6E-A76B-D6E27C399AB4}"/>
    <cellStyle name="SAPBEXHLevel3X 2 5 3 5" xfId="29925" xr:uid="{00000000-0005-0000-0000-000044700000}"/>
    <cellStyle name="SAPBEXHLevel3X 2 5 3 6" xfId="30718" xr:uid="{9501C45C-F55E-408F-BBD8-46EF45884285}"/>
    <cellStyle name="SAPBEXHLevel3X 2 5 4" xfId="27411" xr:uid="{00000000-0005-0000-0000-000045700000}"/>
    <cellStyle name="SAPBEXHLevel3X 2 5 4 2" xfId="32009" xr:uid="{B963967A-B5BD-46DE-9661-6C3D661A43BA}"/>
    <cellStyle name="SAPBEXHLevel3X 2 5 5" xfId="28371" xr:uid="{00000000-0005-0000-0000-000046700000}"/>
    <cellStyle name="SAPBEXHLevel3X 2 5 5 2" xfId="32929" xr:uid="{FF6AD0FD-4A12-49B9-8E50-EC5BE2E61FE4}"/>
    <cellStyle name="SAPBEXHLevel3X 2 5 6" xfId="27349" xr:uid="{00000000-0005-0000-0000-000047700000}"/>
    <cellStyle name="SAPBEXHLevel3X 2 5 6 2" xfId="31947" xr:uid="{3A0F00AB-61D7-46EF-8DD5-44D14E4471EE}"/>
    <cellStyle name="SAPBEXHLevel3X 2 5 7" xfId="29923" xr:uid="{00000000-0005-0000-0000-000048700000}"/>
    <cellStyle name="SAPBEXHLevel3X 2 5 8" xfId="30426" xr:uid="{0D99F112-65FD-4913-808C-EC234BA6F5B8}"/>
    <cellStyle name="SAPBEXHLevel3X 2 6" xfId="25863" xr:uid="{00000000-0005-0000-0000-000049700000}"/>
    <cellStyle name="SAPBEXHLevel3X 2 6 2" xfId="30782" xr:uid="{5D7C521D-7709-4E30-A4A3-AEB4B661BCE7}"/>
    <cellStyle name="SAPBEXHLevel3X 2 7" xfId="28363" xr:uid="{00000000-0005-0000-0000-00004A700000}"/>
    <cellStyle name="SAPBEXHLevel3X 2 7 2" xfId="32921" xr:uid="{B8DCD961-5FED-4850-97AF-0E2F1363450C}"/>
    <cellStyle name="SAPBEXHLevel3X 2 8" xfId="26938" xr:uid="{00000000-0005-0000-0000-00004B700000}"/>
    <cellStyle name="SAPBEXHLevel3X 2 8 2" xfId="31699" xr:uid="{3533D43B-EEA1-49FB-B113-B4881C9CA127}"/>
    <cellStyle name="SAPBEXHLevel3X 2 9" xfId="29915" xr:uid="{00000000-0005-0000-0000-00004C700000}"/>
    <cellStyle name="SAPBEXHLevel3X 3" xfId="133" xr:uid="{00000000-0005-0000-0000-00004D700000}"/>
    <cellStyle name="SAPBEXHLevel3X 3 2" xfId="13667" xr:uid="{00000000-0005-0000-0000-00004E700000}"/>
    <cellStyle name="SAPBEXHLevel3X 3 2 2" xfId="25505" xr:uid="{00000000-0005-0000-0000-00004F700000}"/>
    <cellStyle name="SAPBEXHLevel3X 3 2 2 2" xfId="27658" xr:uid="{00000000-0005-0000-0000-000050700000}"/>
    <cellStyle name="SAPBEXHLevel3X 3 2 2 2 2" xfId="32245" xr:uid="{45C9EA8A-E4FD-4269-B7CB-01F2CE9D712D}"/>
    <cellStyle name="SAPBEXHLevel3X 3 2 2 3" xfId="28376" xr:uid="{00000000-0005-0000-0000-000051700000}"/>
    <cellStyle name="SAPBEXHLevel3X 3 2 2 3 2" xfId="32934" xr:uid="{7531EA30-1CF2-4937-8C60-A9F9B2B05CD3}"/>
    <cellStyle name="SAPBEXHLevel3X 3 2 2 4" xfId="26387" xr:uid="{00000000-0005-0000-0000-000052700000}"/>
    <cellStyle name="SAPBEXHLevel3X 3 2 2 4 2" xfId="31175" xr:uid="{3E890B52-0C3C-46A5-88C2-5148C2E18100}"/>
    <cellStyle name="SAPBEXHLevel3X 3 2 2 5" xfId="29928" xr:uid="{00000000-0005-0000-0000-000053700000}"/>
    <cellStyle name="SAPBEXHLevel3X 3 2 3" xfId="26609" xr:uid="{00000000-0005-0000-0000-000054700000}"/>
    <cellStyle name="SAPBEXHLevel3X 3 2 3 2" xfId="31387" xr:uid="{33F8AD2E-82C9-40DD-9503-73B4F74EB8D6}"/>
    <cellStyle name="SAPBEXHLevel3X 3 2 4" xfId="28375" xr:uid="{00000000-0005-0000-0000-000055700000}"/>
    <cellStyle name="SAPBEXHLevel3X 3 2 4 2" xfId="32933" xr:uid="{A6DB452C-6770-4CA2-8524-F3CB5F8D8EFE}"/>
    <cellStyle name="SAPBEXHLevel3X 3 2 5" xfId="26227" xr:uid="{00000000-0005-0000-0000-000056700000}"/>
    <cellStyle name="SAPBEXHLevel3X 3 2 5 2" xfId="31015" xr:uid="{0FE2B551-C769-455F-A119-03249EA0373E}"/>
    <cellStyle name="SAPBEXHLevel3X 3 2 6" xfId="29927" xr:uid="{00000000-0005-0000-0000-000057700000}"/>
    <cellStyle name="SAPBEXHLevel3X 3 2 7" xfId="30207" xr:uid="{53B2C8A4-0890-4B77-82CB-55055705A567}"/>
    <cellStyle name="SAPBEXHLevel3X 3 3" xfId="24269" xr:uid="{00000000-0005-0000-0000-000058700000}"/>
    <cellStyle name="SAPBEXHLevel3X 3 3 2" xfId="25590" xr:uid="{00000000-0005-0000-0000-000059700000}"/>
    <cellStyle name="SAPBEXHLevel3X 3 3 2 2" xfId="27743" xr:uid="{00000000-0005-0000-0000-00005A700000}"/>
    <cellStyle name="SAPBEXHLevel3X 3 3 2 2 2" xfId="32330" xr:uid="{D4735676-1E70-4426-96C1-8E973CE83299}"/>
    <cellStyle name="SAPBEXHLevel3X 3 3 2 3" xfId="28378" xr:uid="{00000000-0005-0000-0000-00005B700000}"/>
    <cellStyle name="SAPBEXHLevel3X 3 3 2 3 2" xfId="32936" xr:uid="{47CD5417-91F0-4586-8778-F4ADA13B265F}"/>
    <cellStyle name="SAPBEXHLevel3X 3 3 2 4" xfId="26856" xr:uid="{00000000-0005-0000-0000-00005C700000}"/>
    <cellStyle name="SAPBEXHLevel3X 3 3 2 4 2" xfId="31617" xr:uid="{F35650B9-1998-46A9-80CB-CC926C4B1C75}"/>
    <cellStyle name="SAPBEXHLevel3X 3 3 2 5" xfId="29930" xr:uid="{00000000-0005-0000-0000-00005D700000}"/>
    <cellStyle name="SAPBEXHLevel3X 3 3 3" xfId="27123" xr:uid="{00000000-0005-0000-0000-00005E700000}"/>
    <cellStyle name="SAPBEXHLevel3X 3 3 3 2" xfId="31841" xr:uid="{A2A3250A-9173-4538-AD50-1DF232369A34}"/>
    <cellStyle name="SAPBEXHLevel3X 3 3 4" xfId="28377" xr:uid="{00000000-0005-0000-0000-00005F700000}"/>
    <cellStyle name="SAPBEXHLevel3X 3 3 4 2" xfId="32935" xr:uid="{A92B8164-03E0-4534-90D0-9469A4607D93}"/>
    <cellStyle name="SAPBEXHLevel3X 3 3 5" xfId="26220" xr:uid="{00000000-0005-0000-0000-000060700000}"/>
    <cellStyle name="SAPBEXHLevel3X 3 3 5 2" xfId="31008" xr:uid="{52AD1348-1EEB-48E8-93DF-37DACCD3D1B6}"/>
    <cellStyle name="SAPBEXHLevel3X 3 3 6" xfId="29929" xr:uid="{00000000-0005-0000-0000-000061700000}"/>
    <cellStyle name="SAPBEXHLevel3X 3 3 7" xfId="30292" xr:uid="{02150287-7FDA-4614-85C9-ECDA83D69B0E}"/>
    <cellStyle name="SAPBEXHLevel3X 3 4" xfId="24646" xr:uid="{00000000-0005-0000-0000-000062700000}"/>
    <cellStyle name="SAPBEXHLevel3X 3 4 2" xfId="25442" xr:uid="{00000000-0005-0000-0000-000063700000}"/>
    <cellStyle name="SAPBEXHLevel3X 3 4 2 2" xfId="27596" xr:uid="{00000000-0005-0000-0000-000064700000}"/>
    <cellStyle name="SAPBEXHLevel3X 3 4 2 2 2" xfId="32187" xr:uid="{8E529128-2E78-4424-9B25-6A7FD379159C}"/>
    <cellStyle name="SAPBEXHLevel3X 3 4 2 3" xfId="28380" xr:uid="{00000000-0005-0000-0000-000065700000}"/>
    <cellStyle name="SAPBEXHLevel3X 3 4 2 3 2" xfId="32938" xr:uid="{98A0BD92-CFDA-4B56-A258-C04AE6CCBED3}"/>
    <cellStyle name="SAPBEXHLevel3X 3 4 2 4" xfId="27054" xr:uid="{00000000-0005-0000-0000-000066700000}"/>
    <cellStyle name="SAPBEXHLevel3X 3 4 2 4 2" xfId="31799" xr:uid="{874CF853-9C2A-4BBC-AF32-C7B644EA822F}"/>
    <cellStyle name="SAPBEXHLevel3X 3 4 2 5" xfId="29932" xr:uid="{00000000-0005-0000-0000-000067700000}"/>
    <cellStyle name="SAPBEXHLevel3X 3 4 2 6" xfId="30600" xr:uid="{15179D37-B044-4166-BC6D-052A57DCF611}"/>
    <cellStyle name="SAPBEXHLevel3X 3 4 3" xfId="25612" xr:uid="{00000000-0005-0000-0000-000068700000}"/>
    <cellStyle name="SAPBEXHLevel3X 3 4 3 2" xfId="27765" xr:uid="{00000000-0005-0000-0000-000069700000}"/>
    <cellStyle name="SAPBEXHLevel3X 3 4 3 2 2" xfId="32352" xr:uid="{172DD6D6-87DB-4594-98BE-0BD1541FA2C3}"/>
    <cellStyle name="SAPBEXHLevel3X 3 4 3 3" xfId="28381" xr:uid="{00000000-0005-0000-0000-00006A700000}"/>
    <cellStyle name="SAPBEXHLevel3X 3 4 3 3 2" xfId="32939" xr:uid="{25D86A90-082E-4162-8F5F-5A2C66EEC653}"/>
    <cellStyle name="SAPBEXHLevel3X 3 4 3 4" xfId="26928" xr:uid="{00000000-0005-0000-0000-00006B700000}"/>
    <cellStyle name="SAPBEXHLevel3X 3 4 3 4 2" xfId="31689" xr:uid="{C0357729-241F-4D8A-AE11-CC2D1DB45871}"/>
    <cellStyle name="SAPBEXHLevel3X 3 4 3 5" xfId="29933" xr:uid="{00000000-0005-0000-0000-00006C700000}"/>
    <cellStyle name="SAPBEXHLevel3X 3 4 4" xfId="27239" xr:uid="{00000000-0005-0000-0000-00006D700000}"/>
    <cellStyle name="SAPBEXHLevel3X 3 4 4 2" xfId="31874" xr:uid="{7C478664-1320-406F-9D50-BDA5498B65D0}"/>
    <cellStyle name="SAPBEXHLevel3X 3 4 5" xfId="28379" xr:uid="{00000000-0005-0000-0000-00006E700000}"/>
    <cellStyle name="SAPBEXHLevel3X 3 4 5 2" xfId="32937" xr:uid="{C404FCF7-6D4A-4604-B569-5C109511B721}"/>
    <cellStyle name="SAPBEXHLevel3X 3 4 6" xfId="26458" xr:uid="{00000000-0005-0000-0000-00006F700000}"/>
    <cellStyle name="SAPBEXHLevel3X 3 4 6 2" xfId="31246" xr:uid="{F376D0A3-6563-4E6B-B0FA-C719D730CADD}"/>
    <cellStyle name="SAPBEXHLevel3X 3 4 7" xfId="29931" xr:uid="{00000000-0005-0000-0000-000070700000}"/>
    <cellStyle name="SAPBEXHLevel3X 3 4 8" xfId="30314" xr:uid="{9C7F96D7-C898-45CD-AD25-FDA8A5006533}"/>
    <cellStyle name="SAPBEXHLevel3X 3 5" xfId="25127" xr:uid="{00000000-0005-0000-0000-000071700000}"/>
    <cellStyle name="SAPBEXHLevel3X 3 5 2" xfId="25428" xr:uid="{00000000-0005-0000-0000-000072700000}"/>
    <cellStyle name="SAPBEXHLevel3X 3 5 2 2" xfId="27582" xr:uid="{00000000-0005-0000-0000-000073700000}"/>
    <cellStyle name="SAPBEXHLevel3X 3 5 2 2 2" xfId="32173" xr:uid="{1B21319F-FE3D-49A4-8166-691F0E52E145}"/>
    <cellStyle name="SAPBEXHLevel3X 3 5 2 3" xfId="28383" xr:uid="{00000000-0005-0000-0000-000074700000}"/>
    <cellStyle name="SAPBEXHLevel3X 3 5 2 3 2" xfId="32941" xr:uid="{09BD3033-EE54-4276-87A9-462B7CBCF00E}"/>
    <cellStyle name="SAPBEXHLevel3X 3 5 2 4" xfId="26103" xr:uid="{00000000-0005-0000-0000-000075700000}"/>
    <cellStyle name="SAPBEXHLevel3X 3 5 2 4 2" xfId="30893" xr:uid="{EE724D09-6C37-48B0-9A6B-2502F315B0FF}"/>
    <cellStyle name="SAPBEXHLevel3X 3 5 2 5" xfId="29935" xr:uid="{00000000-0005-0000-0000-000076700000}"/>
    <cellStyle name="SAPBEXHLevel3X 3 5 2 6" xfId="30586" xr:uid="{E7B2D32A-8966-4AB1-843C-0FDDCC975C12}"/>
    <cellStyle name="SAPBEXHLevel3X 3 5 3" xfId="25725" xr:uid="{00000000-0005-0000-0000-000077700000}"/>
    <cellStyle name="SAPBEXHLevel3X 3 5 3 2" xfId="27878" xr:uid="{00000000-0005-0000-0000-000078700000}"/>
    <cellStyle name="SAPBEXHLevel3X 3 5 3 2 2" xfId="32465" xr:uid="{05DA57AD-D9EC-41A6-BECD-405554911E5C}"/>
    <cellStyle name="SAPBEXHLevel3X 3 5 3 3" xfId="28384" xr:uid="{00000000-0005-0000-0000-000079700000}"/>
    <cellStyle name="SAPBEXHLevel3X 3 5 3 3 2" xfId="32942" xr:uid="{F96DE1DF-5756-4F8F-B2F1-734EB2D9815E}"/>
    <cellStyle name="SAPBEXHLevel3X 3 5 3 4" xfId="26508" xr:uid="{00000000-0005-0000-0000-00007A700000}"/>
    <cellStyle name="SAPBEXHLevel3X 3 5 3 4 2" xfId="31296" xr:uid="{CAD70976-8996-443A-9418-1CA939F3EF17}"/>
    <cellStyle name="SAPBEXHLevel3X 3 5 3 5" xfId="29936" xr:uid="{00000000-0005-0000-0000-00007B700000}"/>
    <cellStyle name="SAPBEXHLevel3X 3 5 3 6" xfId="30719" xr:uid="{5C99FBAA-B4E1-4A51-840B-F673FA42281D}"/>
    <cellStyle name="SAPBEXHLevel3X 3 5 4" xfId="27412" xr:uid="{00000000-0005-0000-0000-00007C700000}"/>
    <cellStyle name="SAPBEXHLevel3X 3 5 4 2" xfId="32010" xr:uid="{2094438C-978F-4161-AA50-4DC8055F527B}"/>
    <cellStyle name="SAPBEXHLevel3X 3 5 5" xfId="28382" xr:uid="{00000000-0005-0000-0000-00007D700000}"/>
    <cellStyle name="SAPBEXHLevel3X 3 5 5 2" xfId="32940" xr:uid="{537EAACE-E228-447D-B4AB-A93491D7BB7D}"/>
    <cellStyle name="SAPBEXHLevel3X 3 5 6" xfId="26496" xr:uid="{00000000-0005-0000-0000-00007E700000}"/>
    <cellStyle name="SAPBEXHLevel3X 3 5 6 2" xfId="31284" xr:uid="{DB492B91-6731-4C01-BF2B-F64CE2048734}"/>
    <cellStyle name="SAPBEXHLevel3X 3 5 7" xfId="29934" xr:uid="{00000000-0005-0000-0000-00007F700000}"/>
    <cellStyle name="SAPBEXHLevel3X 3 5 8" xfId="30427" xr:uid="{2FCDDEB8-F9E5-47A8-BF9F-E2EB35A6F064}"/>
    <cellStyle name="SAPBEXHLevel3X 3 6" xfId="25864" xr:uid="{00000000-0005-0000-0000-000080700000}"/>
    <cellStyle name="SAPBEXHLevel3X 3 6 2" xfId="30783" xr:uid="{FA22FF2A-56DE-435D-BD51-B2DC772EDF96}"/>
    <cellStyle name="SAPBEXHLevel3X 3 7" xfId="28374" xr:uid="{00000000-0005-0000-0000-000081700000}"/>
    <cellStyle name="SAPBEXHLevel3X 3 7 2" xfId="32932" xr:uid="{00A9E9D9-3078-4324-B743-E89FCC929ADA}"/>
    <cellStyle name="SAPBEXHLevel3X 3 8" xfId="26413" xr:uid="{00000000-0005-0000-0000-000082700000}"/>
    <cellStyle name="SAPBEXHLevel3X 3 8 2" xfId="31201" xr:uid="{AA5E62CA-10E7-400C-BFF8-E934203BD2AE}"/>
    <cellStyle name="SAPBEXHLevel3X 3 9" xfId="29926" xr:uid="{00000000-0005-0000-0000-000083700000}"/>
    <cellStyle name="SAPBEXHLevel3X 4" xfId="134" xr:uid="{00000000-0005-0000-0000-000084700000}"/>
    <cellStyle name="SAPBEXHLevel3X 4 2" xfId="13668" xr:uid="{00000000-0005-0000-0000-000085700000}"/>
    <cellStyle name="SAPBEXHLevel3X 4 2 2" xfId="25506" xr:uid="{00000000-0005-0000-0000-000086700000}"/>
    <cellStyle name="SAPBEXHLevel3X 4 2 2 2" xfId="27659" xr:uid="{00000000-0005-0000-0000-000087700000}"/>
    <cellStyle name="SAPBEXHLevel3X 4 2 2 2 2" xfId="32246" xr:uid="{BCE1656E-6784-4AB3-AB71-1227A8F66DA6}"/>
    <cellStyle name="SAPBEXHLevel3X 4 2 2 3" xfId="28387" xr:uid="{00000000-0005-0000-0000-000088700000}"/>
    <cellStyle name="SAPBEXHLevel3X 4 2 2 3 2" xfId="32945" xr:uid="{34D3DA20-C764-4AE8-A870-3B88521D41F0}"/>
    <cellStyle name="SAPBEXHLevel3X 4 2 2 4" xfId="26127" xr:uid="{00000000-0005-0000-0000-000089700000}"/>
    <cellStyle name="SAPBEXHLevel3X 4 2 2 4 2" xfId="30917" xr:uid="{FCE1060C-123F-419A-BE20-65C9334370FD}"/>
    <cellStyle name="SAPBEXHLevel3X 4 2 2 5" xfId="29939" xr:uid="{00000000-0005-0000-0000-00008A700000}"/>
    <cellStyle name="SAPBEXHLevel3X 4 2 3" xfId="26610" xr:uid="{00000000-0005-0000-0000-00008B700000}"/>
    <cellStyle name="SAPBEXHLevel3X 4 2 3 2" xfId="31388" xr:uid="{DB7AA06A-C417-44D8-8505-5A8987FA45D9}"/>
    <cellStyle name="SAPBEXHLevel3X 4 2 4" xfId="28386" xr:uid="{00000000-0005-0000-0000-00008C700000}"/>
    <cellStyle name="SAPBEXHLevel3X 4 2 4 2" xfId="32944" xr:uid="{059C8CAB-AD2B-4347-8CE5-5ACF8CCA0B08}"/>
    <cellStyle name="SAPBEXHLevel3X 4 2 5" xfId="26356" xr:uid="{00000000-0005-0000-0000-00008D700000}"/>
    <cellStyle name="SAPBEXHLevel3X 4 2 5 2" xfId="31144" xr:uid="{3F017564-F0CA-4570-8FFA-2C568DD995F0}"/>
    <cellStyle name="SAPBEXHLevel3X 4 2 6" xfId="29938" xr:uid="{00000000-0005-0000-0000-00008E700000}"/>
    <cellStyle name="SAPBEXHLevel3X 4 2 7" xfId="30208" xr:uid="{634BA862-F399-4C76-9D22-CE789E832FBC}"/>
    <cellStyle name="SAPBEXHLevel3X 4 3" xfId="25865" xr:uid="{00000000-0005-0000-0000-00008F700000}"/>
    <cellStyle name="SAPBEXHLevel3X 4 3 2" xfId="30784" xr:uid="{7A7F6CB4-B13E-4B5C-AD91-87BECF742EB1}"/>
    <cellStyle name="SAPBEXHLevel3X 4 4" xfId="28385" xr:uid="{00000000-0005-0000-0000-000090700000}"/>
    <cellStyle name="SAPBEXHLevel3X 4 4 2" xfId="32943" xr:uid="{6E9CB22E-45CE-4BE8-89A3-E2D89B5B189C}"/>
    <cellStyle name="SAPBEXHLevel3X 4 5" xfId="26996" xr:uid="{00000000-0005-0000-0000-000091700000}"/>
    <cellStyle name="SAPBEXHLevel3X 4 5 2" xfId="31757" xr:uid="{FAC2BE78-A6B4-445B-8720-D7A1C7BDCF67}"/>
    <cellStyle name="SAPBEXHLevel3X 4 6" xfId="29937" xr:uid="{00000000-0005-0000-0000-000092700000}"/>
    <cellStyle name="SAPBEXHLevel3X 5" xfId="257" xr:uid="{00000000-0005-0000-0000-000093700000}"/>
    <cellStyle name="SAPBEXHLevel3X 5 2" xfId="13722" xr:uid="{00000000-0005-0000-0000-000094700000}"/>
    <cellStyle name="SAPBEXHLevel3X 5 2 2" xfId="25535" xr:uid="{00000000-0005-0000-0000-000095700000}"/>
    <cellStyle name="SAPBEXHLevel3X 5 2 2 2" xfId="27688" xr:uid="{00000000-0005-0000-0000-000096700000}"/>
    <cellStyle name="SAPBEXHLevel3X 5 2 2 2 2" xfId="32275" xr:uid="{E8A5EE03-50A0-4240-9220-DC11A54B3885}"/>
    <cellStyle name="SAPBEXHLevel3X 5 2 2 3" xfId="28390" xr:uid="{00000000-0005-0000-0000-000097700000}"/>
    <cellStyle name="SAPBEXHLevel3X 5 2 2 3 2" xfId="32948" xr:uid="{1E6139FD-3027-421E-9DDD-0067DCF3FFD2}"/>
    <cellStyle name="SAPBEXHLevel3X 5 2 2 4" xfId="26537" xr:uid="{00000000-0005-0000-0000-000098700000}"/>
    <cellStyle name="SAPBEXHLevel3X 5 2 2 4 2" xfId="31324" xr:uid="{6E13C0EE-DF69-480F-9D3C-8A3C860372FE}"/>
    <cellStyle name="SAPBEXHLevel3X 5 2 2 5" xfId="29942" xr:uid="{00000000-0005-0000-0000-000099700000}"/>
    <cellStyle name="SAPBEXHLevel3X 5 2 3" xfId="26642" xr:uid="{00000000-0005-0000-0000-00009A700000}"/>
    <cellStyle name="SAPBEXHLevel3X 5 2 3 2" xfId="31419" xr:uid="{3823216F-B58B-4ACE-97B1-BB5E64B03519}"/>
    <cellStyle name="SAPBEXHLevel3X 5 2 4" xfId="28389" xr:uid="{00000000-0005-0000-0000-00009B700000}"/>
    <cellStyle name="SAPBEXHLevel3X 5 2 4 2" xfId="32947" xr:uid="{B103FB01-8BC2-4145-8BC0-6644725E7CC4}"/>
    <cellStyle name="SAPBEXHLevel3X 5 2 5" xfId="26247" xr:uid="{00000000-0005-0000-0000-00009C700000}"/>
    <cellStyle name="SAPBEXHLevel3X 5 2 5 2" xfId="31035" xr:uid="{59A8A4E6-431F-4189-A0E6-FDFDFCC54D49}"/>
    <cellStyle name="SAPBEXHLevel3X 5 2 6" xfId="29941" xr:uid="{00000000-0005-0000-0000-00009D700000}"/>
    <cellStyle name="SAPBEXHLevel3X 5 2 7" xfId="30237" xr:uid="{5D0F3AAC-5157-40EC-9714-DBF28195E1A0}"/>
    <cellStyle name="SAPBEXHLevel3X 5 3" xfId="25925" xr:uid="{00000000-0005-0000-0000-00009E700000}"/>
    <cellStyle name="SAPBEXHLevel3X 5 3 2" xfId="30814" xr:uid="{8B2656C5-9F3A-4B11-8E2F-B0ACD9624AC3}"/>
    <cellStyle name="SAPBEXHLevel3X 5 4" xfId="28388" xr:uid="{00000000-0005-0000-0000-00009F700000}"/>
    <cellStyle name="SAPBEXHLevel3X 5 4 2" xfId="32946" xr:uid="{158EB2F5-0BE7-4648-8A80-F7F2CF99D94A}"/>
    <cellStyle name="SAPBEXHLevel3X 5 5" xfId="27926" xr:uid="{00000000-0005-0000-0000-0000A0700000}"/>
    <cellStyle name="SAPBEXHLevel3X 5 5 2" xfId="32484" xr:uid="{0E1C805C-125B-4C8F-A1E3-829552F84728}"/>
    <cellStyle name="SAPBEXHLevel3X 5 6" xfId="29940" xr:uid="{00000000-0005-0000-0000-0000A1700000}"/>
    <cellStyle name="SAPBEXHLevel3X 6" xfId="13665" xr:uid="{00000000-0005-0000-0000-0000A2700000}"/>
    <cellStyle name="SAPBEXHLevel3X 6 2" xfId="25503" xr:uid="{00000000-0005-0000-0000-0000A3700000}"/>
    <cellStyle name="SAPBEXHLevel3X 6 2 2" xfId="27656" xr:uid="{00000000-0005-0000-0000-0000A4700000}"/>
    <cellStyle name="SAPBEXHLevel3X 6 2 2 2" xfId="32243" xr:uid="{59C02CF4-9696-438C-AB17-00BA00ED1F9A}"/>
    <cellStyle name="SAPBEXHLevel3X 6 2 3" xfId="28392" xr:uid="{00000000-0005-0000-0000-0000A5700000}"/>
    <cellStyle name="SAPBEXHLevel3X 6 2 3 2" xfId="32950" xr:uid="{A70A3F1C-C535-4A50-965A-23056B6B8F38}"/>
    <cellStyle name="SAPBEXHLevel3X 6 2 4" xfId="26805" xr:uid="{00000000-0005-0000-0000-0000A6700000}"/>
    <cellStyle name="SAPBEXHLevel3X 6 2 4 2" xfId="31566" xr:uid="{4C728602-73BE-4E59-8123-19760408D66B}"/>
    <cellStyle name="SAPBEXHLevel3X 6 2 5" xfId="29944" xr:uid="{00000000-0005-0000-0000-0000A7700000}"/>
    <cellStyle name="SAPBEXHLevel3X 6 3" xfId="26607" xr:uid="{00000000-0005-0000-0000-0000A8700000}"/>
    <cellStyle name="SAPBEXHLevel3X 6 3 2" xfId="31385" xr:uid="{3D23335A-A6F2-45F2-98D3-9CDD0399F482}"/>
    <cellStyle name="SAPBEXHLevel3X 6 4" xfId="28391" xr:uid="{00000000-0005-0000-0000-0000A9700000}"/>
    <cellStyle name="SAPBEXHLevel3X 6 4 2" xfId="32949" xr:uid="{1274685D-3743-4D65-8A74-50868C7C8624}"/>
    <cellStyle name="SAPBEXHLevel3X 6 5" xfId="26120" xr:uid="{00000000-0005-0000-0000-0000AA700000}"/>
    <cellStyle name="SAPBEXHLevel3X 6 5 2" xfId="30910" xr:uid="{EAAD5286-CA08-4F8C-9FC0-C1170F6E4F80}"/>
    <cellStyle name="SAPBEXHLevel3X 6 6" xfId="29943" xr:uid="{00000000-0005-0000-0000-0000AB700000}"/>
    <cellStyle name="SAPBEXHLevel3X 6 7" xfId="30205" xr:uid="{3655B80D-A217-4F56-B61B-ACA014A35A1E}"/>
    <cellStyle name="SAPBEXHLevel3X 7" xfId="24648" xr:uid="{00000000-0005-0000-0000-0000AC700000}"/>
    <cellStyle name="SAPBEXHLevel3X 7 2" xfId="25392" xr:uid="{00000000-0005-0000-0000-0000AD700000}"/>
    <cellStyle name="SAPBEXHLevel3X 7 2 2" xfId="27546" xr:uid="{00000000-0005-0000-0000-0000AE700000}"/>
    <cellStyle name="SAPBEXHLevel3X 7 2 2 2" xfId="32137" xr:uid="{7CC33AB6-2FBF-4589-9DCC-8356C15E51CB}"/>
    <cellStyle name="SAPBEXHLevel3X 7 2 3" xfId="28394" xr:uid="{00000000-0005-0000-0000-0000AF700000}"/>
    <cellStyle name="SAPBEXHLevel3X 7 2 3 2" xfId="32952" xr:uid="{5218DFB4-9C8B-4255-8199-2E951C98061A}"/>
    <cellStyle name="SAPBEXHLevel3X 7 2 4" xfId="26527" xr:uid="{00000000-0005-0000-0000-0000B0700000}"/>
    <cellStyle name="SAPBEXHLevel3X 7 2 4 2" xfId="31314" xr:uid="{83B58F8D-68DB-46AC-ABBF-0D282F66988C}"/>
    <cellStyle name="SAPBEXHLevel3X 7 2 5" xfId="29946" xr:uid="{00000000-0005-0000-0000-0000B1700000}"/>
    <cellStyle name="SAPBEXHLevel3X 7 2 6" xfId="30550" xr:uid="{B1EE9249-7FDA-47C7-BD9F-3316C79AD5ED}"/>
    <cellStyle name="SAPBEXHLevel3X 7 3" xfId="25614" xr:uid="{00000000-0005-0000-0000-0000B2700000}"/>
    <cellStyle name="SAPBEXHLevel3X 7 3 2" xfId="27767" xr:uid="{00000000-0005-0000-0000-0000B3700000}"/>
    <cellStyle name="SAPBEXHLevel3X 7 3 2 2" xfId="32354" xr:uid="{F42B81ED-5BF4-4065-A397-BC2ABF82F0EA}"/>
    <cellStyle name="SAPBEXHLevel3X 7 3 3" xfId="28395" xr:uid="{00000000-0005-0000-0000-0000B4700000}"/>
    <cellStyle name="SAPBEXHLevel3X 7 3 3 2" xfId="32953" xr:uid="{6D99D37A-E8F0-4A6F-B791-F86D9715914F}"/>
    <cellStyle name="SAPBEXHLevel3X 7 3 4" xfId="26892" xr:uid="{00000000-0005-0000-0000-0000B5700000}"/>
    <cellStyle name="SAPBEXHLevel3X 7 3 4 2" xfId="31653" xr:uid="{C8E59616-84C5-494D-8A3F-BFFC7D6FD597}"/>
    <cellStyle name="SAPBEXHLevel3X 7 3 5" xfId="29947" xr:uid="{00000000-0005-0000-0000-0000B6700000}"/>
    <cellStyle name="SAPBEXHLevel3X 7 4" xfId="27241" xr:uid="{00000000-0005-0000-0000-0000B7700000}"/>
    <cellStyle name="SAPBEXHLevel3X 7 4 2" xfId="31876" xr:uid="{3D2A80C7-F827-489A-B6F7-5C6A97044B85}"/>
    <cellStyle name="SAPBEXHLevel3X 7 5" xfId="28393" xr:uid="{00000000-0005-0000-0000-0000B8700000}"/>
    <cellStyle name="SAPBEXHLevel3X 7 5 2" xfId="32951" xr:uid="{B996BF90-7336-45B5-AF61-BFE5C42EDF50}"/>
    <cellStyle name="SAPBEXHLevel3X 7 6" xfId="26426" xr:uid="{00000000-0005-0000-0000-0000B9700000}"/>
    <cellStyle name="SAPBEXHLevel3X 7 6 2" xfId="31214" xr:uid="{CF2C049C-A657-4B60-914F-2C40643340B0}"/>
    <cellStyle name="SAPBEXHLevel3X 7 7" xfId="29945" xr:uid="{00000000-0005-0000-0000-0000BA700000}"/>
    <cellStyle name="SAPBEXHLevel3X 7 8" xfId="30316" xr:uid="{4E695917-C041-4582-8901-18280CF2CE17}"/>
    <cellStyle name="SAPBEXHLevel3X 8" xfId="25125" xr:uid="{00000000-0005-0000-0000-0000BB700000}"/>
    <cellStyle name="SAPBEXHLevel3X 8 2" xfId="25414" xr:uid="{00000000-0005-0000-0000-0000BC700000}"/>
    <cellStyle name="SAPBEXHLevel3X 8 2 2" xfId="27568" xr:uid="{00000000-0005-0000-0000-0000BD700000}"/>
    <cellStyle name="SAPBEXHLevel3X 8 2 2 2" xfId="32159" xr:uid="{23F4745B-DC52-4355-B90C-5E01822F08C8}"/>
    <cellStyle name="SAPBEXHLevel3X 8 2 3" xfId="28397" xr:uid="{00000000-0005-0000-0000-0000BE700000}"/>
    <cellStyle name="SAPBEXHLevel3X 8 2 3 2" xfId="32955" xr:uid="{24744013-6FAD-464F-9156-9C215C2FBD74}"/>
    <cellStyle name="SAPBEXHLevel3X 8 2 4" xfId="26410" xr:uid="{00000000-0005-0000-0000-0000BF700000}"/>
    <cellStyle name="SAPBEXHLevel3X 8 2 4 2" xfId="31198" xr:uid="{765D670A-2483-4C3C-B436-DBD6EDD29432}"/>
    <cellStyle name="SAPBEXHLevel3X 8 2 5" xfId="29949" xr:uid="{00000000-0005-0000-0000-0000C0700000}"/>
    <cellStyle name="SAPBEXHLevel3X 8 2 6" xfId="30572" xr:uid="{36E80096-F8E1-40CF-9AB9-FE6B9DCE4B69}"/>
    <cellStyle name="SAPBEXHLevel3X 8 3" xfId="25723" xr:uid="{00000000-0005-0000-0000-0000C1700000}"/>
    <cellStyle name="SAPBEXHLevel3X 8 3 2" xfId="27876" xr:uid="{00000000-0005-0000-0000-0000C2700000}"/>
    <cellStyle name="SAPBEXHLevel3X 8 3 2 2" xfId="32463" xr:uid="{0DA899B9-A7A2-45D5-A485-18C101D666F7}"/>
    <cellStyle name="SAPBEXHLevel3X 8 3 3" xfId="28398" xr:uid="{00000000-0005-0000-0000-0000C3700000}"/>
    <cellStyle name="SAPBEXHLevel3X 8 3 3 2" xfId="32956" xr:uid="{8C4CC2ED-82E0-4B10-84C7-466A272FFD2B}"/>
    <cellStyle name="SAPBEXHLevel3X 8 3 4" xfId="26559" xr:uid="{00000000-0005-0000-0000-0000C4700000}"/>
    <cellStyle name="SAPBEXHLevel3X 8 3 4 2" xfId="31340" xr:uid="{A160F7CB-B045-4745-8777-D2B2444E6D14}"/>
    <cellStyle name="SAPBEXHLevel3X 8 3 5" xfId="29950" xr:uid="{00000000-0005-0000-0000-0000C5700000}"/>
    <cellStyle name="SAPBEXHLevel3X 8 3 6" xfId="30717" xr:uid="{75E9B26F-EBEB-4DEA-83E0-DA62D7697FB4}"/>
    <cellStyle name="SAPBEXHLevel3X 8 4" xfId="27410" xr:uid="{00000000-0005-0000-0000-0000C6700000}"/>
    <cellStyle name="SAPBEXHLevel3X 8 4 2" xfId="32008" xr:uid="{3E1AD465-B838-4DC5-A2D5-3A1D185E4EE3}"/>
    <cellStyle name="SAPBEXHLevel3X 8 5" xfId="28396" xr:uid="{00000000-0005-0000-0000-0000C7700000}"/>
    <cellStyle name="SAPBEXHLevel3X 8 5 2" xfId="32954" xr:uid="{C88F1E99-2D38-4D3D-A891-6A85B0C75960}"/>
    <cellStyle name="SAPBEXHLevel3X 8 6" xfId="26889" xr:uid="{00000000-0005-0000-0000-0000C8700000}"/>
    <cellStyle name="SAPBEXHLevel3X 8 6 2" xfId="31650" xr:uid="{A7BED088-0100-401F-BFB1-42FFD4A43473}"/>
    <cellStyle name="SAPBEXHLevel3X 8 7" xfId="29948" xr:uid="{00000000-0005-0000-0000-0000C9700000}"/>
    <cellStyle name="SAPBEXHLevel3X 8 8" xfId="30425" xr:uid="{1974C777-750B-4F6C-9D68-A17FF86EA43B}"/>
    <cellStyle name="SAPBEXHLevel3X 9" xfId="25862" xr:uid="{00000000-0005-0000-0000-0000CA700000}"/>
    <cellStyle name="SAPBEXHLevel3X 9 2" xfId="30781" xr:uid="{26A23DAD-FA9C-4CAB-BCA3-2DB80B9EE2E6}"/>
    <cellStyle name="SAPBEXinputData" xfId="24270" xr:uid="{00000000-0005-0000-0000-0000CB700000}"/>
    <cellStyle name="SAPBEXinputData 2" xfId="24271" xr:uid="{00000000-0005-0000-0000-0000CC700000}"/>
    <cellStyle name="SAPBEXinputData 2 2" xfId="24927" xr:uid="{00000000-0005-0000-0000-0000CD700000}"/>
    <cellStyle name="SAPBEXinputData 2 2 2" xfId="27336" xr:uid="{00000000-0005-0000-0000-0000CE700000}"/>
    <cellStyle name="SAPBEXinputData 2 3" xfId="27125" xr:uid="{00000000-0005-0000-0000-0000CF700000}"/>
    <cellStyle name="SAPBEXinputData 3" xfId="24272" xr:uid="{00000000-0005-0000-0000-0000D0700000}"/>
    <cellStyle name="SAPBEXinputData 3 2" xfId="24924" xr:uid="{00000000-0005-0000-0000-0000D1700000}"/>
    <cellStyle name="SAPBEXinputData 3 2 2" xfId="27333" xr:uid="{00000000-0005-0000-0000-0000D2700000}"/>
    <cellStyle name="SAPBEXinputData 3 3" xfId="27126" xr:uid="{00000000-0005-0000-0000-0000D3700000}"/>
    <cellStyle name="SAPBEXinputData 4" xfId="24771" xr:uid="{00000000-0005-0000-0000-0000D4700000}"/>
    <cellStyle name="SAPBEXinputData 4 2" xfId="27312" xr:uid="{00000000-0005-0000-0000-0000D5700000}"/>
    <cellStyle name="SAPBEXinputData 5" xfId="27124" xr:uid="{00000000-0005-0000-0000-0000D6700000}"/>
    <cellStyle name="SAPBEXresData" xfId="135" xr:uid="{00000000-0005-0000-0000-0000D7700000}"/>
    <cellStyle name="SAPBEXresData 2" xfId="13669" xr:uid="{00000000-0005-0000-0000-0000D8700000}"/>
    <cellStyle name="SAPBEXresData 2 2" xfId="25507" xr:uid="{00000000-0005-0000-0000-0000D9700000}"/>
    <cellStyle name="SAPBEXresData 2 2 2" xfId="27660" xr:uid="{00000000-0005-0000-0000-0000DA700000}"/>
    <cellStyle name="SAPBEXresData 2 2 2 2" xfId="32247" xr:uid="{31F18D4B-DE0A-468B-800F-CB07B9542BC9}"/>
    <cellStyle name="SAPBEXresData 2 2 3" xfId="28401" xr:uid="{00000000-0005-0000-0000-0000DB700000}"/>
    <cellStyle name="SAPBEXresData 2 2 3 2" xfId="32959" xr:uid="{C135B232-02CE-477D-B212-BC1534F5DF12}"/>
    <cellStyle name="SAPBEXresData 2 2 4" xfId="26499" xr:uid="{00000000-0005-0000-0000-0000DC700000}"/>
    <cellStyle name="SAPBEXresData 2 2 4 2" xfId="31287" xr:uid="{C40CCFAC-CD22-44E0-9B80-B03B15117FF8}"/>
    <cellStyle name="SAPBEXresData 2 2 5" xfId="29953" xr:uid="{00000000-0005-0000-0000-0000DD700000}"/>
    <cellStyle name="SAPBEXresData 2 3" xfId="26611" xr:uid="{00000000-0005-0000-0000-0000DE700000}"/>
    <cellStyle name="SAPBEXresData 2 3 2" xfId="31389" xr:uid="{9D513E72-31AA-45CF-BC1B-BCA72D20ADEE}"/>
    <cellStyle name="SAPBEXresData 2 4" xfId="28400" xr:uid="{00000000-0005-0000-0000-0000DF700000}"/>
    <cellStyle name="SAPBEXresData 2 4 2" xfId="32958" xr:uid="{E907A8F9-4CB0-4D04-948E-35404C48A1D6}"/>
    <cellStyle name="SAPBEXresData 2 5" xfId="26715" xr:uid="{00000000-0005-0000-0000-0000E0700000}"/>
    <cellStyle name="SAPBEXresData 2 5 2" xfId="31477" xr:uid="{CDA56021-F4A4-40D2-8249-B99836CC4F8F}"/>
    <cellStyle name="SAPBEXresData 2 6" xfId="29952" xr:uid="{00000000-0005-0000-0000-0000E1700000}"/>
    <cellStyle name="SAPBEXresData 2 7" xfId="30209" xr:uid="{588FC51F-DC46-481B-9DD5-800962759BCD}"/>
    <cellStyle name="SAPBEXresData 3" xfId="24645" xr:uid="{00000000-0005-0000-0000-0000E2700000}"/>
    <cellStyle name="SAPBEXresData 3 2" xfId="25341" xr:uid="{00000000-0005-0000-0000-0000E3700000}"/>
    <cellStyle name="SAPBEXresData 3 2 2" xfId="27495" xr:uid="{00000000-0005-0000-0000-0000E4700000}"/>
    <cellStyle name="SAPBEXresData 3 2 2 2" xfId="32086" xr:uid="{A13287A6-D481-4C26-881C-3FA5B17372DA}"/>
    <cellStyle name="SAPBEXresData 3 2 3" xfId="28403" xr:uid="{00000000-0005-0000-0000-0000E5700000}"/>
    <cellStyle name="SAPBEXresData 3 2 3 2" xfId="32961" xr:uid="{D0B87572-0820-4FFD-9189-EC41B2827FC6}"/>
    <cellStyle name="SAPBEXresData 3 2 4" xfId="26541" xr:uid="{00000000-0005-0000-0000-0000E6700000}"/>
    <cellStyle name="SAPBEXresData 3 2 4 2" xfId="31328" xr:uid="{55AE0055-7746-4D87-8475-F97FD3F0729B}"/>
    <cellStyle name="SAPBEXresData 3 2 5" xfId="29955" xr:uid="{00000000-0005-0000-0000-0000E7700000}"/>
    <cellStyle name="SAPBEXresData 3 2 6" xfId="30499" xr:uid="{B50FC92F-F0CB-4F38-8AF1-1AF96D23585D}"/>
    <cellStyle name="SAPBEXresData 3 3" xfId="25611" xr:uid="{00000000-0005-0000-0000-0000E8700000}"/>
    <cellStyle name="SAPBEXresData 3 3 2" xfId="27764" xr:uid="{00000000-0005-0000-0000-0000E9700000}"/>
    <cellStyle name="SAPBEXresData 3 3 2 2" xfId="32351" xr:uid="{0688740D-E7F9-4D74-843E-E4157EDB68F1}"/>
    <cellStyle name="SAPBEXresData 3 3 3" xfId="28404" xr:uid="{00000000-0005-0000-0000-0000EA700000}"/>
    <cellStyle name="SAPBEXresData 3 3 3 2" xfId="32962" xr:uid="{C245EF7D-E6F9-4BF1-90CB-F5DF8F549C80}"/>
    <cellStyle name="SAPBEXresData 3 3 4" xfId="26330" xr:uid="{00000000-0005-0000-0000-0000EB700000}"/>
    <cellStyle name="SAPBEXresData 3 3 4 2" xfId="31118" xr:uid="{4FF40185-9067-4EE2-A64F-A75C7F043B48}"/>
    <cellStyle name="SAPBEXresData 3 3 5" xfId="29956" xr:uid="{00000000-0005-0000-0000-0000EC700000}"/>
    <cellStyle name="SAPBEXresData 3 4" xfId="27238" xr:uid="{00000000-0005-0000-0000-0000ED700000}"/>
    <cellStyle name="SAPBEXresData 3 4 2" xfId="31873" xr:uid="{8C8F3C1E-9D2E-4991-B68F-AE6B00549F21}"/>
    <cellStyle name="SAPBEXresData 3 5" xfId="28402" xr:uid="{00000000-0005-0000-0000-0000EE700000}"/>
    <cellStyle name="SAPBEXresData 3 5 2" xfId="32960" xr:uid="{0E4ECC88-9DC2-4E81-9643-5DFA564C2B3E}"/>
    <cellStyle name="SAPBEXresData 3 6" xfId="26751" xr:uid="{00000000-0005-0000-0000-0000EF700000}"/>
    <cellStyle name="SAPBEXresData 3 6 2" xfId="31512" xr:uid="{528ECEEA-F1BD-47FF-82BC-DDFCC6E7796D}"/>
    <cellStyle name="SAPBEXresData 3 7" xfId="29954" xr:uid="{00000000-0005-0000-0000-0000F0700000}"/>
    <cellStyle name="SAPBEXresData 3 8" xfId="30313" xr:uid="{98D5FDE3-7A4B-44E1-B7F0-84C7A73756FA}"/>
    <cellStyle name="SAPBEXresData 4" xfId="25128" xr:uid="{00000000-0005-0000-0000-0000F1700000}"/>
    <cellStyle name="SAPBEXresData 4 2" xfId="25344" xr:uid="{00000000-0005-0000-0000-0000F2700000}"/>
    <cellStyle name="SAPBEXresData 4 2 2" xfId="27498" xr:uid="{00000000-0005-0000-0000-0000F3700000}"/>
    <cellStyle name="SAPBEXresData 4 2 2 2" xfId="32089" xr:uid="{FCA101A0-664E-4625-B783-DD3C6C6FB558}"/>
    <cellStyle name="SAPBEXresData 4 2 3" xfId="28406" xr:uid="{00000000-0005-0000-0000-0000F4700000}"/>
    <cellStyle name="SAPBEXresData 4 2 3 2" xfId="32964" xr:uid="{A3A07294-8B9C-4D21-BA5F-D09D42340CD5}"/>
    <cellStyle name="SAPBEXresData 4 2 4" xfId="26107" xr:uid="{00000000-0005-0000-0000-0000F5700000}"/>
    <cellStyle name="SAPBEXresData 4 2 4 2" xfId="30897" xr:uid="{09543267-4766-41FA-AE47-FEEB9601E6AF}"/>
    <cellStyle name="SAPBEXresData 4 2 5" xfId="29958" xr:uid="{00000000-0005-0000-0000-0000F6700000}"/>
    <cellStyle name="SAPBEXresData 4 2 6" xfId="30502" xr:uid="{411C24F2-E001-4709-A07B-96166EA5E295}"/>
    <cellStyle name="SAPBEXresData 4 3" xfId="25726" xr:uid="{00000000-0005-0000-0000-0000F7700000}"/>
    <cellStyle name="SAPBEXresData 4 3 2" xfId="27879" xr:uid="{00000000-0005-0000-0000-0000F8700000}"/>
    <cellStyle name="SAPBEXresData 4 3 2 2" xfId="32466" xr:uid="{0CE4D7B6-27D6-440E-BF6E-EE90A31DA340}"/>
    <cellStyle name="SAPBEXresData 4 3 3" xfId="28407" xr:uid="{00000000-0005-0000-0000-0000F9700000}"/>
    <cellStyle name="SAPBEXresData 4 3 3 2" xfId="32965" xr:uid="{BA000DEF-7153-4D69-8EC3-BE73C2E77D84}"/>
    <cellStyle name="SAPBEXresData 4 3 4" xfId="26862" xr:uid="{00000000-0005-0000-0000-0000FA700000}"/>
    <cellStyle name="SAPBEXresData 4 3 4 2" xfId="31623" xr:uid="{9C7F8C61-7F39-4974-A573-BEB57D747127}"/>
    <cellStyle name="SAPBEXresData 4 3 5" xfId="29959" xr:uid="{00000000-0005-0000-0000-0000FB700000}"/>
    <cellStyle name="SAPBEXresData 4 3 6" xfId="30720" xr:uid="{ADAA1D7E-62A2-4BE2-9FE9-C2B35ED28893}"/>
    <cellStyle name="SAPBEXresData 4 4" xfId="27413" xr:uid="{00000000-0005-0000-0000-0000FC700000}"/>
    <cellStyle name="SAPBEXresData 4 4 2" xfId="32011" xr:uid="{4137C93A-144D-4CF8-B103-F506FD47E2B5}"/>
    <cellStyle name="SAPBEXresData 4 5" xfId="28405" xr:uid="{00000000-0005-0000-0000-0000FD700000}"/>
    <cellStyle name="SAPBEXresData 4 5 2" xfId="32963" xr:uid="{21240C7F-76AF-4D19-9CCE-36C38AE9F239}"/>
    <cellStyle name="SAPBEXresData 4 6" xfId="26110" xr:uid="{00000000-0005-0000-0000-0000FE700000}"/>
    <cellStyle name="SAPBEXresData 4 6 2" xfId="30900" xr:uid="{E6FA5FF2-1A50-466A-BB3A-EA7AC2160900}"/>
    <cellStyle name="SAPBEXresData 4 7" xfId="29957" xr:uid="{00000000-0005-0000-0000-0000FF700000}"/>
    <cellStyle name="SAPBEXresData 4 8" xfId="30428" xr:uid="{3509B2EE-6847-4BE4-A7C8-7D6FAC8BA3BE}"/>
    <cellStyle name="SAPBEXresData 5" xfId="25866" xr:uid="{00000000-0005-0000-0000-000000710000}"/>
    <cellStyle name="SAPBEXresData 5 2" xfId="30785" xr:uid="{89020E5D-E677-4847-8404-A5FED79CD070}"/>
    <cellStyle name="SAPBEXresData 6" xfId="28399" xr:uid="{00000000-0005-0000-0000-000001710000}"/>
    <cellStyle name="SAPBEXresData 6 2" xfId="32957" xr:uid="{76ACBCB1-7E01-489D-BDBB-CFB175A7983B}"/>
    <cellStyle name="SAPBEXresData 7" xfId="26489" xr:uid="{00000000-0005-0000-0000-000002710000}"/>
    <cellStyle name="SAPBEXresData 7 2" xfId="31277" xr:uid="{BF10D402-DDAB-40A8-8196-2217B4CB615E}"/>
    <cellStyle name="SAPBEXresData 8" xfId="29951" xr:uid="{00000000-0005-0000-0000-000003710000}"/>
    <cellStyle name="SAPBEXresDataEmph" xfId="136" xr:uid="{00000000-0005-0000-0000-000004710000}"/>
    <cellStyle name="SAPBEXresDataEmph 2" xfId="13670" xr:uid="{00000000-0005-0000-0000-000005710000}"/>
    <cellStyle name="SAPBEXresDataEmph 2 2" xfId="25508" xr:uid="{00000000-0005-0000-0000-000006710000}"/>
    <cellStyle name="SAPBEXresDataEmph 2 2 2" xfId="27661" xr:uid="{00000000-0005-0000-0000-000007710000}"/>
    <cellStyle name="SAPBEXresDataEmph 2 2 2 2" xfId="32248" xr:uid="{CC2BAD40-7685-4B6B-8565-8F3029A8A40A}"/>
    <cellStyle name="SAPBEXresDataEmph 2 2 3" xfId="28410" xr:uid="{00000000-0005-0000-0000-000008710000}"/>
    <cellStyle name="SAPBEXresDataEmph 2 2 3 2" xfId="32968" xr:uid="{BD9A4AE5-A9DC-4D3F-ABF5-4DDBC27DCA42}"/>
    <cellStyle name="SAPBEXresDataEmph 2 2 4" xfId="26894" xr:uid="{00000000-0005-0000-0000-000009710000}"/>
    <cellStyle name="SAPBEXresDataEmph 2 2 4 2" xfId="31655" xr:uid="{EBAC9037-3727-43A9-943F-67402A80A1F8}"/>
    <cellStyle name="SAPBEXresDataEmph 2 2 5" xfId="29962" xr:uid="{00000000-0005-0000-0000-00000A710000}"/>
    <cellStyle name="SAPBEXresDataEmph 2 3" xfId="26612" xr:uid="{00000000-0005-0000-0000-00000B710000}"/>
    <cellStyle name="SAPBEXresDataEmph 2 3 2" xfId="31390" xr:uid="{E7820E30-1AA6-4097-84BC-91C6E5115A66}"/>
    <cellStyle name="SAPBEXresDataEmph 2 4" xfId="28409" xr:uid="{00000000-0005-0000-0000-00000C710000}"/>
    <cellStyle name="SAPBEXresDataEmph 2 4 2" xfId="32967" xr:uid="{5BDBE309-DA57-4062-B030-822DE2438060}"/>
    <cellStyle name="SAPBEXresDataEmph 2 5" xfId="26539" xr:uid="{00000000-0005-0000-0000-00000D710000}"/>
    <cellStyle name="SAPBEXresDataEmph 2 5 2" xfId="31326" xr:uid="{31BDFD7F-85A6-4534-B823-5F749CEDC4CF}"/>
    <cellStyle name="SAPBEXresDataEmph 2 6" xfId="29961" xr:uid="{00000000-0005-0000-0000-00000E710000}"/>
    <cellStyle name="SAPBEXresDataEmph 2 7" xfId="30210" xr:uid="{0008B232-9B18-4BAB-AD83-F2A96E2D67BD}"/>
    <cellStyle name="SAPBEXresDataEmph 3" xfId="24644" xr:uid="{00000000-0005-0000-0000-00000F710000}"/>
    <cellStyle name="SAPBEXresDataEmph 3 2" xfId="25425" xr:uid="{00000000-0005-0000-0000-000010710000}"/>
    <cellStyle name="SAPBEXresDataEmph 3 2 2" xfId="27579" xr:uid="{00000000-0005-0000-0000-000011710000}"/>
    <cellStyle name="SAPBEXresDataEmph 3 2 2 2" xfId="32170" xr:uid="{3C9006EB-966C-4311-BD1C-30C6CBF003BF}"/>
    <cellStyle name="SAPBEXresDataEmph 3 2 3" xfId="28412" xr:uid="{00000000-0005-0000-0000-000012710000}"/>
    <cellStyle name="SAPBEXresDataEmph 3 2 3 2" xfId="32970" xr:uid="{880627F5-D108-4DF4-BF59-7B48A3E1EBDA}"/>
    <cellStyle name="SAPBEXresDataEmph 3 2 4" xfId="26858" xr:uid="{00000000-0005-0000-0000-000013710000}"/>
    <cellStyle name="SAPBEXresDataEmph 3 2 4 2" xfId="31619" xr:uid="{B9D44A06-73B0-4C60-B95D-19DE9FAF22D6}"/>
    <cellStyle name="SAPBEXresDataEmph 3 2 5" xfId="29964" xr:uid="{00000000-0005-0000-0000-000014710000}"/>
    <cellStyle name="SAPBEXresDataEmph 3 2 6" xfId="30583" xr:uid="{118AEA6D-5ECA-44F9-A30E-97C01EB3D2ED}"/>
    <cellStyle name="SAPBEXresDataEmph 3 3" xfId="25610" xr:uid="{00000000-0005-0000-0000-000015710000}"/>
    <cellStyle name="SAPBEXresDataEmph 3 3 2" xfId="27763" xr:uid="{00000000-0005-0000-0000-000016710000}"/>
    <cellStyle name="SAPBEXresDataEmph 3 3 2 2" xfId="32350" xr:uid="{3E87F055-7D5E-4815-A065-51C972BACD7A}"/>
    <cellStyle name="SAPBEXresDataEmph 3 3 3" xfId="28413" xr:uid="{00000000-0005-0000-0000-000017710000}"/>
    <cellStyle name="SAPBEXresDataEmph 3 3 3 2" xfId="32971" xr:uid="{5319DF64-80FF-4ACC-90B6-DD1883D8C3E4}"/>
    <cellStyle name="SAPBEXresDataEmph 3 3 4" xfId="26395" xr:uid="{00000000-0005-0000-0000-000018710000}"/>
    <cellStyle name="SAPBEXresDataEmph 3 3 4 2" xfId="31183" xr:uid="{A443C37C-E0A8-4017-B108-737E0B8263C1}"/>
    <cellStyle name="SAPBEXresDataEmph 3 3 5" xfId="29965" xr:uid="{00000000-0005-0000-0000-000019710000}"/>
    <cellStyle name="SAPBEXresDataEmph 3 4" xfId="27237" xr:uid="{00000000-0005-0000-0000-00001A710000}"/>
    <cellStyle name="SAPBEXresDataEmph 3 4 2" xfId="31872" xr:uid="{21A0E2B4-E9EB-490A-876F-2980D4FE38C5}"/>
    <cellStyle name="SAPBEXresDataEmph 3 5" xfId="28411" xr:uid="{00000000-0005-0000-0000-00001B710000}"/>
    <cellStyle name="SAPBEXresDataEmph 3 5 2" xfId="32969" xr:uid="{28523237-3CAD-43AA-BC67-7CDCBBBAFDE3}"/>
    <cellStyle name="SAPBEXresDataEmph 3 6" xfId="26942" xr:uid="{00000000-0005-0000-0000-00001C710000}"/>
    <cellStyle name="SAPBEXresDataEmph 3 6 2" xfId="31703" xr:uid="{E5E4A04A-8C9C-4FC9-8554-4AED80F51B73}"/>
    <cellStyle name="SAPBEXresDataEmph 3 7" xfId="29963" xr:uid="{00000000-0005-0000-0000-00001D710000}"/>
    <cellStyle name="SAPBEXresDataEmph 3 8" xfId="30312" xr:uid="{45295B30-D13B-4F34-A0A5-E4B0FD6B8441}"/>
    <cellStyle name="SAPBEXresDataEmph 4" xfId="25129" xr:uid="{00000000-0005-0000-0000-00001E710000}"/>
    <cellStyle name="SAPBEXresDataEmph 4 2" xfId="25445" xr:uid="{00000000-0005-0000-0000-00001F710000}"/>
    <cellStyle name="SAPBEXresDataEmph 4 2 2" xfId="27599" xr:uid="{00000000-0005-0000-0000-000020710000}"/>
    <cellStyle name="SAPBEXresDataEmph 4 2 2 2" xfId="32190" xr:uid="{B526E0FD-18C7-4740-90B2-A0AF61D9A7DB}"/>
    <cellStyle name="SAPBEXresDataEmph 4 2 3" xfId="28415" xr:uid="{00000000-0005-0000-0000-000021710000}"/>
    <cellStyle name="SAPBEXresDataEmph 4 2 3 2" xfId="32973" xr:uid="{747E3ED8-A525-4339-A12E-CEE9E8DF9EBF}"/>
    <cellStyle name="SAPBEXresDataEmph 4 2 4" xfId="26502" xr:uid="{00000000-0005-0000-0000-000022710000}"/>
    <cellStyle name="SAPBEXresDataEmph 4 2 4 2" xfId="31290" xr:uid="{19279DAE-A5B4-464D-965C-C12B30D6DC89}"/>
    <cellStyle name="SAPBEXresDataEmph 4 2 5" xfId="29967" xr:uid="{00000000-0005-0000-0000-000023710000}"/>
    <cellStyle name="SAPBEXresDataEmph 4 2 6" xfId="30603" xr:uid="{947BB9F9-B1DC-4E58-A878-9F29896B084B}"/>
    <cellStyle name="SAPBEXresDataEmph 4 3" xfId="25727" xr:uid="{00000000-0005-0000-0000-000024710000}"/>
    <cellStyle name="SAPBEXresDataEmph 4 3 2" xfId="27880" xr:uid="{00000000-0005-0000-0000-000025710000}"/>
    <cellStyle name="SAPBEXresDataEmph 4 3 2 2" xfId="32467" xr:uid="{7357FA17-93D3-4A42-95E7-9281B0EA1AC6}"/>
    <cellStyle name="SAPBEXresDataEmph 4 3 3" xfId="28416" xr:uid="{00000000-0005-0000-0000-000026710000}"/>
    <cellStyle name="SAPBEXresDataEmph 4 3 3 2" xfId="32974" xr:uid="{8E28FBFB-A495-4021-994F-A1A6A51C0F28}"/>
    <cellStyle name="SAPBEXresDataEmph 4 3 4" xfId="26844" xr:uid="{00000000-0005-0000-0000-000027710000}"/>
    <cellStyle name="SAPBEXresDataEmph 4 3 4 2" xfId="31605" xr:uid="{EF3C1E56-8E20-4988-803A-95E0141F5C9B}"/>
    <cellStyle name="SAPBEXresDataEmph 4 3 5" xfId="29968" xr:uid="{00000000-0005-0000-0000-000028710000}"/>
    <cellStyle name="SAPBEXresDataEmph 4 3 6" xfId="30721" xr:uid="{B691638A-1E6C-4C5B-B110-68170A31A118}"/>
    <cellStyle name="SAPBEXresDataEmph 4 4" xfId="27414" xr:uid="{00000000-0005-0000-0000-000029710000}"/>
    <cellStyle name="SAPBEXresDataEmph 4 4 2" xfId="32012" xr:uid="{AE600082-B064-494C-96EE-8E531B7CF68D}"/>
    <cellStyle name="SAPBEXresDataEmph 4 5" xfId="28414" xr:uid="{00000000-0005-0000-0000-00002A710000}"/>
    <cellStyle name="SAPBEXresDataEmph 4 5 2" xfId="32972" xr:uid="{90532C1F-2ECF-49A8-829C-A6D409E295D5}"/>
    <cellStyle name="SAPBEXresDataEmph 4 6" xfId="26245" xr:uid="{00000000-0005-0000-0000-00002B710000}"/>
    <cellStyle name="SAPBEXresDataEmph 4 6 2" xfId="31033" xr:uid="{D004DBA8-B1E1-4D7F-B105-D1E54511FC5A}"/>
    <cellStyle name="SAPBEXresDataEmph 4 7" xfId="29966" xr:uid="{00000000-0005-0000-0000-00002C710000}"/>
    <cellStyle name="SAPBEXresDataEmph 4 8" xfId="30429" xr:uid="{8FB2A62A-1802-4E79-B1B2-BFD9C53A863C}"/>
    <cellStyle name="SAPBEXresDataEmph 5" xfId="25867" xr:uid="{00000000-0005-0000-0000-00002D710000}"/>
    <cellStyle name="SAPBEXresDataEmph 5 2" xfId="30786" xr:uid="{FFF959E2-3AC1-4645-A757-91898D25434E}"/>
    <cellStyle name="SAPBEXresDataEmph 6" xfId="28408" xr:uid="{00000000-0005-0000-0000-00002E710000}"/>
    <cellStyle name="SAPBEXresDataEmph 6 2" xfId="32966" xr:uid="{B3038231-9028-4686-9E7E-C271E67D17E3}"/>
    <cellStyle name="SAPBEXresDataEmph 7" xfId="26203" xr:uid="{00000000-0005-0000-0000-00002F710000}"/>
    <cellStyle name="SAPBEXresDataEmph 7 2" xfId="30991" xr:uid="{6F515C21-D15E-4F3C-9A74-C1D6824EBFE9}"/>
    <cellStyle name="SAPBEXresDataEmph 8" xfId="29960" xr:uid="{00000000-0005-0000-0000-000030710000}"/>
    <cellStyle name="SAPBEXresItem" xfId="137" xr:uid="{00000000-0005-0000-0000-000031710000}"/>
    <cellStyle name="SAPBEXresItem 2" xfId="13671" xr:uid="{00000000-0005-0000-0000-000032710000}"/>
    <cellStyle name="SAPBEXresItem 2 2" xfId="25509" xr:uid="{00000000-0005-0000-0000-000033710000}"/>
    <cellStyle name="SAPBEXresItem 2 2 2" xfId="27662" xr:uid="{00000000-0005-0000-0000-000034710000}"/>
    <cellStyle name="SAPBEXresItem 2 2 2 2" xfId="32249" xr:uid="{52318F6E-27F6-4D80-AD02-729626C991F0}"/>
    <cellStyle name="SAPBEXresItem 2 2 3" xfId="28419" xr:uid="{00000000-0005-0000-0000-000035710000}"/>
    <cellStyle name="SAPBEXresItem 2 2 3 2" xfId="32977" xr:uid="{5A75664B-C8DE-4257-9424-DBDDE3F1779F}"/>
    <cellStyle name="SAPBEXresItem 2 2 4" xfId="27043" xr:uid="{00000000-0005-0000-0000-000036710000}"/>
    <cellStyle name="SAPBEXresItem 2 2 4 2" xfId="31791" xr:uid="{5B35A57A-187C-42BE-A5EB-F006CC4BFDE6}"/>
    <cellStyle name="SAPBEXresItem 2 2 5" xfId="29971" xr:uid="{00000000-0005-0000-0000-000037710000}"/>
    <cellStyle name="SAPBEXresItem 2 3" xfId="26613" xr:uid="{00000000-0005-0000-0000-000038710000}"/>
    <cellStyle name="SAPBEXresItem 2 3 2" xfId="31391" xr:uid="{7C00BA68-6895-4290-A316-8F64AD140FB3}"/>
    <cellStyle name="SAPBEXresItem 2 4" xfId="28418" xr:uid="{00000000-0005-0000-0000-000039710000}"/>
    <cellStyle name="SAPBEXresItem 2 4 2" xfId="32976" xr:uid="{9464EFEF-957A-44B2-95B8-698BC8C1B168}"/>
    <cellStyle name="SAPBEXresItem 2 5" xfId="26239" xr:uid="{00000000-0005-0000-0000-00003A710000}"/>
    <cellStyle name="SAPBEXresItem 2 5 2" xfId="31027" xr:uid="{40945518-8415-4E7A-92E2-942FF1F02D6F}"/>
    <cellStyle name="SAPBEXresItem 2 6" xfId="29970" xr:uid="{00000000-0005-0000-0000-00003B710000}"/>
    <cellStyle name="SAPBEXresItem 2 7" xfId="30211" xr:uid="{78D343AB-EBB6-42AF-9FD8-C037755F5D01}"/>
    <cellStyle name="SAPBEXresItem 3" xfId="24643" xr:uid="{00000000-0005-0000-0000-00003C710000}"/>
    <cellStyle name="SAPBEXresItem 3 2" xfId="25324" xr:uid="{00000000-0005-0000-0000-00003D710000}"/>
    <cellStyle name="SAPBEXresItem 3 2 2" xfId="27478" xr:uid="{00000000-0005-0000-0000-00003E710000}"/>
    <cellStyle name="SAPBEXresItem 3 2 2 2" xfId="32069" xr:uid="{E032E2A0-C6DD-4919-832C-3BFEC77D5B00}"/>
    <cellStyle name="SAPBEXresItem 3 2 3" xfId="28421" xr:uid="{00000000-0005-0000-0000-00003F710000}"/>
    <cellStyle name="SAPBEXresItem 3 2 3 2" xfId="32979" xr:uid="{DEA2BF65-5A6B-4DAA-9964-B5AD048916B4}"/>
    <cellStyle name="SAPBEXresItem 3 2 4" xfId="26285" xr:uid="{00000000-0005-0000-0000-000040710000}"/>
    <cellStyle name="SAPBEXresItem 3 2 4 2" xfId="31073" xr:uid="{C47A41FD-3666-477B-A049-2DB0FEA3B263}"/>
    <cellStyle name="SAPBEXresItem 3 2 5" xfId="29973" xr:uid="{00000000-0005-0000-0000-000041710000}"/>
    <cellStyle name="SAPBEXresItem 3 2 6" xfId="30482" xr:uid="{EE957DA7-00F2-41E3-9FB3-058F6C112041}"/>
    <cellStyle name="SAPBEXresItem 3 3" xfId="25609" xr:uid="{00000000-0005-0000-0000-000042710000}"/>
    <cellStyle name="SAPBEXresItem 3 3 2" xfId="27762" xr:uid="{00000000-0005-0000-0000-000043710000}"/>
    <cellStyle name="SAPBEXresItem 3 3 2 2" xfId="32349" xr:uid="{144E2ED6-1AB1-45A2-BB73-70FCD6BB2752}"/>
    <cellStyle name="SAPBEXresItem 3 3 3" xfId="28422" xr:uid="{00000000-0005-0000-0000-000044710000}"/>
    <cellStyle name="SAPBEXresItem 3 3 3 2" xfId="32980" xr:uid="{2EF41680-8F4C-4493-B788-EC56347BDB0E}"/>
    <cellStyle name="SAPBEXresItem 3 3 4" xfId="26758" xr:uid="{00000000-0005-0000-0000-000045710000}"/>
    <cellStyle name="SAPBEXresItem 3 3 4 2" xfId="31519" xr:uid="{3DFF23BC-0CBB-4D2E-B35E-344C5CF92F0E}"/>
    <cellStyle name="SAPBEXresItem 3 3 5" xfId="29974" xr:uid="{00000000-0005-0000-0000-000046710000}"/>
    <cellStyle name="SAPBEXresItem 3 4" xfId="27236" xr:uid="{00000000-0005-0000-0000-000047710000}"/>
    <cellStyle name="SAPBEXresItem 3 4 2" xfId="31871" xr:uid="{55B4F386-3EA2-4BB9-9065-C5B14852E81A}"/>
    <cellStyle name="SAPBEXresItem 3 5" xfId="28420" xr:uid="{00000000-0005-0000-0000-000048710000}"/>
    <cellStyle name="SAPBEXresItem 3 5 2" xfId="32978" xr:uid="{B4A332ED-A41A-4018-A852-ADA4535A31D8}"/>
    <cellStyle name="SAPBEXresItem 3 6" xfId="26262" xr:uid="{00000000-0005-0000-0000-000049710000}"/>
    <cellStyle name="SAPBEXresItem 3 6 2" xfId="31050" xr:uid="{C48287E8-D790-4437-B93E-56A7109BA769}"/>
    <cellStyle name="SAPBEXresItem 3 7" xfId="29972" xr:uid="{00000000-0005-0000-0000-00004A710000}"/>
    <cellStyle name="SAPBEXresItem 3 8" xfId="30311" xr:uid="{9A0EB819-2046-4FBA-8392-80F36F38F624}"/>
    <cellStyle name="SAPBEXresItem 4" xfId="25130" xr:uid="{00000000-0005-0000-0000-00004B710000}"/>
    <cellStyle name="SAPBEXresItem 4 2" xfId="25359" xr:uid="{00000000-0005-0000-0000-00004C710000}"/>
    <cellStyle name="SAPBEXresItem 4 2 2" xfId="27513" xr:uid="{00000000-0005-0000-0000-00004D710000}"/>
    <cellStyle name="SAPBEXresItem 4 2 2 2" xfId="32104" xr:uid="{EE3BCF92-A63B-444C-A2AA-F9ACF77F9847}"/>
    <cellStyle name="SAPBEXresItem 4 2 3" xfId="28424" xr:uid="{00000000-0005-0000-0000-00004E710000}"/>
    <cellStyle name="SAPBEXresItem 4 2 3 2" xfId="32982" xr:uid="{0269FBE7-9D4A-4F5F-895E-8B64BFABEC40}"/>
    <cellStyle name="SAPBEXresItem 4 2 4" xfId="26390" xr:uid="{00000000-0005-0000-0000-00004F710000}"/>
    <cellStyle name="SAPBEXresItem 4 2 4 2" xfId="31178" xr:uid="{84BEF513-E694-41E1-B558-8899D3741EBA}"/>
    <cellStyle name="SAPBEXresItem 4 2 5" xfId="29976" xr:uid="{00000000-0005-0000-0000-000050710000}"/>
    <cellStyle name="SAPBEXresItem 4 2 6" xfId="30517" xr:uid="{199A6A53-C134-4E05-8544-57A9EEBAF9B2}"/>
    <cellStyle name="SAPBEXresItem 4 3" xfId="25728" xr:uid="{00000000-0005-0000-0000-000051710000}"/>
    <cellStyle name="SAPBEXresItem 4 3 2" xfId="27881" xr:uid="{00000000-0005-0000-0000-000052710000}"/>
    <cellStyle name="SAPBEXresItem 4 3 2 2" xfId="32468" xr:uid="{7EBAD6C1-1A41-4837-95D6-435B661C22F6}"/>
    <cellStyle name="SAPBEXresItem 4 3 3" xfId="28425" xr:uid="{00000000-0005-0000-0000-000053710000}"/>
    <cellStyle name="SAPBEXresItem 4 3 3 2" xfId="32983" xr:uid="{FC0A1BB6-10CA-4B88-9F61-6C1B29556F38}"/>
    <cellStyle name="SAPBEXresItem 4 3 4" xfId="26089" xr:uid="{00000000-0005-0000-0000-000054710000}"/>
    <cellStyle name="SAPBEXresItem 4 3 4 2" xfId="30879" xr:uid="{59A9CB58-2C88-48DD-BD34-3A4E0B966154}"/>
    <cellStyle name="SAPBEXresItem 4 3 5" xfId="29977" xr:uid="{00000000-0005-0000-0000-000055710000}"/>
    <cellStyle name="SAPBEXresItem 4 3 6" xfId="30722" xr:uid="{178772A6-10FE-4C85-B592-4A5D5C16EE77}"/>
    <cellStyle name="SAPBEXresItem 4 4" xfId="27415" xr:uid="{00000000-0005-0000-0000-000056710000}"/>
    <cellStyle name="SAPBEXresItem 4 4 2" xfId="32013" xr:uid="{25279071-EF0D-425C-9D9D-A28C2360DE31}"/>
    <cellStyle name="SAPBEXresItem 4 5" xfId="28423" xr:uid="{00000000-0005-0000-0000-000057710000}"/>
    <cellStyle name="SAPBEXresItem 4 5 2" xfId="32981" xr:uid="{9968FDDF-5FA8-4DF4-ACC5-6B0EB42E2D6A}"/>
    <cellStyle name="SAPBEXresItem 4 6" xfId="26173" xr:uid="{00000000-0005-0000-0000-000058710000}"/>
    <cellStyle name="SAPBEXresItem 4 6 2" xfId="30962" xr:uid="{95974007-B3EA-450E-B810-D3FC78735E3E}"/>
    <cellStyle name="SAPBEXresItem 4 7" xfId="29975" xr:uid="{00000000-0005-0000-0000-000059710000}"/>
    <cellStyle name="SAPBEXresItem 4 8" xfId="30430" xr:uid="{904981E1-9E29-43EF-8495-398467FB9408}"/>
    <cellStyle name="SAPBEXresItem 5" xfId="25868" xr:uid="{00000000-0005-0000-0000-00005A710000}"/>
    <cellStyle name="SAPBEXresItem 5 2" xfId="30787" xr:uid="{FE393BF8-D47A-4458-9C26-838606B5466E}"/>
    <cellStyle name="SAPBEXresItem 6" xfId="28417" xr:uid="{00000000-0005-0000-0000-00005B710000}"/>
    <cellStyle name="SAPBEXresItem 6 2" xfId="32975" xr:uid="{7CDBB365-8C41-4429-A8E0-C34DBC7AD173}"/>
    <cellStyle name="SAPBEXresItem 7" xfId="26060" xr:uid="{00000000-0005-0000-0000-00005C710000}"/>
    <cellStyle name="SAPBEXresItem 7 2" xfId="30850" xr:uid="{52ADF58C-1D3A-402D-B2B0-7ED5A5D91DAC}"/>
    <cellStyle name="SAPBEXresItem 8" xfId="29969" xr:uid="{00000000-0005-0000-0000-00005D710000}"/>
    <cellStyle name="SAPBEXresItemX" xfId="138" xr:uid="{00000000-0005-0000-0000-00005E710000}"/>
    <cellStyle name="SAPBEXresItemX 2" xfId="13672" xr:uid="{00000000-0005-0000-0000-00005F710000}"/>
    <cellStyle name="SAPBEXresItemX 2 2" xfId="25510" xr:uid="{00000000-0005-0000-0000-000060710000}"/>
    <cellStyle name="SAPBEXresItemX 2 2 2" xfId="27663" xr:uid="{00000000-0005-0000-0000-000061710000}"/>
    <cellStyle name="SAPBEXresItemX 2 2 2 2" xfId="32250" xr:uid="{53AD8C90-FFC3-40CA-99E8-E10FD5F78BCF}"/>
    <cellStyle name="SAPBEXresItemX 2 2 3" xfId="28428" xr:uid="{00000000-0005-0000-0000-000062710000}"/>
    <cellStyle name="SAPBEXresItemX 2 2 3 2" xfId="32986" xr:uid="{410E13BF-50EC-49FF-B6BB-BC08C436225E}"/>
    <cellStyle name="SAPBEXresItemX 2 2 4" xfId="29184" xr:uid="{00000000-0005-0000-0000-000063710000}"/>
    <cellStyle name="SAPBEXresItemX 2 2 4 2" xfId="33167" xr:uid="{A910185D-1D4B-4D9D-BEB4-523F12BAF3DF}"/>
    <cellStyle name="SAPBEXresItemX 2 2 5" xfId="29980" xr:uid="{00000000-0005-0000-0000-000064710000}"/>
    <cellStyle name="SAPBEXresItemX 2 3" xfId="26614" xr:uid="{00000000-0005-0000-0000-000065710000}"/>
    <cellStyle name="SAPBEXresItemX 2 3 2" xfId="31392" xr:uid="{9A88EDBA-C65A-4099-901A-86BBFF318240}"/>
    <cellStyle name="SAPBEXresItemX 2 4" xfId="28427" xr:uid="{00000000-0005-0000-0000-000066710000}"/>
    <cellStyle name="SAPBEXresItemX 2 4 2" xfId="32985" xr:uid="{EAF16952-C87D-49F1-8AC9-AE75A91DB4D9}"/>
    <cellStyle name="SAPBEXresItemX 2 5" xfId="26964" xr:uid="{00000000-0005-0000-0000-000067710000}"/>
    <cellStyle name="SAPBEXresItemX 2 5 2" xfId="31725" xr:uid="{65017915-715F-4BC5-9781-47CEAFE8095D}"/>
    <cellStyle name="SAPBEXresItemX 2 6" xfId="29979" xr:uid="{00000000-0005-0000-0000-000068710000}"/>
    <cellStyle name="SAPBEXresItemX 2 7" xfId="30212" xr:uid="{95AF9018-89CB-4A66-8425-795779C587AC}"/>
    <cellStyle name="SAPBEXresItemX 3" xfId="24642" xr:uid="{00000000-0005-0000-0000-000069710000}"/>
    <cellStyle name="SAPBEXresItemX 3 2" xfId="25411" xr:uid="{00000000-0005-0000-0000-00006A710000}"/>
    <cellStyle name="SAPBEXresItemX 3 2 2" xfId="27565" xr:uid="{00000000-0005-0000-0000-00006B710000}"/>
    <cellStyle name="SAPBEXresItemX 3 2 2 2" xfId="32156" xr:uid="{FB8E910C-FE6C-4248-95DA-9C554E3A8F7C}"/>
    <cellStyle name="SAPBEXresItemX 3 2 3" xfId="28430" xr:uid="{00000000-0005-0000-0000-00006C710000}"/>
    <cellStyle name="SAPBEXresItemX 3 2 3 2" xfId="32988" xr:uid="{5EA8B50B-FE48-4A20-A4CF-271BFA2A5089}"/>
    <cellStyle name="SAPBEXresItemX 3 2 4" xfId="27361" xr:uid="{00000000-0005-0000-0000-00006D710000}"/>
    <cellStyle name="SAPBEXresItemX 3 2 4 2" xfId="31959" xr:uid="{95B73734-F631-4A42-8C1F-0E5B8C893550}"/>
    <cellStyle name="SAPBEXresItemX 3 2 5" xfId="29982" xr:uid="{00000000-0005-0000-0000-00006E710000}"/>
    <cellStyle name="SAPBEXresItemX 3 2 6" xfId="30569" xr:uid="{54186D70-32FB-4E0A-9FB7-944A154F4F8A}"/>
    <cellStyle name="SAPBEXresItemX 3 3" xfId="25608" xr:uid="{00000000-0005-0000-0000-00006F710000}"/>
    <cellStyle name="SAPBEXresItemX 3 3 2" xfId="27761" xr:uid="{00000000-0005-0000-0000-000070710000}"/>
    <cellStyle name="SAPBEXresItemX 3 3 2 2" xfId="32348" xr:uid="{F3D1ED86-CE02-4479-9476-87509162F45A}"/>
    <cellStyle name="SAPBEXresItemX 3 3 3" xfId="28431" xr:uid="{00000000-0005-0000-0000-000071710000}"/>
    <cellStyle name="SAPBEXresItemX 3 3 3 2" xfId="32989" xr:uid="{AD41128B-35D3-4E5F-B808-3CCD73B80ADD}"/>
    <cellStyle name="SAPBEXresItemX 3 3 4" xfId="26727" xr:uid="{00000000-0005-0000-0000-000072710000}"/>
    <cellStyle name="SAPBEXresItemX 3 3 4 2" xfId="31488" xr:uid="{0EE4D0E4-0CA6-4650-B6DB-6AC84F4C7506}"/>
    <cellStyle name="SAPBEXresItemX 3 3 5" xfId="29983" xr:uid="{00000000-0005-0000-0000-000073710000}"/>
    <cellStyle name="SAPBEXresItemX 3 4" xfId="27235" xr:uid="{00000000-0005-0000-0000-000074710000}"/>
    <cellStyle name="SAPBEXresItemX 3 4 2" xfId="31870" xr:uid="{C235107F-A795-421E-B950-9C7ED79CC2B7}"/>
    <cellStyle name="SAPBEXresItemX 3 5" xfId="28429" xr:uid="{00000000-0005-0000-0000-000075710000}"/>
    <cellStyle name="SAPBEXresItemX 3 5 2" xfId="32987" xr:uid="{7DBB8A2E-5E05-4CCD-AD0B-CF1D39A1DAE3}"/>
    <cellStyle name="SAPBEXresItemX 3 6" xfId="26786" xr:uid="{00000000-0005-0000-0000-000076710000}"/>
    <cellStyle name="SAPBEXresItemX 3 6 2" xfId="31547" xr:uid="{20754AF5-828D-4081-8ED8-34F8519C796D}"/>
    <cellStyle name="SAPBEXresItemX 3 7" xfId="29981" xr:uid="{00000000-0005-0000-0000-000077710000}"/>
    <cellStyle name="SAPBEXresItemX 3 8" xfId="30310" xr:uid="{B544BC57-376E-45F1-9BDE-EE77E1ADF4E5}"/>
    <cellStyle name="SAPBEXresItemX 4" xfId="25131" xr:uid="{00000000-0005-0000-0000-000078710000}"/>
    <cellStyle name="SAPBEXresItemX 4 2" xfId="25296" xr:uid="{00000000-0005-0000-0000-000079710000}"/>
    <cellStyle name="SAPBEXresItemX 4 2 2" xfId="27450" xr:uid="{00000000-0005-0000-0000-00007A710000}"/>
    <cellStyle name="SAPBEXresItemX 4 2 2 2" xfId="32042" xr:uid="{3F5947A9-2D16-48A7-82D1-732ACBCD3FA6}"/>
    <cellStyle name="SAPBEXresItemX 4 2 3" xfId="28433" xr:uid="{00000000-0005-0000-0000-00007B710000}"/>
    <cellStyle name="SAPBEXresItemX 4 2 3 2" xfId="32991" xr:uid="{47AE9D4A-07EC-4009-9EF4-8A043B5F3949}"/>
    <cellStyle name="SAPBEXresItemX 4 2 4" xfId="26848" xr:uid="{00000000-0005-0000-0000-00007C710000}"/>
    <cellStyle name="SAPBEXresItemX 4 2 4 2" xfId="31609" xr:uid="{E420AF74-C1CF-4754-9F10-6755AC839197}"/>
    <cellStyle name="SAPBEXresItemX 4 2 5" xfId="29985" xr:uid="{00000000-0005-0000-0000-00007D710000}"/>
    <cellStyle name="SAPBEXresItemX 4 2 6" xfId="30455" xr:uid="{91547A3D-6356-46AB-AFB2-894878C9FF00}"/>
    <cellStyle name="SAPBEXresItemX 4 3" xfId="25729" xr:uid="{00000000-0005-0000-0000-00007E710000}"/>
    <cellStyle name="SAPBEXresItemX 4 3 2" xfId="27882" xr:uid="{00000000-0005-0000-0000-00007F710000}"/>
    <cellStyle name="SAPBEXresItemX 4 3 2 2" xfId="32469" xr:uid="{5C8F957D-3317-4740-9BEA-0C1CF797DDE8}"/>
    <cellStyle name="SAPBEXresItemX 4 3 3" xfId="28434" xr:uid="{00000000-0005-0000-0000-000080710000}"/>
    <cellStyle name="SAPBEXresItemX 4 3 3 2" xfId="32992" xr:uid="{21EF1449-BD6E-4670-B181-D27EA582F915}"/>
    <cellStyle name="SAPBEXresItemX 4 3 4" xfId="26734" xr:uid="{00000000-0005-0000-0000-000081710000}"/>
    <cellStyle name="SAPBEXresItemX 4 3 4 2" xfId="31495" xr:uid="{E5B76F23-F061-4966-9C7F-C26A8FCB31BB}"/>
    <cellStyle name="SAPBEXresItemX 4 3 5" xfId="29986" xr:uid="{00000000-0005-0000-0000-000082710000}"/>
    <cellStyle name="SAPBEXresItemX 4 3 6" xfId="30723" xr:uid="{0D1CF379-DD00-4381-B474-1DDA3C24F6E0}"/>
    <cellStyle name="SAPBEXresItemX 4 4" xfId="27416" xr:uid="{00000000-0005-0000-0000-000083710000}"/>
    <cellStyle name="SAPBEXresItemX 4 4 2" xfId="32014" xr:uid="{A2F09C70-C06D-4EEC-9B40-6F787FB07970}"/>
    <cellStyle name="SAPBEXresItemX 4 5" xfId="28432" xr:uid="{00000000-0005-0000-0000-000084710000}"/>
    <cellStyle name="SAPBEXresItemX 4 5 2" xfId="32990" xr:uid="{32284CED-3766-46E0-B68B-028853F4C675}"/>
    <cellStyle name="SAPBEXresItemX 4 6" xfId="26739" xr:uid="{00000000-0005-0000-0000-000085710000}"/>
    <cellStyle name="SAPBEXresItemX 4 6 2" xfId="31500" xr:uid="{1A4E4A20-47B6-4DA8-8FA6-9BC79219F610}"/>
    <cellStyle name="SAPBEXresItemX 4 7" xfId="29984" xr:uid="{00000000-0005-0000-0000-000086710000}"/>
    <cellStyle name="SAPBEXresItemX 4 8" xfId="30431" xr:uid="{E7B623BE-0AB8-4561-9EE3-83CDC59EFB8F}"/>
    <cellStyle name="SAPBEXresItemX 5" xfId="25869" xr:uid="{00000000-0005-0000-0000-000087710000}"/>
    <cellStyle name="SAPBEXresItemX 5 2" xfId="30788" xr:uid="{5B4BD75F-F7FC-4621-8B60-BD3AF64D9C38}"/>
    <cellStyle name="SAPBEXresItemX 6" xfId="28426" xr:uid="{00000000-0005-0000-0000-000088710000}"/>
    <cellStyle name="SAPBEXresItemX 6 2" xfId="32984" xr:uid="{65594BA8-DCF8-4BE1-B0FF-F3CF7DF2C3C7}"/>
    <cellStyle name="SAPBEXresItemX 7" xfId="29256" xr:uid="{00000000-0005-0000-0000-000089710000}"/>
    <cellStyle name="SAPBEXresItemX 7 2" xfId="33238" xr:uid="{A592596F-FF36-4019-B971-D4A1C03FF47B}"/>
    <cellStyle name="SAPBEXresItemX 8" xfId="29978" xr:uid="{00000000-0005-0000-0000-00008A710000}"/>
    <cellStyle name="SAPBEXstdData" xfId="139" xr:uid="{00000000-0005-0000-0000-00008B710000}"/>
    <cellStyle name="SAPBEXstdData 10" xfId="24641" xr:uid="{00000000-0005-0000-0000-00008C710000}"/>
    <cellStyle name="SAPBEXstdData 10 2" xfId="25309" xr:uid="{00000000-0005-0000-0000-00008D710000}"/>
    <cellStyle name="SAPBEXstdData 10 2 2" xfId="27463" xr:uid="{00000000-0005-0000-0000-00008E710000}"/>
    <cellStyle name="SAPBEXstdData 10 2 2 2" xfId="32055" xr:uid="{B05E8876-BA72-4D4C-BCAC-B5AF1EBF7EBC}"/>
    <cellStyle name="SAPBEXstdData 10 2 3" xfId="28437" xr:uid="{00000000-0005-0000-0000-00008F710000}"/>
    <cellStyle name="SAPBEXstdData 10 2 3 2" xfId="32995" xr:uid="{3120BA99-0AB0-4E3D-89D0-F4E519A27F9D}"/>
    <cellStyle name="SAPBEXstdData 10 2 4" xfId="26798" xr:uid="{00000000-0005-0000-0000-000090710000}"/>
    <cellStyle name="SAPBEXstdData 10 2 4 2" xfId="31559" xr:uid="{2098688E-92E8-4866-BF5F-57C3757891C4}"/>
    <cellStyle name="SAPBEXstdData 10 2 5" xfId="29989" xr:uid="{00000000-0005-0000-0000-000091710000}"/>
    <cellStyle name="SAPBEXstdData 10 2 6" xfId="30468" xr:uid="{6E4B5D26-2C55-4608-94CC-591045C26B2A}"/>
    <cellStyle name="SAPBEXstdData 10 3" xfId="25607" xr:uid="{00000000-0005-0000-0000-000092710000}"/>
    <cellStyle name="SAPBEXstdData 10 3 2" xfId="27760" xr:uid="{00000000-0005-0000-0000-000093710000}"/>
    <cellStyle name="SAPBEXstdData 10 3 2 2" xfId="32347" xr:uid="{2C40D5AC-B23A-4B5E-A101-487CD2355C0F}"/>
    <cellStyle name="SAPBEXstdData 10 3 3" xfId="28438" xr:uid="{00000000-0005-0000-0000-000094710000}"/>
    <cellStyle name="SAPBEXstdData 10 3 3 2" xfId="32996" xr:uid="{D7CB0E92-F3FF-4595-B62A-EE09BF029DCC}"/>
    <cellStyle name="SAPBEXstdData 10 3 4" xfId="26290" xr:uid="{00000000-0005-0000-0000-000095710000}"/>
    <cellStyle name="SAPBEXstdData 10 3 4 2" xfId="31078" xr:uid="{94C58FF4-40DD-48D2-9DF3-027D1694EFF5}"/>
    <cellStyle name="SAPBEXstdData 10 3 5" xfId="29990" xr:uid="{00000000-0005-0000-0000-000096710000}"/>
    <cellStyle name="SAPBEXstdData 10 4" xfId="27234" xr:uid="{00000000-0005-0000-0000-000097710000}"/>
    <cellStyle name="SAPBEXstdData 10 4 2" xfId="31869" xr:uid="{EEDF2C85-C5B4-4E87-B729-A7051D0CF60C}"/>
    <cellStyle name="SAPBEXstdData 10 5" xfId="28436" xr:uid="{00000000-0005-0000-0000-000098710000}"/>
    <cellStyle name="SAPBEXstdData 10 5 2" xfId="32994" xr:uid="{5D5D16DB-C51D-4326-A20D-962D2B3C13F1}"/>
    <cellStyle name="SAPBEXstdData 10 6" xfId="26327" xr:uid="{00000000-0005-0000-0000-000099710000}"/>
    <cellStyle name="SAPBEXstdData 10 6 2" xfId="31115" xr:uid="{FFC23425-295C-4B87-AF5E-33C5FF5FD9EC}"/>
    <cellStyle name="SAPBEXstdData 10 7" xfId="29988" xr:uid="{00000000-0005-0000-0000-00009A710000}"/>
    <cellStyle name="SAPBEXstdData 10 8" xfId="30309" xr:uid="{0F8C9CF7-83E2-49B6-9A84-B0F894765E52}"/>
    <cellStyle name="SAPBEXstdData 11" xfId="25132" xr:uid="{00000000-0005-0000-0000-00009B710000}"/>
    <cellStyle name="SAPBEXstdData 11 2" xfId="25282" xr:uid="{00000000-0005-0000-0000-00009C710000}"/>
    <cellStyle name="SAPBEXstdData 11 2 2" xfId="27437" xr:uid="{00000000-0005-0000-0000-00009D710000}"/>
    <cellStyle name="SAPBEXstdData 11 2 2 2" xfId="32032" xr:uid="{62DD0B01-FA65-44BA-A8FD-C0EE724A195A}"/>
    <cellStyle name="SAPBEXstdData 11 2 3" xfId="28440" xr:uid="{00000000-0005-0000-0000-00009E710000}"/>
    <cellStyle name="SAPBEXstdData 11 2 3 2" xfId="32998" xr:uid="{EC1E66EE-1CE7-419C-AAA6-1D487B3297F8}"/>
    <cellStyle name="SAPBEXstdData 11 2 4" xfId="27014" xr:uid="{00000000-0005-0000-0000-00009F710000}"/>
    <cellStyle name="SAPBEXstdData 11 2 4 2" xfId="31774" xr:uid="{9E31ED2B-3822-405D-9554-2D2A8944BF89}"/>
    <cellStyle name="SAPBEXstdData 11 2 5" xfId="29992" xr:uid="{00000000-0005-0000-0000-0000A0710000}"/>
    <cellStyle name="SAPBEXstdData 11 2 6" xfId="30445" xr:uid="{EDA2700C-F3AA-43B0-9BEA-C71D3264A84E}"/>
    <cellStyle name="SAPBEXstdData 11 3" xfId="25730" xr:uid="{00000000-0005-0000-0000-0000A1710000}"/>
    <cellStyle name="SAPBEXstdData 11 3 2" xfId="27883" xr:uid="{00000000-0005-0000-0000-0000A2710000}"/>
    <cellStyle name="SAPBEXstdData 11 3 2 2" xfId="32470" xr:uid="{9AF19C54-25D6-40FF-8260-884EF5C66A41}"/>
    <cellStyle name="SAPBEXstdData 11 3 3" xfId="28441" xr:uid="{00000000-0005-0000-0000-0000A3710000}"/>
    <cellStyle name="SAPBEXstdData 11 3 3 2" xfId="32999" xr:uid="{459FA47A-62CD-4E64-AF63-7F6B6AC1BDD9}"/>
    <cellStyle name="SAPBEXstdData 11 3 4" xfId="26151" xr:uid="{00000000-0005-0000-0000-0000A4710000}"/>
    <cellStyle name="SAPBEXstdData 11 3 4 2" xfId="30940" xr:uid="{8A07657E-2A5B-41BF-A372-19136E4C3D49}"/>
    <cellStyle name="SAPBEXstdData 11 3 5" xfId="29993" xr:uid="{00000000-0005-0000-0000-0000A5710000}"/>
    <cellStyle name="SAPBEXstdData 11 3 6" xfId="30724" xr:uid="{9DB7EB20-E8B2-4F25-AD62-40A87C0D2C85}"/>
    <cellStyle name="SAPBEXstdData 11 4" xfId="27417" xr:uid="{00000000-0005-0000-0000-0000A6710000}"/>
    <cellStyle name="SAPBEXstdData 11 4 2" xfId="32015" xr:uid="{0AECD3CA-668E-4F07-B4AC-FD2C5B36CFE9}"/>
    <cellStyle name="SAPBEXstdData 11 5" xfId="28439" xr:uid="{00000000-0005-0000-0000-0000A7710000}"/>
    <cellStyle name="SAPBEXstdData 11 5 2" xfId="32997" xr:uid="{762E15EF-B237-409B-AA2C-62B5282289E4}"/>
    <cellStyle name="SAPBEXstdData 11 6" xfId="27302" xr:uid="{00000000-0005-0000-0000-0000A8710000}"/>
    <cellStyle name="SAPBEXstdData 11 6 2" xfId="31931" xr:uid="{2E10869C-7272-4D87-B130-AE094B4B93BD}"/>
    <cellStyle name="SAPBEXstdData 11 7" xfId="29991" xr:uid="{00000000-0005-0000-0000-0000A9710000}"/>
    <cellStyle name="SAPBEXstdData 11 8" xfId="30432" xr:uid="{436EB1C3-ED9C-4ACD-8AC8-9D3C8C95AF3B}"/>
    <cellStyle name="SAPBEXstdData 12" xfId="25870" xr:uid="{00000000-0005-0000-0000-0000AA710000}"/>
    <cellStyle name="SAPBEXstdData 12 2" xfId="30789" xr:uid="{0C69F05A-53E9-48FC-BE5D-7B74EBDD4371}"/>
    <cellStyle name="SAPBEXstdData 13" xfId="28435" xr:uid="{00000000-0005-0000-0000-0000AB710000}"/>
    <cellStyle name="SAPBEXstdData 13 2" xfId="32993" xr:uid="{5940534C-4A89-44CF-B18D-4E122BF547AD}"/>
    <cellStyle name="SAPBEXstdData 14" xfId="29198" xr:uid="{00000000-0005-0000-0000-0000AC710000}"/>
    <cellStyle name="SAPBEXstdData 14 2" xfId="33181" xr:uid="{85680C9A-01B0-403D-A10B-72D4097CE49F}"/>
    <cellStyle name="SAPBEXstdData 15" xfId="29987" xr:uid="{00000000-0005-0000-0000-0000AD710000}"/>
    <cellStyle name="SAPBEXstdData 2" xfId="140" xr:uid="{00000000-0005-0000-0000-0000AE710000}"/>
    <cellStyle name="SAPBEXstdData 2 2" xfId="13674" xr:uid="{00000000-0005-0000-0000-0000AF710000}"/>
    <cellStyle name="SAPBEXstdData 2 2 2" xfId="25512" xr:uid="{00000000-0005-0000-0000-0000B0710000}"/>
    <cellStyle name="SAPBEXstdData 2 2 2 2" xfId="27665" xr:uid="{00000000-0005-0000-0000-0000B1710000}"/>
    <cellStyle name="SAPBEXstdData 2 2 2 2 2" xfId="32252" xr:uid="{7CF8C022-02D9-4EA1-9FFA-4D1B8CCBF34E}"/>
    <cellStyle name="SAPBEXstdData 2 2 2 3" xfId="28444" xr:uid="{00000000-0005-0000-0000-0000B2710000}"/>
    <cellStyle name="SAPBEXstdData 2 2 2 3 2" xfId="33002" xr:uid="{EEFF2867-575E-4590-A22B-52A48595D626}"/>
    <cellStyle name="SAPBEXstdData 2 2 2 4" xfId="26229" xr:uid="{00000000-0005-0000-0000-0000B3710000}"/>
    <cellStyle name="SAPBEXstdData 2 2 2 4 2" xfId="31017" xr:uid="{739C1F9A-23FF-4538-9D5B-3D4A69CEA782}"/>
    <cellStyle name="SAPBEXstdData 2 2 2 5" xfId="29996" xr:uid="{00000000-0005-0000-0000-0000B4710000}"/>
    <cellStyle name="SAPBEXstdData 2 2 3" xfId="26616" xr:uid="{00000000-0005-0000-0000-0000B5710000}"/>
    <cellStyle name="SAPBEXstdData 2 2 3 2" xfId="31394" xr:uid="{D97D2E37-2D81-4E8D-951F-2C298928F8D2}"/>
    <cellStyle name="SAPBEXstdData 2 2 4" xfId="28443" xr:uid="{00000000-0005-0000-0000-0000B6710000}"/>
    <cellStyle name="SAPBEXstdData 2 2 4 2" xfId="33001" xr:uid="{810E784D-4E98-4C38-B9A8-2DF39F5B7278}"/>
    <cellStyle name="SAPBEXstdData 2 2 5" xfId="26400" xr:uid="{00000000-0005-0000-0000-0000B7710000}"/>
    <cellStyle name="SAPBEXstdData 2 2 5 2" xfId="31188" xr:uid="{0E8A4D13-ADDB-4233-887F-F0E753718A29}"/>
    <cellStyle name="SAPBEXstdData 2 2 6" xfId="29995" xr:uid="{00000000-0005-0000-0000-0000B8710000}"/>
    <cellStyle name="SAPBEXstdData 2 2 7" xfId="30214" xr:uid="{DFEF52C8-08FE-40F4-A24C-F40DEFF9ACAF}"/>
    <cellStyle name="SAPBEXstdData 2 3" xfId="25871" xr:uid="{00000000-0005-0000-0000-0000B9710000}"/>
    <cellStyle name="SAPBEXstdData 2 3 2" xfId="30790" xr:uid="{9B5E8483-8500-4BD1-995D-20F90515F869}"/>
    <cellStyle name="SAPBEXstdData 2 4" xfId="28442" xr:uid="{00000000-0005-0000-0000-0000BA710000}"/>
    <cellStyle name="SAPBEXstdData 2 4 2" xfId="33000" xr:uid="{12ACE4CE-F589-4CFD-898E-E70F78C34355}"/>
    <cellStyle name="SAPBEXstdData 2 5" xfId="29182" xr:uid="{00000000-0005-0000-0000-0000BB710000}"/>
    <cellStyle name="SAPBEXstdData 2 5 2" xfId="33165" xr:uid="{5EBBE023-6A7C-4CE2-A468-55D972DFF252}"/>
    <cellStyle name="SAPBEXstdData 2 6" xfId="29994" xr:uid="{00000000-0005-0000-0000-0000BC710000}"/>
    <cellStyle name="SAPBEXstdData 3" xfId="258" xr:uid="{00000000-0005-0000-0000-0000BD710000}"/>
    <cellStyle name="SAPBEXstdData 3 2" xfId="13723" xr:uid="{00000000-0005-0000-0000-0000BE710000}"/>
    <cellStyle name="SAPBEXstdData 3 2 2" xfId="25536" xr:uid="{00000000-0005-0000-0000-0000BF710000}"/>
    <cellStyle name="SAPBEXstdData 3 2 2 2" xfId="27689" xr:uid="{00000000-0005-0000-0000-0000C0710000}"/>
    <cellStyle name="SAPBEXstdData 3 2 2 2 2" xfId="32276" xr:uid="{13382D6E-105A-4546-8DE2-397ECB5A9D81}"/>
    <cellStyle name="SAPBEXstdData 3 2 2 3" xfId="28447" xr:uid="{00000000-0005-0000-0000-0000C1710000}"/>
    <cellStyle name="SAPBEXstdData 3 2 2 3 2" xfId="33005" xr:uid="{9D3966AA-D612-4B1A-9F4C-A971C9F4EB9F}"/>
    <cellStyle name="SAPBEXstdData 3 2 2 4" xfId="26475" xr:uid="{00000000-0005-0000-0000-0000C2710000}"/>
    <cellStyle name="SAPBEXstdData 3 2 2 4 2" xfId="31263" xr:uid="{0DF836AD-19C1-41E2-8B15-7317C8766CDD}"/>
    <cellStyle name="SAPBEXstdData 3 2 2 5" xfId="29999" xr:uid="{00000000-0005-0000-0000-0000C3710000}"/>
    <cellStyle name="SAPBEXstdData 3 2 3" xfId="26643" xr:uid="{00000000-0005-0000-0000-0000C4710000}"/>
    <cellStyle name="SAPBEXstdData 3 2 3 2" xfId="31420" xr:uid="{6CE9F8B1-2D67-41AC-820F-E02E60EAD317}"/>
    <cellStyle name="SAPBEXstdData 3 2 4" xfId="28446" xr:uid="{00000000-0005-0000-0000-0000C5710000}"/>
    <cellStyle name="SAPBEXstdData 3 2 4 2" xfId="33004" xr:uid="{6DB1F29A-7836-4EF0-A9E1-D4E2C311CD4A}"/>
    <cellStyle name="SAPBEXstdData 3 2 5" xfId="26482" xr:uid="{00000000-0005-0000-0000-0000C6710000}"/>
    <cellStyle name="SAPBEXstdData 3 2 5 2" xfId="31270" xr:uid="{553F2D6E-64F8-4F57-8F6F-7F51751B0401}"/>
    <cellStyle name="SAPBEXstdData 3 2 6" xfId="29998" xr:uid="{00000000-0005-0000-0000-0000C7710000}"/>
    <cellStyle name="SAPBEXstdData 3 2 7" xfId="30238" xr:uid="{4D59176C-D9B6-4692-9AB4-19B1E2B4D14C}"/>
    <cellStyle name="SAPBEXstdData 3 3" xfId="25926" xr:uid="{00000000-0005-0000-0000-0000C8710000}"/>
    <cellStyle name="SAPBEXstdData 3 3 2" xfId="30815" xr:uid="{BA922E1A-F9F7-4326-8E04-1FCD3AF3DB7E}"/>
    <cellStyle name="SAPBEXstdData 3 4" xfId="28445" xr:uid="{00000000-0005-0000-0000-0000C9710000}"/>
    <cellStyle name="SAPBEXstdData 3 4 2" xfId="33003" xr:uid="{CB0C2F93-3F21-4AD5-8427-007368EEF373}"/>
    <cellStyle name="SAPBEXstdData 3 5" xfId="27927" xr:uid="{00000000-0005-0000-0000-0000CA710000}"/>
    <cellStyle name="SAPBEXstdData 3 5 2" xfId="32485" xr:uid="{36681907-28E8-4F17-B101-B02A7B0335C6}"/>
    <cellStyle name="SAPBEXstdData 3 6" xfId="29997" xr:uid="{00000000-0005-0000-0000-0000CB710000}"/>
    <cellStyle name="SAPBEXstdData 4" xfId="259" xr:uid="{00000000-0005-0000-0000-0000CC710000}"/>
    <cellStyle name="SAPBEXstdData 4 2" xfId="13724" xr:uid="{00000000-0005-0000-0000-0000CD710000}"/>
    <cellStyle name="SAPBEXstdData 4 2 2" xfId="25537" xr:uid="{00000000-0005-0000-0000-0000CE710000}"/>
    <cellStyle name="SAPBEXstdData 4 2 2 2" xfId="27690" xr:uid="{00000000-0005-0000-0000-0000CF710000}"/>
    <cellStyle name="SAPBEXstdData 4 2 2 2 2" xfId="32277" xr:uid="{C3D37178-1243-4687-AA27-4AE2008CF5B1}"/>
    <cellStyle name="SAPBEXstdData 4 2 2 3" xfId="28450" xr:uid="{00000000-0005-0000-0000-0000D0710000}"/>
    <cellStyle name="SAPBEXstdData 4 2 2 3 2" xfId="33008" xr:uid="{6137533C-9C36-4923-93B0-AB9EFA850A69}"/>
    <cellStyle name="SAPBEXstdData 4 2 2 4" xfId="26438" xr:uid="{00000000-0005-0000-0000-0000D1710000}"/>
    <cellStyle name="SAPBEXstdData 4 2 2 4 2" xfId="31226" xr:uid="{5721256A-B2FC-4845-8F7E-BBE95A185664}"/>
    <cellStyle name="SAPBEXstdData 4 2 2 5" xfId="30002" xr:uid="{00000000-0005-0000-0000-0000D2710000}"/>
    <cellStyle name="SAPBEXstdData 4 2 3" xfId="26644" xr:uid="{00000000-0005-0000-0000-0000D3710000}"/>
    <cellStyle name="SAPBEXstdData 4 2 3 2" xfId="31421" xr:uid="{2B7DC36C-1C8B-4A64-B65D-02A8B73D71C7}"/>
    <cellStyle name="SAPBEXstdData 4 2 4" xfId="28449" xr:uid="{00000000-0005-0000-0000-0000D4710000}"/>
    <cellStyle name="SAPBEXstdData 4 2 4 2" xfId="33007" xr:uid="{386F2B08-8FB3-4407-86C3-F89D44CC2C04}"/>
    <cellStyle name="SAPBEXstdData 4 2 5" xfId="26741" xr:uid="{00000000-0005-0000-0000-0000D5710000}"/>
    <cellStyle name="SAPBEXstdData 4 2 5 2" xfId="31502" xr:uid="{C338A613-1C95-4278-8FB9-4D6201EAED65}"/>
    <cellStyle name="SAPBEXstdData 4 2 6" xfId="30001" xr:uid="{00000000-0005-0000-0000-0000D6710000}"/>
    <cellStyle name="SAPBEXstdData 4 2 7" xfId="30239" xr:uid="{096EC458-3FF2-43E1-A1F6-5838C7CCE44F}"/>
    <cellStyle name="SAPBEXstdData 4 3" xfId="25927" xr:uid="{00000000-0005-0000-0000-0000D7710000}"/>
    <cellStyle name="SAPBEXstdData 4 3 2" xfId="30816" xr:uid="{1355830C-8261-4079-94F9-5431238621DB}"/>
    <cellStyle name="SAPBEXstdData 4 4" xfId="28448" xr:uid="{00000000-0005-0000-0000-0000D8710000}"/>
    <cellStyle name="SAPBEXstdData 4 4 2" xfId="33006" xr:uid="{AA8C8842-1256-4F06-A9B4-0503D8051E85}"/>
    <cellStyle name="SAPBEXstdData 4 5" xfId="27928" xr:uid="{00000000-0005-0000-0000-0000D9710000}"/>
    <cellStyle name="SAPBEXstdData 4 5 2" xfId="32486" xr:uid="{73928584-F901-48E9-9EB0-BC57D7B7C8E6}"/>
    <cellStyle name="SAPBEXstdData 4 6" xfId="30000" xr:uid="{00000000-0005-0000-0000-0000DA710000}"/>
    <cellStyle name="SAPBEXstdData 5" xfId="260" xr:uid="{00000000-0005-0000-0000-0000DB710000}"/>
    <cellStyle name="SAPBEXstdData 5 2" xfId="13725" xr:uid="{00000000-0005-0000-0000-0000DC710000}"/>
    <cellStyle name="SAPBEXstdData 5 2 2" xfId="25538" xr:uid="{00000000-0005-0000-0000-0000DD710000}"/>
    <cellStyle name="SAPBEXstdData 5 2 2 2" xfId="27691" xr:uid="{00000000-0005-0000-0000-0000DE710000}"/>
    <cellStyle name="SAPBEXstdData 5 2 2 2 2" xfId="32278" xr:uid="{A512DC99-19C6-4C59-A94B-9546900850FC}"/>
    <cellStyle name="SAPBEXstdData 5 2 2 3" xfId="28453" xr:uid="{00000000-0005-0000-0000-0000DF710000}"/>
    <cellStyle name="SAPBEXstdData 5 2 2 3 2" xfId="33011" xr:uid="{4F105195-5BB0-4831-A6B8-C078303734D8}"/>
    <cellStyle name="SAPBEXstdData 5 2 2 4" xfId="26419" xr:uid="{00000000-0005-0000-0000-0000E0710000}"/>
    <cellStyle name="SAPBEXstdData 5 2 2 4 2" xfId="31207" xr:uid="{777FFAFA-E68C-4C66-B6A6-7D2365A9ECD3}"/>
    <cellStyle name="SAPBEXstdData 5 2 2 5" xfId="30005" xr:uid="{00000000-0005-0000-0000-0000E1710000}"/>
    <cellStyle name="SAPBEXstdData 5 2 3" xfId="26645" xr:uid="{00000000-0005-0000-0000-0000E2710000}"/>
    <cellStyle name="SAPBEXstdData 5 2 3 2" xfId="31422" xr:uid="{5A0B12DF-FF47-47EC-BB0D-F02BD6C7668C}"/>
    <cellStyle name="SAPBEXstdData 5 2 4" xfId="28452" xr:uid="{00000000-0005-0000-0000-0000E3710000}"/>
    <cellStyle name="SAPBEXstdData 5 2 4 2" xfId="33010" xr:uid="{29F6836E-4864-4D9F-BF8A-9FCFCEA72DE4}"/>
    <cellStyle name="SAPBEXstdData 5 2 5" xfId="26259" xr:uid="{00000000-0005-0000-0000-0000E4710000}"/>
    <cellStyle name="SAPBEXstdData 5 2 5 2" xfId="31047" xr:uid="{92C2CDA4-2107-4FD0-81B5-00022EA4E2B8}"/>
    <cellStyle name="SAPBEXstdData 5 2 6" xfId="30004" xr:uid="{00000000-0005-0000-0000-0000E5710000}"/>
    <cellStyle name="SAPBEXstdData 5 2 7" xfId="30240" xr:uid="{C015ED9E-10EB-4B07-8F67-D4EDB7D49790}"/>
    <cellStyle name="SAPBEXstdData 5 3" xfId="25928" xr:uid="{00000000-0005-0000-0000-0000E6710000}"/>
    <cellStyle name="SAPBEXstdData 5 3 2" xfId="30817" xr:uid="{4C0E11B8-45DA-4D62-ADB6-067A073CB0DD}"/>
    <cellStyle name="SAPBEXstdData 5 4" xfId="28451" xr:uid="{00000000-0005-0000-0000-0000E7710000}"/>
    <cellStyle name="SAPBEXstdData 5 4 2" xfId="33009" xr:uid="{231ED612-7EFC-4B98-8698-AAB8CC248A4D}"/>
    <cellStyle name="SAPBEXstdData 5 5" xfId="28568" xr:uid="{00000000-0005-0000-0000-0000E8710000}"/>
    <cellStyle name="SAPBEXstdData 5 5 2" xfId="33126" xr:uid="{A4346555-7686-4575-B879-7FA803203005}"/>
    <cellStyle name="SAPBEXstdData 5 6" xfId="30003" xr:uid="{00000000-0005-0000-0000-0000E9710000}"/>
    <cellStyle name="SAPBEXstdData 6" xfId="261" xr:uid="{00000000-0005-0000-0000-0000EA710000}"/>
    <cellStyle name="SAPBEXstdData 6 2" xfId="13726" xr:uid="{00000000-0005-0000-0000-0000EB710000}"/>
    <cellStyle name="SAPBEXstdData 6 2 2" xfId="25539" xr:uid="{00000000-0005-0000-0000-0000EC710000}"/>
    <cellStyle name="SAPBEXstdData 6 2 2 2" xfId="27692" xr:uid="{00000000-0005-0000-0000-0000ED710000}"/>
    <cellStyle name="SAPBEXstdData 6 2 2 2 2" xfId="32279" xr:uid="{ECB69947-A60B-4E67-8174-4DD9966BE067}"/>
    <cellStyle name="SAPBEXstdData 6 2 2 3" xfId="28456" xr:uid="{00000000-0005-0000-0000-0000EE710000}"/>
    <cellStyle name="SAPBEXstdData 6 2 2 3 2" xfId="33014" xr:uid="{7317279E-711B-45F7-810E-D923C0528B7B}"/>
    <cellStyle name="SAPBEXstdData 6 2 2 4" xfId="26098" xr:uid="{00000000-0005-0000-0000-0000EF710000}"/>
    <cellStyle name="SAPBEXstdData 6 2 2 4 2" xfId="30888" xr:uid="{37DC453A-E91E-4C94-A2B8-CCB381944492}"/>
    <cellStyle name="SAPBEXstdData 6 2 2 5" xfId="30008" xr:uid="{00000000-0005-0000-0000-0000F0710000}"/>
    <cellStyle name="SAPBEXstdData 6 2 3" xfId="26646" xr:uid="{00000000-0005-0000-0000-0000F1710000}"/>
    <cellStyle name="SAPBEXstdData 6 2 3 2" xfId="31423" xr:uid="{9B050B83-861C-4718-9DBE-917C3F6F4AF0}"/>
    <cellStyle name="SAPBEXstdData 6 2 4" xfId="28455" xr:uid="{00000000-0005-0000-0000-0000F2710000}"/>
    <cellStyle name="SAPBEXstdData 6 2 4 2" xfId="33013" xr:uid="{7405DCA3-1F8D-4026-BE19-911A01BE113D}"/>
    <cellStyle name="SAPBEXstdData 6 2 5" xfId="26863" xr:uid="{00000000-0005-0000-0000-0000F3710000}"/>
    <cellStyle name="SAPBEXstdData 6 2 5 2" xfId="31624" xr:uid="{8C144ABE-4980-4003-8D69-2D52CB28A52B}"/>
    <cellStyle name="SAPBEXstdData 6 2 6" xfId="30007" xr:uid="{00000000-0005-0000-0000-0000F4710000}"/>
    <cellStyle name="SAPBEXstdData 6 2 7" xfId="30241" xr:uid="{0B28B474-ACF4-4B60-A1DC-EE1FD952C416}"/>
    <cellStyle name="SAPBEXstdData 6 3" xfId="25929" xr:uid="{00000000-0005-0000-0000-0000F5710000}"/>
    <cellStyle name="SAPBEXstdData 6 3 2" xfId="30818" xr:uid="{B47014C3-78AC-4AC8-B38B-A1DF7A383AC6}"/>
    <cellStyle name="SAPBEXstdData 6 4" xfId="28454" xr:uid="{00000000-0005-0000-0000-0000F6710000}"/>
    <cellStyle name="SAPBEXstdData 6 4 2" xfId="33012" xr:uid="{1187B200-02AB-4CC3-9B22-483132479092}"/>
    <cellStyle name="SAPBEXstdData 6 5" xfId="28569" xr:uid="{00000000-0005-0000-0000-0000F7710000}"/>
    <cellStyle name="SAPBEXstdData 6 5 2" xfId="33127" xr:uid="{36A26F5A-037E-4960-886E-0DEFE69034DA}"/>
    <cellStyle name="SAPBEXstdData 6 6" xfId="30006" xr:uid="{00000000-0005-0000-0000-0000F8710000}"/>
    <cellStyle name="SAPBEXstdData 7" xfId="262" xr:uid="{00000000-0005-0000-0000-0000F9710000}"/>
    <cellStyle name="SAPBEXstdData 7 2" xfId="30009" xr:uid="{00000000-0005-0000-0000-0000FA710000}"/>
    <cellStyle name="SAPBEXstdData 8" xfId="415" xr:uid="{00000000-0005-0000-0000-0000FB710000}"/>
    <cellStyle name="SAPBEXstdData 8 2" xfId="13794" xr:uid="{00000000-0005-0000-0000-0000FC710000}"/>
    <cellStyle name="SAPBEXstdData 8 2 2" xfId="25552" xr:uid="{00000000-0005-0000-0000-0000FD710000}"/>
    <cellStyle name="SAPBEXstdData 8 2 2 2" xfId="27705" xr:uid="{00000000-0005-0000-0000-0000FE710000}"/>
    <cellStyle name="SAPBEXstdData 8 2 2 2 2" xfId="32292" xr:uid="{2F350E49-9E79-4B62-B68F-BACE6ED48024}"/>
    <cellStyle name="SAPBEXstdData 8 2 2 3" xfId="28459" xr:uid="{00000000-0005-0000-0000-0000FF710000}"/>
    <cellStyle name="SAPBEXstdData 8 2 2 3 2" xfId="33017" xr:uid="{8C200174-1AA0-4019-AEB3-6E3846E819E0}"/>
    <cellStyle name="SAPBEXstdData 8 2 2 4" xfId="26456" xr:uid="{00000000-0005-0000-0000-000000720000}"/>
    <cellStyle name="SAPBEXstdData 8 2 2 4 2" xfId="31244" xr:uid="{5EA6F7B7-D4C0-4E42-B0AA-0EF20F2A0F4A}"/>
    <cellStyle name="SAPBEXstdData 8 2 2 5" xfId="30012" xr:uid="{00000000-0005-0000-0000-000001720000}"/>
    <cellStyle name="SAPBEXstdData 8 2 3" xfId="26669" xr:uid="{00000000-0005-0000-0000-000002720000}"/>
    <cellStyle name="SAPBEXstdData 8 2 3 2" xfId="31437" xr:uid="{E3CDF642-70ED-4426-B25F-180C63757242}"/>
    <cellStyle name="SAPBEXstdData 8 2 4" xfId="28458" xr:uid="{00000000-0005-0000-0000-000003720000}"/>
    <cellStyle name="SAPBEXstdData 8 2 4 2" xfId="33016" xr:uid="{0C2235BF-8EE0-4059-AAC2-78B7C08C06F6}"/>
    <cellStyle name="SAPBEXstdData 8 2 5" xfId="26076" xr:uid="{00000000-0005-0000-0000-000004720000}"/>
    <cellStyle name="SAPBEXstdData 8 2 5 2" xfId="30866" xr:uid="{D1E09095-3BFB-43DC-ACDA-F4AC2A2310BA}"/>
    <cellStyle name="SAPBEXstdData 8 2 6" xfId="30011" xr:uid="{00000000-0005-0000-0000-000005720000}"/>
    <cellStyle name="SAPBEXstdData 8 2 7" xfId="30254" xr:uid="{EFA4FADD-D61A-4AF5-94C0-0F270D52EBCD}"/>
    <cellStyle name="SAPBEXstdData 8 3" xfId="26010" xr:uid="{00000000-0005-0000-0000-000006720000}"/>
    <cellStyle name="SAPBEXstdData 8 3 2" xfId="30831" xr:uid="{C0F43442-2780-4A71-B5DA-82402504CA59}"/>
    <cellStyle name="SAPBEXstdData 8 4" xfId="28457" xr:uid="{00000000-0005-0000-0000-000007720000}"/>
    <cellStyle name="SAPBEXstdData 8 4 2" xfId="33015" xr:uid="{7660F239-36E9-4A4B-9CD9-0FCA13A7551F}"/>
    <cellStyle name="SAPBEXstdData 8 5" xfId="29216" xr:uid="{00000000-0005-0000-0000-000008720000}"/>
    <cellStyle name="SAPBEXstdData 8 5 2" xfId="33199" xr:uid="{FA836CD4-D54D-47B9-AC47-BDC617F36541}"/>
    <cellStyle name="SAPBEXstdData 8 6" xfId="30010" xr:uid="{00000000-0005-0000-0000-000009720000}"/>
    <cellStyle name="SAPBEXstdData 9" xfId="13673" xr:uid="{00000000-0005-0000-0000-00000A720000}"/>
    <cellStyle name="SAPBEXstdData 9 2" xfId="25511" xr:uid="{00000000-0005-0000-0000-00000B720000}"/>
    <cellStyle name="SAPBEXstdData 9 2 2" xfId="27664" xr:uid="{00000000-0005-0000-0000-00000C720000}"/>
    <cellStyle name="SAPBEXstdData 9 2 2 2" xfId="32251" xr:uid="{C26862EF-59CB-4964-8AA0-E4667E73DDA2}"/>
    <cellStyle name="SAPBEXstdData 9 2 3" xfId="28461" xr:uid="{00000000-0005-0000-0000-00000D720000}"/>
    <cellStyle name="SAPBEXstdData 9 2 3 2" xfId="33019" xr:uid="{CB89FF5F-F813-4921-8CC8-8A6E28971297}"/>
    <cellStyle name="SAPBEXstdData 9 2 4" xfId="26049" xr:uid="{00000000-0005-0000-0000-00000E720000}"/>
    <cellStyle name="SAPBEXstdData 9 2 4 2" xfId="30841" xr:uid="{3DEF1656-BCE4-4674-A01A-674865A15F0F}"/>
    <cellStyle name="SAPBEXstdData 9 2 5" xfId="30014" xr:uid="{00000000-0005-0000-0000-00000F720000}"/>
    <cellStyle name="SAPBEXstdData 9 3" xfId="26615" xr:uid="{00000000-0005-0000-0000-000010720000}"/>
    <cellStyle name="SAPBEXstdData 9 3 2" xfId="31393" xr:uid="{0F4C5B58-B276-43B0-AC0D-D489FB5206A0}"/>
    <cellStyle name="SAPBEXstdData 9 4" xfId="28460" xr:uid="{00000000-0005-0000-0000-000011720000}"/>
    <cellStyle name="SAPBEXstdData 9 4 2" xfId="33018" xr:uid="{B3516FEC-E82F-43D0-B5B8-EA90D8717362}"/>
    <cellStyle name="SAPBEXstdData 9 5" xfId="26329" xr:uid="{00000000-0005-0000-0000-000012720000}"/>
    <cellStyle name="SAPBEXstdData 9 5 2" xfId="31117" xr:uid="{59B1AE19-21BA-4E3E-845C-E45F3CE75F1E}"/>
    <cellStyle name="SAPBEXstdData 9 6" xfId="30013" xr:uid="{00000000-0005-0000-0000-000013720000}"/>
    <cellStyle name="SAPBEXstdData 9 7" xfId="30213" xr:uid="{48941877-D26B-4771-9716-4D46534FE40E}"/>
    <cellStyle name="SAPBEXstdData_Copy of xSAPtemp5457" xfId="263" xr:uid="{00000000-0005-0000-0000-000014720000}"/>
    <cellStyle name="SAPBEXstdDataEmph" xfId="141" xr:uid="{00000000-0005-0000-0000-000015720000}"/>
    <cellStyle name="SAPBEXstdDataEmph 2" xfId="13675" xr:uid="{00000000-0005-0000-0000-000016720000}"/>
    <cellStyle name="SAPBEXstdDataEmph 2 2" xfId="25513" xr:uid="{00000000-0005-0000-0000-000017720000}"/>
    <cellStyle name="SAPBEXstdDataEmph 2 2 2" xfId="27666" xr:uid="{00000000-0005-0000-0000-000018720000}"/>
    <cellStyle name="SAPBEXstdDataEmph 2 2 2 2" xfId="32253" xr:uid="{6C649EDB-A2F5-40C0-A2A7-C7264DEDF202}"/>
    <cellStyle name="SAPBEXstdDataEmph 2 2 3" xfId="28464" xr:uid="{00000000-0005-0000-0000-000019720000}"/>
    <cellStyle name="SAPBEXstdDataEmph 2 2 3 2" xfId="33022" xr:uid="{940E1A11-B64C-44DD-912B-78DAE898F187}"/>
    <cellStyle name="SAPBEXstdDataEmph 2 2 4" xfId="26985" xr:uid="{00000000-0005-0000-0000-00001A720000}"/>
    <cellStyle name="SAPBEXstdDataEmph 2 2 4 2" xfId="31746" xr:uid="{848A66EA-CBA5-46DA-9012-B484E6B8A73C}"/>
    <cellStyle name="SAPBEXstdDataEmph 2 2 5" xfId="30017" xr:uid="{00000000-0005-0000-0000-00001B720000}"/>
    <cellStyle name="SAPBEXstdDataEmph 2 3" xfId="26617" xr:uid="{00000000-0005-0000-0000-00001C720000}"/>
    <cellStyle name="SAPBEXstdDataEmph 2 3 2" xfId="31395" xr:uid="{097D0D70-26EE-4CA9-B363-7D9BB207809B}"/>
    <cellStyle name="SAPBEXstdDataEmph 2 4" xfId="28463" xr:uid="{00000000-0005-0000-0000-00001D720000}"/>
    <cellStyle name="SAPBEXstdDataEmph 2 4 2" xfId="33021" xr:uid="{8BAE36D8-5132-45D4-B409-1D80B3F3B201}"/>
    <cellStyle name="SAPBEXstdDataEmph 2 5" xfId="26823" xr:uid="{00000000-0005-0000-0000-00001E720000}"/>
    <cellStyle name="SAPBEXstdDataEmph 2 5 2" xfId="31584" xr:uid="{241EC948-B9DC-4DB5-98C3-4D70862923BD}"/>
    <cellStyle name="SAPBEXstdDataEmph 2 6" xfId="30016" xr:uid="{00000000-0005-0000-0000-00001F720000}"/>
    <cellStyle name="SAPBEXstdDataEmph 2 7" xfId="30215" xr:uid="{14432CF8-CB79-4547-B514-2B092D099D46}"/>
    <cellStyle name="SAPBEXstdDataEmph 3" xfId="24640" xr:uid="{00000000-0005-0000-0000-000020720000}"/>
    <cellStyle name="SAPBEXstdDataEmph 3 2" xfId="25401" xr:uid="{00000000-0005-0000-0000-000021720000}"/>
    <cellStyle name="SAPBEXstdDataEmph 3 2 2" xfId="27555" xr:uid="{00000000-0005-0000-0000-000022720000}"/>
    <cellStyle name="SAPBEXstdDataEmph 3 2 2 2" xfId="32146" xr:uid="{92034934-59B1-4B47-97C8-01E0BBA5E1CC}"/>
    <cellStyle name="SAPBEXstdDataEmph 3 2 3" xfId="28466" xr:uid="{00000000-0005-0000-0000-000023720000}"/>
    <cellStyle name="SAPBEXstdDataEmph 3 2 3 2" xfId="33024" xr:uid="{1292078A-90F8-4801-974C-C127B9217E47}"/>
    <cellStyle name="SAPBEXstdDataEmph 3 2 4" xfId="26462" xr:uid="{00000000-0005-0000-0000-000024720000}"/>
    <cellStyle name="SAPBEXstdDataEmph 3 2 4 2" xfId="31250" xr:uid="{E0E2A86E-8DB5-4FE4-A024-9EB12F258DEE}"/>
    <cellStyle name="SAPBEXstdDataEmph 3 2 5" xfId="30019" xr:uid="{00000000-0005-0000-0000-000025720000}"/>
    <cellStyle name="SAPBEXstdDataEmph 3 2 6" xfId="30559" xr:uid="{E8986772-1807-4A47-8012-BA5F428AEC62}"/>
    <cellStyle name="SAPBEXstdDataEmph 3 3" xfId="25606" xr:uid="{00000000-0005-0000-0000-000026720000}"/>
    <cellStyle name="SAPBEXstdDataEmph 3 3 2" xfId="27759" xr:uid="{00000000-0005-0000-0000-000027720000}"/>
    <cellStyle name="SAPBEXstdDataEmph 3 3 2 2" xfId="32346" xr:uid="{C84438FF-9D79-4980-AFF1-D1AC31684EA7}"/>
    <cellStyle name="SAPBEXstdDataEmph 3 3 3" xfId="28467" xr:uid="{00000000-0005-0000-0000-000028720000}"/>
    <cellStyle name="SAPBEXstdDataEmph 3 3 3 2" xfId="33025" xr:uid="{C95F8EE6-DCE2-4C3A-BD77-3F85B187D19B}"/>
    <cellStyle name="SAPBEXstdDataEmph 3 3 4" xfId="27299" xr:uid="{00000000-0005-0000-0000-000029720000}"/>
    <cellStyle name="SAPBEXstdDataEmph 3 3 4 2" xfId="31928" xr:uid="{FEA5A6FE-BF89-4B8A-A339-9EBDB37695FA}"/>
    <cellStyle name="SAPBEXstdDataEmph 3 3 5" xfId="30020" xr:uid="{00000000-0005-0000-0000-00002A720000}"/>
    <cellStyle name="SAPBEXstdDataEmph 3 4" xfId="27233" xr:uid="{00000000-0005-0000-0000-00002B720000}"/>
    <cellStyle name="SAPBEXstdDataEmph 3 4 2" xfId="31868" xr:uid="{3F71C599-362F-4AFA-A546-C7178FF950FB}"/>
    <cellStyle name="SAPBEXstdDataEmph 3 5" xfId="28465" xr:uid="{00000000-0005-0000-0000-00002C720000}"/>
    <cellStyle name="SAPBEXstdDataEmph 3 5 2" xfId="33023" xr:uid="{9DB387F2-BC1A-4200-A51D-1206CF697C38}"/>
    <cellStyle name="SAPBEXstdDataEmph 3 6" xfId="26309" xr:uid="{00000000-0005-0000-0000-00002D720000}"/>
    <cellStyle name="SAPBEXstdDataEmph 3 6 2" xfId="31097" xr:uid="{59ED7346-941B-41AE-9498-B31ADC581229}"/>
    <cellStyle name="SAPBEXstdDataEmph 3 7" xfId="30018" xr:uid="{00000000-0005-0000-0000-00002E720000}"/>
    <cellStyle name="SAPBEXstdDataEmph 3 8" xfId="30308" xr:uid="{7BF7292D-ED29-4A4F-9629-9CA4D29C1449}"/>
    <cellStyle name="SAPBEXstdDataEmph 4" xfId="25133" xr:uid="{00000000-0005-0000-0000-00002F720000}"/>
    <cellStyle name="SAPBEXstdDataEmph 4 2" xfId="25365" xr:uid="{00000000-0005-0000-0000-000030720000}"/>
    <cellStyle name="SAPBEXstdDataEmph 4 2 2" xfId="27519" xr:uid="{00000000-0005-0000-0000-000031720000}"/>
    <cellStyle name="SAPBEXstdDataEmph 4 2 2 2" xfId="32110" xr:uid="{C3DB6E0D-4C64-402F-AF6F-F87EC42A57A0}"/>
    <cellStyle name="SAPBEXstdDataEmph 4 2 3" xfId="28469" xr:uid="{00000000-0005-0000-0000-000032720000}"/>
    <cellStyle name="SAPBEXstdDataEmph 4 2 3 2" xfId="33027" xr:uid="{03DB1558-DFB9-44E7-8AF1-A00784726736}"/>
    <cellStyle name="SAPBEXstdDataEmph 4 2 4" xfId="26106" xr:uid="{00000000-0005-0000-0000-000033720000}"/>
    <cellStyle name="SAPBEXstdDataEmph 4 2 4 2" xfId="30896" xr:uid="{C145BEC5-B10F-41E8-8AA1-8065C6991384}"/>
    <cellStyle name="SAPBEXstdDataEmph 4 2 5" xfId="30022" xr:uid="{00000000-0005-0000-0000-000034720000}"/>
    <cellStyle name="SAPBEXstdDataEmph 4 2 6" xfId="30523" xr:uid="{B93307D7-4979-4CF4-8FCC-E3E0ABBD6DE6}"/>
    <cellStyle name="SAPBEXstdDataEmph 4 3" xfId="25731" xr:uid="{00000000-0005-0000-0000-000035720000}"/>
    <cellStyle name="SAPBEXstdDataEmph 4 3 2" xfId="27884" xr:uid="{00000000-0005-0000-0000-000036720000}"/>
    <cellStyle name="SAPBEXstdDataEmph 4 3 2 2" xfId="32471" xr:uid="{2E6FCE45-E9CC-4CDE-BF1A-7E92C0EF760E}"/>
    <cellStyle name="SAPBEXstdDataEmph 4 3 3" xfId="28470" xr:uid="{00000000-0005-0000-0000-000037720000}"/>
    <cellStyle name="SAPBEXstdDataEmph 4 3 3 2" xfId="33028" xr:uid="{955BB6CF-61D1-4756-83E9-9A56A20CB11C}"/>
    <cellStyle name="SAPBEXstdDataEmph 4 3 4" xfId="27013" xr:uid="{00000000-0005-0000-0000-000038720000}"/>
    <cellStyle name="SAPBEXstdDataEmph 4 3 4 2" xfId="31773" xr:uid="{B086D7B8-C840-48B7-A6D0-B7DAEF42AAB1}"/>
    <cellStyle name="SAPBEXstdDataEmph 4 3 5" xfId="30023" xr:uid="{00000000-0005-0000-0000-000039720000}"/>
    <cellStyle name="SAPBEXstdDataEmph 4 3 6" xfId="30725" xr:uid="{735FE7FD-41B0-401E-8EBE-0E809E5745CA}"/>
    <cellStyle name="SAPBEXstdDataEmph 4 4" xfId="27418" xr:uid="{00000000-0005-0000-0000-00003A720000}"/>
    <cellStyle name="SAPBEXstdDataEmph 4 4 2" xfId="32016" xr:uid="{84EE8AAE-91BA-4DEF-9C49-A1058B424518}"/>
    <cellStyle name="SAPBEXstdDataEmph 4 5" xfId="28468" xr:uid="{00000000-0005-0000-0000-00003B720000}"/>
    <cellStyle name="SAPBEXstdDataEmph 4 5 2" xfId="33026" xr:uid="{66822EB3-F42A-4099-8615-39FEB50EA92A}"/>
    <cellStyle name="SAPBEXstdDataEmph 4 6" xfId="26816" xr:uid="{00000000-0005-0000-0000-00003C720000}"/>
    <cellStyle name="SAPBEXstdDataEmph 4 6 2" xfId="31577" xr:uid="{2231C6E4-FE15-40CC-A8E4-67C8AD8E35C3}"/>
    <cellStyle name="SAPBEXstdDataEmph 4 7" xfId="30021" xr:uid="{00000000-0005-0000-0000-00003D720000}"/>
    <cellStyle name="SAPBEXstdDataEmph 4 8" xfId="30433" xr:uid="{7E7934BB-4CDE-4914-ADFD-6F133E14CD07}"/>
    <cellStyle name="SAPBEXstdDataEmph 5" xfId="25872" xr:uid="{00000000-0005-0000-0000-00003E720000}"/>
    <cellStyle name="SAPBEXstdDataEmph 5 2" xfId="30791" xr:uid="{565538A6-2502-4992-A7FB-98538A320F68}"/>
    <cellStyle name="SAPBEXstdDataEmph 6" xfId="28462" xr:uid="{00000000-0005-0000-0000-00003F720000}"/>
    <cellStyle name="SAPBEXstdDataEmph 6 2" xfId="33020" xr:uid="{9AFAABCD-7C3C-416C-BEE5-F95693649CF4}"/>
    <cellStyle name="SAPBEXstdDataEmph 7" xfId="29246" xr:uid="{00000000-0005-0000-0000-000040720000}"/>
    <cellStyle name="SAPBEXstdDataEmph 7 2" xfId="33228" xr:uid="{DD80551F-22CF-41D5-A477-5E2B829C95F9}"/>
    <cellStyle name="SAPBEXstdDataEmph 8" xfId="30015" xr:uid="{00000000-0005-0000-0000-000041720000}"/>
    <cellStyle name="SAPBEXstdItem" xfId="142" xr:uid="{00000000-0005-0000-0000-000042720000}"/>
    <cellStyle name="SAPBEXstdItem 10" xfId="13676" xr:uid="{00000000-0005-0000-0000-000043720000}"/>
    <cellStyle name="SAPBEXstdItem 10 2" xfId="25514" xr:uid="{00000000-0005-0000-0000-000044720000}"/>
    <cellStyle name="SAPBEXstdItem 10 2 2" xfId="27667" xr:uid="{00000000-0005-0000-0000-000045720000}"/>
    <cellStyle name="SAPBEXstdItem 10 2 2 2" xfId="32254" xr:uid="{7D516838-2059-4549-BF1E-17D4AE5F6889}"/>
    <cellStyle name="SAPBEXstdItem 10 2 3" xfId="28473" xr:uid="{00000000-0005-0000-0000-000046720000}"/>
    <cellStyle name="SAPBEXstdItem 10 2 3 2" xfId="33031" xr:uid="{5F895FB3-966C-44C4-849F-34E9E656E6B7}"/>
    <cellStyle name="SAPBEXstdItem 10 2 4" xfId="26956" xr:uid="{00000000-0005-0000-0000-000047720000}"/>
    <cellStyle name="SAPBEXstdItem 10 2 4 2" xfId="31717" xr:uid="{E188FEB3-1FDF-4FE9-AA13-17537B49E2C0}"/>
    <cellStyle name="SAPBEXstdItem 10 2 5" xfId="30026" xr:uid="{00000000-0005-0000-0000-000048720000}"/>
    <cellStyle name="SAPBEXstdItem 10 3" xfId="26618" xr:uid="{00000000-0005-0000-0000-000049720000}"/>
    <cellStyle name="SAPBEXstdItem 10 3 2" xfId="31396" xr:uid="{E82856EF-9F70-42EA-B44B-61410958F902}"/>
    <cellStyle name="SAPBEXstdItem 10 4" xfId="28472" xr:uid="{00000000-0005-0000-0000-00004A720000}"/>
    <cellStyle name="SAPBEXstdItem 10 4 2" xfId="33030" xr:uid="{043BF500-34B1-466D-8CB2-D76B146B9567}"/>
    <cellStyle name="SAPBEXstdItem 10 5" xfId="26494" xr:uid="{00000000-0005-0000-0000-00004B720000}"/>
    <cellStyle name="SAPBEXstdItem 10 5 2" xfId="31282" xr:uid="{CEAC0034-716C-4DE0-B62B-8A2432C96AD3}"/>
    <cellStyle name="SAPBEXstdItem 10 6" xfId="30025" xr:uid="{00000000-0005-0000-0000-00004C720000}"/>
    <cellStyle name="SAPBEXstdItem 10 7" xfId="30216" xr:uid="{1E91C4F7-07F4-4518-B240-4C92F223DC71}"/>
    <cellStyle name="SAPBEXstdItem 11" xfId="24639" xr:uid="{00000000-0005-0000-0000-00004D720000}"/>
    <cellStyle name="SAPBEXstdItem 11 2" xfId="25385" xr:uid="{00000000-0005-0000-0000-00004E720000}"/>
    <cellStyle name="SAPBEXstdItem 11 2 2" xfId="27539" xr:uid="{00000000-0005-0000-0000-00004F720000}"/>
    <cellStyle name="SAPBEXstdItem 11 2 2 2" xfId="32130" xr:uid="{02BEAEA3-DCF8-4973-9D3E-A7F611D9F75E}"/>
    <cellStyle name="SAPBEXstdItem 11 2 3" xfId="28475" xr:uid="{00000000-0005-0000-0000-000050720000}"/>
    <cellStyle name="SAPBEXstdItem 11 2 3 2" xfId="33033" xr:uid="{37057B8F-AC3B-48A3-8A72-17B997A3BF6E}"/>
    <cellStyle name="SAPBEXstdItem 11 2 4" xfId="26455" xr:uid="{00000000-0005-0000-0000-000051720000}"/>
    <cellStyle name="SAPBEXstdItem 11 2 4 2" xfId="31243" xr:uid="{36F12AA0-35D3-4E9B-A301-E890BC29AF02}"/>
    <cellStyle name="SAPBEXstdItem 11 2 5" xfId="30028" xr:uid="{00000000-0005-0000-0000-000052720000}"/>
    <cellStyle name="SAPBEXstdItem 11 2 6" xfId="30543" xr:uid="{E134D3F1-720F-4874-A32F-8529DCD2F790}"/>
    <cellStyle name="SAPBEXstdItem 11 3" xfId="25605" xr:uid="{00000000-0005-0000-0000-000053720000}"/>
    <cellStyle name="SAPBEXstdItem 11 3 2" xfId="27758" xr:uid="{00000000-0005-0000-0000-000054720000}"/>
    <cellStyle name="SAPBEXstdItem 11 3 2 2" xfId="32345" xr:uid="{B4A2052D-72BA-4A55-8B1F-1CB6B713AB48}"/>
    <cellStyle name="SAPBEXstdItem 11 3 3" xfId="28476" xr:uid="{00000000-0005-0000-0000-000055720000}"/>
    <cellStyle name="SAPBEXstdItem 11 3 3 2" xfId="33034" xr:uid="{69024373-1E71-4559-BD1C-D4F2788C10F1}"/>
    <cellStyle name="SAPBEXstdItem 11 3 4" xfId="26812" xr:uid="{00000000-0005-0000-0000-000056720000}"/>
    <cellStyle name="SAPBEXstdItem 11 3 4 2" xfId="31573" xr:uid="{C89EDFA2-E246-4599-9154-B4B08FD77D65}"/>
    <cellStyle name="SAPBEXstdItem 11 3 5" xfId="30029" xr:uid="{00000000-0005-0000-0000-000057720000}"/>
    <cellStyle name="SAPBEXstdItem 11 4" xfId="27232" xr:uid="{00000000-0005-0000-0000-000058720000}"/>
    <cellStyle name="SAPBEXstdItem 11 4 2" xfId="31867" xr:uid="{7889C2A1-42D6-48E0-95D1-F1BB65C8FB84}"/>
    <cellStyle name="SAPBEXstdItem 11 5" xfId="28474" xr:uid="{00000000-0005-0000-0000-000059720000}"/>
    <cellStyle name="SAPBEXstdItem 11 5 2" xfId="33032" xr:uid="{5F6E539F-F53C-44AC-9347-B925503AD9B1}"/>
    <cellStyle name="SAPBEXstdItem 11 6" xfId="26384" xr:uid="{00000000-0005-0000-0000-00005A720000}"/>
    <cellStyle name="SAPBEXstdItem 11 6 2" xfId="31172" xr:uid="{FC60DFD3-0147-41BF-B105-6E95D68F2FDE}"/>
    <cellStyle name="SAPBEXstdItem 11 7" xfId="30027" xr:uid="{00000000-0005-0000-0000-00005B720000}"/>
    <cellStyle name="SAPBEXstdItem 11 8" xfId="30307" xr:uid="{2AF6E124-2F3F-4F8D-A7EA-049A1A01AF25}"/>
    <cellStyle name="SAPBEXstdItem 12" xfId="25134" xr:uid="{00000000-0005-0000-0000-00005C720000}"/>
    <cellStyle name="SAPBEXstdItem 12 2" xfId="25379" xr:uid="{00000000-0005-0000-0000-00005D720000}"/>
    <cellStyle name="SAPBEXstdItem 12 2 2" xfId="27533" xr:uid="{00000000-0005-0000-0000-00005E720000}"/>
    <cellStyle name="SAPBEXstdItem 12 2 2 2" xfId="32124" xr:uid="{D27E560F-9BF6-4229-9F1A-498B4DD98F63}"/>
    <cellStyle name="SAPBEXstdItem 12 2 3" xfId="28478" xr:uid="{00000000-0005-0000-0000-00005F720000}"/>
    <cellStyle name="SAPBEXstdItem 12 2 3 2" xfId="33036" xr:uid="{D844B4D7-CD17-4B05-BFC5-ACE730F2582E}"/>
    <cellStyle name="SAPBEXstdItem 12 2 4" xfId="26136" xr:uid="{00000000-0005-0000-0000-000060720000}"/>
    <cellStyle name="SAPBEXstdItem 12 2 4 2" xfId="30926" xr:uid="{5B3C1DA1-79AF-44B7-B530-E884DD7C41BC}"/>
    <cellStyle name="SAPBEXstdItem 12 2 5" xfId="30031" xr:uid="{00000000-0005-0000-0000-000061720000}"/>
    <cellStyle name="SAPBEXstdItem 12 2 6" xfId="30537" xr:uid="{1B85A3BF-9FC1-4D77-9F42-13F96FAC7F22}"/>
    <cellStyle name="SAPBEXstdItem 12 3" xfId="25732" xr:uid="{00000000-0005-0000-0000-000062720000}"/>
    <cellStyle name="SAPBEXstdItem 12 3 2" xfId="27885" xr:uid="{00000000-0005-0000-0000-000063720000}"/>
    <cellStyle name="SAPBEXstdItem 12 3 2 2" xfId="32472" xr:uid="{E45C59CD-23E8-4BE9-BB2E-F3F2B3BBE5E7}"/>
    <cellStyle name="SAPBEXstdItem 12 3 3" xfId="28479" xr:uid="{00000000-0005-0000-0000-000064720000}"/>
    <cellStyle name="SAPBEXstdItem 12 3 3 2" xfId="33037" xr:uid="{B276B874-BD72-4BDE-A8A0-3462BC9F5443}"/>
    <cellStyle name="SAPBEXstdItem 12 3 4" xfId="26369" xr:uid="{00000000-0005-0000-0000-000065720000}"/>
    <cellStyle name="SAPBEXstdItem 12 3 4 2" xfId="31157" xr:uid="{E644A67F-BDAC-41F3-84E3-2DF7986CAEC0}"/>
    <cellStyle name="SAPBEXstdItem 12 3 5" xfId="30032" xr:uid="{00000000-0005-0000-0000-000066720000}"/>
    <cellStyle name="SAPBEXstdItem 12 3 6" xfId="30726" xr:uid="{19016C21-975C-4390-A620-1E379C7B2287}"/>
    <cellStyle name="SAPBEXstdItem 12 4" xfId="27419" xr:uid="{00000000-0005-0000-0000-000067720000}"/>
    <cellStyle name="SAPBEXstdItem 12 4 2" xfId="32017" xr:uid="{DE928E43-71EE-45CB-9CEA-A4F481339B5B}"/>
    <cellStyle name="SAPBEXstdItem 12 5" xfId="28477" xr:uid="{00000000-0005-0000-0000-000068720000}"/>
    <cellStyle name="SAPBEXstdItem 12 5 2" xfId="33035" xr:uid="{A6840F9F-DA6C-4DB5-9F48-9F9FC63770E6}"/>
    <cellStyle name="SAPBEXstdItem 12 6" xfId="26452" xr:uid="{00000000-0005-0000-0000-000069720000}"/>
    <cellStyle name="SAPBEXstdItem 12 6 2" xfId="31240" xr:uid="{D8656223-C067-43D5-812E-64BB93BDD6EC}"/>
    <cellStyle name="SAPBEXstdItem 12 7" xfId="30030" xr:uid="{00000000-0005-0000-0000-00006A720000}"/>
    <cellStyle name="SAPBEXstdItem 12 8" xfId="30434" xr:uid="{FDE54373-F2BC-40DB-BE8D-7BA59BAC4E44}"/>
    <cellStyle name="SAPBEXstdItem 13" xfId="25873" xr:uid="{00000000-0005-0000-0000-00006B720000}"/>
    <cellStyle name="SAPBEXstdItem 13 2" xfId="30792" xr:uid="{B15561DA-BA49-4E99-9D4F-1DDA8061DEDF}"/>
    <cellStyle name="SAPBEXstdItem 14" xfId="28471" xr:uid="{00000000-0005-0000-0000-00006C720000}"/>
    <cellStyle name="SAPBEXstdItem 14 2" xfId="33029" xr:uid="{AE37E7B4-FAA3-402F-A678-168F87B1E84D}"/>
    <cellStyle name="SAPBEXstdItem 15" xfId="29209" xr:uid="{00000000-0005-0000-0000-00006D720000}"/>
    <cellStyle name="SAPBEXstdItem 15 2" xfId="33192" xr:uid="{1DE7E4B1-6DAB-4F2F-ADFC-1B7C186465CE}"/>
    <cellStyle name="SAPBEXstdItem 16" xfId="30024" xr:uid="{00000000-0005-0000-0000-00006E720000}"/>
    <cellStyle name="SAPBEXstdItem 2" xfId="143" xr:uid="{00000000-0005-0000-0000-00006F720000}"/>
    <cellStyle name="SAPBEXstdItem 2 2" xfId="13677" xr:uid="{00000000-0005-0000-0000-000070720000}"/>
    <cellStyle name="SAPBEXstdItem 2 2 2" xfId="25515" xr:uid="{00000000-0005-0000-0000-000071720000}"/>
    <cellStyle name="SAPBEXstdItem 2 2 2 2" xfId="27668" xr:uid="{00000000-0005-0000-0000-000072720000}"/>
    <cellStyle name="SAPBEXstdItem 2 2 2 2 2" xfId="32255" xr:uid="{696E9D6A-C1B3-4AA3-AD6A-87722D7571B7}"/>
    <cellStyle name="SAPBEXstdItem 2 2 2 3" xfId="28482" xr:uid="{00000000-0005-0000-0000-000073720000}"/>
    <cellStyle name="SAPBEXstdItem 2 2 2 3 2" xfId="33040" xr:uid="{6BF646E8-E27D-4DD5-B34F-F8BF8E1EE11C}"/>
    <cellStyle name="SAPBEXstdItem 2 2 2 4" xfId="26943" xr:uid="{00000000-0005-0000-0000-000074720000}"/>
    <cellStyle name="SAPBEXstdItem 2 2 2 4 2" xfId="31704" xr:uid="{4C72149F-6ECC-4652-B466-CD99280FAD44}"/>
    <cellStyle name="SAPBEXstdItem 2 2 2 5" xfId="30035" xr:uid="{00000000-0005-0000-0000-000075720000}"/>
    <cellStyle name="SAPBEXstdItem 2 2 3" xfId="26619" xr:uid="{00000000-0005-0000-0000-000076720000}"/>
    <cellStyle name="SAPBEXstdItem 2 2 3 2" xfId="31397" xr:uid="{7C978F41-27D8-480E-B306-7FA8B2900AC4}"/>
    <cellStyle name="SAPBEXstdItem 2 2 4" xfId="28481" xr:uid="{00000000-0005-0000-0000-000077720000}"/>
    <cellStyle name="SAPBEXstdItem 2 2 4 2" xfId="33039" xr:uid="{E29D8BD4-78EB-4195-8E9A-68118CC55C74}"/>
    <cellStyle name="SAPBEXstdItem 2 2 5" xfId="26514" xr:uid="{00000000-0005-0000-0000-000078720000}"/>
    <cellStyle name="SAPBEXstdItem 2 2 5 2" xfId="31302" xr:uid="{F63CBD9C-1327-4193-8051-294F91FF2D59}"/>
    <cellStyle name="SAPBEXstdItem 2 2 6" xfId="30034" xr:uid="{00000000-0005-0000-0000-000079720000}"/>
    <cellStyle name="SAPBEXstdItem 2 2 7" xfId="30217" xr:uid="{CF994EC1-D8C3-4EB2-9A75-5E70A7D56FB3}"/>
    <cellStyle name="SAPBEXstdItem 2 3" xfId="25874" xr:uid="{00000000-0005-0000-0000-00007A720000}"/>
    <cellStyle name="SAPBEXstdItem 2 3 2" xfId="30793" xr:uid="{EA128775-1CBF-4AEA-9D27-9D5EA39C04F2}"/>
    <cellStyle name="SAPBEXstdItem 2 4" xfId="28480" xr:uid="{00000000-0005-0000-0000-00007B720000}"/>
    <cellStyle name="SAPBEXstdItem 2 4 2" xfId="33038" xr:uid="{E0AA107B-C196-4163-9C91-F27A7D044E97}"/>
    <cellStyle name="SAPBEXstdItem 2 5" xfId="26050" xr:uid="{00000000-0005-0000-0000-00007C720000}"/>
    <cellStyle name="SAPBEXstdItem 2 5 2" xfId="30842" xr:uid="{99293753-3EA6-4A60-AD32-F1125BCB9804}"/>
    <cellStyle name="SAPBEXstdItem 2 6" xfId="30033" xr:uid="{00000000-0005-0000-0000-00007D720000}"/>
    <cellStyle name="SAPBEXstdItem 3" xfId="264" xr:uid="{00000000-0005-0000-0000-00007E720000}"/>
    <cellStyle name="SAPBEXstdItem 3 2" xfId="13727" xr:uid="{00000000-0005-0000-0000-00007F720000}"/>
    <cellStyle name="SAPBEXstdItem 3 2 2" xfId="25540" xr:uid="{00000000-0005-0000-0000-000080720000}"/>
    <cellStyle name="SAPBEXstdItem 3 2 2 2" xfId="27693" xr:uid="{00000000-0005-0000-0000-000081720000}"/>
    <cellStyle name="SAPBEXstdItem 3 2 2 2 2" xfId="32280" xr:uid="{6985C235-AFF0-4F97-9938-F58B5CFC5A9E}"/>
    <cellStyle name="SAPBEXstdItem 3 2 2 3" xfId="28485" xr:uid="{00000000-0005-0000-0000-000082720000}"/>
    <cellStyle name="SAPBEXstdItem 3 2 2 3 2" xfId="33043" xr:uid="{6A6A8FA8-BACD-47C1-A580-4243E59733A2}"/>
    <cellStyle name="SAPBEXstdItem 3 2 2 4" xfId="26696" xr:uid="{00000000-0005-0000-0000-000083720000}"/>
    <cellStyle name="SAPBEXstdItem 3 2 2 4 2" xfId="31458" xr:uid="{FCE8D75C-BD5C-48FA-96F5-9338A6092641}"/>
    <cellStyle name="SAPBEXstdItem 3 2 2 5" xfId="30038" xr:uid="{00000000-0005-0000-0000-000084720000}"/>
    <cellStyle name="SAPBEXstdItem 3 2 3" xfId="26647" xr:uid="{00000000-0005-0000-0000-000085720000}"/>
    <cellStyle name="SAPBEXstdItem 3 2 3 2" xfId="31424" xr:uid="{87C21466-7482-44B5-8CFE-BE7C7B976A4F}"/>
    <cellStyle name="SAPBEXstdItem 3 2 4" xfId="28484" xr:uid="{00000000-0005-0000-0000-000086720000}"/>
    <cellStyle name="SAPBEXstdItem 3 2 4 2" xfId="33042" xr:uid="{0110FBA5-9D1D-48C4-8501-A2FA48B3EC7B}"/>
    <cellStyle name="SAPBEXstdItem 3 2 5" xfId="26242" xr:uid="{00000000-0005-0000-0000-000087720000}"/>
    <cellStyle name="SAPBEXstdItem 3 2 5 2" xfId="31030" xr:uid="{7405C4C0-AE2D-4335-9D17-B9A90015A59A}"/>
    <cellStyle name="SAPBEXstdItem 3 2 6" xfId="30037" xr:uid="{00000000-0005-0000-0000-000088720000}"/>
    <cellStyle name="SAPBEXstdItem 3 2 7" xfId="30242" xr:uid="{DFECBD3B-2808-4947-A060-1025849DBB5E}"/>
    <cellStyle name="SAPBEXstdItem 3 3" xfId="25930" xr:uid="{00000000-0005-0000-0000-000089720000}"/>
    <cellStyle name="SAPBEXstdItem 3 3 2" xfId="30819" xr:uid="{90A9C38F-F533-4290-828F-050A4CFE7DB3}"/>
    <cellStyle name="SAPBEXstdItem 3 4" xfId="28483" xr:uid="{00000000-0005-0000-0000-00008A720000}"/>
    <cellStyle name="SAPBEXstdItem 3 4 2" xfId="33041" xr:uid="{DB02B5ED-8DAA-429C-B3E8-D97C4760D959}"/>
    <cellStyle name="SAPBEXstdItem 3 5" xfId="27929" xr:uid="{00000000-0005-0000-0000-00008B720000}"/>
    <cellStyle name="SAPBEXstdItem 3 5 2" xfId="32487" xr:uid="{96285822-A17F-4307-B5E4-3926E2C1CEFE}"/>
    <cellStyle name="SAPBEXstdItem 3 6" xfId="30036" xr:uid="{00000000-0005-0000-0000-00008C720000}"/>
    <cellStyle name="SAPBEXstdItem 4" xfId="265" xr:uid="{00000000-0005-0000-0000-00008D720000}"/>
    <cellStyle name="SAPBEXstdItem 4 2" xfId="13728" xr:uid="{00000000-0005-0000-0000-00008E720000}"/>
    <cellStyle name="SAPBEXstdItem 4 2 2" xfId="25541" xr:uid="{00000000-0005-0000-0000-00008F720000}"/>
    <cellStyle name="SAPBEXstdItem 4 2 2 2" xfId="27694" xr:uid="{00000000-0005-0000-0000-000090720000}"/>
    <cellStyle name="SAPBEXstdItem 4 2 2 2 2" xfId="32281" xr:uid="{BA55B361-4B9D-4F73-A554-BE337B3695C9}"/>
    <cellStyle name="SAPBEXstdItem 4 2 2 3" xfId="28488" xr:uid="{00000000-0005-0000-0000-000091720000}"/>
    <cellStyle name="SAPBEXstdItem 4 2 2 3 2" xfId="33046" xr:uid="{59935496-8342-40CF-8F6B-68A5DDCE2877}"/>
    <cellStyle name="SAPBEXstdItem 4 2 2 4" xfId="26160" xr:uid="{00000000-0005-0000-0000-000092720000}"/>
    <cellStyle name="SAPBEXstdItem 4 2 2 4 2" xfId="30949" xr:uid="{838666B9-E9A6-435B-83E0-2167E01C3C7A}"/>
    <cellStyle name="SAPBEXstdItem 4 2 2 5" xfId="30041" xr:uid="{00000000-0005-0000-0000-000093720000}"/>
    <cellStyle name="SAPBEXstdItem 4 2 3" xfId="26648" xr:uid="{00000000-0005-0000-0000-000094720000}"/>
    <cellStyle name="SAPBEXstdItem 4 2 3 2" xfId="31425" xr:uid="{D0DDBB1F-5634-45F6-BDB2-C1A1BE05E9B3}"/>
    <cellStyle name="SAPBEXstdItem 4 2 4" xfId="28487" xr:uid="{00000000-0005-0000-0000-000095720000}"/>
    <cellStyle name="SAPBEXstdItem 4 2 4 2" xfId="33045" xr:uid="{7D0C6730-F3AB-461C-88D0-38BD0C44178B}"/>
    <cellStyle name="SAPBEXstdItem 4 2 5" xfId="26118" xr:uid="{00000000-0005-0000-0000-000096720000}"/>
    <cellStyle name="SAPBEXstdItem 4 2 5 2" xfId="30908" xr:uid="{2F4A2F80-FA9C-4A8B-8303-BBEBD72A48FD}"/>
    <cellStyle name="SAPBEXstdItem 4 2 6" xfId="30040" xr:uid="{00000000-0005-0000-0000-000097720000}"/>
    <cellStyle name="SAPBEXstdItem 4 2 7" xfId="30243" xr:uid="{3D600FC7-16B8-47FA-8F80-96BAD9BF94CB}"/>
    <cellStyle name="SAPBEXstdItem 4 3" xfId="25931" xr:uid="{00000000-0005-0000-0000-000098720000}"/>
    <cellStyle name="SAPBEXstdItem 4 3 2" xfId="30820" xr:uid="{B96F8E83-4834-4CDE-84B6-90336E133109}"/>
    <cellStyle name="SAPBEXstdItem 4 4" xfId="28486" xr:uid="{00000000-0005-0000-0000-000099720000}"/>
    <cellStyle name="SAPBEXstdItem 4 4 2" xfId="33044" xr:uid="{88B94184-2749-4E6E-B69A-2E52FCDC5D1C}"/>
    <cellStyle name="SAPBEXstdItem 4 5" xfId="29217" xr:uid="{00000000-0005-0000-0000-00009A720000}"/>
    <cellStyle name="SAPBEXstdItem 4 5 2" xfId="33200" xr:uid="{EC8D61F5-2AFF-4C1E-809B-5CD5F6276A41}"/>
    <cellStyle name="SAPBEXstdItem 4 6" xfId="30039" xr:uid="{00000000-0005-0000-0000-00009B720000}"/>
    <cellStyle name="SAPBEXstdItem 5" xfId="266" xr:uid="{00000000-0005-0000-0000-00009C720000}"/>
    <cellStyle name="SAPBEXstdItem 5 2" xfId="13729" xr:uid="{00000000-0005-0000-0000-00009D720000}"/>
    <cellStyle name="SAPBEXstdItem 5 2 2" xfId="25542" xr:uid="{00000000-0005-0000-0000-00009E720000}"/>
    <cellStyle name="SAPBEXstdItem 5 2 2 2" xfId="27695" xr:uid="{00000000-0005-0000-0000-00009F720000}"/>
    <cellStyle name="SAPBEXstdItem 5 2 2 2 2" xfId="32282" xr:uid="{8AB2937F-3855-466C-8513-5A2CA4D9C60D}"/>
    <cellStyle name="SAPBEXstdItem 5 2 2 3" xfId="28491" xr:uid="{00000000-0005-0000-0000-0000A0720000}"/>
    <cellStyle name="SAPBEXstdItem 5 2 2 3 2" xfId="33049" xr:uid="{97F5E2E8-943D-4712-A72D-9C87792233CB}"/>
    <cellStyle name="SAPBEXstdItem 5 2 2 4" xfId="26979" xr:uid="{00000000-0005-0000-0000-0000A1720000}"/>
    <cellStyle name="SAPBEXstdItem 5 2 2 4 2" xfId="31740" xr:uid="{CE9C04E6-1564-4660-88BB-1A46D22F771A}"/>
    <cellStyle name="SAPBEXstdItem 5 2 2 5" xfId="30044" xr:uid="{00000000-0005-0000-0000-0000A2720000}"/>
    <cellStyle name="SAPBEXstdItem 5 2 3" xfId="26649" xr:uid="{00000000-0005-0000-0000-0000A3720000}"/>
    <cellStyle name="SAPBEXstdItem 5 2 3 2" xfId="31426" xr:uid="{67FEBB94-350B-4639-A157-37401D1093B2}"/>
    <cellStyle name="SAPBEXstdItem 5 2 4" xfId="28490" xr:uid="{00000000-0005-0000-0000-0000A4720000}"/>
    <cellStyle name="SAPBEXstdItem 5 2 4 2" xfId="33048" xr:uid="{B3151FFB-8738-4439-886E-6D5AA2B63BC8}"/>
    <cellStyle name="SAPBEXstdItem 5 2 5" xfId="26736" xr:uid="{00000000-0005-0000-0000-0000A5720000}"/>
    <cellStyle name="SAPBEXstdItem 5 2 5 2" xfId="31497" xr:uid="{31443F00-E23F-4A6D-9818-37B9187F851C}"/>
    <cellStyle name="SAPBEXstdItem 5 2 6" xfId="30043" xr:uid="{00000000-0005-0000-0000-0000A6720000}"/>
    <cellStyle name="SAPBEXstdItem 5 2 7" xfId="30244" xr:uid="{3FA22EDC-745E-47D4-BAC0-F42AB0837140}"/>
    <cellStyle name="SAPBEXstdItem 5 3" xfId="25932" xr:uid="{00000000-0005-0000-0000-0000A7720000}"/>
    <cellStyle name="SAPBEXstdItem 5 3 2" xfId="30821" xr:uid="{704D1973-5298-4610-BCC8-865BE2BA0ABB}"/>
    <cellStyle name="SAPBEXstdItem 5 4" xfId="28489" xr:uid="{00000000-0005-0000-0000-0000A8720000}"/>
    <cellStyle name="SAPBEXstdItem 5 4 2" xfId="33047" xr:uid="{17ABF4AF-C1AE-449F-BC1A-645A4F542230}"/>
    <cellStyle name="SAPBEXstdItem 5 5" xfId="26818" xr:uid="{00000000-0005-0000-0000-0000A9720000}"/>
    <cellStyle name="SAPBEXstdItem 5 5 2" xfId="31579" xr:uid="{5EA776B2-B43E-4AD5-97E6-3F43F4C48838}"/>
    <cellStyle name="SAPBEXstdItem 5 6" xfId="30042" xr:uid="{00000000-0005-0000-0000-0000AA720000}"/>
    <cellStyle name="SAPBEXstdItem 6" xfId="267" xr:uid="{00000000-0005-0000-0000-0000AB720000}"/>
    <cellStyle name="SAPBEXstdItem 6 2" xfId="13730" xr:uid="{00000000-0005-0000-0000-0000AC720000}"/>
    <cellStyle name="SAPBEXstdItem 6 2 2" xfId="25543" xr:uid="{00000000-0005-0000-0000-0000AD720000}"/>
    <cellStyle name="SAPBEXstdItem 6 2 2 2" xfId="27696" xr:uid="{00000000-0005-0000-0000-0000AE720000}"/>
    <cellStyle name="SAPBEXstdItem 6 2 2 2 2" xfId="32283" xr:uid="{2D740B26-59CB-4597-B548-C02B489D9AA7}"/>
    <cellStyle name="SAPBEXstdItem 6 2 2 3" xfId="28494" xr:uid="{00000000-0005-0000-0000-0000AF720000}"/>
    <cellStyle name="SAPBEXstdItem 6 2 2 3 2" xfId="33052" xr:uid="{30F72A85-F673-4D64-B204-B373C5977653}"/>
    <cellStyle name="SAPBEXstdItem 6 2 2 4" xfId="26990" xr:uid="{00000000-0005-0000-0000-0000B0720000}"/>
    <cellStyle name="SAPBEXstdItem 6 2 2 4 2" xfId="31751" xr:uid="{8588298E-827D-4779-94CA-26B2C9A0D8AE}"/>
    <cellStyle name="SAPBEXstdItem 6 2 2 5" xfId="30047" xr:uid="{00000000-0005-0000-0000-0000B1720000}"/>
    <cellStyle name="SAPBEXstdItem 6 2 3" xfId="26650" xr:uid="{00000000-0005-0000-0000-0000B2720000}"/>
    <cellStyle name="SAPBEXstdItem 6 2 3 2" xfId="31427" xr:uid="{0B066A34-38E4-4AA9-BDDC-5B769B9E89BE}"/>
    <cellStyle name="SAPBEXstdItem 6 2 4" xfId="28493" xr:uid="{00000000-0005-0000-0000-0000B3720000}"/>
    <cellStyle name="SAPBEXstdItem 6 2 4 2" xfId="33051" xr:uid="{700E2564-6A4F-4F27-9425-884ED2289BFC}"/>
    <cellStyle name="SAPBEXstdItem 6 2 5" xfId="26714" xr:uid="{00000000-0005-0000-0000-0000B4720000}"/>
    <cellStyle name="SAPBEXstdItem 6 2 5 2" xfId="31476" xr:uid="{44221BFB-7587-4B39-89A3-2D6105BFF88E}"/>
    <cellStyle name="SAPBEXstdItem 6 2 6" xfId="30046" xr:uid="{00000000-0005-0000-0000-0000B5720000}"/>
    <cellStyle name="SAPBEXstdItem 6 2 7" xfId="30245" xr:uid="{FC078262-2F3C-4771-888F-BA5155B57ED8}"/>
    <cellStyle name="SAPBEXstdItem 6 3" xfId="25933" xr:uid="{00000000-0005-0000-0000-0000B6720000}"/>
    <cellStyle name="SAPBEXstdItem 6 3 2" xfId="30822" xr:uid="{D21B78F2-CF4E-4ED4-A0BC-1F74A4210DAA}"/>
    <cellStyle name="SAPBEXstdItem 6 4" xfId="28492" xr:uid="{00000000-0005-0000-0000-0000B7720000}"/>
    <cellStyle name="SAPBEXstdItem 6 4 2" xfId="33050" xr:uid="{1663D4C5-1AFA-46B6-B267-9398D61DA737}"/>
    <cellStyle name="SAPBEXstdItem 6 5" xfId="29222" xr:uid="{00000000-0005-0000-0000-0000B8720000}"/>
    <cellStyle name="SAPBEXstdItem 6 5 2" xfId="33205" xr:uid="{C7AF8F48-C2F8-4193-87FB-C5D69D620641}"/>
    <cellStyle name="SAPBEXstdItem 6 6" xfId="30045" xr:uid="{00000000-0005-0000-0000-0000B9720000}"/>
    <cellStyle name="SAPBEXstdItem 7" xfId="268" xr:uid="{00000000-0005-0000-0000-0000BA720000}"/>
    <cellStyle name="SAPBEXstdItem 7 2" xfId="13731" xr:uid="{00000000-0005-0000-0000-0000BB720000}"/>
    <cellStyle name="SAPBEXstdItem 7 2 2" xfId="25544" xr:uid="{00000000-0005-0000-0000-0000BC720000}"/>
    <cellStyle name="SAPBEXstdItem 7 2 2 2" xfId="27697" xr:uid="{00000000-0005-0000-0000-0000BD720000}"/>
    <cellStyle name="SAPBEXstdItem 7 2 2 2 2" xfId="32284" xr:uid="{E21CDEFD-7E91-42C0-92DD-9EA523EEC3AF}"/>
    <cellStyle name="SAPBEXstdItem 7 2 2 3" xfId="28497" xr:uid="{00000000-0005-0000-0000-0000BE720000}"/>
    <cellStyle name="SAPBEXstdItem 7 2 2 3 2" xfId="33055" xr:uid="{0270057D-A899-47A1-BD5A-9BF688C52639}"/>
    <cellStyle name="SAPBEXstdItem 7 2 2 4" xfId="26468" xr:uid="{00000000-0005-0000-0000-0000BF720000}"/>
    <cellStyle name="SAPBEXstdItem 7 2 2 4 2" xfId="31256" xr:uid="{EAE69160-DA68-4209-A242-83C57F08876E}"/>
    <cellStyle name="SAPBEXstdItem 7 2 2 5" xfId="30050" xr:uid="{00000000-0005-0000-0000-0000C0720000}"/>
    <cellStyle name="SAPBEXstdItem 7 2 3" xfId="26651" xr:uid="{00000000-0005-0000-0000-0000C1720000}"/>
    <cellStyle name="SAPBEXstdItem 7 2 3 2" xfId="31428" xr:uid="{35738A9C-30BB-40FC-9184-44086A11D765}"/>
    <cellStyle name="SAPBEXstdItem 7 2 4" xfId="28496" xr:uid="{00000000-0005-0000-0000-0000C2720000}"/>
    <cellStyle name="SAPBEXstdItem 7 2 4 2" xfId="33054" xr:uid="{26567702-F94E-4923-A2A7-9C79EEF88D27}"/>
    <cellStyle name="SAPBEXstdItem 7 2 5" xfId="27015" xr:uid="{00000000-0005-0000-0000-0000C3720000}"/>
    <cellStyle name="SAPBEXstdItem 7 2 5 2" xfId="31775" xr:uid="{FD77F79D-D49D-488E-BBFD-9EC8514538ED}"/>
    <cellStyle name="SAPBEXstdItem 7 2 6" xfId="30049" xr:uid="{00000000-0005-0000-0000-0000C4720000}"/>
    <cellStyle name="SAPBEXstdItem 7 2 7" xfId="30246" xr:uid="{61361662-69CD-4397-BBF9-B0081A913AD2}"/>
    <cellStyle name="SAPBEXstdItem 7 3" xfId="25934" xr:uid="{00000000-0005-0000-0000-0000C5720000}"/>
    <cellStyle name="SAPBEXstdItem 7 3 2" xfId="30823" xr:uid="{B1B4484C-EC93-4362-9EB8-C48F0316CCB3}"/>
    <cellStyle name="SAPBEXstdItem 7 4" xfId="28495" xr:uid="{00000000-0005-0000-0000-0000C6720000}"/>
    <cellStyle name="SAPBEXstdItem 7 4 2" xfId="33053" xr:uid="{E9338782-8223-4DD7-9738-8EFEA1E61D8E}"/>
    <cellStyle name="SAPBEXstdItem 7 5" xfId="26223" xr:uid="{00000000-0005-0000-0000-0000C7720000}"/>
    <cellStyle name="SAPBEXstdItem 7 5 2" xfId="31011" xr:uid="{0EEA543C-F7F4-4BE2-BF84-38EC12740A9D}"/>
    <cellStyle name="SAPBEXstdItem 7 6" xfId="30048" xr:uid="{00000000-0005-0000-0000-0000C8720000}"/>
    <cellStyle name="SAPBEXstdItem 8" xfId="416" xr:uid="{00000000-0005-0000-0000-0000C9720000}"/>
    <cellStyle name="SAPBEXstdItem 8 2" xfId="13795" xr:uid="{00000000-0005-0000-0000-0000CA720000}"/>
    <cellStyle name="SAPBEXstdItem 8 2 2" xfId="25553" xr:uid="{00000000-0005-0000-0000-0000CB720000}"/>
    <cellStyle name="SAPBEXstdItem 8 2 2 2" xfId="27706" xr:uid="{00000000-0005-0000-0000-0000CC720000}"/>
    <cellStyle name="SAPBEXstdItem 8 2 2 2 2" xfId="32293" xr:uid="{D30D4205-5F54-4900-9916-E4441AA7CA4F}"/>
    <cellStyle name="SAPBEXstdItem 8 2 2 3" xfId="28500" xr:uid="{00000000-0005-0000-0000-0000CD720000}"/>
    <cellStyle name="SAPBEXstdItem 8 2 2 3 2" xfId="33058" xr:uid="{7332AD0A-8557-49CF-9956-71FF6D895310}"/>
    <cellStyle name="SAPBEXstdItem 8 2 2 4" xfId="26129" xr:uid="{00000000-0005-0000-0000-0000CE720000}"/>
    <cellStyle name="SAPBEXstdItem 8 2 2 4 2" xfId="30919" xr:uid="{AAF40E07-866B-45F0-9F7A-6D9459E65E19}"/>
    <cellStyle name="SAPBEXstdItem 8 2 2 5" xfId="30053" xr:uid="{00000000-0005-0000-0000-0000CF720000}"/>
    <cellStyle name="SAPBEXstdItem 8 2 3" xfId="26670" xr:uid="{00000000-0005-0000-0000-0000D0720000}"/>
    <cellStyle name="SAPBEXstdItem 8 2 3 2" xfId="31438" xr:uid="{2A2D3166-BAB0-47E2-924D-3DD0C1176EDD}"/>
    <cellStyle name="SAPBEXstdItem 8 2 4" xfId="28499" xr:uid="{00000000-0005-0000-0000-0000D1720000}"/>
    <cellStyle name="SAPBEXstdItem 8 2 4 2" xfId="33057" xr:uid="{201E6516-7941-450F-86EA-2D4285A8D997}"/>
    <cellStyle name="SAPBEXstdItem 8 2 5" xfId="26407" xr:uid="{00000000-0005-0000-0000-0000D2720000}"/>
    <cellStyle name="SAPBEXstdItem 8 2 5 2" xfId="31195" xr:uid="{A18DEEE5-EA94-406F-A298-C9E928B8D34A}"/>
    <cellStyle name="SAPBEXstdItem 8 2 6" xfId="30052" xr:uid="{00000000-0005-0000-0000-0000D3720000}"/>
    <cellStyle name="SAPBEXstdItem 8 2 7" xfId="30255" xr:uid="{2162DB1E-34DC-40E3-A6D2-2D699CD3299C}"/>
    <cellStyle name="SAPBEXstdItem 8 3" xfId="26011" xr:uid="{00000000-0005-0000-0000-0000D4720000}"/>
    <cellStyle name="SAPBEXstdItem 8 3 2" xfId="30832" xr:uid="{D3E9926A-8CAB-418D-AD87-A5DE07390A19}"/>
    <cellStyle name="SAPBEXstdItem 8 4" xfId="28498" xr:uid="{00000000-0005-0000-0000-0000D5720000}"/>
    <cellStyle name="SAPBEXstdItem 8 4 2" xfId="33056" xr:uid="{73AD4AED-2DBE-47DD-B1A9-43199632E870}"/>
    <cellStyle name="SAPBEXstdItem 8 5" xfId="26783" xr:uid="{00000000-0005-0000-0000-0000D6720000}"/>
    <cellStyle name="SAPBEXstdItem 8 5 2" xfId="31544" xr:uid="{2E5B7600-D7CB-4389-8D84-BEFDC09AC730}"/>
    <cellStyle name="SAPBEXstdItem 8 6" xfId="30051" xr:uid="{00000000-0005-0000-0000-0000D7720000}"/>
    <cellStyle name="SAPBEXstdItem 9" xfId="390" xr:uid="{00000000-0005-0000-0000-0000D8720000}"/>
    <cellStyle name="SAPBEXstdItem 9 2" xfId="13785" xr:uid="{00000000-0005-0000-0000-0000D9720000}"/>
    <cellStyle name="SAPBEXstdItem 9 2 2" xfId="25550" xr:uid="{00000000-0005-0000-0000-0000DA720000}"/>
    <cellStyle name="SAPBEXstdItem 9 2 2 2" xfId="27703" xr:uid="{00000000-0005-0000-0000-0000DB720000}"/>
    <cellStyle name="SAPBEXstdItem 9 2 2 2 2" xfId="32290" xr:uid="{FC5FAF89-B973-4220-A508-2C323A63AA4F}"/>
    <cellStyle name="SAPBEXstdItem 9 2 2 3" xfId="28503" xr:uid="{00000000-0005-0000-0000-0000DC720000}"/>
    <cellStyle name="SAPBEXstdItem 9 2 2 3 2" xfId="33061" xr:uid="{F6B53ED1-B409-42EA-8901-4385869A478B}"/>
    <cellStyle name="SAPBEXstdItem 9 2 2 4" xfId="26874" xr:uid="{00000000-0005-0000-0000-0000DD720000}"/>
    <cellStyle name="SAPBEXstdItem 9 2 2 4 2" xfId="31635" xr:uid="{2E748202-5BF5-42F9-86BE-811F07998D4A}"/>
    <cellStyle name="SAPBEXstdItem 9 2 2 5" xfId="30056" xr:uid="{00000000-0005-0000-0000-0000DE720000}"/>
    <cellStyle name="SAPBEXstdItem 9 2 3" xfId="26666" xr:uid="{00000000-0005-0000-0000-0000DF720000}"/>
    <cellStyle name="SAPBEXstdItem 9 2 3 2" xfId="31435" xr:uid="{E1584895-BC74-471F-9FB2-3F591342C952}"/>
    <cellStyle name="SAPBEXstdItem 9 2 4" xfId="28502" xr:uid="{00000000-0005-0000-0000-0000E0720000}"/>
    <cellStyle name="SAPBEXstdItem 9 2 4 2" xfId="33060" xr:uid="{BD3B9994-431C-4E10-B3A5-69FF96D42208}"/>
    <cellStyle name="SAPBEXstdItem 9 2 5" xfId="26914" xr:uid="{00000000-0005-0000-0000-0000E1720000}"/>
    <cellStyle name="SAPBEXstdItem 9 2 5 2" xfId="31675" xr:uid="{EB98D1A1-DD4F-4318-993B-19B27BEE66EA}"/>
    <cellStyle name="SAPBEXstdItem 9 2 6" xfId="30055" xr:uid="{00000000-0005-0000-0000-0000E2720000}"/>
    <cellStyle name="SAPBEXstdItem 9 2 7" xfId="30252" xr:uid="{34D26DA7-6042-42AB-94B9-D00C562E1852}"/>
    <cellStyle name="SAPBEXstdItem 9 3" xfId="26001" xr:uid="{00000000-0005-0000-0000-0000E3720000}"/>
    <cellStyle name="SAPBEXstdItem 9 3 2" xfId="30829" xr:uid="{68C2CEF7-8D30-4BCF-8B6A-899C64E2EC72}"/>
    <cellStyle name="SAPBEXstdItem 9 4" xfId="28501" xr:uid="{00000000-0005-0000-0000-0000E4720000}"/>
    <cellStyle name="SAPBEXstdItem 9 4 2" xfId="33059" xr:uid="{1F596DCC-4D2F-462A-B512-ABE366DFFB95}"/>
    <cellStyle name="SAPBEXstdItem 9 5" xfId="26185" xr:uid="{00000000-0005-0000-0000-0000E5720000}"/>
    <cellStyle name="SAPBEXstdItem 9 5 2" xfId="30973" xr:uid="{60DEF704-4DC3-4205-8EFB-3BB04E0F2B53}"/>
    <cellStyle name="SAPBEXstdItem 9 6" xfId="30054" xr:uid="{00000000-0005-0000-0000-0000E6720000}"/>
    <cellStyle name="SAPBEXstdItem_Copy of xSAPtemp5457" xfId="269" xr:uid="{00000000-0005-0000-0000-0000E7720000}"/>
    <cellStyle name="SAPBEXstdItemX" xfId="144" xr:uid="{00000000-0005-0000-0000-0000E8720000}"/>
    <cellStyle name="SAPBEXstdItemX 10" xfId="24638" xr:uid="{00000000-0005-0000-0000-0000E9720000}"/>
    <cellStyle name="SAPBEXstdItemX 10 2" xfId="25372" xr:uid="{00000000-0005-0000-0000-0000EA720000}"/>
    <cellStyle name="SAPBEXstdItemX 10 2 2" xfId="27526" xr:uid="{00000000-0005-0000-0000-0000EB720000}"/>
    <cellStyle name="SAPBEXstdItemX 10 2 2 2" xfId="32117" xr:uid="{BE6ED098-B76A-412A-8C84-FD84DA07FE60}"/>
    <cellStyle name="SAPBEXstdItemX 10 2 3" xfId="28506" xr:uid="{00000000-0005-0000-0000-0000EC720000}"/>
    <cellStyle name="SAPBEXstdItemX 10 2 3 2" xfId="33064" xr:uid="{068F6A29-45CC-4065-89DD-CA1F43BFFBAA}"/>
    <cellStyle name="SAPBEXstdItemX 10 2 4" xfId="26343" xr:uid="{00000000-0005-0000-0000-0000ED720000}"/>
    <cellStyle name="SAPBEXstdItemX 10 2 4 2" xfId="31131" xr:uid="{B108C3F8-1537-4F60-AF55-44E5D9CB7148}"/>
    <cellStyle name="SAPBEXstdItemX 10 2 5" xfId="30059" xr:uid="{00000000-0005-0000-0000-0000EE720000}"/>
    <cellStyle name="SAPBEXstdItemX 10 2 6" xfId="30530" xr:uid="{FB2D7D71-37B4-4DA6-94A1-8C320F4A8C6D}"/>
    <cellStyle name="SAPBEXstdItemX 10 3" xfId="25604" xr:uid="{00000000-0005-0000-0000-0000EF720000}"/>
    <cellStyle name="SAPBEXstdItemX 10 3 2" xfId="27757" xr:uid="{00000000-0005-0000-0000-0000F0720000}"/>
    <cellStyle name="SAPBEXstdItemX 10 3 2 2" xfId="32344" xr:uid="{4F0D5557-1B45-4CC0-B0D0-074C02E61F09}"/>
    <cellStyle name="SAPBEXstdItemX 10 3 3" xfId="28507" xr:uid="{00000000-0005-0000-0000-0000F1720000}"/>
    <cellStyle name="SAPBEXstdItemX 10 3 3 2" xfId="33065" xr:uid="{A2E4BB60-ECF9-4485-AC4B-AA8A2D0AF916}"/>
    <cellStyle name="SAPBEXstdItemX 10 3 4" xfId="26157" xr:uid="{00000000-0005-0000-0000-0000F2720000}"/>
    <cellStyle name="SAPBEXstdItemX 10 3 4 2" xfId="30946" xr:uid="{CF3DF234-942D-40B2-8FE7-BC185A8F6599}"/>
    <cellStyle name="SAPBEXstdItemX 10 3 5" xfId="30060" xr:uid="{00000000-0005-0000-0000-0000F3720000}"/>
    <cellStyle name="SAPBEXstdItemX 10 4" xfId="27231" xr:uid="{00000000-0005-0000-0000-0000F4720000}"/>
    <cellStyle name="SAPBEXstdItemX 10 4 2" xfId="31866" xr:uid="{96E71D92-0CD1-4C98-83DB-4DBBFBA8E389}"/>
    <cellStyle name="SAPBEXstdItemX 10 5" xfId="28505" xr:uid="{00000000-0005-0000-0000-0000F5720000}"/>
    <cellStyle name="SAPBEXstdItemX 10 5 2" xfId="33063" xr:uid="{AFC5D090-4EB8-474D-B926-E8FD54C36D94}"/>
    <cellStyle name="SAPBEXstdItemX 10 6" xfId="26817" xr:uid="{00000000-0005-0000-0000-0000F6720000}"/>
    <cellStyle name="SAPBEXstdItemX 10 6 2" xfId="31578" xr:uid="{8C6AD66F-A482-467A-B4C0-960835230A37}"/>
    <cellStyle name="SAPBEXstdItemX 10 7" xfId="30058" xr:uid="{00000000-0005-0000-0000-0000F7720000}"/>
    <cellStyle name="SAPBEXstdItemX 10 8" xfId="30306" xr:uid="{469C9D92-3790-46B7-A006-B35C9A660C4B}"/>
    <cellStyle name="SAPBEXstdItemX 11" xfId="25135" xr:uid="{00000000-0005-0000-0000-0000F8720000}"/>
    <cellStyle name="SAPBEXstdItemX 11 2" xfId="25393" xr:uid="{00000000-0005-0000-0000-0000F9720000}"/>
    <cellStyle name="SAPBEXstdItemX 11 2 2" xfId="27547" xr:uid="{00000000-0005-0000-0000-0000FA720000}"/>
    <cellStyle name="SAPBEXstdItemX 11 2 2 2" xfId="32138" xr:uid="{F80BC26C-8E2E-48CE-A2AD-44DF8F8169AF}"/>
    <cellStyle name="SAPBEXstdItemX 11 2 3" xfId="28509" xr:uid="{00000000-0005-0000-0000-0000FB720000}"/>
    <cellStyle name="SAPBEXstdItemX 11 2 3 2" xfId="33067" xr:uid="{DFBD76AC-FD7F-432D-B891-C71E2177209A}"/>
    <cellStyle name="SAPBEXstdItemX 11 2 4" xfId="26936" xr:uid="{00000000-0005-0000-0000-0000FC720000}"/>
    <cellStyle name="SAPBEXstdItemX 11 2 4 2" xfId="31697" xr:uid="{6DADB447-29E9-4F1D-A32C-EC5FF1F59ED4}"/>
    <cellStyle name="SAPBEXstdItemX 11 2 5" xfId="30062" xr:uid="{00000000-0005-0000-0000-0000FD720000}"/>
    <cellStyle name="SAPBEXstdItemX 11 2 6" xfId="30551" xr:uid="{8E824CFF-6EE6-4B9C-8D55-8F9F4A63DF9A}"/>
    <cellStyle name="SAPBEXstdItemX 11 3" xfId="25733" xr:uid="{00000000-0005-0000-0000-0000FE720000}"/>
    <cellStyle name="SAPBEXstdItemX 11 3 2" xfId="27886" xr:uid="{00000000-0005-0000-0000-0000FF720000}"/>
    <cellStyle name="SAPBEXstdItemX 11 3 2 2" xfId="32473" xr:uid="{982B4582-EE8C-4C66-AEF0-D57E4776F136}"/>
    <cellStyle name="SAPBEXstdItemX 11 3 3" xfId="28510" xr:uid="{00000000-0005-0000-0000-000000730000}"/>
    <cellStyle name="SAPBEXstdItemX 11 3 3 2" xfId="33068" xr:uid="{97D7F3ED-666C-4489-BDDF-EAAE5B679DFC}"/>
    <cellStyle name="SAPBEXstdItemX 11 3 4" xfId="26503" xr:uid="{00000000-0005-0000-0000-000001730000}"/>
    <cellStyle name="SAPBEXstdItemX 11 3 4 2" xfId="31291" xr:uid="{1A0A6709-935F-4649-9B34-D1B0D390BF5D}"/>
    <cellStyle name="SAPBEXstdItemX 11 3 5" xfId="30063" xr:uid="{00000000-0005-0000-0000-000002730000}"/>
    <cellStyle name="SAPBEXstdItemX 11 3 6" xfId="30727" xr:uid="{FC27EFC6-ACD8-4E9C-B916-EAF31F2B71F2}"/>
    <cellStyle name="SAPBEXstdItemX 11 4" xfId="27420" xr:uid="{00000000-0005-0000-0000-000003730000}"/>
    <cellStyle name="SAPBEXstdItemX 11 4 2" xfId="32018" xr:uid="{8F59E05C-E4EC-4591-A253-78017FF4FF77}"/>
    <cellStyle name="SAPBEXstdItemX 11 5" xfId="28508" xr:uid="{00000000-0005-0000-0000-000004730000}"/>
    <cellStyle name="SAPBEXstdItemX 11 5 2" xfId="33066" xr:uid="{D6532987-E911-4FFD-86A4-F6D73E05B852}"/>
    <cellStyle name="SAPBEXstdItemX 11 6" xfId="26901" xr:uid="{00000000-0005-0000-0000-000005730000}"/>
    <cellStyle name="SAPBEXstdItemX 11 6 2" xfId="31662" xr:uid="{242F3B15-E70B-4502-B22D-7B1B97010A27}"/>
    <cellStyle name="SAPBEXstdItemX 11 7" xfId="30061" xr:uid="{00000000-0005-0000-0000-000006730000}"/>
    <cellStyle name="SAPBEXstdItemX 11 8" xfId="30435" xr:uid="{420A8787-3A43-48AB-B173-80A93038E12F}"/>
    <cellStyle name="SAPBEXstdItemX 12" xfId="25875" xr:uid="{00000000-0005-0000-0000-000007730000}"/>
    <cellStyle name="SAPBEXstdItemX 12 2" xfId="30794" xr:uid="{BC8DDD42-1B18-4A77-A0DC-EC76A27862BA}"/>
    <cellStyle name="SAPBEXstdItemX 13" xfId="28504" xr:uid="{00000000-0005-0000-0000-000008730000}"/>
    <cellStyle name="SAPBEXstdItemX 13 2" xfId="33062" xr:uid="{306B671E-2CA5-4283-9CC2-6C5C3A114545}"/>
    <cellStyle name="SAPBEXstdItemX 14" xfId="29231" xr:uid="{00000000-0005-0000-0000-000009730000}"/>
    <cellStyle name="SAPBEXstdItemX 14 2" xfId="33214" xr:uid="{3B6CE51F-2FEF-4519-A55B-E8B4FB785D61}"/>
    <cellStyle name="SAPBEXstdItemX 15" xfId="30057" xr:uid="{00000000-0005-0000-0000-00000A730000}"/>
    <cellStyle name="SAPBEXstdItemX 2" xfId="145" xr:uid="{00000000-0005-0000-0000-00000B730000}"/>
    <cellStyle name="SAPBEXstdItemX 2 2" xfId="13679" xr:uid="{00000000-0005-0000-0000-00000C730000}"/>
    <cellStyle name="SAPBEXstdItemX 2 2 2" xfId="25517" xr:uid="{00000000-0005-0000-0000-00000D730000}"/>
    <cellStyle name="SAPBEXstdItemX 2 2 2 2" xfId="27670" xr:uid="{00000000-0005-0000-0000-00000E730000}"/>
    <cellStyle name="SAPBEXstdItemX 2 2 2 2 2" xfId="32257" xr:uid="{F301BCE4-7412-4D58-91FE-BA8D26C45B89}"/>
    <cellStyle name="SAPBEXstdItemX 2 2 2 3" xfId="28513" xr:uid="{00000000-0005-0000-0000-00000F730000}"/>
    <cellStyle name="SAPBEXstdItemX 2 2 2 3 2" xfId="33071" xr:uid="{E971B834-8FDA-4C39-B881-D7198F76055C}"/>
    <cellStyle name="SAPBEXstdItemX 2 2 2 4" xfId="26533" xr:uid="{00000000-0005-0000-0000-000010730000}"/>
    <cellStyle name="SAPBEXstdItemX 2 2 2 4 2" xfId="31320" xr:uid="{FD055C53-4284-49A6-8999-E48C8CAC182D}"/>
    <cellStyle name="SAPBEXstdItemX 2 2 2 5" xfId="30066" xr:uid="{00000000-0005-0000-0000-000011730000}"/>
    <cellStyle name="SAPBEXstdItemX 2 2 3" xfId="26621" xr:uid="{00000000-0005-0000-0000-000012730000}"/>
    <cellStyle name="SAPBEXstdItemX 2 2 3 2" xfId="31399" xr:uid="{8EF8B65D-8512-4257-87ED-DECF5B810A74}"/>
    <cellStyle name="SAPBEXstdItemX 2 2 4" xfId="28512" xr:uid="{00000000-0005-0000-0000-000013730000}"/>
    <cellStyle name="SAPBEXstdItemX 2 2 4 2" xfId="33070" xr:uid="{B711DA77-B8FE-445B-A5DA-37F3EED58D11}"/>
    <cellStyle name="SAPBEXstdItemX 2 2 5" xfId="26148" xr:uid="{00000000-0005-0000-0000-000014730000}"/>
    <cellStyle name="SAPBEXstdItemX 2 2 5 2" xfId="30937" xr:uid="{BD061F09-CAB7-48D3-8A1D-748D6B8CF1E1}"/>
    <cellStyle name="SAPBEXstdItemX 2 2 6" xfId="30065" xr:uid="{00000000-0005-0000-0000-000015730000}"/>
    <cellStyle name="SAPBEXstdItemX 2 2 7" xfId="30219" xr:uid="{B6403426-D85D-41E5-B79D-E57BB10DAEEE}"/>
    <cellStyle name="SAPBEXstdItemX 2 3" xfId="25876" xr:uid="{00000000-0005-0000-0000-000016730000}"/>
    <cellStyle name="SAPBEXstdItemX 2 3 2" xfId="30795" xr:uid="{5A72E37F-BF9E-4E87-8CBE-2A256ACE2B03}"/>
    <cellStyle name="SAPBEXstdItemX 2 4" xfId="28511" xr:uid="{00000000-0005-0000-0000-000017730000}"/>
    <cellStyle name="SAPBEXstdItemX 2 4 2" xfId="33069" xr:uid="{9D8DF68B-372D-4711-B7A8-9725E7A1D69E}"/>
    <cellStyle name="SAPBEXstdItemX 2 5" xfId="29195" xr:uid="{00000000-0005-0000-0000-000018730000}"/>
    <cellStyle name="SAPBEXstdItemX 2 5 2" xfId="33178" xr:uid="{5D261E12-24F4-4BC2-8E5E-DB3C76DA0D10}"/>
    <cellStyle name="SAPBEXstdItemX 2 6" xfId="30064" xr:uid="{00000000-0005-0000-0000-000019730000}"/>
    <cellStyle name="SAPBEXstdItemX 3" xfId="270" xr:uid="{00000000-0005-0000-0000-00001A730000}"/>
    <cellStyle name="SAPBEXstdItemX 3 2" xfId="13732" xr:uid="{00000000-0005-0000-0000-00001B730000}"/>
    <cellStyle name="SAPBEXstdItemX 3 2 2" xfId="25545" xr:uid="{00000000-0005-0000-0000-00001C730000}"/>
    <cellStyle name="SAPBEXstdItemX 3 2 2 2" xfId="27698" xr:uid="{00000000-0005-0000-0000-00001D730000}"/>
    <cellStyle name="SAPBEXstdItemX 3 2 2 2 2" xfId="32285" xr:uid="{8BBA2E43-F3F8-4A4A-9B7E-D57AB4CD30DC}"/>
    <cellStyle name="SAPBEXstdItemX 3 2 2 3" xfId="28516" xr:uid="{00000000-0005-0000-0000-00001E730000}"/>
    <cellStyle name="SAPBEXstdItemX 3 2 2 3 2" xfId="33074" xr:uid="{DDA3E2BC-79A7-4051-B5F3-EDB911F1D5E9}"/>
    <cellStyle name="SAPBEXstdItemX 3 2 2 4" xfId="26382" xr:uid="{00000000-0005-0000-0000-00001F730000}"/>
    <cellStyle name="SAPBEXstdItemX 3 2 2 4 2" xfId="31170" xr:uid="{4C739ED3-4FBE-4EEC-A057-13BBAA17C82D}"/>
    <cellStyle name="SAPBEXstdItemX 3 2 2 5" xfId="30069" xr:uid="{00000000-0005-0000-0000-000020730000}"/>
    <cellStyle name="SAPBEXstdItemX 3 2 3" xfId="26652" xr:uid="{00000000-0005-0000-0000-000021730000}"/>
    <cellStyle name="SAPBEXstdItemX 3 2 3 2" xfId="31429" xr:uid="{80A8558D-9CD1-4C88-8B24-7B019C48ACE4}"/>
    <cellStyle name="SAPBEXstdItemX 3 2 4" xfId="28515" xr:uid="{00000000-0005-0000-0000-000022730000}"/>
    <cellStyle name="SAPBEXstdItemX 3 2 4 2" xfId="33073" xr:uid="{3DA91B19-0041-4F6D-AD00-9F022D097686}"/>
    <cellStyle name="SAPBEXstdItemX 3 2 5" xfId="26866" xr:uid="{00000000-0005-0000-0000-000023730000}"/>
    <cellStyle name="SAPBEXstdItemX 3 2 5 2" xfId="31627" xr:uid="{F4DF52B3-71E3-4964-B3D5-2C159709FBF7}"/>
    <cellStyle name="SAPBEXstdItemX 3 2 6" xfId="30068" xr:uid="{00000000-0005-0000-0000-000024730000}"/>
    <cellStyle name="SAPBEXstdItemX 3 2 7" xfId="30247" xr:uid="{7D145856-47CB-4BCF-839F-FE68AFABF04C}"/>
    <cellStyle name="SAPBEXstdItemX 3 3" xfId="25935" xr:uid="{00000000-0005-0000-0000-000025730000}"/>
    <cellStyle name="SAPBEXstdItemX 3 3 2" xfId="30824" xr:uid="{1AE69990-0467-4998-85D4-8056033595FC}"/>
    <cellStyle name="SAPBEXstdItemX 3 4" xfId="28514" xr:uid="{00000000-0005-0000-0000-000026730000}"/>
    <cellStyle name="SAPBEXstdItemX 3 4 2" xfId="33072" xr:uid="{017DA5A1-C96A-4258-AC38-9EE460AF55C8}"/>
    <cellStyle name="SAPBEXstdItemX 3 5" xfId="29221" xr:uid="{00000000-0005-0000-0000-000027730000}"/>
    <cellStyle name="SAPBEXstdItemX 3 5 2" xfId="33204" xr:uid="{771D8C86-ACE4-4150-A5EA-729288498D8B}"/>
    <cellStyle name="SAPBEXstdItemX 3 6" xfId="30067" xr:uid="{00000000-0005-0000-0000-000028730000}"/>
    <cellStyle name="SAPBEXstdItemX 4" xfId="271" xr:uid="{00000000-0005-0000-0000-000029730000}"/>
    <cellStyle name="SAPBEXstdItemX 4 2" xfId="13733" xr:uid="{00000000-0005-0000-0000-00002A730000}"/>
    <cellStyle name="SAPBEXstdItemX 4 2 2" xfId="25546" xr:uid="{00000000-0005-0000-0000-00002B730000}"/>
    <cellStyle name="SAPBEXstdItemX 4 2 2 2" xfId="27699" xr:uid="{00000000-0005-0000-0000-00002C730000}"/>
    <cellStyle name="SAPBEXstdItemX 4 2 2 2 2" xfId="32286" xr:uid="{FC528E10-79F8-47C9-A076-9DB4C710C98A}"/>
    <cellStyle name="SAPBEXstdItemX 4 2 2 3" xfId="28519" xr:uid="{00000000-0005-0000-0000-00002D730000}"/>
    <cellStyle name="SAPBEXstdItemX 4 2 2 3 2" xfId="33077" xr:uid="{9BA3EB99-56A3-4744-B4E1-2986FB88B5FE}"/>
    <cellStyle name="SAPBEXstdItemX 4 2 2 4" xfId="26059" xr:uid="{00000000-0005-0000-0000-00002E730000}"/>
    <cellStyle name="SAPBEXstdItemX 4 2 2 4 2" xfId="30849" xr:uid="{E5D060F9-0642-4671-B7CC-BDEC86259764}"/>
    <cellStyle name="SAPBEXstdItemX 4 2 2 5" xfId="30072" xr:uid="{00000000-0005-0000-0000-00002F730000}"/>
    <cellStyle name="SAPBEXstdItemX 4 2 3" xfId="26653" xr:uid="{00000000-0005-0000-0000-000030730000}"/>
    <cellStyle name="SAPBEXstdItemX 4 2 3 2" xfId="31430" xr:uid="{684137D4-AE1E-4736-9F2B-CD0B50A5F85F}"/>
    <cellStyle name="SAPBEXstdItemX 4 2 4" xfId="28518" xr:uid="{00000000-0005-0000-0000-000031730000}"/>
    <cellStyle name="SAPBEXstdItemX 4 2 4 2" xfId="33076" xr:uid="{E00A8E8E-3321-4449-94A1-34D279EE9074}"/>
    <cellStyle name="SAPBEXstdItemX 4 2 5" xfId="26252" xr:uid="{00000000-0005-0000-0000-000032730000}"/>
    <cellStyle name="SAPBEXstdItemX 4 2 5 2" xfId="31040" xr:uid="{7EE8F957-3FA4-4E4E-A440-E03B5883C4BF}"/>
    <cellStyle name="SAPBEXstdItemX 4 2 6" xfId="30071" xr:uid="{00000000-0005-0000-0000-000033730000}"/>
    <cellStyle name="SAPBEXstdItemX 4 2 7" xfId="30248" xr:uid="{AE0A61D7-07C0-4FDC-9CB4-1DC661638F62}"/>
    <cellStyle name="SAPBEXstdItemX 4 3" xfId="25936" xr:uid="{00000000-0005-0000-0000-000034730000}"/>
    <cellStyle name="SAPBEXstdItemX 4 3 2" xfId="30825" xr:uid="{D47DDF7E-67D7-4FB5-ACA9-5FB0377066D1}"/>
    <cellStyle name="SAPBEXstdItemX 4 4" xfId="28517" xr:uid="{00000000-0005-0000-0000-000035730000}"/>
    <cellStyle name="SAPBEXstdItemX 4 4 2" xfId="33075" xr:uid="{36FE4F9E-BECB-40EC-A9FD-C82DAD89DC74}"/>
    <cellStyle name="SAPBEXstdItemX 4 5" xfId="26433" xr:uid="{00000000-0005-0000-0000-000036730000}"/>
    <cellStyle name="SAPBEXstdItemX 4 5 2" xfId="31221" xr:uid="{6DDD48BE-46E8-4F80-8A5E-3ADF3EC97C15}"/>
    <cellStyle name="SAPBEXstdItemX 4 6" xfId="30070" xr:uid="{00000000-0005-0000-0000-000037730000}"/>
    <cellStyle name="SAPBEXstdItemX 5" xfId="272" xr:uid="{00000000-0005-0000-0000-000038730000}"/>
    <cellStyle name="SAPBEXstdItemX 5 2" xfId="13734" xr:uid="{00000000-0005-0000-0000-000039730000}"/>
    <cellStyle name="SAPBEXstdItemX 5 2 2" xfId="25547" xr:uid="{00000000-0005-0000-0000-00003A730000}"/>
    <cellStyle name="SAPBEXstdItemX 5 2 2 2" xfId="27700" xr:uid="{00000000-0005-0000-0000-00003B730000}"/>
    <cellStyle name="SAPBEXstdItemX 5 2 2 2 2" xfId="32287" xr:uid="{6EE99632-DF73-4094-BF31-9EEAE0FFEA12}"/>
    <cellStyle name="SAPBEXstdItemX 5 2 2 3" xfId="28522" xr:uid="{00000000-0005-0000-0000-00003C730000}"/>
    <cellStyle name="SAPBEXstdItemX 5 2 2 3 2" xfId="33080" xr:uid="{2B12378D-44AB-4067-B268-6BEB88A042D8}"/>
    <cellStyle name="SAPBEXstdItemX 5 2 2 4" xfId="26853" xr:uid="{00000000-0005-0000-0000-00003D730000}"/>
    <cellStyle name="SAPBEXstdItemX 5 2 2 4 2" xfId="31614" xr:uid="{E2C86D21-7F8A-4908-97A2-B5AF7A4DF18F}"/>
    <cellStyle name="SAPBEXstdItemX 5 2 2 5" xfId="30075" xr:uid="{00000000-0005-0000-0000-00003E730000}"/>
    <cellStyle name="SAPBEXstdItemX 5 2 3" xfId="26654" xr:uid="{00000000-0005-0000-0000-00003F730000}"/>
    <cellStyle name="SAPBEXstdItemX 5 2 3 2" xfId="31431" xr:uid="{B0FFD81B-6646-421B-B5EB-38EC0949E029}"/>
    <cellStyle name="SAPBEXstdItemX 5 2 4" xfId="28521" xr:uid="{00000000-0005-0000-0000-000040730000}"/>
    <cellStyle name="SAPBEXstdItemX 5 2 4 2" xfId="33079" xr:uid="{7F8870CD-6134-475E-A357-27B91ED208A5}"/>
    <cellStyle name="SAPBEXstdItemX 5 2 5" xfId="26907" xr:uid="{00000000-0005-0000-0000-000041730000}"/>
    <cellStyle name="SAPBEXstdItemX 5 2 5 2" xfId="31668" xr:uid="{0B28BC9F-A0EA-4FF5-A0FE-9B874C5E04F3}"/>
    <cellStyle name="SAPBEXstdItemX 5 2 6" xfId="30074" xr:uid="{00000000-0005-0000-0000-000042730000}"/>
    <cellStyle name="SAPBEXstdItemX 5 2 7" xfId="30249" xr:uid="{AC91DFF6-B9BB-479E-B800-1F1155984BF5}"/>
    <cellStyle name="SAPBEXstdItemX 5 3" xfId="25937" xr:uid="{00000000-0005-0000-0000-000043730000}"/>
    <cellStyle name="SAPBEXstdItemX 5 3 2" xfId="30826" xr:uid="{723BAB75-E70A-4700-B7BC-6E9D96072EEB}"/>
    <cellStyle name="SAPBEXstdItemX 5 4" xfId="28520" xr:uid="{00000000-0005-0000-0000-000044730000}"/>
    <cellStyle name="SAPBEXstdItemX 5 4 2" xfId="33078" xr:uid="{E807CC80-1593-4149-8695-00E1AFB2A1B4}"/>
    <cellStyle name="SAPBEXstdItemX 5 5" xfId="27930" xr:uid="{00000000-0005-0000-0000-000045730000}"/>
    <cellStyle name="SAPBEXstdItemX 5 5 2" xfId="32488" xr:uid="{096DDE8C-4754-4693-ABC9-F82FDE129BC1}"/>
    <cellStyle name="SAPBEXstdItemX 5 6" xfId="30073" xr:uid="{00000000-0005-0000-0000-000046730000}"/>
    <cellStyle name="SAPBEXstdItemX 6" xfId="273" xr:uid="{00000000-0005-0000-0000-000047730000}"/>
    <cellStyle name="SAPBEXstdItemX 6 2" xfId="13735" xr:uid="{00000000-0005-0000-0000-000048730000}"/>
    <cellStyle name="SAPBEXstdItemX 6 2 2" xfId="25548" xr:uid="{00000000-0005-0000-0000-000049730000}"/>
    <cellStyle name="SAPBEXstdItemX 6 2 2 2" xfId="27701" xr:uid="{00000000-0005-0000-0000-00004A730000}"/>
    <cellStyle name="SAPBEXstdItemX 6 2 2 2 2" xfId="32288" xr:uid="{11C3BCD7-324A-4C55-BE8E-21A4FA27A42F}"/>
    <cellStyle name="SAPBEXstdItemX 6 2 2 3" xfId="28525" xr:uid="{00000000-0005-0000-0000-00004B730000}"/>
    <cellStyle name="SAPBEXstdItemX 6 2 2 3 2" xfId="33083" xr:uid="{2800FA63-C15A-472C-B9CA-E1561B365FBB}"/>
    <cellStyle name="SAPBEXstdItemX 6 2 2 4" xfId="26784" xr:uid="{00000000-0005-0000-0000-00004C730000}"/>
    <cellStyle name="SAPBEXstdItemX 6 2 2 4 2" xfId="31545" xr:uid="{BD4EE693-716F-4ACD-93EE-9E9DBC3093ED}"/>
    <cellStyle name="SAPBEXstdItemX 6 2 2 5" xfId="30078" xr:uid="{00000000-0005-0000-0000-00004D730000}"/>
    <cellStyle name="SAPBEXstdItemX 6 2 3" xfId="26655" xr:uid="{00000000-0005-0000-0000-00004E730000}"/>
    <cellStyle name="SAPBEXstdItemX 6 2 3 2" xfId="31432" xr:uid="{F8A5FCA0-3BA1-43CD-AEF6-22B46B668D2E}"/>
    <cellStyle name="SAPBEXstdItemX 6 2 4" xfId="28524" xr:uid="{00000000-0005-0000-0000-00004F730000}"/>
    <cellStyle name="SAPBEXstdItemX 6 2 4 2" xfId="33082" xr:uid="{87E6B9E0-47F8-4F13-BC53-6A564ABD6FC8}"/>
    <cellStyle name="SAPBEXstdItemX 6 2 5" xfId="26344" xr:uid="{00000000-0005-0000-0000-000050730000}"/>
    <cellStyle name="SAPBEXstdItemX 6 2 5 2" xfId="31132" xr:uid="{EC09C0D6-16B6-439C-84E8-BA3D06180146}"/>
    <cellStyle name="SAPBEXstdItemX 6 2 6" xfId="30077" xr:uid="{00000000-0005-0000-0000-000051730000}"/>
    <cellStyle name="SAPBEXstdItemX 6 2 7" xfId="30250" xr:uid="{C680E9A1-59B9-4A19-8572-FA25172AF7AE}"/>
    <cellStyle name="SAPBEXstdItemX 6 3" xfId="25938" xr:uid="{00000000-0005-0000-0000-000052730000}"/>
    <cellStyle name="SAPBEXstdItemX 6 3 2" xfId="30827" xr:uid="{189D7F85-42C2-4F5C-8212-C933626A3831}"/>
    <cellStyle name="SAPBEXstdItemX 6 4" xfId="28523" xr:uid="{00000000-0005-0000-0000-000053730000}"/>
    <cellStyle name="SAPBEXstdItemX 6 4 2" xfId="33081" xr:uid="{E5419951-A691-4CFF-927B-563A17FA0816}"/>
    <cellStyle name="SAPBEXstdItemX 6 5" xfId="29220" xr:uid="{00000000-0005-0000-0000-000054730000}"/>
    <cellStyle name="SAPBEXstdItemX 6 5 2" xfId="33203" xr:uid="{F46F8C07-D52E-4095-A9C2-D716C9112FED}"/>
    <cellStyle name="SAPBEXstdItemX 6 6" xfId="30076" xr:uid="{00000000-0005-0000-0000-000055730000}"/>
    <cellStyle name="SAPBEXstdItemX 7" xfId="274" xr:uid="{00000000-0005-0000-0000-000056730000}"/>
    <cellStyle name="SAPBEXstdItemX 7 2" xfId="13736" xr:uid="{00000000-0005-0000-0000-000057730000}"/>
    <cellStyle name="SAPBEXstdItemX 7 2 2" xfId="25549" xr:uid="{00000000-0005-0000-0000-000058730000}"/>
    <cellStyle name="SAPBEXstdItemX 7 2 2 2" xfId="27702" xr:uid="{00000000-0005-0000-0000-000059730000}"/>
    <cellStyle name="SAPBEXstdItemX 7 2 2 2 2" xfId="32289" xr:uid="{B93ACB71-6D13-41FC-8697-CB5E7AD8341F}"/>
    <cellStyle name="SAPBEXstdItemX 7 2 2 3" xfId="28528" xr:uid="{00000000-0005-0000-0000-00005A730000}"/>
    <cellStyle name="SAPBEXstdItemX 7 2 2 3 2" xfId="33086" xr:uid="{D19F5BCA-A1AB-4875-BF6C-061B1003A3BD}"/>
    <cellStyle name="SAPBEXstdItemX 7 2 2 4" xfId="26260" xr:uid="{00000000-0005-0000-0000-00005B730000}"/>
    <cellStyle name="SAPBEXstdItemX 7 2 2 4 2" xfId="31048" xr:uid="{0B5CEE1A-6271-48FF-B334-390DE5EDC680}"/>
    <cellStyle name="SAPBEXstdItemX 7 2 2 5" xfId="30081" xr:uid="{00000000-0005-0000-0000-00005C730000}"/>
    <cellStyle name="SAPBEXstdItemX 7 2 3" xfId="26656" xr:uid="{00000000-0005-0000-0000-00005D730000}"/>
    <cellStyle name="SAPBEXstdItemX 7 2 3 2" xfId="31433" xr:uid="{0EA861F8-4675-4D92-AC03-4CBCBF3FE8D5}"/>
    <cellStyle name="SAPBEXstdItemX 7 2 4" xfId="28527" xr:uid="{00000000-0005-0000-0000-00005E730000}"/>
    <cellStyle name="SAPBEXstdItemX 7 2 4 2" xfId="33085" xr:uid="{FDA09D18-3BB8-4AB5-9976-4F51924ECF52}"/>
    <cellStyle name="SAPBEXstdItemX 7 2 5" xfId="26983" xr:uid="{00000000-0005-0000-0000-00005F730000}"/>
    <cellStyle name="SAPBEXstdItemX 7 2 5 2" xfId="31744" xr:uid="{336AEBD4-2B34-4CDA-8B36-8255DE691433}"/>
    <cellStyle name="SAPBEXstdItemX 7 2 6" xfId="30080" xr:uid="{00000000-0005-0000-0000-000060730000}"/>
    <cellStyle name="SAPBEXstdItemX 7 2 7" xfId="30251" xr:uid="{EBD6C858-9C96-47AB-B594-C49322D1F6AD}"/>
    <cellStyle name="SAPBEXstdItemX 7 3" xfId="25939" xr:uid="{00000000-0005-0000-0000-000061730000}"/>
    <cellStyle name="SAPBEXstdItemX 7 3 2" xfId="30828" xr:uid="{F33AFE55-1C43-4A7D-B5C9-B35B2B29CBB2}"/>
    <cellStyle name="SAPBEXstdItemX 7 4" xfId="28526" xr:uid="{00000000-0005-0000-0000-000062730000}"/>
    <cellStyle name="SAPBEXstdItemX 7 4 2" xfId="33084" xr:uid="{A96A4E1F-D61A-4512-8C00-69908C61CA73}"/>
    <cellStyle name="SAPBEXstdItemX 7 5" xfId="27019" xr:uid="{00000000-0005-0000-0000-000063730000}"/>
    <cellStyle name="SAPBEXstdItemX 7 5 2" xfId="31779" xr:uid="{51429CE8-F284-4A88-BCED-163B7FE73601}"/>
    <cellStyle name="SAPBEXstdItemX 7 6" xfId="30079" xr:uid="{00000000-0005-0000-0000-000064730000}"/>
    <cellStyle name="SAPBEXstdItemX 8" xfId="417" xr:uid="{00000000-0005-0000-0000-000065730000}"/>
    <cellStyle name="SAPBEXstdItemX 8 2" xfId="13796" xr:uid="{00000000-0005-0000-0000-000066730000}"/>
    <cellStyle name="SAPBEXstdItemX 8 2 2" xfId="25554" xr:uid="{00000000-0005-0000-0000-000067730000}"/>
    <cellStyle name="SAPBEXstdItemX 8 2 2 2" xfId="27707" xr:uid="{00000000-0005-0000-0000-000068730000}"/>
    <cellStyle name="SAPBEXstdItemX 8 2 2 2 2" xfId="32294" xr:uid="{58BAB257-47CA-41F4-A638-5AB553E69E49}"/>
    <cellStyle name="SAPBEXstdItemX 8 2 2 3" xfId="28531" xr:uid="{00000000-0005-0000-0000-000069730000}"/>
    <cellStyle name="SAPBEXstdItemX 8 2 2 3 2" xfId="33089" xr:uid="{9D9EBBFB-8916-40BE-8303-700E2577E6D7}"/>
    <cellStyle name="SAPBEXstdItemX 8 2 2 4" xfId="26424" xr:uid="{00000000-0005-0000-0000-00006A730000}"/>
    <cellStyle name="SAPBEXstdItemX 8 2 2 4 2" xfId="31212" xr:uid="{96890A57-9D45-4664-B0B7-BBB12C9EF8C1}"/>
    <cellStyle name="SAPBEXstdItemX 8 2 2 5" xfId="30084" xr:uid="{00000000-0005-0000-0000-00006B730000}"/>
    <cellStyle name="SAPBEXstdItemX 8 2 3" xfId="26671" xr:uid="{00000000-0005-0000-0000-00006C730000}"/>
    <cellStyle name="SAPBEXstdItemX 8 2 3 2" xfId="31439" xr:uid="{5CE92563-2449-4044-B909-85EE0048475C}"/>
    <cellStyle name="SAPBEXstdItemX 8 2 4" xfId="28530" xr:uid="{00000000-0005-0000-0000-00006D730000}"/>
    <cellStyle name="SAPBEXstdItemX 8 2 4 2" xfId="33088" xr:uid="{573E094E-4A84-4491-8613-66296BE5D821}"/>
    <cellStyle name="SAPBEXstdItemX 8 2 5" xfId="26921" xr:uid="{00000000-0005-0000-0000-00006E730000}"/>
    <cellStyle name="SAPBEXstdItemX 8 2 5 2" xfId="31682" xr:uid="{E505CF38-C793-44BA-9D78-59C540D7A720}"/>
    <cellStyle name="SAPBEXstdItemX 8 2 6" xfId="30083" xr:uid="{00000000-0005-0000-0000-00006F730000}"/>
    <cellStyle name="SAPBEXstdItemX 8 2 7" xfId="30256" xr:uid="{4A17123D-C2DB-4A5B-966D-50B84868ECCB}"/>
    <cellStyle name="SAPBEXstdItemX 8 3" xfId="26012" xr:uid="{00000000-0005-0000-0000-000070730000}"/>
    <cellStyle name="SAPBEXstdItemX 8 3 2" xfId="30833" xr:uid="{C9923C25-7610-4B2A-B5A7-FF1BE0CF6C11}"/>
    <cellStyle name="SAPBEXstdItemX 8 4" xfId="28529" xr:uid="{00000000-0005-0000-0000-000071730000}"/>
    <cellStyle name="SAPBEXstdItemX 8 4 2" xfId="33087" xr:uid="{A8765E78-CF8D-46E6-B842-21ADDD4B03E2}"/>
    <cellStyle name="SAPBEXstdItemX 8 5" xfId="29219" xr:uid="{00000000-0005-0000-0000-000072730000}"/>
    <cellStyle name="SAPBEXstdItemX 8 5 2" xfId="33202" xr:uid="{6EA610E5-23A9-4C02-9F2B-B4AD52413FEF}"/>
    <cellStyle name="SAPBEXstdItemX 8 6" xfId="30082" xr:uid="{00000000-0005-0000-0000-000073730000}"/>
    <cellStyle name="SAPBEXstdItemX 9" xfId="13678" xr:uid="{00000000-0005-0000-0000-000074730000}"/>
    <cellStyle name="SAPBEXstdItemX 9 2" xfId="25516" xr:uid="{00000000-0005-0000-0000-000075730000}"/>
    <cellStyle name="SAPBEXstdItemX 9 2 2" xfId="27669" xr:uid="{00000000-0005-0000-0000-000076730000}"/>
    <cellStyle name="SAPBEXstdItemX 9 2 2 2" xfId="32256" xr:uid="{DE638686-9821-45B1-AAAD-DBEE24AAEEA8}"/>
    <cellStyle name="SAPBEXstdItemX 9 2 3" xfId="28533" xr:uid="{00000000-0005-0000-0000-000077730000}"/>
    <cellStyle name="SAPBEXstdItemX 9 2 3 2" xfId="33091" xr:uid="{5839C20F-2F53-402C-9F6A-B1D65109CA61}"/>
    <cellStyle name="SAPBEXstdItemX 9 2 4" xfId="26099" xr:uid="{00000000-0005-0000-0000-000078730000}"/>
    <cellStyle name="SAPBEXstdItemX 9 2 4 2" xfId="30889" xr:uid="{4BC93D4B-9E82-4748-BE6B-B9619D28ACC5}"/>
    <cellStyle name="SAPBEXstdItemX 9 2 5" xfId="30086" xr:uid="{00000000-0005-0000-0000-000079730000}"/>
    <cellStyle name="SAPBEXstdItemX 9 3" xfId="26620" xr:uid="{00000000-0005-0000-0000-00007A730000}"/>
    <cellStyle name="SAPBEXstdItemX 9 3 2" xfId="31398" xr:uid="{D9A55871-18BE-4C06-A4E6-F4720AFA8253}"/>
    <cellStyle name="SAPBEXstdItemX 9 4" xfId="28532" xr:uid="{00000000-0005-0000-0000-00007B730000}"/>
    <cellStyle name="SAPBEXstdItemX 9 4 2" xfId="33090" xr:uid="{B25FF3D0-5845-4317-8882-6C775D83DD17}"/>
    <cellStyle name="SAPBEXstdItemX 9 5" xfId="26945" xr:uid="{00000000-0005-0000-0000-00007C730000}"/>
    <cellStyle name="SAPBEXstdItemX 9 5 2" xfId="31706" xr:uid="{9A171132-910B-4C9E-86AF-44B5E9D3C55D}"/>
    <cellStyle name="SAPBEXstdItemX 9 6" xfId="30085" xr:uid="{00000000-0005-0000-0000-00007D730000}"/>
    <cellStyle name="SAPBEXstdItemX 9 7" xfId="30218" xr:uid="{EECE3B27-50DE-4A5E-A24D-C56EFB1E434D}"/>
    <cellStyle name="SAPBEXstdItemX_Copy of xSAPtemp5457" xfId="275" xr:uid="{00000000-0005-0000-0000-00007E730000}"/>
    <cellStyle name="SAPBEXtitle" xfId="7" xr:uid="{00000000-0005-0000-0000-00007F730000}"/>
    <cellStyle name="SAPBEXtitle 2" xfId="146" xr:uid="{00000000-0005-0000-0000-000080730000}"/>
    <cellStyle name="SAPBEXtitle 3" xfId="147" xr:uid="{00000000-0005-0000-0000-000081730000}"/>
    <cellStyle name="SAPBEXtitle 4" xfId="148" xr:uid="{00000000-0005-0000-0000-000082730000}"/>
    <cellStyle name="SAPBEXtitle 5" xfId="276" xr:uid="{00000000-0005-0000-0000-000083730000}"/>
    <cellStyle name="SAPBEXtitle 6" xfId="277" xr:uid="{00000000-0005-0000-0000-000084730000}"/>
    <cellStyle name="SAPBEXtitle 7" xfId="278" xr:uid="{00000000-0005-0000-0000-000085730000}"/>
    <cellStyle name="SAPBEXtitle 8" xfId="279" xr:uid="{00000000-0005-0000-0000-000086730000}"/>
    <cellStyle name="SAPBEXtitle_Copy of xSAPtemp5457" xfId="280" xr:uid="{00000000-0005-0000-0000-000087730000}"/>
    <cellStyle name="SAPBEXundefined" xfId="149" xr:uid="{00000000-0005-0000-0000-000088730000}"/>
    <cellStyle name="SAPBEXundefined 2" xfId="13680" xr:uid="{00000000-0005-0000-0000-000089730000}"/>
    <cellStyle name="SAPBEXundefined 2 2" xfId="25518" xr:uid="{00000000-0005-0000-0000-00008A730000}"/>
    <cellStyle name="SAPBEXundefined 2 2 2" xfId="27671" xr:uid="{00000000-0005-0000-0000-00008B730000}"/>
    <cellStyle name="SAPBEXundefined 2 2 2 2" xfId="32258" xr:uid="{BDC55BF4-7204-43E1-9F0E-59DF6E1491DE}"/>
    <cellStyle name="SAPBEXundefined 2 2 3" xfId="28536" xr:uid="{00000000-0005-0000-0000-00008C730000}"/>
    <cellStyle name="SAPBEXundefined 2 2 3 2" xfId="33094" xr:uid="{F5B48F76-AB89-485B-89EB-B74E01320F1A}"/>
    <cellStyle name="SAPBEXundefined 2 2 4" xfId="26161" xr:uid="{00000000-0005-0000-0000-00008D730000}"/>
    <cellStyle name="SAPBEXundefined 2 2 4 2" xfId="30950" xr:uid="{62D84EDE-257F-4089-B99B-929D0EFBFF1C}"/>
    <cellStyle name="SAPBEXundefined 2 2 5" xfId="30089" xr:uid="{00000000-0005-0000-0000-00008E730000}"/>
    <cellStyle name="SAPBEXundefined 2 3" xfId="26622" xr:uid="{00000000-0005-0000-0000-00008F730000}"/>
    <cellStyle name="SAPBEXundefined 2 3 2" xfId="31400" xr:uid="{612E5BF1-7D78-407C-874D-41D1AE7F3678}"/>
    <cellStyle name="SAPBEXundefined 2 4" xfId="28535" xr:uid="{00000000-0005-0000-0000-000090730000}"/>
    <cellStyle name="SAPBEXundefined 2 4 2" xfId="33093" xr:uid="{F7132882-E4AA-458E-90B7-09833B19C24D}"/>
    <cellStyle name="SAPBEXundefined 2 5" xfId="26700" xr:uid="{00000000-0005-0000-0000-000091730000}"/>
    <cellStyle name="SAPBEXundefined 2 5 2" xfId="31462" xr:uid="{C7FC8AFA-0FD0-4F25-B21E-5642022C53F4}"/>
    <cellStyle name="SAPBEXundefined 2 6" xfId="30088" xr:uid="{00000000-0005-0000-0000-000092730000}"/>
    <cellStyle name="SAPBEXundefined 2 7" xfId="30220" xr:uid="{E9DC0663-EFBF-4B06-B157-9A2226886898}"/>
    <cellStyle name="SAPBEXundefined 3" xfId="24637" xr:uid="{00000000-0005-0000-0000-000093730000}"/>
    <cellStyle name="SAPBEXundefined 3 2" xfId="25290" xr:uid="{00000000-0005-0000-0000-000094730000}"/>
    <cellStyle name="SAPBEXundefined 3 2 2" xfId="27445" xr:uid="{00000000-0005-0000-0000-000095730000}"/>
    <cellStyle name="SAPBEXundefined 3 2 2 2" xfId="32040" xr:uid="{9DA453D4-9299-42E6-BC85-AAC24FDCFE2B}"/>
    <cellStyle name="SAPBEXundefined 3 2 3" xfId="28538" xr:uid="{00000000-0005-0000-0000-000096730000}"/>
    <cellStyle name="SAPBEXundefined 3 2 3 2" xfId="33096" xr:uid="{D9831055-EEA6-47E3-9CAE-0E6F8AEBFB13}"/>
    <cellStyle name="SAPBEXundefined 3 2 4" xfId="26819" xr:uid="{00000000-0005-0000-0000-000097730000}"/>
    <cellStyle name="SAPBEXundefined 3 2 4 2" xfId="31580" xr:uid="{5A5C041F-C078-4E48-AE0C-5DB434731E3A}"/>
    <cellStyle name="SAPBEXundefined 3 2 5" xfId="30091" xr:uid="{00000000-0005-0000-0000-000098730000}"/>
    <cellStyle name="SAPBEXundefined 3 2 6" xfId="30453" xr:uid="{FBD6A3B2-109A-4BBB-9236-1C6E178B9490}"/>
    <cellStyle name="SAPBEXundefined 3 3" xfId="25603" xr:uid="{00000000-0005-0000-0000-000099730000}"/>
    <cellStyle name="SAPBEXundefined 3 3 2" xfId="27756" xr:uid="{00000000-0005-0000-0000-00009A730000}"/>
    <cellStyle name="SAPBEXundefined 3 3 2 2" xfId="32343" xr:uid="{5D26A014-C50C-46AA-8A55-A1178A46A351}"/>
    <cellStyle name="SAPBEXundefined 3 3 3" xfId="28539" xr:uid="{00000000-0005-0000-0000-00009B730000}"/>
    <cellStyle name="SAPBEXundefined 3 3 3 2" xfId="33097" xr:uid="{8B10621F-339C-4A35-B3C1-C77C3A01A568}"/>
    <cellStyle name="SAPBEXundefined 3 3 4" xfId="26846" xr:uid="{00000000-0005-0000-0000-00009C730000}"/>
    <cellStyle name="SAPBEXundefined 3 3 4 2" xfId="31607" xr:uid="{20C1F85A-2827-44EE-AA74-4E54BD2D2DD2}"/>
    <cellStyle name="SAPBEXundefined 3 3 5" xfId="30092" xr:uid="{00000000-0005-0000-0000-00009D730000}"/>
    <cellStyle name="SAPBEXundefined 3 4" xfId="27230" xr:uid="{00000000-0005-0000-0000-00009E730000}"/>
    <cellStyle name="SAPBEXundefined 3 4 2" xfId="31865" xr:uid="{02982E18-B9C6-4B8A-B386-E8AF63731C13}"/>
    <cellStyle name="SAPBEXundefined 3 5" xfId="28537" xr:uid="{00000000-0005-0000-0000-00009F730000}"/>
    <cellStyle name="SAPBEXundefined 3 5 2" xfId="33095" xr:uid="{11D7B02E-52D6-43AE-B503-40FEE1D2555C}"/>
    <cellStyle name="SAPBEXundefined 3 6" xfId="27303" xr:uid="{00000000-0005-0000-0000-0000A0730000}"/>
    <cellStyle name="SAPBEXundefined 3 6 2" xfId="31932" xr:uid="{730DF74C-CC6B-4032-B2AE-1BE26E1B71F9}"/>
    <cellStyle name="SAPBEXundefined 3 7" xfId="30090" xr:uid="{00000000-0005-0000-0000-0000A1730000}"/>
    <cellStyle name="SAPBEXundefined 3 8" xfId="30305" xr:uid="{67B6F329-1088-4E68-A745-3D6961C43E10}"/>
    <cellStyle name="SAPBEXundefined 4" xfId="25136" xr:uid="{00000000-0005-0000-0000-0000A2730000}"/>
    <cellStyle name="SAPBEXundefined 4 2" xfId="25302" xr:uid="{00000000-0005-0000-0000-0000A3730000}"/>
    <cellStyle name="SAPBEXundefined 4 2 2" xfId="27456" xr:uid="{00000000-0005-0000-0000-0000A4730000}"/>
    <cellStyle name="SAPBEXundefined 4 2 2 2" xfId="32048" xr:uid="{2CF128D3-D9FC-4152-8E09-C81AA6AB47FA}"/>
    <cellStyle name="SAPBEXundefined 4 2 3" xfId="28541" xr:uid="{00000000-0005-0000-0000-0000A5730000}"/>
    <cellStyle name="SAPBEXundefined 4 2 3 2" xfId="33099" xr:uid="{D7D22DC2-C6A8-4B8D-A6C1-4FF4853F7251}"/>
    <cellStyle name="SAPBEXundefined 4 2 4" xfId="26109" xr:uid="{00000000-0005-0000-0000-0000A6730000}"/>
    <cellStyle name="SAPBEXundefined 4 2 4 2" xfId="30899" xr:uid="{19660AF1-8C1F-428D-82A4-D787F56D5985}"/>
    <cellStyle name="SAPBEXundefined 4 2 5" xfId="30094" xr:uid="{00000000-0005-0000-0000-0000A7730000}"/>
    <cellStyle name="SAPBEXundefined 4 2 6" xfId="30461" xr:uid="{0A01F62F-D495-4385-A9E6-EA570CF7E530}"/>
    <cellStyle name="SAPBEXundefined 4 3" xfId="25734" xr:uid="{00000000-0005-0000-0000-0000A8730000}"/>
    <cellStyle name="SAPBEXundefined 4 3 2" xfId="27887" xr:uid="{00000000-0005-0000-0000-0000A9730000}"/>
    <cellStyle name="SAPBEXundefined 4 3 2 2" xfId="32474" xr:uid="{360CCC03-6C0E-40FD-8357-7FC8C54C5A84}"/>
    <cellStyle name="SAPBEXundefined 4 3 3" xfId="28542" xr:uid="{00000000-0005-0000-0000-0000AA730000}"/>
    <cellStyle name="SAPBEXundefined 4 3 3 2" xfId="33100" xr:uid="{BF85F5D2-B6F8-4435-8E52-78FAE85D38B9}"/>
    <cellStyle name="SAPBEXundefined 4 3 4" xfId="26414" xr:uid="{00000000-0005-0000-0000-0000AB730000}"/>
    <cellStyle name="SAPBEXundefined 4 3 4 2" xfId="31202" xr:uid="{C4CB4795-BBD1-4A9B-840E-4F5C66F9ADC7}"/>
    <cellStyle name="SAPBEXundefined 4 3 5" xfId="30095" xr:uid="{00000000-0005-0000-0000-0000AC730000}"/>
    <cellStyle name="SAPBEXundefined 4 3 6" xfId="30728" xr:uid="{93F2A48A-243B-40C0-ABA9-07BCFDD330CF}"/>
    <cellStyle name="SAPBEXundefined 4 4" xfId="27421" xr:uid="{00000000-0005-0000-0000-0000AD730000}"/>
    <cellStyle name="SAPBEXundefined 4 4 2" xfId="32019" xr:uid="{6E514A2B-6693-49FA-8C82-6B556A3FA68A}"/>
    <cellStyle name="SAPBEXundefined 4 5" xfId="28540" xr:uid="{00000000-0005-0000-0000-0000AE730000}"/>
    <cellStyle name="SAPBEXundefined 4 5 2" xfId="33098" xr:uid="{9B91B373-E114-42BC-AE76-D06FA85C97F9}"/>
    <cellStyle name="SAPBEXundefined 4 6" xfId="26396" xr:uid="{00000000-0005-0000-0000-0000AF730000}"/>
    <cellStyle name="SAPBEXundefined 4 6 2" xfId="31184" xr:uid="{9A46F83B-EEA4-46C2-BADC-E1C413C67531}"/>
    <cellStyle name="SAPBEXundefined 4 7" xfId="30093" xr:uid="{00000000-0005-0000-0000-0000B0730000}"/>
    <cellStyle name="SAPBEXundefined 4 8" xfId="30436" xr:uid="{3D780699-2066-4027-80EE-10FA320F903F}"/>
    <cellStyle name="SAPBEXundefined 5" xfId="25877" xr:uid="{00000000-0005-0000-0000-0000B1730000}"/>
    <cellStyle name="SAPBEXundefined 5 2" xfId="30796" xr:uid="{7992197B-4F7D-40DB-BFAF-B2B6690295E2}"/>
    <cellStyle name="SAPBEXundefined 6" xfId="28534" xr:uid="{00000000-0005-0000-0000-0000B2730000}"/>
    <cellStyle name="SAPBEXundefined 6 2" xfId="33092" xr:uid="{521329CA-6D9F-4D30-9844-3E5135BA34B5}"/>
    <cellStyle name="SAPBEXundefined 7" xfId="26760" xr:uid="{00000000-0005-0000-0000-0000B3730000}"/>
    <cellStyle name="SAPBEXundefined 7 2" xfId="31521" xr:uid="{B362A1A0-73A4-4D62-A9FD-9CA06CBF605A}"/>
    <cellStyle name="SAPBEXundefined 8" xfId="30087" xr:uid="{00000000-0005-0000-0000-0000B4730000}"/>
    <cellStyle name="Shade" xfId="150" xr:uid="{00000000-0005-0000-0000-0000B5730000}"/>
    <cellStyle name="Shaded" xfId="615" xr:uid="{00000000-0005-0000-0000-0000B6730000}"/>
    <cellStyle name="Sheet Title" xfId="24273" xr:uid="{00000000-0005-0000-0000-0000B7730000}"/>
    <cellStyle name="Special" xfId="151" xr:uid="{00000000-0005-0000-0000-0000B8730000}"/>
    <cellStyle name="Special 2" xfId="25878" xr:uid="{00000000-0005-0000-0000-0000B9730000}"/>
    <cellStyle name="Special 3" xfId="28543" xr:uid="{00000000-0005-0000-0000-0000BA730000}"/>
    <cellStyle name="Special 3 2" xfId="33101" xr:uid="{588AE46A-41C9-47E8-BF6D-C8065FD2F889}"/>
    <cellStyle name="Special 4" xfId="30096" xr:uid="{00000000-0005-0000-0000-0000BB730000}"/>
    <cellStyle name="Special 4 2" xfId="33352" xr:uid="{B5DAA20B-90F2-4473-9E6B-1EA4BE6E2925}"/>
    <cellStyle name="Style 1" xfId="152" xr:uid="{00000000-0005-0000-0000-0000BC730000}"/>
    <cellStyle name="Style 1 2" xfId="24274" xr:uid="{00000000-0005-0000-0000-0000BD730000}"/>
    <cellStyle name="Style 1 2 2" xfId="27127" xr:uid="{00000000-0005-0000-0000-0000BE730000}"/>
    <cellStyle name="Style 1 3" xfId="23908" xr:uid="{00000000-0005-0000-0000-0000BF730000}"/>
    <cellStyle name="Style 1 4" xfId="25879" xr:uid="{00000000-0005-0000-0000-0000C0730000}"/>
    <cellStyle name="Style 1 5" xfId="29263" xr:uid="{00000000-0005-0000-0000-0000C1730000}"/>
    <cellStyle name="Style 2" xfId="29264" xr:uid="{00000000-0005-0000-0000-0000C2730000}"/>
    <cellStyle name="Style 27" xfId="153" xr:uid="{00000000-0005-0000-0000-0000C3730000}"/>
    <cellStyle name="Style 27 2" xfId="25880" xr:uid="{00000000-0005-0000-0000-0000C4730000}"/>
    <cellStyle name="Style 35" xfId="154" xr:uid="{00000000-0005-0000-0000-0000C5730000}"/>
    <cellStyle name="Style 36" xfId="155" xr:uid="{00000000-0005-0000-0000-0000C6730000}"/>
    <cellStyle name="Summary" xfId="616" xr:uid="{00000000-0005-0000-0000-0000C7730000}"/>
    <cellStyle name="System" xfId="617" xr:uid="{00000000-0005-0000-0000-0000C8730000}"/>
    <cellStyle name="Table Col Head" xfId="618" xr:uid="{00000000-0005-0000-0000-0000C9730000}"/>
    <cellStyle name="Table Sub Head" xfId="619" xr:uid="{00000000-0005-0000-0000-0000CA730000}"/>
    <cellStyle name="Table Title" xfId="620" xr:uid="{00000000-0005-0000-0000-0000CB730000}"/>
    <cellStyle name="Table Units" xfId="621" xr:uid="{00000000-0005-0000-0000-0000CC730000}"/>
    <cellStyle name="TableBase" xfId="622" xr:uid="{00000000-0005-0000-0000-0000CD730000}"/>
    <cellStyle name="TableBase 2" xfId="24528" xr:uid="{00000000-0005-0000-0000-0000CE730000}"/>
    <cellStyle name="TableBase 2 2" xfId="25352" xr:uid="{00000000-0005-0000-0000-0000CF730000}"/>
    <cellStyle name="TableBase 2 2 2" xfId="27506" xr:uid="{00000000-0005-0000-0000-0000D0730000}"/>
    <cellStyle name="TableBase 2 2 2 2" xfId="32097" xr:uid="{CE1D3B3D-01A0-4DDF-97FA-847A82D7A846}"/>
    <cellStyle name="TableBase 2 2 3" xfId="29197" xr:uid="{00000000-0005-0000-0000-0000D1730000}"/>
    <cellStyle name="TableBase 2 2 3 2" xfId="33180" xr:uid="{F71DBC97-94A3-45BC-A505-6F7B470C1533}"/>
    <cellStyle name="TableBase 2 2 4" xfId="27018" xr:uid="{00000000-0005-0000-0000-0000D2730000}"/>
    <cellStyle name="TableBase 2 2 4 2" xfId="31778" xr:uid="{0833D50F-7F5B-4921-B0D5-FFB91A9DAB25}"/>
    <cellStyle name="TableBase 2 2 5" xfId="29270" xr:uid="{00000000-0005-0000-0000-0000D3730000}"/>
    <cellStyle name="TableBase 2 2 6" xfId="29423" xr:uid="{00000000-0005-0000-0000-0000D4730000}"/>
    <cellStyle name="TableBase 2 2 7" xfId="30510" xr:uid="{65868625-B039-482E-96E9-C42A282F9469}"/>
    <cellStyle name="TableBase 2 3" xfId="25598" xr:uid="{00000000-0005-0000-0000-0000D5730000}"/>
    <cellStyle name="TableBase 2 3 2" xfId="27751" xr:uid="{00000000-0005-0000-0000-0000D6730000}"/>
    <cellStyle name="TableBase 2 3 2 2" xfId="32338" xr:uid="{F398C911-750B-4F76-8F5E-41D030D7EBFD}"/>
    <cellStyle name="TableBase 2 3 3" xfId="29234" xr:uid="{00000000-0005-0000-0000-0000D7730000}"/>
    <cellStyle name="TableBase 2 3 3 2" xfId="33217" xr:uid="{E54243C6-6F5D-4D40-BBB5-BBBD9E463CA6}"/>
    <cellStyle name="TableBase 2 3 4" xfId="26249" xr:uid="{00000000-0005-0000-0000-0000D8730000}"/>
    <cellStyle name="TableBase 2 3 4 2" xfId="31037" xr:uid="{8D9E6AC7-BD53-4928-92A4-37132158A0A7}"/>
    <cellStyle name="TableBase 2 3 5" xfId="29269" xr:uid="{00000000-0005-0000-0000-0000D9730000}"/>
    <cellStyle name="TableBase 2 3 6" xfId="29424" xr:uid="{00000000-0005-0000-0000-0000DA730000}"/>
    <cellStyle name="TableBase 2 3 7" xfId="30639" xr:uid="{B39F3AF0-8C6F-4B0B-AC55-965F0F5DAB48}"/>
    <cellStyle name="TableBase 2 4" xfId="27208" xr:uid="{00000000-0005-0000-0000-0000DB730000}"/>
    <cellStyle name="TableBase 2 4 2" xfId="31858" xr:uid="{045E42C3-D56B-4128-99FB-2ACA81DD8781}"/>
    <cellStyle name="TableBase 2 5" xfId="27038" xr:uid="{00000000-0005-0000-0000-0000DC730000}"/>
    <cellStyle name="TableBase 2 5 2" xfId="31789" xr:uid="{109C4FA2-84E0-4FA2-9037-BE4DEEED450D}"/>
    <cellStyle name="TableBase 2 6" xfId="26764" xr:uid="{00000000-0005-0000-0000-0000DD730000}"/>
    <cellStyle name="TableBase 2 6 2" xfId="31525" xr:uid="{794BC1CA-BB5D-4944-A82B-9F8B9D892063}"/>
    <cellStyle name="TableBase 2 7" xfId="29271" xr:uid="{00000000-0005-0000-0000-0000DE730000}"/>
    <cellStyle name="TableBase 2 8" xfId="29422" xr:uid="{00000000-0005-0000-0000-0000DF730000}"/>
    <cellStyle name="TableBase 2 9" xfId="30300" xr:uid="{D3820272-D3B7-415A-8FB7-AA84313CD6AB}"/>
    <cellStyle name="TableBase 3" xfId="24688" xr:uid="{00000000-0005-0000-0000-0000E0730000}"/>
    <cellStyle name="TableBase 3 2" xfId="25440" xr:uid="{00000000-0005-0000-0000-0000E1730000}"/>
    <cellStyle name="TableBase 3 2 2" xfId="27594" xr:uid="{00000000-0005-0000-0000-0000E2730000}"/>
    <cellStyle name="TableBase 3 2 2 2" xfId="32185" xr:uid="{925815FA-CA04-40E1-B188-E29CC1E0148D}"/>
    <cellStyle name="TableBase 3 2 3" xfId="29213" xr:uid="{00000000-0005-0000-0000-0000E3730000}"/>
    <cellStyle name="TableBase 3 2 3 2" xfId="33196" xr:uid="{7F5C0DE2-045E-4D25-BBFE-EA93089D0F5B}"/>
    <cellStyle name="TableBase 3 2 4" xfId="26338" xr:uid="{00000000-0005-0000-0000-0000E4730000}"/>
    <cellStyle name="TableBase 3 2 4 2" xfId="31126" xr:uid="{81E67D89-95C6-493B-9817-73B89208F7B1}"/>
    <cellStyle name="TableBase 3 2 5" xfId="29267" xr:uid="{00000000-0005-0000-0000-0000E5730000}"/>
    <cellStyle name="TableBase 3 2 6" xfId="29426" xr:uid="{00000000-0005-0000-0000-0000E6730000}"/>
    <cellStyle name="TableBase 3 2 7" xfId="30598" xr:uid="{ED54E79D-9107-41C5-850D-652AC3282B8B}"/>
    <cellStyle name="TableBase 3 3" xfId="25650" xr:uid="{00000000-0005-0000-0000-0000E7730000}"/>
    <cellStyle name="TableBase 3 3 2" xfId="27803" xr:uid="{00000000-0005-0000-0000-0000E8730000}"/>
    <cellStyle name="TableBase 3 3 2 2" xfId="32390" xr:uid="{10AE01FB-390D-4B97-ADE8-0265A1F1AE78}"/>
    <cellStyle name="TableBase 3 3 3" xfId="29236" xr:uid="{00000000-0005-0000-0000-0000E9730000}"/>
    <cellStyle name="TableBase 3 3 3 2" xfId="33218" xr:uid="{4E251EF7-D38E-4893-9208-93423C227400}"/>
    <cellStyle name="TableBase 3 3 4" xfId="26278" xr:uid="{00000000-0005-0000-0000-0000EA730000}"/>
    <cellStyle name="TableBase 3 3 4 2" xfId="31066" xr:uid="{7764611B-88DD-4EA7-A0FC-9B2C06FAB1B2}"/>
    <cellStyle name="TableBase 3 3 5" xfId="29266" xr:uid="{00000000-0005-0000-0000-0000EB730000}"/>
    <cellStyle name="TableBase 3 3 6" xfId="29427" xr:uid="{00000000-0005-0000-0000-0000EC730000}"/>
    <cellStyle name="TableBase 3 3 7" xfId="30644" xr:uid="{AEAB9BD3-6153-44FF-8BB6-D2FF88300096}"/>
    <cellStyle name="TableBase 3 4" xfId="27278" xr:uid="{00000000-0005-0000-0000-0000ED730000}"/>
    <cellStyle name="TableBase 3 4 2" xfId="31912" xr:uid="{BF207EEF-67E4-4B5A-B463-398417E61C5D}"/>
    <cellStyle name="TableBase 3 5" xfId="26036" xr:uid="{00000000-0005-0000-0000-0000EE730000}"/>
    <cellStyle name="TableBase 3 5 2" xfId="30837" xr:uid="{19E09015-F9D6-4EE7-99F9-D45E8C761AF3}"/>
    <cellStyle name="TableBase 3 6" xfId="26809" xr:uid="{00000000-0005-0000-0000-0000EF730000}"/>
    <cellStyle name="TableBase 3 6 2" xfId="31570" xr:uid="{FBC86008-14A9-4131-AF59-DFF704AF25C4}"/>
    <cellStyle name="TableBase 3 7" xfId="29268" xr:uid="{00000000-0005-0000-0000-0000F0730000}"/>
    <cellStyle name="TableBase 3 8" xfId="29425" xr:uid="{00000000-0005-0000-0000-0000F1730000}"/>
    <cellStyle name="TableBase 3 9" xfId="30352" xr:uid="{24F8F1CF-A606-4767-8929-F94F03D76C84}"/>
    <cellStyle name="TableBase 4" xfId="29272" xr:uid="{00000000-0005-0000-0000-0000F2730000}"/>
    <cellStyle name="TableHead" xfId="623" xr:uid="{00000000-0005-0000-0000-0000F3730000}"/>
    <cellStyle name="Task" xfId="33363" xr:uid="{CF4CC4C5-36A4-4158-8DF8-881AA65D0458}"/>
    <cellStyle name="Text" xfId="624" xr:uid="{00000000-0005-0000-0000-0000F4730000}"/>
    <cellStyle name="Time" xfId="625" xr:uid="{00000000-0005-0000-0000-0000F5730000}"/>
    <cellStyle name="Time 2" xfId="24275" xr:uid="{00000000-0005-0000-0000-0000F6730000}"/>
    <cellStyle name="Title - Underline" xfId="626" xr:uid="{00000000-0005-0000-0000-0000F7730000}"/>
    <cellStyle name="Title 2" xfId="24276" xr:uid="{00000000-0005-0000-0000-0000F8730000}"/>
    <cellStyle name="Title 7" xfId="33355" xr:uid="{616265CE-236B-4993-AD14-9335B909A29D}"/>
    <cellStyle name="Title: Major" xfId="33370" xr:uid="{3C80E7E4-7BD7-4167-B94B-61CA28190657}"/>
    <cellStyle name="Title: Minor" xfId="33371" xr:uid="{0BD1BAFA-EC48-4B6B-8350-3CAFF28C6C4F}"/>
    <cellStyle name="Title: Worksheet" xfId="33376" xr:uid="{8940911B-F0DB-4E24-8126-735D12FE7C5F}"/>
    <cellStyle name="Titles" xfId="156" xr:uid="{00000000-0005-0000-0000-0000F9730000}"/>
    <cellStyle name="Titles - Other" xfId="627" xr:uid="{00000000-0005-0000-0000-0000FA730000}"/>
    <cellStyle name="Titles - Other 2" xfId="24277" xr:uid="{00000000-0005-0000-0000-0000FB730000}"/>
    <cellStyle name="Titles 2" xfId="24929" xr:uid="{00000000-0005-0000-0000-0000FC730000}"/>
    <cellStyle name="Titles 3" xfId="25137" xr:uid="{00000000-0005-0000-0000-0000FD730000}"/>
    <cellStyle name="Total 10" xfId="3476" xr:uid="{00000000-0005-0000-0000-0000FE730000}"/>
    <cellStyle name="Total 11" xfId="3477" xr:uid="{00000000-0005-0000-0000-0000FF730000}"/>
    <cellStyle name="Total 12" xfId="3478" xr:uid="{00000000-0005-0000-0000-000000740000}"/>
    <cellStyle name="Total 13" xfId="3479" xr:uid="{00000000-0005-0000-0000-000001740000}"/>
    <cellStyle name="Total 14" xfId="3480" xr:uid="{00000000-0005-0000-0000-000002740000}"/>
    <cellStyle name="Total 15" xfId="3481" xr:uid="{00000000-0005-0000-0000-000003740000}"/>
    <cellStyle name="Total 16" xfId="3482" xr:uid="{00000000-0005-0000-0000-000004740000}"/>
    <cellStyle name="Total 17" xfId="3483" xr:uid="{00000000-0005-0000-0000-000005740000}"/>
    <cellStyle name="Total 18" xfId="3484" xr:uid="{00000000-0005-0000-0000-000006740000}"/>
    <cellStyle name="Total 19" xfId="3485" xr:uid="{00000000-0005-0000-0000-000007740000}"/>
    <cellStyle name="Total 2" xfId="157" xr:uid="{00000000-0005-0000-0000-000008740000}"/>
    <cellStyle name="Total 2 2" xfId="3486" xr:uid="{00000000-0005-0000-0000-000009740000}"/>
    <cellStyle name="Total 2 2 2" xfId="24279" xr:uid="{00000000-0005-0000-0000-00000A740000}"/>
    <cellStyle name="Total 2 2 2 2" xfId="25412" xr:uid="{00000000-0005-0000-0000-00000B740000}"/>
    <cellStyle name="Total 2 2 2 2 2" xfId="27566" xr:uid="{00000000-0005-0000-0000-00000C740000}"/>
    <cellStyle name="Total 2 2 2 2 2 2" xfId="32157" xr:uid="{09EE0226-7981-4556-ABDD-473779325ABA}"/>
    <cellStyle name="Total 2 2 2 2 3" xfId="28550" xr:uid="{00000000-0005-0000-0000-00000D740000}"/>
    <cellStyle name="Total 2 2 2 2 3 2" xfId="33108" xr:uid="{1BBE41D4-3DD4-481A-A5A2-B404CCD6B23E}"/>
    <cellStyle name="Total 2 2 2 2 4" xfId="26251" xr:uid="{00000000-0005-0000-0000-00000E740000}"/>
    <cellStyle name="Total 2 2 2 2 4 2" xfId="31039" xr:uid="{FBDB0E74-F8EE-486A-A488-1B681BD27872}"/>
    <cellStyle name="Total 2 2 2 2 5" xfId="30098" xr:uid="{00000000-0005-0000-0000-00000F740000}"/>
    <cellStyle name="Total 2 2 2 2 6" xfId="30570" xr:uid="{2F5991BB-6954-429F-A43E-A08D6DF600B2}"/>
    <cellStyle name="Total 2 2 2 3" xfId="25592" xr:uid="{00000000-0005-0000-0000-000010740000}"/>
    <cellStyle name="Total 2 2 2 3 2" xfId="27745" xr:uid="{00000000-0005-0000-0000-000011740000}"/>
    <cellStyle name="Total 2 2 2 3 2 2" xfId="32332" xr:uid="{73C33BD2-9DA0-430F-ADEF-4FFCEAFC1D37}"/>
    <cellStyle name="Total 2 2 2 3 3" xfId="28551" xr:uid="{00000000-0005-0000-0000-000012740000}"/>
    <cellStyle name="Total 2 2 2 3 3 2" xfId="33109" xr:uid="{A4D2341F-5110-447D-B0C7-2D4CC9AC0D9C}"/>
    <cellStyle name="Total 2 2 2 3 4" xfId="26940" xr:uid="{00000000-0005-0000-0000-000013740000}"/>
    <cellStyle name="Total 2 2 2 3 4 2" xfId="31701" xr:uid="{D59D3FB4-6BA5-4D9B-9E53-875239A95659}"/>
    <cellStyle name="Total 2 2 2 3 5" xfId="30099" xr:uid="{00000000-0005-0000-0000-000014740000}"/>
    <cellStyle name="Total 2 2 2 3 6" xfId="30633" xr:uid="{3E310DBB-8EE4-4B86-8311-31FE88E695A6}"/>
    <cellStyle name="Total 2 2 2 4" xfId="27129" xr:uid="{00000000-0005-0000-0000-000015740000}"/>
    <cellStyle name="Total 2 2 2 4 2" xfId="31843" xr:uid="{808641F3-A0E8-4B4C-B068-15D9048450E3}"/>
    <cellStyle name="Total 2 2 2 5" xfId="28549" xr:uid="{00000000-0005-0000-0000-000016740000}"/>
    <cellStyle name="Total 2 2 2 5 2" xfId="33107" xr:uid="{218E2E99-13BA-492F-B8C0-5406D954D2BB}"/>
    <cellStyle name="Total 2 2 2 6" xfId="26073" xr:uid="{00000000-0005-0000-0000-000017740000}"/>
    <cellStyle name="Total 2 2 2 6 2" xfId="30863" xr:uid="{4BC39723-DEC7-4040-9690-1A9B4422AD90}"/>
    <cellStyle name="Total 2 2 2 7" xfId="30097" xr:uid="{00000000-0005-0000-0000-000018740000}"/>
    <cellStyle name="Total 2 2 2 8" xfId="30294" xr:uid="{AB46E8A1-008E-467A-B1C7-0466D0555D6E}"/>
    <cellStyle name="Total 2 2 3" xfId="24633" xr:uid="{00000000-0005-0000-0000-000019740000}"/>
    <cellStyle name="Total 2 2 3 2" xfId="25351" xr:uid="{00000000-0005-0000-0000-00001A740000}"/>
    <cellStyle name="Total 2 2 3 2 2" xfId="27505" xr:uid="{00000000-0005-0000-0000-00001B740000}"/>
    <cellStyle name="Total 2 2 3 2 2 2" xfId="32096" xr:uid="{8CE9766B-FA3B-4102-B5BE-30685C1CC1CD}"/>
    <cellStyle name="Total 2 2 3 2 3" xfId="28553" xr:uid="{00000000-0005-0000-0000-00001C740000}"/>
    <cellStyle name="Total 2 2 3 2 3 2" xfId="33111" xr:uid="{37691D6E-4DD6-4C7E-92A2-AE1758642F79}"/>
    <cellStyle name="Total 2 2 3 2 4" xfId="26870" xr:uid="{00000000-0005-0000-0000-00001D740000}"/>
    <cellStyle name="Total 2 2 3 2 4 2" xfId="31631" xr:uid="{6C431A3A-870E-4ED3-BF7D-6D7051A71B19}"/>
    <cellStyle name="Total 2 2 3 2 5" xfId="30101" xr:uid="{00000000-0005-0000-0000-00001E740000}"/>
    <cellStyle name="Total 2 2 3 2 6" xfId="30509" xr:uid="{66047F43-BEBF-438A-A05F-357736EC2D0D}"/>
    <cellStyle name="Total 2 2 3 3" xfId="25601" xr:uid="{00000000-0005-0000-0000-00001F740000}"/>
    <cellStyle name="Total 2 2 3 3 2" xfId="27754" xr:uid="{00000000-0005-0000-0000-000020740000}"/>
    <cellStyle name="Total 2 2 3 3 2 2" xfId="32341" xr:uid="{4999E069-6BA1-4A3A-8B1D-0FD10F73517D}"/>
    <cellStyle name="Total 2 2 3 3 3" xfId="28554" xr:uid="{00000000-0005-0000-0000-000021740000}"/>
    <cellStyle name="Total 2 2 3 3 3 2" xfId="33112" xr:uid="{41B8A705-C68E-4DA0-A881-C6F9435FED47}"/>
    <cellStyle name="Total 2 2 3 3 4" xfId="26210" xr:uid="{00000000-0005-0000-0000-000022740000}"/>
    <cellStyle name="Total 2 2 3 3 4 2" xfId="30998" xr:uid="{5E132638-CBA1-4F5F-B625-E673A40A5889}"/>
    <cellStyle name="Total 2 2 3 3 5" xfId="30102" xr:uid="{00000000-0005-0000-0000-000023740000}"/>
    <cellStyle name="Total 2 2 3 3 6" xfId="30642" xr:uid="{21BC435D-8F8C-4718-91A3-E710F323BBE2}"/>
    <cellStyle name="Total 2 2 3 4" xfId="27227" xr:uid="{00000000-0005-0000-0000-000024740000}"/>
    <cellStyle name="Total 2 2 3 4 2" xfId="31863" xr:uid="{E84DC1B8-0F3C-461C-BF2D-41B18709A888}"/>
    <cellStyle name="Total 2 2 3 5" xfId="28552" xr:uid="{00000000-0005-0000-0000-000025740000}"/>
    <cellStyle name="Total 2 2 3 5 2" xfId="33110" xr:uid="{A9C3FC89-54DB-42AF-B554-1F053361BB99}"/>
    <cellStyle name="Total 2 2 3 6" xfId="26116" xr:uid="{00000000-0005-0000-0000-000026740000}"/>
    <cellStyle name="Total 2 2 3 6 2" xfId="30906" xr:uid="{3A269408-99D0-4BFD-B4A1-946D74B34F16}"/>
    <cellStyle name="Total 2 2 3 7" xfId="30100" xr:uid="{00000000-0005-0000-0000-000027740000}"/>
    <cellStyle name="Total 2 2 3 8" xfId="30303" xr:uid="{F7BBF354-E48E-481E-866B-F82FE1BD56AD}"/>
    <cellStyle name="Total 2 2 4" xfId="25139" xr:uid="{00000000-0005-0000-0000-000028740000}"/>
    <cellStyle name="Total 2 2 4 2" xfId="25422" xr:uid="{00000000-0005-0000-0000-000029740000}"/>
    <cellStyle name="Total 2 2 4 2 2" xfId="27576" xr:uid="{00000000-0005-0000-0000-00002A740000}"/>
    <cellStyle name="Total 2 2 4 2 2 2" xfId="32167" xr:uid="{F9B4F9C9-065F-442E-9131-25D6ACDF9486}"/>
    <cellStyle name="Total 2 2 4 2 3" xfId="28556" xr:uid="{00000000-0005-0000-0000-00002B740000}"/>
    <cellStyle name="Total 2 2 4 2 3 2" xfId="33114" xr:uid="{4DB5294B-F1B1-4949-B746-75FE3950104E}"/>
    <cellStyle name="Total 2 2 4 2 4" xfId="26737" xr:uid="{00000000-0005-0000-0000-00002C740000}"/>
    <cellStyle name="Total 2 2 4 2 4 2" xfId="31498" xr:uid="{A2DAAEB7-22D5-456E-9D4C-B31B5546C4EA}"/>
    <cellStyle name="Total 2 2 4 2 5" xfId="30104" xr:uid="{00000000-0005-0000-0000-00002D740000}"/>
    <cellStyle name="Total 2 2 4 2 6" xfId="30580" xr:uid="{056D6584-37B5-4993-B029-E86C1EFF9795}"/>
    <cellStyle name="Total 2 2 4 3" xfId="25736" xr:uid="{00000000-0005-0000-0000-00002E740000}"/>
    <cellStyle name="Total 2 2 4 3 2" xfId="27889" xr:uid="{00000000-0005-0000-0000-00002F740000}"/>
    <cellStyle name="Total 2 2 4 3 2 2" xfId="32476" xr:uid="{96345B05-03C4-475C-A748-7C0BE7E43064}"/>
    <cellStyle name="Total 2 2 4 3 3" xfId="28557" xr:uid="{00000000-0005-0000-0000-000030740000}"/>
    <cellStyle name="Total 2 2 4 3 3 2" xfId="33115" xr:uid="{7DA5D0EF-88CD-482F-8ADC-844AFF54633D}"/>
    <cellStyle name="Total 2 2 4 3 4" xfId="29258" xr:uid="{00000000-0005-0000-0000-000031740000}"/>
    <cellStyle name="Total 2 2 4 3 4 2" xfId="33240" xr:uid="{C47144C2-9CAE-44E0-A55E-794DA78DEC61}"/>
    <cellStyle name="Total 2 2 4 3 5" xfId="30105" xr:uid="{00000000-0005-0000-0000-000032740000}"/>
    <cellStyle name="Total 2 2 4 3 6" xfId="30730" xr:uid="{9DBCDA8A-FC7D-4AFC-BA5D-F6EC10DA1393}"/>
    <cellStyle name="Total 2 2 4 4" xfId="27423" xr:uid="{00000000-0005-0000-0000-000033740000}"/>
    <cellStyle name="Total 2 2 4 4 2" xfId="32021" xr:uid="{D0680DF0-A2A1-4C08-ACC4-2CD95E941120}"/>
    <cellStyle name="Total 2 2 4 5" xfId="28555" xr:uid="{00000000-0005-0000-0000-000034740000}"/>
    <cellStyle name="Total 2 2 4 5 2" xfId="33113" xr:uid="{EA5F274C-232A-42C0-B983-4A80478F2735}"/>
    <cellStyle name="Total 2 2 4 6" xfId="26941" xr:uid="{00000000-0005-0000-0000-000035740000}"/>
    <cellStyle name="Total 2 2 4 6 2" xfId="31702" xr:uid="{9E7AA0C8-C283-45AF-B706-BB146DAA2ACD}"/>
    <cellStyle name="Total 2 2 4 7" xfId="30103" xr:uid="{00000000-0005-0000-0000-000036740000}"/>
    <cellStyle name="Total 2 2 4 8" xfId="30438" xr:uid="{43DF1FEB-B7BD-4927-BE6C-8354B6B55455}"/>
    <cellStyle name="Total 2 3" xfId="13681" xr:uid="{00000000-0005-0000-0000-000037740000}"/>
    <cellStyle name="Total 2 4" xfId="24278" xr:uid="{00000000-0005-0000-0000-000038740000}"/>
    <cellStyle name="Total 2 4 2" xfId="25310" xr:uid="{00000000-0005-0000-0000-000039740000}"/>
    <cellStyle name="Total 2 4 2 2" xfId="27464" xr:uid="{00000000-0005-0000-0000-00003A740000}"/>
    <cellStyle name="Total 2 4 2 2 2" xfId="32056" xr:uid="{03F5C887-76CE-4993-9466-C641BF5BB254}"/>
    <cellStyle name="Total 2 4 2 3" xfId="28559" xr:uid="{00000000-0005-0000-0000-00003B740000}"/>
    <cellStyle name="Total 2 4 2 3 2" xfId="33117" xr:uid="{B75D1382-9045-465A-9195-285CC700B6FA}"/>
    <cellStyle name="Total 2 4 2 4" xfId="26951" xr:uid="{00000000-0005-0000-0000-00003C740000}"/>
    <cellStyle name="Total 2 4 2 4 2" xfId="31712" xr:uid="{C7848FA9-6DAC-482C-A883-56DA5C8D9AA7}"/>
    <cellStyle name="Total 2 4 2 5" xfId="30107" xr:uid="{00000000-0005-0000-0000-00003D740000}"/>
    <cellStyle name="Total 2 4 2 6" xfId="30469" xr:uid="{6D9C7339-1642-4E97-A734-58778A07D5A7}"/>
    <cellStyle name="Total 2 4 3" xfId="25591" xr:uid="{00000000-0005-0000-0000-00003E740000}"/>
    <cellStyle name="Total 2 4 3 2" xfId="27744" xr:uid="{00000000-0005-0000-0000-00003F740000}"/>
    <cellStyle name="Total 2 4 3 2 2" xfId="32331" xr:uid="{9BB08DDE-080D-4DC0-B10F-79263354C82F}"/>
    <cellStyle name="Total 2 4 3 3" xfId="28560" xr:uid="{00000000-0005-0000-0000-000040740000}"/>
    <cellStyle name="Total 2 4 3 3 2" xfId="33118" xr:uid="{8BE39DB1-FA93-450D-92B6-F7A7396F09E7}"/>
    <cellStyle name="Total 2 4 3 4" xfId="26333" xr:uid="{00000000-0005-0000-0000-000041740000}"/>
    <cellStyle name="Total 2 4 3 4 2" xfId="31121" xr:uid="{0BCAB065-DF40-4C2F-A5B1-32CE93710DEF}"/>
    <cellStyle name="Total 2 4 3 5" xfId="30108" xr:uid="{00000000-0005-0000-0000-000042740000}"/>
    <cellStyle name="Total 2 4 3 6" xfId="30632" xr:uid="{401B59A7-E822-4AE8-A985-FB9E80E66F05}"/>
    <cellStyle name="Total 2 4 4" xfId="27128" xr:uid="{00000000-0005-0000-0000-000043740000}"/>
    <cellStyle name="Total 2 4 4 2" xfId="31842" xr:uid="{433FFB42-A782-4AC9-970D-FFCFD7F553A5}"/>
    <cellStyle name="Total 2 4 5" xfId="28558" xr:uid="{00000000-0005-0000-0000-000044740000}"/>
    <cellStyle name="Total 2 4 5 2" xfId="33116" xr:uid="{EEE379A3-1B84-466C-81E1-E711F43C6523}"/>
    <cellStyle name="Total 2 4 6" xfId="26672" xr:uid="{00000000-0005-0000-0000-000045740000}"/>
    <cellStyle name="Total 2 4 6 2" xfId="31440" xr:uid="{5BE4EEEB-C8E3-428A-9404-F4CB154E2CEB}"/>
    <cellStyle name="Total 2 4 7" xfId="30106" xr:uid="{00000000-0005-0000-0000-000046740000}"/>
    <cellStyle name="Total 2 4 8" xfId="30293" xr:uid="{ED9E4BE2-6C6A-4EB4-9399-9C307C62DECA}"/>
    <cellStyle name="Total 2 5" xfId="24634" xr:uid="{00000000-0005-0000-0000-000047740000}"/>
    <cellStyle name="Total 2 5 2" xfId="25452" xr:uid="{00000000-0005-0000-0000-000048740000}"/>
    <cellStyle name="Total 2 5 2 2" xfId="27606" xr:uid="{00000000-0005-0000-0000-000049740000}"/>
    <cellStyle name="Total 2 5 2 2 2" xfId="32197" xr:uid="{0F29F80F-D7B2-41A5-8C8F-8E29FCADA158}"/>
    <cellStyle name="Total 2 5 2 3" xfId="28562" xr:uid="{00000000-0005-0000-0000-00004A740000}"/>
    <cellStyle name="Total 2 5 2 3 2" xfId="33120" xr:uid="{7FDE34CF-B069-40A9-A659-2199E86D2E70}"/>
    <cellStyle name="Total 2 5 2 4" xfId="26849" xr:uid="{00000000-0005-0000-0000-00004B740000}"/>
    <cellStyle name="Total 2 5 2 4 2" xfId="31610" xr:uid="{8ED164CA-52F5-44A0-B5E3-0D5AAF63E137}"/>
    <cellStyle name="Total 2 5 2 5" xfId="30110" xr:uid="{00000000-0005-0000-0000-00004C740000}"/>
    <cellStyle name="Total 2 5 2 6" xfId="30610" xr:uid="{3363A8E9-A061-4946-9450-F6D81FF76262}"/>
    <cellStyle name="Total 2 5 3" xfId="25602" xr:uid="{00000000-0005-0000-0000-00004D740000}"/>
    <cellStyle name="Total 2 5 3 2" xfId="27755" xr:uid="{00000000-0005-0000-0000-00004E740000}"/>
    <cellStyle name="Total 2 5 3 2 2" xfId="32342" xr:uid="{885EAF7E-09B2-405F-9861-BC64C9255ABC}"/>
    <cellStyle name="Total 2 5 3 3" xfId="28563" xr:uid="{00000000-0005-0000-0000-00004F740000}"/>
    <cellStyle name="Total 2 5 3 3 2" xfId="33121" xr:uid="{F2973C02-BE19-4E11-80B8-3465E5030BD2}"/>
    <cellStyle name="Total 2 5 3 4" xfId="26095" xr:uid="{00000000-0005-0000-0000-000050740000}"/>
    <cellStyle name="Total 2 5 3 4 2" xfId="30885" xr:uid="{5ACDE122-9DEF-4C0E-9E74-3FECC75EA94F}"/>
    <cellStyle name="Total 2 5 3 5" xfId="30111" xr:uid="{00000000-0005-0000-0000-000051740000}"/>
    <cellStyle name="Total 2 5 3 6" xfId="30643" xr:uid="{1C4566A9-F474-47D4-A093-DEDDCAC01134}"/>
    <cellStyle name="Total 2 5 4" xfId="27228" xr:uid="{00000000-0005-0000-0000-000052740000}"/>
    <cellStyle name="Total 2 5 4 2" xfId="31864" xr:uid="{E56FA133-FC66-455A-887A-09CE1755A737}"/>
    <cellStyle name="Total 2 5 5" xfId="28561" xr:uid="{00000000-0005-0000-0000-000053740000}"/>
    <cellStyle name="Total 2 5 5 2" xfId="33119" xr:uid="{C5714789-7AFD-41DC-A9E8-7AE849ABF029}"/>
    <cellStyle name="Total 2 5 6" xfId="26698" xr:uid="{00000000-0005-0000-0000-000054740000}"/>
    <cellStyle name="Total 2 5 6 2" xfId="31460" xr:uid="{13278DD0-2269-4D28-A109-FA6257B16C8D}"/>
    <cellStyle name="Total 2 5 7" xfId="30109" xr:uid="{00000000-0005-0000-0000-000055740000}"/>
    <cellStyle name="Total 2 5 8" xfId="30304" xr:uid="{5B0D063A-660A-4B00-9E50-C49A8411D7E4}"/>
    <cellStyle name="Total 2 6" xfId="25138" xr:uid="{00000000-0005-0000-0000-000056740000}"/>
    <cellStyle name="Total 2 6 2" xfId="25318" xr:uid="{00000000-0005-0000-0000-000057740000}"/>
    <cellStyle name="Total 2 6 2 2" xfId="27472" xr:uid="{00000000-0005-0000-0000-000058740000}"/>
    <cellStyle name="Total 2 6 2 2 2" xfId="32063" xr:uid="{58B035EB-303F-47DE-B3C3-0542415EF7E1}"/>
    <cellStyle name="Total 2 6 2 3" xfId="28565" xr:uid="{00000000-0005-0000-0000-000059740000}"/>
    <cellStyle name="Total 2 6 2 3 2" xfId="33123" xr:uid="{F0DEB96A-4045-4D03-9DFB-616A35F7D55B}"/>
    <cellStyle name="Total 2 6 2 4" xfId="26865" xr:uid="{00000000-0005-0000-0000-00005A740000}"/>
    <cellStyle name="Total 2 6 2 4 2" xfId="31626" xr:uid="{36713479-7827-493F-911A-333B0EEFEEAA}"/>
    <cellStyle name="Total 2 6 2 5" xfId="30113" xr:uid="{00000000-0005-0000-0000-00005B740000}"/>
    <cellStyle name="Total 2 6 2 6" xfId="30476" xr:uid="{3F7F02EA-F975-4789-BFD1-E030C6A5F965}"/>
    <cellStyle name="Total 2 6 3" xfId="25735" xr:uid="{00000000-0005-0000-0000-00005C740000}"/>
    <cellStyle name="Total 2 6 3 2" xfId="27888" xr:uid="{00000000-0005-0000-0000-00005D740000}"/>
    <cellStyle name="Total 2 6 3 2 2" xfId="32475" xr:uid="{AE556F90-C752-4782-94A2-6DEB72BE58B8}"/>
    <cellStyle name="Total 2 6 3 3" xfId="28566" xr:uid="{00000000-0005-0000-0000-00005E740000}"/>
    <cellStyle name="Total 2 6 3 3 2" xfId="33124" xr:uid="{44C4BC4A-3B2E-4F9B-91E3-EB79CCAC2AD5}"/>
    <cellStyle name="Total 2 6 3 4" xfId="26963" xr:uid="{00000000-0005-0000-0000-00005F740000}"/>
    <cellStyle name="Total 2 6 3 4 2" xfId="31724" xr:uid="{F66DD7EC-FD6D-4CAE-99DB-189DD484ACBB}"/>
    <cellStyle name="Total 2 6 3 5" xfId="30114" xr:uid="{00000000-0005-0000-0000-000060740000}"/>
    <cellStyle name="Total 2 6 3 6" xfId="30729" xr:uid="{5899EE3C-87ED-4965-A6D1-E429D4768DA0}"/>
    <cellStyle name="Total 2 6 4" xfId="27422" xr:uid="{00000000-0005-0000-0000-000061740000}"/>
    <cellStyle name="Total 2 6 4 2" xfId="32020" xr:uid="{CF2C2147-A49F-4CBE-93AC-F228ED8FBA0B}"/>
    <cellStyle name="Total 2 6 5" xfId="28564" xr:uid="{00000000-0005-0000-0000-000062740000}"/>
    <cellStyle name="Total 2 6 5 2" xfId="33122" xr:uid="{6629F2E5-E241-43F9-A01D-B55CE3ACF3C3}"/>
    <cellStyle name="Total 2 6 6" xfId="26334" xr:uid="{00000000-0005-0000-0000-000063740000}"/>
    <cellStyle name="Total 2 6 6 2" xfId="31122" xr:uid="{A4C0409F-E108-48BE-AB20-86C5B9744D7A}"/>
    <cellStyle name="Total 2 6 7" xfId="30112" xr:uid="{00000000-0005-0000-0000-000064740000}"/>
    <cellStyle name="Total 2 6 8" xfId="30437" xr:uid="{E4B59085-5DAF-4BE6-B1FA-83CF159D6D56}"/>
    <cellStyle name="Total 20" xfId="3487" xr:uid="{00000000-0005-0000-0000-000065740000}"/>
    <cellStyle name="Total 21" xfId="3488" xr:uid="{00000000-0005-0000-0000-000066740000}"/>
    <cellStyle name="Total 22" xfId="3489" xr:uid="{00000000-0005-0000-0000-000067740000}"/>
    <cellStyle name="Total 23" xfId="3490" xr:uid="{00000000-0005-0000-0000-000068740000}"/>
    <cellStyle name="Total 24" xfId="3491" xr:uid="{00000000-0005-0000-0000-000069740000}"/>
    <cellStyle name="Total 25" xfId="3492" xr:uid="{00000000-0005-0000-0000-00006A740000}"/>
    <cellStyle name="Total 26" xfId="3493" xr:uid="{00000000-0005-0000-0000-00006B740000}"/>
    <cellStyle name="Total 27" xfId="3494" xr:uid="{00000000-0005-0000-0000-00006C740000}"/>
    <cellStyle name="Total 28" xfId="3495" xr:uid="{00000000-0005-0000-0000-00006D740000}"/>
    <cellStyle name="Total 29" xfId="3496" xr:uid="{00000000-0005-0000-0000-00006E740000}"/>
    <cellStyle name="Total 3" xfId="3497" xr:uid="{00000000-0005-0000-0000-00006F740000}"/>
    <cellStyle name="Total 3 2" xfId="24281" xr:uid="{00000000-0005-0000-0000-000070740000}"/>
    <cellStyle name="Total 3 2 10" xfId="30296" xr:uid="{385E2AD9-841E-475A-A9B0-FBE4F1F5DE11}"/>
    <cellStyle name="Total 3 2 2" xfId="24631" xr:uid="{00000000-0005-0000-0000-000071740000}"/>
    <cellStyle name="Total 3 2 2 2" xfId="25334" xr:uid="{00000000-0005-0000-0000-000072740000}"/>
    <cellStyle name="Total 3 2 2 2 2" xfId="27488" xr:uid="{00000000-0005-0000-0000-000073740000}"/>
    <cellStyle name="Total 3 2 2 2 2 2" xfId="32079" xr:uid="{59DA73F7-1617-4740-81AB-4E2B53A7A73C}"/>
    <cellStyle name="Total 3 2 2 2 3" xfId="28572" xr:uid="{00000000-0005-0000-0000-000074740000}"/>
    <cellStyle name="Total 3 2 2 2 3 2" xfId="33130" xr:uid="{9889E3BB-2D4A-4E7D-BEA9-EED552A85663}"/>
    <cellStyle name="Total 3 2 2 2 4" xfId="26240" xr:uid="{00000000-0005-0000-0000-000075740000}"/>
    <cellStyle name="Total 3 2 2 2 4 2" xfId="31028" xr:uid="{9AAD0F01-4BC3-4587-97B6-C8749DB3B9F7}"/>
    <cellStyle name="Total 3 2 2 2 5" xfId="30117" xr:uid="{00000000-0005-0000-0000-000076740000}"/>
    <cellStyle name="Total 3 2 2 2 6" xfId="30492" xr:uid="{A6244883-4348-4D6B-B193-F21480213BDF}"/>
    <cellStyle name="Total 3 2 2 3" xfId="25599" xr:uid="{00000000-0005-0000-0000-000077740000}"/>
    <cellStyle name="Total 3 2 2 3 2" xfId="27752" xr:uid="{00000000-0005-0000-0000-000078740000}"/>
    <cellStyle name="Total 3 2 2 3 2 2" xfId="32339" xr:uid="{21AA8AE0-067C-4CCE-A45B-7B88A70F4583}"/>
    <cellStyle name="Total 3 2 2 3 3" xfId="28573" xr:uid="{00000000-0005-0000-0000-000079740000}"/>
    <cellStyle name="Total 3 2 2 3 3 2" xfId="33131" xr:uid="{932DF98C-50C0-4B2A-81BF-55DD0E469881}"/>
    <cellStyle name="Total 3 2 2 3 4" xfId="26294" xr:uid="{00000000-0005-0000-0000-00007A740000}"/>
    <cellStyle name="Total 3 2 2 3 4 2" xfId="31082" xr:uid="{968053EE-0A4C-4EFC-8568-6A77DAA0CC3A}"/>
    <cellStyle name="Total 3 2 2 3 5" xfId="30118" xr:uid="{00000000-0005-0000-0000-00007B740000}"/>
    <cellStyle name="Total 3 2 2 3 6" xfId="30640" xr:uid="{A656EE7B-1A51-4D43-8491-203272F4DC8B}"/>
    <cellStyle name="Total 3 2 2 4" xfId="27225" xr:uid="{00000000-0005-0000-0000-00007C740000}"/>
    <cellStyle name="Total 3 2 2 4 2" xfId="31861" xr:uid="{7C687B4E-3C4D-41C1-99F8-20496200970D}"/>
    <cellStyle name="Total 3 2 2 5" xfId="28571" xr:uid="{00000000-0005-0000-0000-00007D740000}"/>
    <cellStyle name="Total 3 2 2 5 2" xfId="33129" xr:uid="{6E4D43D8-CEA0-41FA-A915-B80FFB9DB486}"/>
    <cellStyle name="Total 3 2 2 6" xfId="26546" xr:uid="{00000000-0005-0000-0000-00007E740000}"/>
    <cellStyle name="Total 3 2 2 6 2" xfId="31333" xr:uid="{9B1C10EC-8EE4-4B6D-8AD8-4C8974A0AC5E}"/>
    <cellStyle name="Total 3 2 2 7" xfId="30116" xr:uid="{00000000-0005-0000-0000-00007F740000}"/>
    <cellStyle name="Total 3 2 2 8" xfId="30301" xr:uid="{9A3DAA71-1F8D-407D-B6EB-4FCEAF061A73}"/>
    <cellStyle name="Total 3 2 3" xfId="25141" xr:uid="{00000000-0005-0000-0000-000080740000}"/>
    <cellStyle name="Total 3 2 3 2" xfId="25436" xr:uid="{00000000-0005-0000-0000-000081740000}"/>
    <cellStyle name="Total 3 2 3 2 2" xfId="27590" xr:uid="{00000000-0005-0000-0000-000082740000}"/>
    <cellStyle name="Total 3 2 3 2 2 2" xfId="32181" xr:uid="{87FCEA46-A21E-40FB-AA21-24E7F7226370}"/>
    <cellStyle name="Total 3 2 3 2 3" xfId="28575" xr:uid="{00000000-0005-0000-0000-000083740000}"/>
    <cellStyle name="Total 3 2 3 2 3 2" xfId="33133" xr:uid="{A9A8045C-C8DD-4CB3-97C9-E1A66853327D}"/>
    <cellStyle name="Total 3 2 3 2 4" xfId="27044" xr:uid="{00000000-0005-0000-0000-000084740000}"/>
    <cellStyle name="Total 3 2 3 2 4 2" xfId="31792" xr:uid="{7E7C5CC4-6B06-49C2-9530-B36FA28014F6}"/>
    <cellStyle name="Total 3 2 3 2 5" xfId="30120" xr:uid="{00000000-0005-0000-0000-000085740000}"/>
    <cellStyle name="Total 3 2 3 2 6" xfId="30594" xr:uid="{0CF27471-32EE-40A6-A2FC-19F7D0A5CF3A}"/>
    <cellStyle name="Total 3 2 3 3" xfId="25738" xr:uid="{00000000-0005-0000-0000-000086740000}"/>
    <cellStyle name="Total 3 2 3 3 2" xfId="27891" xr:uid="{00000000-0005-0000-0000-000087740000}"/>
    <cellStyle name="Total 3 2 3 3 2 2" xfId="32478" xr:uid="{6F73D233-CFD9-4FEC-BCCB-74DB26BB1DD0}"/>
    <cellStyle name="Total 3 2 3 3 3" xfId="28576" xr:uid="{00000000-0005-0000-0000-000088740000}"/>
    <cellStyle name="Total 3 2 3 3 3 2" xfId="33134" xr:uid="{6CFC6D8C-FC42-4836-AE96-887967098842}"/>
    <cellStyle name="Total 3 2 3 3 4" xfId="29260" xr:uid="{00000000-0005-0000-0000-000089740000}"/>
    <cellStyle name="Total 3 2 3 3 4 2" xfId="33242" xr:uid="{31855C4D-AF09-44D6-9AA5-33D911E180BA}"/>
    <cellStyle name="Total 3 2 3 3 5" xfId="30121" xr:uid="{00000000-0005-0000-0000-00008A740000}"/>
    <cellStyle name="Total 3 2 3 3 6" xfId="30732" xr:uid="{4E9B4EB9-B82E-41DA-AF36-BEC1600B575A}"/>
    <cellStyle name="Total 3 2 3 4" xfId="27425" xr:uid="{00000000-0005-0000-0000-00008B740000}"/>
    <cellStyle name="Total 3 2 3 4 2" xfId="32023" xr:uid="{12BA33AF-16B2-499C-ACAE-69F781C3F78E}"/>
    <cellStyle name="Total 3 2 3 5" xfId="28574" xr:uid="{00000000-0005-0000-0000-00008C740000}"/>
    <cellStyle name="Total 3 2 3 5 2" xfId="33132" xr:uid="{9375B9B2-3863-4F43-899E-B274A240608F}"/>
    <cellStyle name="Total 3 2 3 6" xfId="26808" xr:uid="{00000000-0005-0000-0000-00008D740000}"/>
    <cellStyle name="Total 3 2 3 6 2" xfId="31569" xr:uid="{0C55BE48-ABF4-482C-AA08-C452AA64105B}"/>
    <cellStyle name="Total 3 2 3 7" xfId="30119" xr:uid="{00000000-0005-0000-0000-00008E740000}"/>
    <cellStyle name="Total 3 2 3 8" xfId="30440" xr:uid="{28DA7D18-07C8-4DD9-BB11-0E68365B1620}"/>
    <cellStyle name="Total 3 2 4" xfId="25426" xr:uid="{00000000-0005-0000-0000-00008F740000}"/>
    <cellStyle name="Total 3 2 4 2" xfId="27580" xr:uid="{00000000-0005-0000-0000-000090740000}"/>
    <cellStyle name="Total 3 2 4 2 2" xfId="32171" xr:uid="{FDD1E658-E151-47B2-8869-FC1B79F9A5E8}"/>
    <cellStyle name="Total 3 2 4 3" xfId="28577" xr:uid="{00000000-0005-0000-0000-000091740000}"/>
    <cellStyle name="Total 3 2 4 3 2" xfId="33135" xr:uid="{6E4371A4-873F-41A6-BF26-57CCB69BACDA}"/>
    <cellStyle name="Total 3 2 4 4" xfId="26824" xr:uid="{00000000-0005-0000-0000-000092740000}"/>
    <cellStyle name="Total 3 2 4 4 2" xfId="31585" xr:uid="{7B7C6254-C6DC-4526-A303-FA4B035B005A}"/>
    <cellStyle name="Total 3 2 4 5" xfId="30122" xr:uid="{00000000-0005-0000-0000-000093740000}"/>
    <cellStyle name="Total 3 2 4 6" xfId="30584" xr:uid="{972ACF2D-84D5-484A-9606-7788997CF651}"/>
    <cellStyle name="Total 3 2 5" xfId="25594" xr:uid="{00000000-0005-0000-0000-000094740000}"/>
    <cellStyle name="Total 3 2 5 2" xfId="27747" xr:uid="{00000000-0005-0000-0000-000095740000}"/>
    <cellStyle name="Total 3 2 5 2 2" xfId="32334" xr:uid="{75E9352B-BEBD-42A6-81E2-9B162E62794E}"/>
    <cellStyle name="Total 3 2 5 3" xfId="28578" xr:uid="{00000000-0005-0000-0000-000096740000}"/>
    <cellStyle name="Total 3 2 5 3 2" xfId="33136" xr:uid="{47C14431-BA95-4CA0-943B-A555C8101378}"/>
    <cellStyle name="Total 3 2 5 4" xfId="26807" xr:uid="{00000000-0005-0000-0000-000097740000}"/>
    <cellStyle name="Total 3 2 5 4 2" xfId="31568" xr:uid="{CEC5B46E-CDEE-4C48-B5AF-62B3E99954BF}"/>
    <cellStyle name="Total 3 2 5 5" xfId="30123" xr:uid="{00000000-0005-0000-0000-000098740000}"/>
    <cellStyle name="Total 3 2 5 6" xfId="30635" xr:uid="{DC2ADBC3-EDF7-4CE7-AE0E-219BF32EA32A}"/>
    <cellStyle name="Total 3 2 6" xfId="27131" xr:uid="{00000000-0005-0000-0000-000099740000}"/>
    <cellStyle name="Total 3 2 6 2" xfId="31845" xr:uid="{0CD25318-C880-41B1-BFFB-CCEC29345F48}"/>
    <cellStyle name="Total 3 2 7" xfId="28570" xr:uid="{00000000-0005-0000-0000-00009A740000}"/>
    <cellStyle name="Total 3 2 7 2" xfId="33128" xr:uid="{E95F106D-EB55-43EC-96D2-01EA9571FDD2}"/>
    <cellStyle name="Total 3 2 8" xfId="26917" xr:uid="{00000000-0005-0000-0000-00009B740000}"/>
    <cellStyle name="Total 3 2 8 2" xfId="31678" xr:uid="{A48B4EC0-D660-483A-BDB5-4D1732A78DC4}"/>
    <cellStyle name="Total 3 2 9" xfId="30115" xr:uid="{00000000-0005-0000-0000-00009C740000}"/>
    <cellStyle name="Total 3 3" xfId="24280" xr:uid="{00000000-0005-0000-0000-00009D740000}"/>
    <cellStyle name="Total 3 3 2" xfId="25325" xr:uid="{00000000-0005-0000-0000-00009E740000}"/>
    <cellStyle name="Total 3 3 2 2" xfId="27479" xr:uid="{00000000-0005-0000-0000-00009F740000}"/>
    <cellStyle name="Total 3 3 2 2 2" xfId="32070" xr:uid="{D4385871-11C2-4902-8002-BE751F37473B}"/>
    <cellStyle name="Total 3 3 2 3" xfId="28580" xr:uid="{00000000-0005-0000-0000-0000A0740000}"/>
    <cellStyle name="Total 3 3 2 3 2" xfId="33138" xr:uid="{DE052871-8847-4D23-82D3-FEE8A1109662}"/>
    <cellStyle name="Total 3 3 2 4" xfId="26170" xr:uid="{00000000-0005-0000-0000-0000A1740000}"/>
    <cellStyle name="Total 3 3 2 4 2" xfId="30959" xr:uid="{33CA7F80-6C6D-45C1-AA75-0DACCDDA1A1B}"/>
    <cellStyle name="Total 3 3 2 5" xfId="30125" xr:uid="{00000000-0005-0000-0000-0000A2740000}"/>
    <cellStyle name="Total 3 3 2 6" xfId="30483" xr:uid="{C443BAB3-CB26-46F2-A734-35C235ECC3AB}"/>
    <cellStyle name="Total 3 3 3" xfId="25593" xr:uid="{00000000-0005-0000-0000-0000A3740000}"/>
    <cellStyle name="Total 3 3 3 2" xfId="27746" xr:uid="{00000000-0005-0000-0000-0000A4740000}"/>
    <cellStyle name="Total 3 3 3 2 2" xfId="32333" xr:uid="{25D3C0E6-EAE0-45BC-AF1C-E265B76E9B3F}"/>
    <cellStyle name="Total 3 3 3 3" xfId="28581" xr:uid="{00000000-0005-0000-0000-0000A5740000}"/>
    <cellStyle name="Total 3 3 3 3 2" xfId="33139" xr:uid="{DFF0714C-2B9E-4B3D-85F6-67C045C0473F}"/>
    <cellStyle name="Total 3 3 3 4" xfId="26298" xr:uid="{00000000-0005-0000-0000-0000A6740000}"/>
    <cellStyle name="Total 3 3 3 4 2" xfId="31086" xr:uid="{1A64A809-93A6-48D1-BC39-84A66723CD86}"/>
    <cellStyle name="Total 3 3 3 5" xfId="30126" xr:uid="{00000000-0005-0000-0000-0000A7740000}"/>
    <cellStyle name="Total 3 3 3 6" xfId="30634" xr:uid="{0FFE2D68-50EE-491B-A851-6937403B1C30}"/>
    <cellStyle name="Total 3 3 4" xfId="27130" xr:uid="{00000000-0005-0000-0000-0000A8740000}"/>
    <cellStyle name="Total 3 3 4 2" xfId="31844" xr:uid="{86C2F497-C6A7-44D6-A49C-C5BB694F724F}"/>
    <cellStyle name="Total 3 3 5" xfId="28579" xr:uid="{00000000-0005-0000-0000-0000A9740000}"/>
    <cellStyle name="Total 3 3 5 2" xfId="33137" xr:uid="{9A5E4462-D476-4DD4-8A4E-394EDC107B58}"/>
    <cellStyle name="Total 3 3 6" xfId="26517" xr:uid="{00000000-0005-0000-0000-0000AA740000}"/>
    <cellStyle name="Total 3 3 6 2" xfId="31305" xr:uid="{1D62CE08-AD50-495E-AB2E-3322EC0AD491}"/>
    <cellStyle name="Total 3 3 7" xfId="30124" xr:uid="{00000000-0005-0000-0000-0000AB740000}"/>
    <cellStyle name="Total 3 3 8" xfId="30295" xr:uid="{7E583215-454A-4CCE-8F3E-2CCF039F5FA4}"/>
    <cellStyle name="Total 3 4" xfId="24632" xr:uid="{00000000-0005-0000-0000-0000AC740000}"/>
    <cellStyle name="Total 3 4 2" xfId="25435" xr:uid="{00000000-0005-0000-0000-0000AD740000}"/>
    <cellStyle name="Total 3 4 2 2" xfId="27589" xr:uid="{00000000-0005-0000-0000-0000AE740000}"/>
    <cellStyle name="Total 3 4 2 2 2" xfId="32180" xr:uid="{A2BDB1D8-7DD2-4173-A680-DC1EC64367B1}"/>
    <cellStyle name="Total 3 4 2 3" xfId="28583" xr:uid="{00000000-0005-0000-0000-0000AF740000}"/>
    <cellStyle name="Total 3 4 2 3 2" xfId="33141" xr:uid="{65A6898F-CF4A-4F6F-90FC-F54707BC3756}"/>
    <cellStyle name="Total 3 4 2 4" xfId="26993" xr:uid="{00000000-0005-0000-0000-0000B0740000}"/>
    <cellStyle name="Total 3 4 2 4 2" xfId="31754" xr:uid="{5B604051-A4EA-473B-9F8D-AEC9FC44DFC2}"/>
    <cellStyle name="Total 3 4 2 5" xfId="30128" xr:uid="{00000000-0005-0000-0000-0000B1740000}"/>
    <cellStyle name="Total 3 4 2 6" xfId="30593" xr:uid="{297BF418-CAF9-47A2-B3EF-DD9AAD8FDCDC}"/>
    <cellStyle name="Total 3 4 3" xfId="25600" xr:uid="{00000000-0005-0000-0000-0000B2740000}"/>
    <cellStyle name="Total 3 4 3 2" xfId="27753" xr:uid="{00000000-0005-0000-0000-0000B3740000}"/>
    <cellStyle name="Total 3 4 3 2 2" xfId="32340" xr:uid="{9937F65C-C050-41FF-9E90-A221999BC221}"/>
    <cellStyle name="Total 3 4 3 3" xfId="28584" xr:uid="{00000000-0005-0000-0000-0000B4740000}"/>
    <cellStyle name="Total 3 4 3 3 2" xfId="33142" xr:uid="{61B46CD8-40FB-4ABE-A068-E84356084486}"/>
    <cellStyle name="Total 3 4 3 4" xfId="26225" xr:uid="{00000000-0005-0000-0000-0000B5740000}"/>
    <cellStyle name="Total 3 4 3 4 2" xfId="31013" xr:uid="{D7E14494-F708-48F9-B3FC-4C4E5DDF860F}"/>
    <cellStyle name="Total 3 4 3 5" xfId="30129" xr:uid="{00000000-0005-0000-0000-0000B6740000}"/>
    <cellStyle name="Total 3 4 3 6" xfId="30641" xr:uid="{77B694A4-07D1-4484-B234-3731FC02F60B}"/>
    <cellStyle name="Total 3 4 4" xfId="27226" xr:uid="{00000000-0005-0000-0000-0000B7740000}"/>
    <cellStyle name="Total 3 4 4 2" xfId="31862" xr:uid="{09202994-A834-4AEB-B20A-931CDEA2AFF9}"/>
    <cellStyle name="Total 3 4 5" xfId="28582" xr:uid="{00000000-0005-0000-0000-0000B8740000}"/>
    <cellStyle name="Total 3 4 5 2" xfId="33140" xr:uid="{3A5CE6F9-C6F0-4A83-AE3F-0DED7180AC00}"/>
    <cellStyle name="Total 3 4 6" xfId="26421" xr:uid="{00000000-0005-0000-0000-0000B9740000}"/>
    <cellStyle name="Total 3 4 6 2" xfId="31209" xr:uid="{F514AB7B-36E9-4F4C-97E7-2553075C8CC0}"/>
    <cellStyle name="Total 3 4 7" xfId="30127" xr:uid="{00000000-0005-0000-0000-0000BA740000}"/>
    <cellStyle name="Total 3 4 8" xfId="30302" xr:uid="{DEFD5126-9A94-4AE1-AC42-929B70077E1C}"/>
    <cellStyle name="Total 3 5" xfId="25140" xr:uid="{00000000-0005-0000-0000-0000BB740000}"/>
    <cellStyle name="Total 3 5 2" xfId="25339" xr:uid="{00000000-0005-0000-0000-0000BC740000}"/>
    <cellStyle name="Total 3 5 2 2" xfId="27493" xr:uid="{00000000-0005-0000-0000-0000BD740000}"/>
    <cellStyle name="Total 3 5 2 2 2" xfId="32084" xr:uid="{60532C45-AFD9-4369-B8D3-C86DE7713B19}"/>
    <cellStyle name="Total 3 5 2 3" xfId="28586" xr:uid="{00000000-0005-0000-0000-0000BE740000}"/>
    <cellStyle name="Total 3 5 2 3 2" xfId="33144" xr:uid="{42C3C0B3-5574-4286-A9E7-1FDBE875ECF1}"/>
    <cellStyle name="Total 3 5 2 4" xfId="26339" xr:uid="{00000000-0005-0000-0000-0000BF740000}"/>
    <cellStyle name="Total 3 5 2 4 2" xfId="31127" xr:uid="{617C2EFD-9BD8-4E3D-8110-2967ED77E4DA}"/>
    <cellStyle name="Total 3 5 2 5" xfId="30131" xr:uid="{00000000-0005-0000-0000-0000C0740000}"/>
    <cellStyle name="Total 3 5 2 6" xfId="30497" xr:uid="{8CB14B0D-F9CD-4C73-8408-50AF7E0A485F}"/>
    <cellStyle name="Total 3 5 3" xfId="25737" xr:uid="{00000000-0005-0000-0000-0000C1740000}"/>
    <cellStyle name="Total 3 5 3 2" xfId="27890" xr:uid="{00000000-0005-0000-0000-0000C2740000}"/>
    <cellStyle name="Total 3 5 3 2 2" xfId="32477" xr:uid="{13222091-B404-4799-BAF5-9757ACC67C97}"/>
    <cellStyle name="Total 3 5 3 3" xfId="28587" xr:uid="{00000000-0005-0000-0000-0000C3740000}"/>
    <cellStyle name="Total 3 5 3 3 2" xfId="33145" xr:uid="{56A480DC-415B-4599-840F-1B86A9173F74}"/>
    <cellStyle name="Total 3 5 3 4" xfId="29259" xr:uid="{00000000-0005-0000-0000-0000C4740000}"/>
    <cellStyle name="Total 3 5 3 4 2" xfId="33241" xr:uid="{E9082A5F-C7D7-4375-8B8E-3007D3DF31D4}"/>
    <cellStyle name="Total 3 5 3 5" xfId="30132" xr:uid="{00000000-0005-0000-0000-0000C5740000}"/>
    <cellStyle name="Total 3 5 3 6" xfId="30731" xr:uid="{F3FB0EF9-E15F-4620-84A2-E3879B627515}"/>
    <cellStyle name="Total 3 5 4" xfId="27424" xr:uid="{00000000-0005-0000-0000-0000C6740000}"/>
    <cellStyle name="Total 3 5 4 2" xfId="32022" xr:uid="{9042B7DD-2832-4980-89BF-E90E227D488E}"/>
    <cellStyle name="Total 3 5 5" xfId="28585" xr:uid="{00000000-0005-0000-0000-0000C7740000}"/>
    <cellStyle name="Total 3 5 5 2" xfId="33143" xr:uid="{DBC7BA00-A685-4478-ABF2-84EF78868508}"/>
    <cellStyle name="Total 3 5 6" xfId="26299" xr:uid="{00000000-0005-0000-0000-0000C8740000}"/>
    <cellStyle name="Total 3 5 6 2" xfId="31087" xr:uid="{BEBE9579-1DEF-4EC8-8B97-E248E9586C23}"/>
    <cellStyle name="Total 3 5 7" xfId="30130" xr:uid="{00000000-0005-0000-0000-0000C9740000}"/>
    <cellStyle name="Total 3 5 8" xfId="30439" xr:uid="{298B25C6-2464-4FC2-A047-EE581E9EBB9C}"/>
    <cellStyle name="Total 30" xfId="3498" xr:uid="{00000000-0005-0000-0000-0000CA740000}"/>
    <cellStyle name="Total 31" xfId="3499" xr:uid="{00000000-0005-0000-0000-0000CB740000}"/>
    <cellStyle name="Total 32" xfId="3500" xr:uid="{00000000-0005-0000-0000-0000CC740000}"/>
    <cellStyle name="Total 33" xfId="3501" xr:uid="{00000000-0005-0000-0000-0000CD740000}"/>
    <cellStyle name="Total 34" xfId="3502" xr:uid="{00000000-0005-0000-0000-0000CE740000}"/>
    <cellStyle name="Total 35" xfId="3503" xr:uid="{00000000-0005-0000-0000-0000CF740000}"/>
    <cellStyle name="Total 36" xfId="3504" xr:uid="{00000000-0005-0000-0000-0000D0740000}"/>
    <cellStyle name="Total 37" xfId="3505" xr:uid="{00000000-0005-0000-0000-0000D1740000}"/>
    <cellStyle name="Total 38" xfId="3506" xr:uid="{00000000-0005-0000-0000-0000D2740000}"/>
    <cellStyle name="Total 39" xfId="3507" xr:uid="{00000000-0005-0000-0000-0000D3740000}"/>
    <cellStyle name="Total 4" xfId="3508" xr:uid="{00000000-0005-0000-0000-0000D4740000}"/>
    <cellStyle name="Total 4 2" xfId="24282" xr:uid="{00000000-0005-0000-0000-0000D5740000}"/>
    <cellStyle name="Total 4 2 2" xfId="25342" xr:uid="{00000000-0005-0000-0000-0000D6740000}"/>
    <cellStyle name="Total 4 2 2 2" xfId="27496" xr:uid="{00000000-0005-0000-0000-0000D7740000}"/>
    <cellStyle name="Total 4 2 2 2 2" xfId="32087" xr:uid="{4378C6B3-2DA9-474F-A647-C3CA09AFEC45}"/>
    <cellStyle name="Total 4 2 2 3" xfId="28589" xr:uid="{00000000-0005-0000-0000-0000D8740000}"/>
    <cellStyle name="Total 4 2 2 3 2" xfId="33147" xr:uid="{BB8D41DE-6671-4C6A-B244-D7BDDEA8C537}"/>
    <cellStyle name="Total 4 2 2 4" xfId="26403" xr:uid="{00000000-0005-0000-0000-0000D9740000}"/>
    <cellStyle name="Total 4 2 2 4 2" xfId="31191" xr:uid="{06FA5306-906D-4ACA-ACBA-CF8833D650F0}"/>
    <cellStyle name="Total 4 2 2 5" xfId="30134" xr:uid="{00000000-0005-0000-0000-0000DA740000}"/>
    <cellStyle name="Total 4 2 2 6" xfId="30500" xr:uid="{94C8C99B-1DD9-41F2-99AF-5448E8C931A7}"/>
    <cellStyle name="Total 4 2 3" xfId="25595" xr:uid="{00000000-0005-0000-0000-0000DB740000}"/>
    <cellStyle name="Total 4 2 3 2" xfId="27748" xr:uid="{00000000-0005-0000-0000-0000DC740000}"/>
    <cellStyle name="Total 4 2 3 2 2" xfId="32335" xr:uid="{85C4C2A5-C66F-49A1-BC57-4B2771D10C8B}"/>
    <cellStyle name="Total 4 2 3 3" xfId="28590" xr:uid="{00000000-0005-0000-0000-0000DD740000}"/>
    <cellStyle name="Total 4 2 3 3 2" xfId="33148" xr:uid="{B891C2B4-10D8-41F3-8312-28F63F7F3A20}"/>
    <cellStyle name="Total 4 2 3 4" xfId="26125" xr:uid="{00000000-0005-0000-0000-0000DE740000}"/>
    <cellStyle name="Total 4 2 3 4 2" xfId="30915" xr:uid="{0833D6C1-7CFA-4DF1-9782-8D07003D88E2}"/>
    <cellStyle name="Total 4 2 3 5" xfId="30135" xr:uid="{00000000-0005-0000-0000-0000DF740000}"/>
    <cellStyle name="Total 4 2 3 6" xfId="30636" xr:uid="{633D8663-1054-4EED-A030-814D93776AC8}"/>
    <cellStyle name="Total 4 2 4" xfId="27132" xr:uid="{00000000-0005-0000-0000-0000E0740000}"/>
    <cellStyle name="Total 4 2 4 2" xfId="31846" xr:uid="{7B71D4F2-F41A-4B45-97DE-60010697BFF7}"/>
    <cellStyle name="Total 4 2 5" xfId="28588" xr:uid="{00000000-0005-0000-0000-0000E1740000}"/>
    <cellStyle name="Total 4 2 5 2" xfId="33146" xr:uid="{16A73471-B493-4D5E-93DE-743BB0476318}"/>
    <cellStyle name="Total 4 2 6" xfId="26084" xr:uid="{00000000-0005-0000-0000-0000E2740000}"/>
    <cellStyle name="Total 4 2 6 2" xfId="30874" xr:uid="{CC9A10D6-1D0B-4AC0-A0CE-A52BE0B212FA}"/>
    <cellStyle name="Total 4 2 7" xfId="30133" xr:uid="{00000000-0005-0000-0000-0000E3740000}"/>
    <cellStyle name="Total 4 2 8" xfId="30297" xr:uid="{22AB453E-1F3E-4C84-8EDE-D41A5226AF77}"/>
    <cellStyle name="Total 4 3" xfId="24919" xr:uid="{00000000-0005-0000-0000-0000E4740000}"/>
    <cellStyle name="Total 4 3 2" xfId="25398" xr:uid="{00000000-0005-0000-0000-0000E5740000}"/>
    <cellStyle name="Total 4 3 2 2" xfId="27552" xr:uid="{00000000-0005-0000-0000-0000E6740000}"/>
    <cellStyle name="Total 4 3 2 2 2" xfId="32143" xr:uid="{54D0D36D-D38A-48EA-8F9F-12929664FC29}"/>
    <cellStyle name="Total 4 3 2 3" xfId="28592" xr:uid="{00000000-0005-0000-0000-0000E7740000}"/>
    <cellStyle name="Total 4 3 2 3 2" xfId="33150" xr:uid="{A23ECFBC-7E32-4834-A929-03A01C36286D}"/>
    <cellStyle name="Total 4 3 2 4" xfId="26267" xr:uid="{00000000-0005-0000-0000-0000E8740000}"/>
    <cellStyle name="Total 4 3 2 4 2" xfId="31055" xr:uid="{E620B1FD-F492-4409-96F2-9F0FCC8A5754}"/>
    <cellStyle name="Total 4 3 2 5" xfId="30137" xr:uid="{00000000-0005-0000-0000-0000E9740000}"/>
    <cellStyle name="Total 4 3 2 6" xfId="30556" xr:uid="{274C8E83-2BAF-42F9-9960-12767F2A3B03}"/>
    <cellStyle name="Total 4 3 3" xfId="25666" xr:uid="{00000000-0005-0000-0000-0000EA740000}"/>
    <cellStyle name="Total 4 3 3 2" xfId="27819" xr:uid="{00000000-0005-0000-0000-0000EB740000}"/>
    <cellStyle name="Total 4 3 3 2 2" xfId="32406" xr:uid="{65D3F2E4-7BB4-4281-ACA6-E60E12B1D4DB}"/>
    <cellStyle name="Total 4 3 3 3" xfId="28593" xr:uid="{00000000-0005-0000-0000-0000EC740000}"/>
    <cellStyle name="Total 4 3 3 3 2" xfId="33151" xr:uid="{4E0E1F52-E922-4562-B145-9D61CE70DF1F}"/>
    <cellStyle name="Total 4 3 3 4" xfId="26388" xr:uid="{00000000-0005-0000-0000-0000ED740000}"/>
    <cellStyle name="Total 4 3 3 4 2" xfId="31176" xr:uid="{3CAB2FCC-F2E0-4BDB-A841-12D9D04BAF9F}"/>
    <cellStyle name="Total 4 3 3 5" xfId="30138" xr:uid="{00000000-0005-0000-0000-0000EE740000}"/>
    <cellStyle name="Total 4 3 3 6" xfId="30660" xr:uid="{790C6D1E-DF37-4DCD-9EC8-900A78DCE377}"/>
    <cellStyle name="Total 4 3 4" xfId="27328" xr:uid="{00000000-0005-0000-0000-0000EF740000}"/>
    <cellStyle name="Total 4 3 4 2" xfId="31944" xr:uid="{98248B7B-8F55-4195-AA4F-E85B2CA4FEE5}"/>
    <cellStyle name="Total 4 3 5" xfId="28591" xr:uid="{00000000-0005-0000-0000-0000F0740000}"/>
    <cellStyle name="Total 4 3 5 2" xfId="33149" xr:uid="{719FC50C-2925-4713-9C24-ECA6FA9D3B66}"/>
    <cellStyle name="Total 4 3 6" xfId="26486" xr:uid="{00000000-0005-0000-0000-0000F1740000}"/>
    <cellStyle name="Total 4 3 6 2" xfId="31274" xr:uid="{9E428137-BA87-4A98-B509-36FC34EACE8A}"/>
    <cellStyle name="Total 4 3 7" xfId="30136" xr:uid="{00000000-0005-0000-0000-0000F2740000}"/>
    <cellStyle name="Total 4 3 8" xfId="30368" xr:uid="{4B374924-25EA-483F-8E15-64CC10DA2880}"/>
    <cellStyle name="Total 4 4" xfId="25142" xr:uid="{00000000-0005-0000-0000-0000F3740000}"/>
    <cellStyle name="Total 4 4 2" xfId="25353" xr:uid="{00000000-0005-0000-0000-0000F4740000}"/>
    <cellStyle name="Total 4 4 2 2" xfId="27507" xr:uid="{00000000-0005-0000-0000-0000F5740000}"/>
    <cellStyle name="Total 4 4 2 2 2" xfId="32098" xr:uid="{48E2DFAC-9E19-46B6-A672-AA24C70FD3F4}"/>
    <cellStyle name="Total 4 4 2 3" xfId="28595" xr:uid="{00000000-0005-0000-0000-0000F6740000}"/>
    <cellStyle name="Total 4 4 2 3 2" xfId="33153" xr:uid="{2BD78EBB-DF9A-4B00-B320-34FD1A0C67C2}"/>
    <cellStyle name="Total 4 4 2 4" xfId="26361" xr:uid="{00000000-0005-0000-0000-0000F7740000}"/>
    <cellStyle name="Total 4 4 2 4 2" xfId="31149" xr:uid="{9DDD0831-4314-47DA-AD44-61B64DD6E563}"/>
    <cellStyle name="Total 4 4 2 5" xfId="30140" xr:uid="{00000000-0005-0000-0000-0000F8740000}"/>
    <cellStyle name="Total 4 4 2 6" xfId="30511" xr:uid="{54DB8FF2-E2DC-4873-822C-DE6A7A7A6DBF}"/>
    <cellStyle name="Total 4 4 3" xfId="25739" xr:uid="{00000000-0005-0000-0000-0000F9740000}"/>
    <cellStyle name="Total 4 4 3 2" xfId="27892" xr:uid="{00000000-0005-0000-0000-0000FA740000}"/>
    <cellStyle name="Total 4 4 3 2 2" xfId="32479" xr:uid="{6F7AA709-90E0-4E39-94DB-9A06C4DC19BD}"/>
    <cellStyle name="Total 4 4 3 3" xfId="28596" xr:uid="{00000000-0005-0000-0000-0000FB740000}"/>
    <cellStyle name="Total 4 4 3 3 2" xfId="33154" xr:uid="{63508A8A-AA8E-4271-A08F-6E8229F49EE4}"/>
    <cellStyle name="Total 4 4 3 4" xfId="29261" xr:uid="{00000000-0005-0000-0000-0000FC740000}"/>
    <cellStyle name="Total 4 4 3 4 2" xfId="33243" xr:uid="{223558E1-C7F3-4532-B769-B31B96400F07}"/>
    <cellStyle name="Total 4 4 3 5" xfId="30141" xr:uid="{00000000-0005-0000-0000-0000FD740000}"/>
    <cellStyle name="Total 4 4 3 6" xfId="30733" xr:uid="{86F6F288-E04E-4796-9995-7EF0A0200931}"/>
    <cellStyle name="Total 4 4 4" xfId="27426" xr:uid="{00000000-0005-0000-0000-0000FE740000}"/>
    <cellStyle name="Total 4 4 4 2" xfId="32024" xr:uid="{9EAC94FF-9547-4198-A634-ED1886989857}"/>
    <cellStyle name="Total 4 4 5" xfId="28594" xr:uid="{00000000-0005-0000-0000-0000FF740000}"/>
    <cellStyle name="Total 4 4 5 2" xfId="33152" xr:uid="{CB6FE6EE-EFF1-4214-97C2-6D3C099ABB87}"/>
    <cellStyle name="Total 4 4 6" xfId="26140" xr:uid="{00000000-0005-0000-0000-000000750000}"/>
    <cellStyle name="Total 4 4 6 2" xfId="30930" xr:uid="{BE8099BB-5C21-44A0-9E6D-608F862F7BA3}"/>
    <cellStyle name="Total 4 4 7" xfId="30139" xr:uid="{00000000-0005-0000-0000-000001750000}"/>
    <cellStyle name="Total 4 4 8" xfId="30441" xr:uid="{571703F0-F760-4DEB-834D-F8CC05FDB234}"/>
    <cellStyle name="Total 40" xfId="3509" xr:uid="{00000000-0005-0000-0000-000002750000}"/>
    <cellStyle name="Total 41" xfId="3510" xr:uid="{00000000-0005-0000-0000-000003750000}"/>
    <cellStyle name="Total 42" xfId="3511" xr:uid="{00000000-0005-0000-0000-000004750000}"/>
    <cellStyle name="Total 43" xfId="3512" xr:uid="{00000000-0005-0000-0000-000005750000}"/>
    <cellStyle name="Total 44" xfId="3513" xr:uid="{00000000-0005-0000-0000-000006750000}"/>
    <cellStyle name="Total 45" xfId="3514" xr:uid="{00000000-0005-0000-0000-000007750000}"/>
    <cellStyle name="Total 46" xfId="3515" xr:uid="{00000000-0005-0000-0000-000008750000}"/>
    <cellStyle name="Total 47" xfId="3516" xr:uid="{00000000-0005-0000-0000-000009750000}"/>
    <cellStyle name="Total 48" xfId="3517" xr:uid="{00000000-0005-0000-0000-00000A750000}"/>
    <cellStyle name="Total 49" xfId="3518" xr:uid="{00000000-0005-0000-0000-00000B750000}"/>
    <cellStyle name="Total 5" xfId="3519" xr:uid="{00000000-0005-0000-0000-00000C750000}"/>
    <cellStyle name="Total 5 2" xfId="24283" xr:uid="{00000000-0005-0000-0000-00000D750000}"/>
    <cellStyle name="Total 5 2 2" xfId="25443" xr:uid="{00000000-0005-0000-0000-00000E750000}"/>
    <cellStyle name="Total 5 2 2 2" xfId="27597" xr:uid="{00000000-0005-0000-0000-00000F750000}"/>
    <cellStyle name="Total 5 2 2 2 2" xfId="32188" xr:uid="{1A01EE37-E5FB-4D5F-B501-61FCBC1B5FC1}"/>
    <cellStyle name="Total 5 2 2 3" xfId="28598" xr:uid="{00000000-0005-0000-0000-000010750000}"/>
    <cellStyle name="Total 5 2 2 3 2" xfId="33156" xr:uid="{FAEED872-5722-49A8-B50C-6D623D92AACB}"/>
    <cellStyle name="Total 5 2 2 4" xfId="26811" xr:uid="{00000000-0005-0000-0000-000011750000}"/>
    <cellStyle name="Total 5 2 2 4 2" xfId="31572" xr:uid="{85056974-46FB-4BD2-9997-A72E569750F2}"/>
    <cellStyle name="Total 5 2 2 5" xfId="30143" xr:uid="{00000000-0005-0000-0000-000012750000}"/>
    <cellStyle name="Total 5 2 2 6" xfId="30601" xr:uid="{0E6F7E58-40F1-4547-9584-A423349B45FD}"/>
    <cellStyle name="Total 5 2 3" xfId="25596" xr:uid="{00000000-0005-0000-0000-000013750000}"/>
    <cellStyle name="Total 5 2 3 2" xfId="27749" xr:uid="{00000000-0005-0000-0000-000014750000}"/>
    <cellStyle name="Total 5 2 3 2 2" xfId="32336" xr:uid="{E4BB1665-5941-405A-92B1-7623F824D543}"/>
    <cellStyle name="Total 5 2 3 3" xfId="28599" xr:uid="{00000000-0005-0000-0000-000015750000}"/>
    <cellStyle name="Total 5 2 3 3 2" xfId="33157" xr:uid="{0B7F333A-09FB-4988-9956-925D5D7A87EA}"/>
    <cellStyle name="Total 5 2 3 4" xfId="26072" xr:uid="{00000000-0005-0000-0000-000016750000}"/>
    <cellStyle name="Total 5 2 3 4 2" xfId="30862" xr:uid="{E033AB36-09E1-46FA-AE2C-4A7B1C24EC53}"/>
    <cellStyle name="Total 5 2 3 5" xfId="30144" xr:uid="{00000000-0005-0000-0000-000017750000}"/>
    <cellStyle name="Total 5 2 3 6" xfId="30637" xr:uid="{76ACCD91-D6E0-4875-8BBD-0A2C4B297263}"/>
    <cellStyle name="Total 5 2 4" xfId="27133" xr:uid="{00000000-0005-0000-0000-000018750000}"/>
    <cellStyle name="Total 5 2 4 2" xfId="31847" xr:uid="{F21D570B-EB8C-4CD4-94DA-9A1EBA8F5904}"/>
    <cellStyle name="Total 5 2 5" xfId="28597" xr:uid="{00000000-0005-0000-0000-000019750000}"/>
    <cellStyle name="Total 5 2 5 2" xfId="33155" xr:uid="{F1DB78CE-759B-4265-A60F-E10226159B3C}"/>
    <cellStyle name="Total 5 2 6" xfId="26931" xr:uid="{00000000-0005-0000-0000-00001A750000}"/>
    <cellStyle name="Total 5 2 6 2" xfId="31692" xr:uid="{123F0A2A-567E-4F1F-A89D-E7C951991C9D}"/>
    <cellStyle name="Total 5 2 7" xfId="30142" xr:uid="{00000000-0005-0000-0000-00001B750000}"/>
    <cellStyle name="Total 5 2 8" xfId="30298" xr:uid="{5F65EC68-8286-45EE-A89E-0C21A3079FAB}"/>
    <cellStyle name="Total 5 3" xfId="24920" xr:uid="{00000000-0005-0000-0000-00001C750000}"/>
    <cellStyle name="Total 5 3 2" xfId="25306" xr:uid="{00000000-0005-0000-0000-00001D750000}"/>
    <cellStyle name="Total 5 3 2 2" xfId="27460" xr:uid="{00000000-0005-0000-0000-00001E750000}"/>
    <cellStyle name="Total 5 3 2 2 2" xfId="32052" xr:uid="{CF4FB559-6B06-4D86-9F52-4081997E7A2D}"/>
    <cellStyle name="Total 5 3 2 3" xfId="28601" xr:uid="{00000000-0005-0000-0000-00001F750000}"/>
    <cellStyle name="Total 5 3 2 3 2" xfId="33159" xr:uid="{4C6A5994-8188-40CD-97CE-F157044AB362}"/>
    <cellStyle name="Total 5 3 2 4" xfId="27300" xr:uid="{00000000-0005-0000-0000-000020750000}"/>
    <cellStyle name="Total 5 3 2 4 2" xfId="31929" xr:uid="{EC9E496B-C1B7-433F-B501-7281817D5566}"/>
    <cellStyle name="Total 5 3 2 5" xfId="30146" xr:uid="{00000000-0005-0000-0000-000021750000}"/>
    <cellStyle name="Total 5 3 2 6" xfId="30465" xr:uid="{21EAE05D-F815-4308-8C74-68FFAA9511AB}"/>
    <cellStyle name="Total 5 3 3" xfId="25667" xr:uid="{00000000-0005-0000-0000-000022750000}"/>
    <cellStyle name="Total 5 3 3 2" xfId="27820" xr:uid="{00000000-0005-0000-0000-000023750000}"/>
    <cellStyle name="Total 5 3 3 2 2" xfId="32407" xr:uid="{9474D353-DE2F-4581-B8B8-3603CFAFDEA1}"/>
    <cellStyle name="Total 5 3 3 3" xfId="28602" xr:uid="{00000000-0005-0000-0000-000024750000}"/>
    <cellStyle name="Total 5 3 3 3 2" xfId="33160" xr:uid="{5C47D7FD-0052-4F73-845A-DE60E448E2E0}"/>
    <cellStyle name="Total 5 3 3 4" xfId="26154" xr:uid="{00000000-0005-0000-0000-000025750000}"/>
    <cellStyle name="Total 5 3 3 4 2" xfId="30943" xr:uid="{E1D73A66-2E7C-4EF2-A995-A3EB03087788}"/>
    <cellStyle name="Total 5 3 3 5" xfId="30147" xr:uid="{00000000-0005-0000-0000-000026750000}"/>
    <cellStyle name="Total 5 3 3 6" xfId="30661" xr:uid="{EC622344-C1E2-4C46-A0BB-3449E4C0DA9F}"/>
    <cellStyle name="Total 5 3 4" xfId="27329" xr:uid="{00000000-0005-0000-0000-000027750000}"/>
    <cellStyle name="Total 5 3 4 2" xfId="31945" xr:uid="{939B9C63-19BB-4437-B801-11B491A6BA9A}"/>
    <cellStyle name="Total 5 3 5" xfId="28600" xr:uid="{00000000-0005-0000-0000-000028750000}"/>
    <cellStyle name="Total 5 3 5 2" xfId="33158" xr:uid="{D982A6EF-C445-4861-AEEA-769905690067}"/>
    <cellStyle name="Total 5 3 6" xfId="26506" xr:uid="{00000000-0005-0000-0000-000029750000}"/>
    <cellStyle name="Total 5 3 6 2" xfId="31294" xr:uid="{B61A439A-4AE3-4E86-A6F9-DB221DA44F24}"/>
    <cellStyle name="Total 5 3 7" xfId="30145" xr:uid="{00000000-0005-0000-0000-00002A750000}"/>
    <cellStyle name="Total 5 3 8" xfId="30369" xr:uid="{A21F8164-8F15-4AA3-8340-904BD57D9AE3}"/>
    <cellStyle name="Total 5 4" xfId="25143" xr:uid="{00000000-0005-0000-0000-00002B750000}"/>
    <cellStyle name="Total 5 4 2" xfId="25387" xr:uid="{00000000-0005-0000-0000-00002C750000}"/>
    <cellStyle name="Total 5 4 2 2" xfId="27541" xr:uid="{00000000-0005-0000-0000-00002D750000}"/>
    <cellStyle name="Total 5 4 2 2 2" xfId="32132" xr:uid="{C09A800A-9F4B-4F15-B088-673EA64C0818}"/>
    <cellStyle name="Total 5 4 2 3" xfId="28604" xr:uid="{00000000-0005-0000-0000-00002E750000}"/>
    <cellStyle name="Total 5 4 2 3 2" xfId="33162" xr:uid="{5CC72DBA-655D-4417-BA0C-00A0AC5704E0}"/>
    <cellStyle name="Total 5 4 2 4" xfId="26946" xr:uid="{00000000-0005-0000-0000-00002F750000}"/>
    <cellStyle name="Total 5 4 2 4 2" xfId="31707" xr:uid="{B27BEE8D-3D5F-405A-AC8C-2FB611591DD3}"/>
    <cellStyle name="Total 5 4 2 5" xfId="30149" xr:uid="{00000000-0005-0000-0000-000030750000}"/>
    <cellStyle name="Total 5 4 2 6" xfId="30545" xr:uid="{AB83CD1D-3767-49BD-90E8-FDED0C653E28}"/>
    <cellStyle name="Total 5 4 3" xfId="25740" xr:uid="{00000000-0005-0000-0000-000031750000}"/>
    <cellStyle name="Total 5 4 3 2" xfId="27893" xr:uid="{00000000-0005-0000-0000-000032750000}"/>
    <cellStyle name="Total 5 4 3 2 2" xfId="32480" xr:uid="{70D1F87F-92C2-4634-9950-15391789CD5C}"/>
    <cellStyle name="Total 5 4 3 3" xfId="28605" xr:uid="{00000000-0005-0000-0000-000033750000}"/>
    <cellStyle name="Total 5 4 3 3 2" xfId="33163" xr:uid="{1592B783-BA75-4FFD-8345-F22111F870AF}"/>
    <cellStyle name="Total 5 4 3 4" xfId="29262" xr:uid="{00000000-0005-0000-0000-000034750000}"/>
    <cellStyle name="Total 5 4 3 4 2" xfId="33244" xr:uid="{D27FBA5E-96B8-45AF-8329-5312102AE377}"/>
    <cellStyle name="Total 5 4 3 5" xfId="30150" xr:uid="{00000000-0005-0000-0000-000035750000}"/>
    <cellStyle name="Total 5 4 3 6" xfId="30734" xr:uid="{F2B97EC6-FE1B-42C0-A0D1-EF201A6CC8D7}"/>
    <cellStyle name="Total 5 4 4" xfId="27427" xr:uid="{00000000-0005-0000-0000-000036750000}"/>
    <cellStyle name="Total 5 4 4 2" xfId="32025" xr:uid="{6D38578B-548C-42A8-8C39-834BA18D03AC}"/>
    <cellStyle name="Total 5 4 5" xfId="28603" xr:uid="{00000000-0005-0000-0000-000037750000}"/>
    <cellStyle name="Total 5 4 5 2" xfId="33161" xr:uid="{76046E16-1B43-40D5-A231-BF5B9483B287}"/>
    <cellStyle name="Total 5 4 6" xfId="26500" xr:uid="{00000000-0005-0000-0000-000038750000}"/>
    <cellStyle name="Total 5 4 6 2" xfId="31288" xr:uid="{EB843CE7-4408-42DC-A1FF-58F1A1BDA695}"/>
    <cellStyle name="Total 5 4 7" xfId="30148" xr:uid="{00000000-0005-0000-0000-000039750000}"/>
    <cellStyle name="Total 5 4 8" xfId="30442" xr:uid="{58C69EA8-9FA2-4BC2-80F8-63264066A1D4}"/>
    <cellStyle name="Total 50" xfId="3520" xr:uid="{00000000-0005-0000-0000-00003A750000}"/>
    <cellStyle name="Total 51" xfId="3521" xr:uid="{00000000-0005-0000-0000-00003B750000}"/>
    <cellStyle name="Total 52" xfId="3522" xr:uid="{00000000-0005-0000-0000-00003C750000}"/>
    <cellStyle name="Total 53" xfId="3523" xr:uid="{00000000-0005-0000-0000-00003D750000}"/>
    <cellStyle name="Total 54" xfId="3524" xr:uid="{00000000-0005-0000-0000-00003E750000}"/>
    <cellStyle name="Total 55" xfId="3525" xr:uid="{00000000-0005-0000-0000-00003F750000}"/>
    <cellStyle name="Total 56" xfId="3526" xr:uid="{00000000-0005-0000-0000-000040750000}"/>
    <cellStyle name="Total 57" xfId="3527" xr:uid="{00000000-0005-0000-0000-000041750000}"/>
    <cellStyle name="Total 58" xfId="3528" xr:uid="{00000000-0005-0000-0000-000042750000}"/>
    <cellStyle name="Total 59" xfId="3529" xr:uid="{00000000-0005-0000-0000-000043750000}"/>
    <cellStyle name="Total 6" xfId="3530" xr:uid="{00000000-0005-0000-0000-000044750000}"/>
    <cellStyle name="Total 60" xfId="3531" xr:uid="{00000000-0005-0000-0000-000045750000}"/>
    <cellStyle name="Total 61" xfId="3532" xr:uid="{00000000-0005-0000-0000-000046750000}"/>
    <cellStyle name="Total 62" xfId="3533" xr:uid="{00000000-0005-0000-0000-000047750000}"/>
    <cellStyle name="Total 63" xfId="3534" xr:uid="{00000000-0005-0000-0000-000048750000}"/>
    <cellStyle name="Total 64" xfId="3535" xr:uid="{00000000-0005-0000-0000-000049750000}"/>
    <cellStyle name="Total 65" xfId="3536" xr:uid="{00000000-0005-0000-0000-00004A750000}"/>
    <cellStyle name="Total 66" xfId="3537" xr:uid="{00000000-0005-0000-0000-00004B750000}"/>
    <cellStyle name="Total 67" xfId="3538" xr:uid="{00000000-0005-0000-0000-00004C750000}"/>
    <cellStyle name="Total 68" xfId="3539" xr:uid="{00000000-0005-0000-0000-00004D750000}"/>
    <cellStyle name="Total 69" xfId="3540" xr:uid="{00000000-0005-0000-0000-00004E750000}"/>
    <cellStyle name="Total 7" xfId="3541" xr:uid="{00000000-0005-0000-0000-00004F750000}"/>
    <cellStyle name="Total 70" xfId="3542" xr:uid="{00000000-0005-0000-0000-000050750000}"/>
    <cellStyle name="Total 71" xfId="3543" xr:uid="{00000000-0005-0000-0000-000051750000}"/>
    <cellStyle name="Total 72" xfId="3544" xr:uid="{00000000-0005-0000-0000-000052750000}"/>
    <cellStyle name="Total 73" xfId="23927" xr:uid="{00000000-0005-0000-0000-000053750000}"/>
    <cellStyle name="Total 73 2" xfId="27041" xr:uid="{00000000-0005-0000-0000-000054750000}"/>
    <cellStyle name="Total 8" xfId="3545" xr:uid="{00000000-0005-0000-0000-000055750000}"/>
    <cellStyle name="Total 9" xfId="3546" xr:uid="{00000000-0005-0000-0000-000056750000}"/>
    <cellStyle name="Total2 - Style2" xfId="158" xr:uid="{00000000-0005-0000-0000-000057750000}"/>
    <cellStyle name="TRANSMISSION RELIABILITY PORTION OF PROJECT" xfId="159" xr:uid="{00000000-0005-0000-0000-000058750000}"/>
    <cellStyle name="Underl - Style4" xfId="160" xr:uid="{00000000-0005-0000-0000-000059750000}"/>
    <cellStyle name="Underl - Style4 2" xfId="30151" xr:uid="{00000000-0005-0000-0000-00005A750000}"/>
    <cellStyle name="Underl - Style4 2 2" xfId="33353" xr:uid="{0F704DC6-C2B6-487A-B63B-F599903011A2}"/>
    <cellStyle name="UNLocked" xfId="628" xr:uid="{00000000-0005-0000-0000-00005B750000}"/>
    <cellStyle name="UNLocked 2" xfId="24284" xr:uid="{00000000-0005-0000-0000-00005C750000}"/>
    <cellStyle name="Unprot" xfId="161" xr:uid="{00000000-0005-0000-0000-00005D750000}"/>
    <cellStyle name="Unprot$" xfId="162" xr:uid="{00000000-0005-0000-0000-00005E750000}"/>
    <cellStyle name="Unprotect" xfId="163" xr:uid="{00000000-0005-0000-0000-00005F750000}"/>
    <cellStyle name="UploadThisRowValue" xfId="3547" xr:uid="{00000000-0005-0000-0000-000060750000}"/>
    <cellStyle name="Warning Text 10" xfId="3548" xr:uid="{00000000-0005-0000-0000-000061750000}"/>
    <cellStyle name="Warning Text 11" xfId="3549" xr:uid="{00000000-0005-0000-0000-000062750000}"/>
    <cellStyle name="Warning Text 12" xfId="3550" xr:uid="{00000000-0005-0000-0000-000063750000}"/>
    <cellStyle name="Warning Text 13" xfId="3551" xr:uid="{00000000-0005-0000-0000-000064750000}"/>
    <cellStyle name="Warning Text 14" xfId="3552" xr:uid="{00000000-0005-0000-0000-000065750000}"/>
    <cellStyle name="Warning Text 15" xfId="3553" xr:uid="{00000000-0005-0000-0000-000066750000}"/>
    <cellStyle name="Warning Text 16" xfId="3554" xr:uid="{00000000-0005-0000-0000-000067750000}"/>
    <cellStyle name="Warning Text 17" xfId="3555" xr:uid="{00000000-0005-0000-0000-000068750000}"/>
    <cellStyle name="Warning Text 18" xfId="3556" xr:uid="{00000000-0005-0000-0000-000069750000}"/>
    <cellStyle name="Warning Text 19" xfId="3557" xr:uid="{00000000-0005-0000-0000-00006A750000}"/>
    <cellStyle name="Warning Text 2" xfId="3558" xr:uid="{00000000-0005-0000-0000-00006B750000}"/>
    <cellStyle name="Warning Text 2 2" xfId="24287" xr:uid="{00000000-0005-0000-0000-00006C750000}"/>
    <cellStyle name="Warning Text 2 3" xfId="24286" xr:uid="{00000000-0005-0000-0000-00006D750000}"/>
    <cellStyle name="Warning Text 20" xfId="3559" xr:uid="{00000000-0005-0000-0000-00006E750000}"/>
    <cellStyle name="Warning Text 21" xfId="3560" xr:uid="{00000000-0005-0000-0000-00006F750000}"/>
    <cellStyle name="Warning Text 22" xfId="3561" xr:uid="{00000000-0005-0000-0000-000070750000}"/>
    <cellStyle name="Warning Text 23" xfId="3562" xr:uid="{00000000-0005-0000-0000-000071750000}"/>
    <cellStyle name="Warning Text 24" xfId="3563" xr:uid="{00000000-0005-0000-0000-000072750000}"/>
    <cellStyle name="Warning Text 25" xfId="3564" xr:uid="{00000000-0005-0000-0000-000073750000}"/>
    <cellStyle name="Warning Text 26" xfId="3565" xr:uid="{00000000-0005-0000-0000-000074750000}"/>
    <cellStyle name="Warning Text 27" xfId="3566" xr:uid="{00000000-0005-0000-0000-000075750000}"/>
    <cellStyle name="Warning Text 28" xfId="3567" xr:uid="{00000000-0005-0000-0000-000076750000}"/>
    <cellStyle name="Warning Text 29" xfId="3568" xr:uid="{00000000-0005-0000-0000-000077750000}"/>
    <cellStyle name="Warning Text 3" xfId="3569" xr:uid="{00000000-0005-0000-0000-000078750000}"/>
    <cellStyle name="Warning Text 3 2" xfId="24289" xr:uid="{00000000-0005-0000-0000-000079750000}"/>
    <cellStyle name="Warning Text 3 3" xfId="24288" xr:uid="{00000000-0005-0000-0000-00007A750000}"/>
    <cellStyle name="Warning Text 30" xfId="3570" xr:uid="{00000000-0005-0000-0000-00007B750000}"/>
    <cellStyle name="Warning Text 31" xfId="3571" xr:uid="{00000000-0005-0000-0000-00007C750000}"/>
    <cellStyle name="Warning Text 32" xfId="3572" xr:uid="{00000000-0005-0000-0000-00007D750000}"/>
    <cellStyle name="Warning Text 33" xfId="3573" xr:uid="{00000000-0005-0000-0000-00007E750000}"/>
    <cellStyle name="Warning Text 34" xfId="3574" xr:uid="{00000000-0005-0000-0000-00007F750000}"/>
    <cellStyle name="Warning Text 35" xfId="3575" xr:uid="{00000000-0005-0000-0000-000080750000}"/>
    <cellStyle name="Warning Text 36" xfId="3576" xr:uid="{00000000-0005-0000-0000-000081750000}"/>
    <cellStyle name="Warning Text 37" xfId="3577" xr:uid="{00000000-0005-0000-0000-000082750000}"/>
    <cellStyle name="Warning Text 38" xfId="3578" xr:uid="{00000000-0005-0000-0000-000083750000}"/>
    <cellStyle name="Warning Text 39" xfId="3579" xr:uid="{00000000-0005-0000-0000-000084750000}"/>
    <cellStyle name="Warning Text 4" xfId="3580" xr:uid="{00000000-0005-0000-0000-000085750000}"/>
    <cellStyle name="Warning Text 4 2" xfId="24290" xr:uid="{00000000-0005-0000-0000-000086750000}"/>
    <cellStyle name="Warning Text 40" xfId="3581" xr:uid="{00000000-0005-0000-0000-000087750000}"/>
    <cellStyle name="Warning Text 41" xfId="3582" xr:uid="{00000000-0005-0000-0000-000088750000}"/>
    <cellStyle name="Warning Text 42" xfId="3583" xr:uid="{00000000-0005-0000-0000-000089750000}"/>
    <cellStyle name="Warning Text 43" xfId="3584" xr:uid="{00000000-0005-0000-0000-00008A750000}"/>
    <cellStyle name="Warning Text 44" xfId="3585" xr:uid="{00000000-0005-0000-0000-00008B750000}"/>
    <cellStyle name="Warning Text 45" xfId="3586" xr:uid="{00000000-0005-0000-0000-00008C750000}"/>
    <cellStyle name="Warning Text 46" xfId="3587" xr:uid="{00000000-0005-0000-0000-00008D750000}"/>
    <cellStyle name="Warning Text 47" xfId="3588" xr:uid="{00000000-0005-0000-0000-00008E750000}"/>
    <cellStyle name="Warning Text 48" xfId="3589" xr:uid="{00000000-0005-0000-0000-00008F750000}"/>
    <cellStyle name="Warning Text 49" xfId="3590" xr:uid="{00000000-0005-0000-0000-000090750000}"/>
    <cellStyle name="Warning Text 5" xfId="3591" xr:uid="{00000000-0005-0000-0000-000091750000}"/>
    <cellStyle name="Warning Text 5 2" xfId="24291" xr:uid="{00000000-0005-0000-0000-000092750000}"/>
    <cellStyle name="Warning Text 50" xfId="3592" xr:uid="{00000000-0005-0000-0000-000093750000}"/>
    <cellStyle name="Warning Text 51" xfId="3593" xr:uid="{00000000-0005-0000-0000-000094750000}"/>
    <cellStyle name="Warning Text 52" xfId="3594" xr:uid="{00000000-0005-0000-0000-000095750000}"/>
    <cellStyle name="Warning Text 53" xfId="3595" xr:uid="{00000000-0005-0000-0000-000096750000}"/>
    <cellStyle name="Warning Text 54" xfId="3596" xr:uid="{00000000-0005-0000-0000-000097750000}"/>
    <cellStyle name="Warning Text 55" xfId="3597" xr:uid="{00000000-0005-0000-0000-000098750000}"/>
    <cellStyle name="Warning Text 56" xfId="3598" xr:uid="{00000000-0005-0000-0000-000099750000}"/>
    <cellStyle name="Warning Text 57" xfId="3599" xr:uid="{00000000-0005-0000-0000-00009A750000}"/>
    <cellStyle name="Warning Text 58" xfId="3600" xr:uid="{00000000-0005-0000-0000-00009B750000}"/>
    <cellStyle name="Warning Text 59" xfId="3601" xr:uid="{00000000-0005-0000-0000-00009C750000}"/>
    <cellStyle name="Warning Text 6" xfId="3602" xr:uid="{00000000-0005-0000-0000-00009D750000}"/>
    <cellStyle name="Warning Text 60" xfId="3603" xr:uid="{00000000-0005-0000-0000-00009E750000}"/>
    <cellStyle name="Warning Text 61" xfId="3604" xr:uid="{00000000-0005-0000-0000-00009F750000}"/>
    <cellStyle name="Warning Text 62" xfId="3605" xr:uid="{00000000-0005-0000-0000-0000A0750000}"/>
    <cellStyle name="Warning Text 63" xfId="3606" xr:uid="{00000000-0005-0000-0000-0000A1750000}"/>
    <cellStyle name="Warning Text 64" xfId="3607" xr:uid="{00000000-0005-0000-0000-0000A2750000}"/>
    <cellStyle name="Warning Text 65" xfId="3608" xr:uid="{00000000-0005-0000-0000-0000A3750000}"/>
    <cellStyle name="Warning Text 66" xfId="3609" xr:uid="{00000000-0005-0000-0000-0000A4750000}"/>
    <cellStyle name="Warning Text 67" xfId="3610" xr:uid="{00000000-0005-0000-0000-0000A5750000}"/>
    <cellStyle name="Warning Text 68" xfId="3611" xr:uid="{00000000-0005-0000-0000-0000A6750000}"/>
    <cellStyle name="Warning Text 69" xfId="3612" xr:uid="{00000000-0005-0000-0000-0000A7750000}"/>
    <cellStyle name="Warning Text 7" xfId="3613" xr:uid="{00000000-0005-0000-0000-0000A8750000}"/>
    <cellStyle name="Warning Text 70" xfId="3614" xr:uid="{00000000-0005-0000-0000-0000A9750000}"/>
    <cellStyle name="Warning Text 71" xfId="3615" xr:uid="{00000000-0005-0000-0000-0000AA750000}"/>
    <cellStyle name="Warning Text 72" xfId="3616" xr:uid="{00000000-0005-0000-0000-0000AB750000}"/>
    <cellStyle name="Warning Text 8" xfId="3617" xr:uid="{00000000-0005-0000-0000-0000AC750000}"/>
    <cellStyle name="Warning Text 9" xfId="3618" xr:uid="{00000000-0005-0000-0000-0000AD750000}"/>
    <cellStyle name="WhitePattern" xfId="629" xr:uid="{00000000-0005-0000-0000-0000AE750000}"/>
    <cellStyle name="WhitePattern1" xfId="630" xr:uid="{00000000-0005-0000-0000-0000AF750000}"/>
    <cellStyle name="WhitePattern1 2" xfId="24526" xr:uid="{00000000-0005-0000-0000-0000B0750000}"/>
    <cellStyle name="WhitePattern1 2 2" xfId="25335" xr:uid="{00000000-0005-0000-0000-0000B1750000}"/>
    <cellStyle name="WhitePattern1 2 2 2" xfId="27489" xr:uid="{00000000-0005-0000-0000-0000B2750000}"/>
    <cellStyle name="WhitePattern1 2 2 2 2" xfId="32080" xr:uid="{3D7F4097-1613-4242-9EB3-38E8E0B0D100}"/>
    <cellStyle name="WhitePattern1 2 2 3" xfId="28607" xr:uid="{00000000-0005-0000-0000-0000B3750000}"/>
    <cellStyle name="WhitePattern1 2 2 4" xfId="29194" xr:uid="{00000000-0005-0000-0000-0000B4750000}"/>
    <cellStyle name="WhitePattern1 2 2 4 2" xfId="33177" xr:uid="{987C6AE6-E2DD-4418-8E04-302731C07A72}"/>
    <cellStyle name="WhitePattern1 2 2 5" xfId="26548" xr:uid="{00000000-0005-0000-0000-0000B5750000}"/>
    <cellStyle name="WhitePattern1 2 2 5 2" xfId="31335" xr:uid="{8211B196-BB97-4FA9-A6A3-4CD24162809B}"/>
    <cellStyle name="WhitePattern1 2 2 6" xfId="30493" xr:uid="{9E93F7AB-2649-4819-BE1D-4E50729CED18}"/>
    <cellStyle name="WhitePattern1 2 3" xfId="25597" xr:uid="{00000000-0005-0000-0000-0000B6750000}"/>
    <cellStyle name="WhitePattern1 2 3 2" xfId="27750" xr:uid="{00000000-0005-0000-0000-0000B7750000}"/>
    <cellStyle name="WhitePattern1 2 3 2 2" xfId="32337" xr:uid="{A66D0E0A-2CA6-4FF8-89BB-C84C17B6F8E7}"/>
    <cellStyle name="WhitePattern1 2 3 3" xfId="28608" xr:uid="{00000000-0005-0000-0000-0000B8750000}"/>
    <cellStyle name="WhitePattern1 2 3 4" xfId="29233" xr:uid="{00000000-0005-0000-0000-0000B9750000}"/>
    <cellStyle name="WhitePattern1 2 3 4 2" xfId="33216" xr:uid="{1A0DAAC5-6B55-472A-853A-8C6E4F897558}"/>
    <cellStyle name="WhitePattern1 2 3 5" xfId="27026" xr:uid="{00000000-0005-0000-0000-0000BA750000}"/>
    <cellStyle name="WhitePattern1 2 3 5 2" xfId="31786" xr:uid="{06BC4E06-0171-4472-A0CF-069DA41E695D}"/>
    <cellStyle name="WhitePattern1 2 3 6" xfId="30638" xr:uid="{371C4DE1-05A7-48C3-9A1D-B86F84C4BD78}"/>
    <cellStyle name="WhitePattern1 2 4" xfId="27206" xr:uid="{00000000-0005-0000-0000-0000BB750000}"/>
    <cellStyle name="WhitePattern1 2 4 2" xfId="31857" xr:uid="{E9ADB847-31CD-443E-AA95-7AA671B227CD}"/>
    <cellStyle name="WhitePattern1 2 5" xfId="28606" xr:uid="{00000000-0005-0000-0000-0000BC750000}"/>
    <cellStyle name="WhitePattern1 2 6" xfId="25813" xr:uid="{00000000-0005-0000-0000-0000BD750000}"/>
    <cellStyle name="WhitePattern1 2 6 2" xfId="30735" xr:uid="{8F4CD6E2-A2AD-4359-A907-72F9D9D90E1A}"/>
    <cellStyle name="WhitePattern1 2 7" xfId="27322" xr:uid="{00000000-0005-0000-0000-0000BE750000}"/>
    <cellStyle name="WhitePattern1 2 7 2" xfId="31941" xr:uid="{64893512-7A36-483D-B9E6-E77C10839FF0}"/>
    <cellStyle name="WhitePattern1 2 8" xfId="30299" xr:uid="{28B441C0-B556-4105-BE08-54B9621BE9DC}"/>
    <cellStyle name="WhitePattern1 3" xfId="24769" xr:uid="{00000000-0005-0000-0000-0000BF750000}"/>
    <cellStyle name="WhitePattern1 3 2" xfId="25286" xr:uid="{00000000-0005-0000-0000-0000C0750000}"/>
    <cellStyle name="WhitePattern1 3 2 2" xfId="27441" xr:uid="{00000000-0005-0000-0000-0000C1750000}"/>
    <cellStyle name="WhitePattern1 3 2 2 2" xfId="32036" xr:uid="{C6CE3513-29F6-4FDB-9D57-1729BB92C432}"/>
    <cellStyle name="WhitePattern1 3 2 3" xfId="28610" xr:uid="{00000000-0005-0000-0000-0000C2750000}"/>
    <cellStyle name="WhitePattern1 3 2 4" xfId="29188" xr:uid="{00000000-0005-0000-0000-0000C3750000}"/>
    <cellStyle name="WhitePattern1 3 2 4 2" xfId="33171" xr:uid="{0B94CD2E-41B2-44F1-9623-4B5BF85E69EC}"/>
    <cellStyle name="WhitePattern1 3 2 5" xfId="26187" xr:uid="{00000000-0005-0000-0000-0000C4750000}"/>
    <cellStyle name="WhitePattern1 3 2 5 2" xfId="30975" xr:uid="{8D53C3B0-45C8-4525-82F2-F5352406E767}"/>
    <cellStyle name="WhitePattern1 3 2 6" xfId="30449" xr:uid="{6ECED2A9-EFFE-4828-8000-6BCC2FC33046}"/>
    <cellStyle name="WhitePattern1 3 3" xfId="25665" xr:uid="{00000000-0005-0000-0000-0000C5750000}"/>
    <cellStyle name="WhitePattern1 3 3 2" xfId="27818" xr:uid="{00000000-0005-0000-0000-0000C6750000}"/>
    <cellStyle name="WhitePattern1 3 3 2 2" xfId="32405" xr:uid="{AF3E3D5D-0E06-4C65-9354-AF80E12493CE}"/>
    <cellStyle name="WhitePattern1 3 3 3" xfId="28611" xr:uid="{00000000-0005-0000-0000-0000C7750000}"/>
    <cellStyle name="WhitePattern1 3 3 4" xfId="29245" xr:uid="{00000000-0005-0000-0000-0000C8750000}"/>
    <cellStyle name="WhitePattern1 3 3 4 2" xfId="33227" xr:uid="{F4A4B164-C3D6-4BDD-A45F-DD2A6BF9496D}"/>
    <cellStyle name="WhitePattern1 3 3 5" xfId="26092" xr:uid="{00000000-0005-0000-0000-0000C9750000}"/>
    <cellStyle name="WhitePattern1 3 3 5 2" xfId="30882" xr:uid="{64215532-3F6A-480D-96EF-4984DFB0DCD6}"/>
    <cellStyle name="WhitePattern1 3 3 6" xfId="30659" xr:uid="{3720EFBA-7F7F-44F2-B225-40EE135C6323}"/>
    <cellStyle name="WhitePattern1 3 4" xfId="27311" xr:uid="{00000000-0005-0000-0000-0000CA750000}"/>
    <cellStyle name="WhitePattern1 3 4 2" xfId="31934" xr:uid="{9267BEF5-6B1E-4DC3-9403-0A643820597D}"/>
    <cellStyle name="WhitePattern1 3 5" xfId="28609" xr:uid="{00000000-0005-0000-0000-0000CB750000}"/>
    <cellStyle name="WhitePattern1 3 6" xfId="27315" xr:uid="{00000000-0005-0000-0000-0000CC750000}"/>
    <cellStyle name="WhitePattern1 3 6 2" xfId="31935" xr:uid="{A06184E5-0197-463D-B461-695BDED431E6}"/>
    <cellStyle name="WhitePattern1 3 7" xfId="26477" xr:uid="{00000000-0005-0000-0000-0000CD750000}"/>
    <cellStyle name="WhitePattern1 3 7 2" xfId="31265" xr:uid="{358A1C1A-007F-4290-9D0F-EF38D2905B17}"/>
    <cellStyle name="WhitePattern1 3 8" xfId="30367" xr:uid="{E87AC47D-952D-49F6-9FF4-B2C968B208A8}"/>
    <cellStyle name="WhiteText" xfId="631" xr:uid="{00000000-0005-0000-0000-0000CE750000}"/>
    <cellStyle name="Year" xfId="632" xr:uid="{00000000-0005-0000-0000-0000CF750000}"/>
    <cellStyle name="zHiddenText" xfId="33356" xr:uid="{E2621430-6FD2-41C0-9786-745230CA986A}"/>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1.xml"/><Relationship Id="rId68" Type="http://schemas.openxmlformats.org/officeDocument/2006/relationships/externalLink" Target="externalLinks/externalLink16.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openxmlformats.org/officeDocument/2006/relationships/externalLink" Target="externalLinks/externalLink14.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externalLink" Target="externalLinks/externalLink12.xml"/><Relationship Id="rId69" Type="http://schemas.openxmlformats.org/officeDocument/2006/relationships/theme" Target="theme/theme1.xml"/><Relationship Id="rId77"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72"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externalLink" Target="externalLinks/externalLink10.xml"/><Relationship Id="rId70" Type="http://schemas.openxmlformats.org/officeDocument/2006/relationships/styles" Target="styles.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openxmlformats.org/officeDocument/2006/relationships/externalLink" Target="externalLinks/externalLink13.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3.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7620</xdr:colOff>
      <xdr:row>5</xdr:row>
      <xdr:rowOff>121920</xdr:rowOff>
    </xdr:from>
    <xdr:to>
      <xdr:col>10</xdr:col>
      <xdr:colOff>222885</xdr:colOff>
      <xdr:row>22</xdr:row>
      <xdr:rowOff>176186</xdr:rowOff>
    </xdr:to>
    <xdr:pic>
      <xdr:nvPicPr>
        <xdr:cNvPr id="2" name="Picture 1">
          <a:extLst>
            <a:ext uri="{FF2B5EF4-FFF2-40B4-BE49-F238E27FC236}">
              <a16:creationId xmlns:a16="http://schemas.microsoft.com/office/drawing/2014/main" id="{78DB5EEC-CE60-4F7C-8F38-D200191F66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100" y="1036320"/>
          <a:ext cx="7690485" cy="31632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137160</xdr:colOff>
      <xdr:row>1</xdr:row>
      <xdr:rowOff>0</xdr:rowOff>
    </xdr:from>
    <xdr:to>
      <xdr:col>4</xdr:col>
      <xdr:colOff>300562</xdr:colOff>
      <xdr:row>22</xdr:row>
      <xdr:rowOff>30816</xdr:rowOff>
    </xdr:to>
    <xdr:pic>
      <xdr:nvPicPr>
        <xdr:cNvPr id="2" name="Picture 1">
          <a:extLst>
            <a:ext uri="{FF2B5EF4-FFF2-40B4-BE49-F238E27FC236}">
              <a16:creationId xmlns:a16="http://schemas.microsoft.com/office/drawing/2014/main" id="{7C611878-9613-4852-BECD-2671A9C8D173}"/>
            </a:ext>
          </a:extLst>
        </xdr:cNvPr>
        <xdr:cNvPicPr>
          <a:picLocks noChangeAspect="1"/>
        </xdr:cNvPicPr>
      </xdr:nvPicPr>
      <xdr:blipFill>
        <a:blip xmlns:r="http://schemas.openxmlformats.org/officeDocument/2006/relationships" r:embed="rId1"/>
        <a:stretch>
          <a:fillRect/>
        </a:stretch>
      </xdr:blipFill>
      <xdr:spPr>
        <a:xfrm>
          <a:off x="693420" y="182880"/>
          <a:ext cx="3859102" cy="38712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leweb/office/FINANCIALS/WHITE%20SWAN/2000/JAN_ELECTRONI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GrpRevnu\PUBLIC\%23%202019%20GRC\Original%20Filing\Dirty%20Workpapers%202019%20GRC\%23NEW-PSE-WP-SEF-4.00G-GAS-MODEL-19GRC-06-2019%20-%20Cop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GrpRevnu\PUBLIC\%23%202019%20GRC\Attrition%20Change\190529-30-PSE-WP-SEF-4.00E-ELECTRIC-MODEL-19GRC-09-201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wrk\22_pse\3022-64%20UE-190529\3022-64%20UE-190529\br\Mullins%20Exh%20BGM-10%20-%20Natural%20Gas%20Rev%20Req.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ept/Rates/WEATHER%20DATA/Weather%20Normalization/2016/WA%2065%20HDD%20NOAA/2016-12%20WA%20Weather%20Normalization%2065%20HDD%20-%20Copy.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Brad/Desktop/avista/3046-9%20-%202018%20GRC/dir/_wps/_fnl/UE-170485%20-%20UG-170486_Exh%20BGM-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GRCs/UG%20200568/AWEC/UG%20200568%20-%20AWEC%20-%20Exh%20BGM-3%20-111920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GRCs/UG%20200568/Cascade%20GRC%20Model%20(WA)%20-%20Compliance%20Filing.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min\Data-Departmental\1active\PROJECTS\STOWE\stowhot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Utility\Energy%20Rates%20Finance%20and%20Audit\Moya's%20files\Pacificorp%20LT%20debt\PAC%20LT%20Debt%20-%20worki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PUC-FILEPRINT\Agency\Utility\Energy%20Rates%20Finance%20and%20Audit\Moya's%20files\Pacificorp%20LT%20debt\PAC%20LT%20Debt%20-%20workin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estimony/500%20Archer/2019%20OR%20COSS/CTM%20COS-RD/OR%20UG%20390%20LRIC%20Model.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CORP_FIN\KFO\Regulation%20OR%20GRC%202020\NLK%20Exhibits%20OR%202021\Exhibit%20No%20PAC301%20Wt%20Ave%20Cost%20of%20LTD%20-%20proform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NG%20UG%20390%20Exh%20XXXX%20pg%201-3%20Cost%20LT%20Debt%20Muldoon-Enright%20CONF%20-%2005.21.20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G%20390/Rebuttal/Wage/UG%20390%20Wage%20and%20Salary%20Mode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ascade%20GRC%20Model%20(OR).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sheetName val="AR"/>
    </sheetNames>
    <sheetDataSet>
      <sheetData sheetId="0"/>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 Def, ConvF"/>
      <sheetName val="COC-Restating"/>
      <sheetName val="Summary"/>
      <sheetName val="Detailed Summary"/>
      <sheetName val="Common Adj"/>
      <sheetName val="Gas Adj"/>
      <sheetName val="Named Ranges"/>
      <sheetName val="Dirty Only ==&gt;"/>
      <sheetName val="ETR GRC vs CBR TBPI 100%"/>
      <sheetName val="ETR GRC vs CBR"/>
      <sheetName val="Check ETR"/>
      <sheetName val="FIT Adj"/>
      <sheetName val="Verify"/>
      <sheetName val="ARAM"/>
      <sheetName val="Matrix"/>
      <sheetName val="Sheet1"/>
    </sheetNames>
    <sheetDataSet>
      <sheetData sheetId="0"/>
      <sheetData sheetId="1"/>
      <sheetData sheetId="2"/>
      <sheetData sheetId="3"/>
      <sheetData sheetId="4"/>
      <sheetData sheetId="5"/>
      <sheetData sheetId="6">
        <row r="3">
          <cell r="C3">
            <v>0.21</v>
          </cell>
        </row>
        <row r="5">
          <cell r="C5" t="str">
            <v>12 MONTHS ENDED DECEMBER 31, 2018</v>
          </cell>
        </row>
        <row r="6">
          <cell r="C6" t="str">
            <v>UG_________</v>
          </cell>
        </row>
        <row r="8">
          <cell r="C8" t="str">
            <v>PUGET SOUND ENERGY - NATURAL GAS</v>
          </cell>
        </row>
      </sheetData>
      <sheetData sheetId="7"/>
      <sheetData sheetId="8"/>
      <sheetData sheetId="9"/>
      <sheetData sheetId="10"/>
      <sheetData sheetId="11"/>
      <sheetData sheetId="12"/>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s"/>
      <sheetName val="COC, Def, ConvF"/>
      <sheetName val="Summary"/>
      <sheetName val="Detailed Summary"/>
      <sheetName val="COC-Restating"/>
      <sheetName val="Common Adj"/>
      <sheetName val="Electric Adj"/>
      <sheetName val="Power Cost Bridge to A-1"/>
      <sheetName val="Named Ranges E"/>
    </sheetNames>
    <sheetDataSet>
      <sheetData sheetId="0"/>
      <sheetData sheetId="1">
        <row r="12">
          <cell r="M12">
            <v>8.4790000000000004E-3</v>
          </cell>
        </row>
      </sheetData>
      <sheetData sheetId="2"/>
      <sheetData sheetId="3">
        <row r="14">
          <cell r="AG14">
            <v>2005372296.2612319</v>
          </cell>
        </row>
      </sheetData>
      <sheetData sheetId="4">
        <row r="12">
          <cell r="E12">
            <v>2.9399999999999999E-2</v>
          </cell>
        </row>
      </sheetData>
      <sheetData sheetId="5">
        <row r="26">
          <cell r="H26">
            <v>-18227053.410000004</v>
          </cell>
        </row>
      </sheetData>
      <sheetData sheetId="6">
        <row r="16">
          <cell r="M16">
            <v>1433345.375</v>
          </cell>
        </row>
      </sheetData>
      <sheetData sheetId="7"/>
      <sheetData sheetId="8">
        <row r="3">
          <cell r="C3">
            <v>0.21</v>
          </cell>
        </row>
        <row r="4">
          <cell r="C4" t="str">
            <v>2019 GENERAL RATE CASE</v>
          </cell>
        </row>
        <row r="5">
          <cell r="C5" t="str">
            <v>12 MONTHS ENDED DECEMBER 31, 2018</v>
          </cell>
        </row>
        <row r="6">
          <cell r="C6" t="str">
            <v>UE-__________</v>
          </cell>
        </row>
        <row r="8">
          <cell r="C8" t="str">
            <v>PUGET SOUND ENERGY - ELECTRIC</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No. BGM-10 (1)"/>
      <sheetName val="Exh. No. BGM-10 (1A)"/>
      <sheetName val="BGM-10 (2)  Detailed Summary"/>
      <sheetName val="BGM-10 (3) Common Adj"/>
      <sheetName val="Impacts"/>
      <sheetName val="Rllfwd"/>
      <sheetName val="COC, Def, ConvF"/>
      <sheetName val="COC-Restating"/>
      <sheetName val="Summary"/>
      <sheetName val="Gas Adj"/>
      <sheetName val="Named Ranges G"/>
    </sheetNames>
    <sheetDataSet>
      <sheetData sheetId="0"/>
      <sheetData sheetId="1"/>
      <sheetData sheetId="2">
        <row r="10">
          <cell r="A10" t="str">
            <v>LINE</v>
          </cell>
        </row>
      </sheetData>
      <sheetData sheetId="3"/>
      <sheetData sheetId="4"/>
      <sheetData sheetId="5"/>
      <sheetData sheetId="6">
        <row r="20">
          <cell r="C20">
            <v>0.75409700000000002</v>
          </cell>
        </row>
      </sheetData>
      <sheetData sheetId="7"/>
      <sheetData sheetId="8"/>
      <sheetData sheetId="9"/>
      <sheetData sheetId="10">
        <row r="3">
          <cell r="C3">
            <v>0.21</v>
          </cell>
        </row>
        <row r="4">
          <cell r="C4" t="str">
            <v>2019 GENERAL RATE CASE</v>
          </cell>
        </row>
        <row r="5">
          <cell r="C5" t="str">
            <v>12 MONTHS ENDED DECEMBER 31, 2018</v>
          </cell>
        </row>
        <row r="6">
          <cell r="C6" t="str">
            <v>UG-190530</v>
          </cell>
        </row>
        <row r="8">
          <cell r="C8" t="str">
            <v>PUGET SOUND ENERGY - NATURAL GAS - AWEC REPLY</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D Sum "/>
      <sheetName val="Mo Backcast "/>
      <sheetName val="FOR 2012 PGA"/>
      <sheetName val="Historic Data"/>
      <sheetName val="Bell-03"/>
      <sheetName val="Brem-03"/>
      <sheetName val="Walla-03"/>
      <sheetName val="Yak-03"/>
      <sheetName val="Bell-04"/>
      <sheetName val="Brem-04"/>
      <sheetName val="Walla-04"/>
      <sheetName val="Yak-04"/>
      <sheetName val="Bend-01"/>
      <sheetName val="Baker Ont-01"/>
      <sheetName val="Pend-01"/>
      <sheetName val="Bend-04 11 cl2"/>
      <sheetName val="Baker Ont-04 11 cl2"/>
      <sheetName val="Pend-04 11 cl2"/>
    </sheetNames>
    <sheetDataSet>
      <sheetData sheetId="0" refreshError="1"/>
      <sheetData sheetId="1" refreshError="1"/>
      <sheetData sheetId="2"/>
      <sheetData sheetId="3" refreshError="1"/>
      <sheetData sheetId="4">
        <row r="3">
          <cell r="K3">
            <v>42736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No. BGM-3 2"/>
      <sheetName val="Exh. No. BGM-3 3"/>
      <sheetName val="Exh. No. BGM-3 4"/>
      <sheetName val="Acerno_Cache_XXXXX"/>
      <sheetName val="Workpapers-&gt;"/>
      <sheetName val="ADJ SUMMARY"/>
      <sheetName val="LEAD SHEETS-DO NOT ENTER"/>
      <sheetName val="ROO INPUT"/>
      <sheetName val="DEBT CALC"/>
      <sheetName val="COMPARISON"/>
      <sheetName val="PROPOSED RATES-2018-NOT USED"/>
      <sheetName val="RETAIL REVENUE CREDIT-not used"/>
      <sheetName val="PROPOSED RATES-2019-not used"/>
    </sheetNames>
    <sheetDataSet>
      <sheetData sheetId="0">
        <row r="24">
          <cell r="E24">
            <v>196.52699999999999</v>
          </cell>
        </row>
      </sheetData>
      <sheetData sheetId="1">
        <row r="24">
          <cell r="E24">
            <v>0.61941299999999999</v>
          </cell>
        </row>
      </sheetData>
      <sheetData sheetId="2">
        <row r="7">
          <cell r="F7" t="str">
            <v xml:space="preserve">Deferred </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Figure 1"/>
      <sheetName val="Table 4, 5"/>
      <sheetName val="Table 6"/>
      <sheetName val="Table 7"/>
      <sheetName val="Exh. No. BGM-3 (1)"/>
      <sheetName val="Exh. No. BGM-3 (2)"/>
      <sheetName val=" ROO Summary Sheet"/>
      <sheetName val="Rev Req Calc"/>
      <sheetName val="Summary of Adj"/>
      <sheetName val=" Conversion Factor"/>
      <sheetName val="AWEC-20 DEPR Study"/>
      <sheetName val="Workpaper - Support Documents &gt;"/>
      <sheetName val="Index"/>
      <sheetName val="Operating Report"/>
      <sheetName val="Rate Base"/>
      <sheetName val="Plant in Serv &amp; Accum Depr"/>
      <sheetName val="Adv for Const. &amp; Def Tax"/>
      <sheetName val="Capital Structure Calculation"/>
      <sheetName val="State Allocation Formulas"/>
      <sheetName val="Adjustment Workpapers---&gt;"/>
      <sheetName val="Annualize CRM Adjustment"/>
      <sheetName val="Advertising Adj"/>
      <sheetName val="Restate Revenues Adjustment"/>
      <sheetName val="EOP Revenue Adjustment"/>
      <sheetName val="EOP Depreciation Expense Adj"/>
      <sheetName val="Restate &amp; Pro Forma Wage Adjust"/>
      <sheetName val="Executive Incentives"/>
      <sheetName val="Interest Coord. Adj."/>
      <sheetName val="Pro Forma Plant Additions"/>
      <sheetName val="MCP-6 - 2020 Plant Additions"/>
      <sheetName val="MCP-6 - Supporting Explanations"/>
      <sheetName val="MAOP UG-160787 Deferral"/>
      <sheetName val=" Working Capital (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 5 Summary"/>
      <sheetName val="Rebuttal Summary"/>
      <sheetName val="Exhibit List"/>
      <sheetName val="Settlement"/>
      <sheetName val="Worst Case"/>
      <sheetName val="Notes"/>
      <sheetName val="Cover"/>
      <sheetName val="TOC"/>
      <sheetName val="Title"/>
      <sheetName val="Summary of Request"/>
      <sheetName val="Summary Bill Impacts"/>
      <sheetName val="Schedule"/>
      <sheetName val="Proof ---&gt;"/>
      <sheetName val="Exh 2, Proof of Revenue"/>
      <sheetName val="Exh 3, Revenue Adjustments"/>
      <sheetName val="Exh 4, Revenue Distribution"/>
      <sheetName val="Exh 5, Decoupling"/>
      <sheetName val="Proof WPs ---&gt;"/>
      <sheetName val="1501 Summary"/>
      <sheetName val="Revenue Reconcilliation"/>
      <sheetName val="End of Period Calculations"/>
      <sheetName val="Allocation Report Summary 2019"/>
      <sheetName val="Weather Normalization"/>
      <sheetName val="WACAP 2019"/>
      <sheetName val="2020 New Customers"/>
      <sheetName val="Billing Correction"/>
      <sheetName val="Rev Req ---&gt;"/>
      <sheetName val="Exh 6, ROO Summary"/>
      <sheetName val="Exh 7, Rev Req Calc"/>
      <sheetName val="Exh 8, Conversion Factor"/>
      <sheetName val="Exh 9, Summary of Adj"/>
      <sheetName val="Exh 10, Plant Additions"/>
      <sheetName val="Exh 11, Supporting Explanations"/>
      <sheetName val="Commission Exh"/>
      <sheetName val="RR WPs ---&gt;"/>
      <sheetName val="Plant Summary"/>
      <sheetName val="Exhibit PCD-4"/>
      <sheetName val="R&amp;R Adjustment"/>
      <sheetName val="AWEC R&amp;R Adjustment"/>
      <sheetName val="Operating Report"/>
      <sheetName val="Rate Base"/>
      <sheetName val="Plant in Serv &amp; Accum Depr"/>
      <sheetName val="Adv for Const. &amp; Def Tax"/>
      <sheetName val="Capital Structure Calculation"/>
      <sheetName val="Long-Term Debt"/>
      <sheetName val="State Allocation Formulas"/>
      <sheetName val="Annualize CRM Adjustment"/>
      <sheetName val="Advertising Adj"/>
      <sheetName val="Restate Revenues Adjustment"/>
      <sheetName val="EOP Revenue Adjustment"/>
      <sheetName val="EOP Depreciation Expense Adj"/>
      <sheetName val="Restate &amp; Pro Forma Wage Adjust"/>
      <sheetName val="Executive Incentives"/>
      <sheetName val="Interest Coord. Adj."/>
      <sheetName val="Pro Forma Plant Additions"/>
      <sheetName val="MAOP UG-160787 Deferral"/>
      <sheetName val=" Working Capital (AMA)"/>
      <sheetName val="Cost of Service ---&gt;"/>
      <sheetName val="Cover (2)"/>
      <sheetName val="Exh 12, A - RR Cross-reference "/>
      <sheetName val="Exh 13, B - COS results"/>
      <sheetName val="Exh 14,C-COS allocation factors"/>
      <sheetName val="Exh 15,D-Summary of adjustments"/>
      <sheetName val="Exh 16, E-Summary of results"/>
      <sheetName val="COS WPs ---&gt;"/>
      <sheetName val="Input"/>
      <sheetName val="Functions"/>
      <sheetName val="Classify"/>
      <sheetName val="C_Supp Demand"/>
      <sheetName val="C_Supp Comm"/>
      <sheetName val="C_Supp Cust"/>
      <sheetName val="C_Stor Demand"/>
      <sheetName val="C_Stor Comm"/>
      <sheetName val="C_Stor Cust"/>
      <sheetName val="Tran Demand"/>
      <sheetName val="Tran Comm"/>
      <sheetName val="Tran Cust"/>
      <sheetName val="Dist Demand"/>
      <sheetName val="Dist Comm"/>
      <sheetName val="Dist Cust"/>
      <sheetName val="BBA Demand"/>
      <sheetName val="BBA Comm"/>
      <sheetName val="BBA Cust"/>
      <sheetName val="Gather Demand"/>
      <sheetName val="Gather Comm"/>
      <sheetName val="Gather Cust"/>
      <sheetName val="CommColl Demand"/>
      <sheetName val="CommColl Comm"/>
      <sheetName val="CommColl Cust"/>
      <sheetName val="Func8 Demand"/>
      <sheetName val="Func8 Comm"/>
      <sheetName val="Func8 Cust"/>
      <sheetName val="Total"/>
      <sheetName val="Quick List"/>
      <sheetName val="Factors"/>
      <sheetName val="Open"/>
      <sheetName val="Registry"/>
      <sheetName val="RJA-2"/>
      <sheetName val="RJA-3"/>
      <sheetName val="Unit Cost"/>
      <sheetName val="Verify"/>
      <sheetName val="Rate Design ---&gt;"/>
      <sheetName val="Exh 17, Class Revenue"/>
      <sheetName val="Exh 18, Class Rates"/>
      <sheetName val="Exh 19, RES Monthly Impact"/>
      <sheetName val="Exh 20, Bill Impacts"/>
      <sheetName val="RD WPs ---&g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A2" t="str">
            <v>Cascade Natural Gas Corp.</v>
          </cell>
        </row>
        <row r="5">
          <cell r="A5" t="str">
            <v>General Rate Case Model</v>
          </cell>
        </row>
        <row r="8">
          <cell r="A8" t="str">
            <v>Embedded Cost of Service (ECOS) Study</v>
          </cell>
        </row>
      </sheetData>
      <sheetData sheetId="9" refreshError="1"/>
      <sheetData sheetId="10" refreshError="1"/>
      <sheetData sheetId="11">
        <row r="3">
          <cell r="G3">
            <v>43696</v>
          </cell>
        </row>
        <row r="4">
          <cell r="G4">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5">
          <cell r="E5">
            <v>1</v>
          </cell>
        </row>
      </sheetData>
      <sheetData sheetId="66">
        <row r="4">
          <cell r="B4" t="str">
            <v>Step 1</v>
          </cell>
        </row>
        <row r="5">
          <cell r="C5" t="str">
            <v>All Totals Intact =</v>
          </cell>
        </row>
        <row r="6">
          <cell r="A6" t="str">
            <v>CONFIDENTIAL MATERIAL</v>
          </cell>
          <cell r="C6" t="str">
            <v xml:space="preserve">All Allocators Found = </v>
          </cell>
        </row>
        <row r="7">
          <cell r="A7" t="str">
            <v>Protective Order Requested 8/31/2017</v>
          </cell>
          <cell r="F7" t="str">
            <v>Functional</v>
          </cell>
        </row>
        <row r="8">
          <cell r="B8" t="str">
            <v>Account</v>
          </cell>
          <cell r="C8" t="str">
            <v>Account</v>
          </cell>
          <cell r="E8" t="str">
            <v>Account</v>
          </cell>
          <cell r="F8" t="str">
            <v>Allocation</v>
          </cell>
        </row>
        <row r="9">
          <cell r="B9" t="str">
            <v>Description</v>
          </cell>
          <cell r="C9" t="str">
            <v>Code</v>
          </cell>
          <cell r="E9" t="str">
            <v>Balance</v>
          </cell>
          <cell r="F9" t="str">
            <v>Factor</v>
          </cell>
          <cell r="G9" t="str">
            <v>Gas Supply</v>
          </cell>
          <cell r="H9" t="str">
            <v>Storage</v>
          </cell>
          <cell r="I9" t="str">
            <v>Transmission</v>
          </cell>
          <cell r="J9" t="str">
            <v>Distribution</v>
          </cell>
          <cell r="K9" t="str">
            <v>BB&amp;A</v>
          </cell>
          <cell r="L9" t="str">
            <v>Gathering</v>
          </cell>
          <cell r="M9" t="str">
            <v>Function7</v>
          </cell>
          <cell r="N9" t="str">
            <v>Function8</v>
          </cell>
          <cell r="P9" t="str">
            <v>check total</v>
          </cell>
        </row>
        <row r="11">
          <cell r="E11" t="str">
            <v xml:space="preserve"> </v>
          </cell>
        </row>
        <row r="12">
          <cell r="B12" t="str">
            <v>I. GAS PLANT IN SERVICE</v>
          </cell>
        </row>
        <row r="14">
          <cell r="B14" t="str">
            <v>A. INTANGIBLE PLANT</v>
          </cell>
        </row>
        <row r="16">
          <cell r="A16">
            <v>1</v>
          </cell>
          <cell r="B16" t="str">
            <v>Organization</v>
          </cell>
          <cell r="C16" t="str">
            <v>301</v>
          </cell>
          <cell r="E16">
            <v>114489.28441466672</v>
          </cell>
          <cell r="F16" t="str">
            <v>PSTDP</v>
          </cell>
          <cell r="P16">
            <v>0</v>
          </cell>
          <cell r="R16">
            <v>50</v>
          </cell>
        </row>
        <row r="17">
          <cell r="A17">
            <v>2</v>
          </cell>
          <cell r="B17" t="str">
            <v>Franchise and Consents</v>
          </cell>
          <cell r="C17" t="str">
            <v>302</v>
          </cell>
          <cell r="E17">
            <v>138157.94999999998</v>
          </cell>
          <cell r="F17" t="str">
            <v>PSTDP</v>
          </cell>
          <cell r="P17">
            <v>0</v>
          </cell>
          <cell r="R17">
            <v>50</v>
          </cell>
        </row>
        <row r="18">
          <cell r="A18">
            <v>3</v>
          </cell>
          <cell r="B18" t="str">
            <v>Miscellaneous Intangible Plant - Plant Related</v>
          </cell>
          <cell r="C18" t="str">
            <v>303</v>
          </cell>
          <cell r="E18">
            <v>7468710.8487851443</v>
          </cell>
          <cell r="F18" t="str">
            <v>PSTDP</v>
          </cell>
          <cell r="P18">
            <v>0</v>
          </cell>
          <cell r="R18">
            <v>50</v>
          </cell>
        </row>
        <row r="19">
          <cell r="A19">
            <v>4</v>
          </cell>
          <cell r="B19" t="str">
            <v>Miscellaneous Intangible Plant - Throughput Related</v>
          </cell>
          <cell r="C19" t="str">
            <v>303</v>
          </cell>
          <cell r="E19">
            <v>3170904.2847735365</v>
          </cell>
          <cell r="F19" t="str">
            <v>TRANS</v>
          </cell>
          <cell r="P19">
            <v>0</v>
          </cell>
          <cell r="R19">
            <v>14</v>
          </cell>
        </row>
        <row r="20">
          <cell r="A20">
            <v>5</v>
          </cell>
          <cell r="B20" t="str">
            <v>Miscellaneous Intangible Plant - Cust Related</v>
          </cell>
          <cell r="C20" t="str">
            <v>303</v>
          </cell>
          <cell r="E20">
            <v>15930474.109187033</v>
          </cell>
          <cell r="F20" t="str">
            <v>DIST</v>
          </cell>
          <cell r="P20">
            <v>0</v>
          </cell>
          <cell r="R20">
            <v>17</v>
          </cell>
        </row>
        <row r="21">
          <cell r="A21">
            <v>6</v>
          </cell>
          <cell r="B21" t="str">
            <v>Subtotal - INTANGIBLE PLANT</v>
          </cell>
          <cell r="C21" t="str">
            <v>301-303</v>
          </cell>
          <cell r="E21">
            <v>26822736.477160379</v>
          </cell>
          <cell r="P21">
            <v>0</v>
          </cell>
        </row>
        <row r="22">
          <cell r="A22">
            <v>7</v>
          </cell>
        </row>
        <row r="23">
          <cell r="A23">
            <v>8</v>
          </cell>
          <cell r="B23" t="str">
            <v>B. PRODUCTION PLANT</v>
          </cell>
        </row>
        <row r="24">
          <cell r="A24">
            <v>9</v>
          </cell>
        </row>
        <row r="25">
          <cell r="A25">
            <v>10</v>
          </cell>
          <cell r="B25" t="str">
            <v>Other Land &amp; Land Rights-Land</v>
          </cell>
          <cell r="C25">
            <v>325</v>
          </cell>
          <cell r="E25">
            <v>0</v>
          </cell>
          <cell r="F25" t="str">
            <v>SUPP</v>
          </cell>
          <cell r="P25">
            <v>0</v>
          </cell>
          <cell r="R25">
            <v>8</v>
          </cell>
        </row>
        <row r="26">
          <cell r="A26">
            <v>11</v>
          </cell>
          <cell r="B26" t="str">
            <v>Gas Well Structures</v>
          </cell>
          <cell r="C26">
            <v>326</v>
          </cell>
          <cell r="E26">
            <v>0</v>
          </cell>
          <cell r="F26" t="str">
            <v>SUPP</v>
          </cell>
          <cell r="P26">
            <v>0</v>
          </cell>
          <cell r="R26">
            <v>8</v>
          </cell>
        </row>
        <row r="27">
          <cell r="A27">
            <v>12</v>
          </cell>
          <cell r="B27" t="str">
            <v>Field Compressor Station Structures</v>
          </cell>
          <cell r="C27">
            <v>327</v>
          </cell>
          <cell r="E27">
            <v>0</v>
          </cell>
          <cell r="F27" t="str">
            <v>SUPP</v>
          </cell>
          <cell r="P27">
            <v>0</v>
          </cell>
          <cell r="R27">
            <v>8</v>
          </cell>
        </row>
        <row r="28">
          <cell r="A28">
            <v>13</v>
          </cell>
          <cell r="B28" t="str">
            <v>Field M&amp;R Station Structures</v>
          </cell>
          <cell r="C28">
            <v>328</v>
          </cell>
          <cell r="E28">
            <v>0</v>
          </cell>
          <cell r="F28" t="str">
            <v>SUPP</v>
          </cell>
          <cell r="P28">
            <v>0</v>
          </cell>
          <cell r="R28">
            <v>8</v>
          </cell>
        </row>
        <row r="29">
          <cell r="A29">
            <v>14</v>
          </cell>
          <cell r="B29" t="str">
            <v>Other Structures</v>
          </cell>
          <cell r="C29">
            <v>329</v>
          </cell>
          <cell r="E29">
            <v>0</v>
          </cell>
          <cell r="F29" t="str">
            <v>SUPP</v>
          </cell>
          <cell r="P29">
            <v>0</v>
          </cell>
          <cell r="R29">
            <v>8</v>
          </cell>
        </row>
        <row r="30">
          <cell r="A30">
            <v>15</v>
          </cell>
          <cell r="B30" t="str">
            <v>Producing Gas Wells-Well Construction</v>
          </cell>
          <cell r="C30" t="str">
            <v>330, 331</v>
          </cell>
          <cell r="E30">
            <v>0</v>
          </cell>
          <cell r="F30" t="str">
            <v>SUPP</v>
          </cell>
          <cell r="P30">
            <v>0</v>
          </cell>
          <cell r="R30">
            <v>8</v>
          </cell>
        </row>
        <row r="31">
          <cell r="A31">
            <v>16</v>
          </cell>
          <cell r="B31" t="str">
            <v>Field Lines</v>
          </cell>
          <cell r="C31">
            <v>332</v>
          </cell>
          <cell r="E31">
            <v>0</v>
          </cell>
          <cell r="F31" t="str">
            <v>SUPP</v>
          </cell>
          <cell r="P31">
            <v>0</v>
          </cell>
          <cell r="R31">
            <v>8</v>
          </cell>
        </row>
        <row r="32">
          <cell r="A32">
            <v>17</v>
          </cell>
          <cell r="B32" t="str">
            <v>Field Compressor Station Equipment</v>
          </cell>
          <cell r="C32">
            <v>333</v>
          </cell>
          <cell r="E32">
            <v>0</v>
          </cell>
          <cell r="F32" t="str">
            <v>SUPP</v>
          </cell>
          <cell r="P32">
            <v>0</v>
          </cell>
          <cell r="R32">
            <v>8</v>
          </cell>
        </row>
        <row r="33">
          <cell r="A33">
            <v>18</v>
          </cell>
          <cell r="B33" t="str">
            <v>Field M&amp;R Station Equip-Company</v>
          </cell>
          <cell r="C33">
            <v>334</v>
          </cell>
          <cell r="E33">
            <v>0</v>
          </cell>
          <cell r="F33" t="str">
            <v>SUPP</v>
          </cell>
          <cell r="P33">
            <v>0</v>
          </cell>
          <cell r="R33">
            <v>8</v>
          </cell>
        </row>
        <row r="34">
          <cell r="A34">
            <v>19</v>
          </cell>
          <cell r="B34" t="str">
            <v>Drilling &amp; Cleaning Equipment</v>
          </cell>
          <cell r="C34">
            <v>335</v>
          </cell>
          <cell r="E34">
            <v>0</v>
          </cell>
          <cell r="F34" t="str">
            <v>SUPP</v>
          </cell>
          <cell r="P34">
            <v>0</v>
          </cell>
          <cell r="R34">
            <v>8</v>
          </cell>
        </row>
        <row r="35">
          <cell r="A35">
            <v>20</v>
          </cell>
          <cell r="B35" t="str">
            <v>Other Equipment-Other</v>
          </cell>
          <cell r="C35">
            <v>337</v>
          </cell>
          <cell r="E35">
            <v>0</v>
          </cell>
          <cell r="F35" t="str">
            <v>SUPP</v>
          </cell>
          <cell r="P35">
            <v>0</v>
          </cell>
          <cell r="R35">
            <v>8</v>
          </cell>
        </row>
        <row r="36">
          <cell r="A36">
            <v>21</v>
          </cell>
          <cell r="B36" t="str">
            <v>Subtotal - PRODUCTION PLANT</v>
          </cell>
          <cell r="C36" t="str">
            <v>325-337</v>
          </cell>
          <cell r="E36">
            <v>0</v>
          </cell>
          <cell r="P36">
            <v>0</v>
          </cell>
        </row>
        <row r="37">
          <cell r="A37">
            <v>22</v>
          </cell>
        </row>
        <row r="38">
          <cell r="A38">
            <v>23</v>
          </cell>
          <cell r="B38" t="str">
            <v>C. NATURAL GAS STORAGE PLANT &amp; PROD PLANT</v>
          </cell>
        </row>
        <row r="39">
          <cell r="A39">
            <v>24</v>
          </cell>
        </row>
        <row r="40">
          <cell r="A40">
            <v>25</v>
          </cell>
          <cell r="B40" t="str">
            <v xml:space="preserve">Land and Land Rights </v>
          </cell>
          <cell r="C40">
            <v>350</v>
          </cell>
          <cell r="E40">
            <v>0</v>
          </cell>
          <cell r="F40" t="str">
            <v>STOR</v>
          </cell>
          <cell r="P40">
            <v>0</v>
          </cell>
          <cell r="R40">
            <v>11</v>
          </cell>
        </row>
        <row r="41">
          <cell r="A41">
            <v>26</v>
          </cell>
          <cell r="B41" t="str">
            <v>Structures and Improvements</v>
          </cell>
          <cell r="C41">
            <v>351</v>
          </cell>
          <cell r="E41">
            <v>0</v>
          </cell>
          <cell r="F41" t="str">
            <v>STOR</v>
          </cell>
          <cell r="P41">
            <v>0</v>
          </cell>
          <cell r="R41">
            <v>11</v>
          </cell>
        </row>
        <row r="42">
          <cell r="A42">
            <v>27</v>
          </cell>
          <cell r="B42" t="str">
            <v>Wells-Well Equipment</v>
          </cell>
          <cell r="C42">
            <v>352</v>
          </cell>
          <cell r="E42">
            <v>0</v>
          </cell>
          <cell r="F42" t="str">
            <v>STOR</v>
          </cell>
          <cell r="P42">
            <v>0</v>
          </cell>
          <cell r="R42">
            <v>11</v>
          </cell>
        </row>
        <row r="43">
          <cell r="A43">
            <v>28</v>
          </cell>
          <cell r="B43" t="str">
            <v>Lines</v>
          </cell>
          <cell r="C43">
            <v>353</v>
          </cell>
          <cell r="E43">
            <v>0</v>
          </cell>
          <cell r="F43" t="str">
            <v>STOR</v>
          </cell>
          <cell r="P43">
            <v>0</v>
          </cell>
          <cell r="R43">
            <v>11</v>
          </cell>
        </row>
        <row r="44">
          <cell r="A44">
            <v>29</v>
          </cell>
          <cell r="B44" t="str">
            <v>Compressor Station Equipment - Other</v>
          </cell>
          <cell r="C44">
            <v>354</v>
          </cell>
          <cell r="E44">
            <v>0</v>
          </cell>
          <cell r="F44" t="str">
            <v>STOR</v>
          </cell>
          <cell r="P44">
            <v>0</v>
          </cell>
          <cell r="R44">
            <v>11</v>
          </cell>
        </row>
        <row r="45">
          <cell r="A45">
            <v>30</v>
          </cell>
          <cell r="B45" t="str">
            <v>M&amp;R Equipment-Meters &amp; Gauges</v>
          </cell>
          <cell r="C45">
            <v>355</v>
          </cell>
          <cell r="E45">
            <v>0</v>
          </cell>
          <cell r="F45" t="str">
            <v>STOR</v>
          </cell>
          <cell r="P45">
            <v>0</v>
          </cell>
          <cell r="R45">
            <v>11</v>
          </cell>
        </row>
        <row r="46">
          <cell r="A46">
            <v>31</v>
          </cell>
          <cell r="B46" t="str">
            <v>Other Equipment</v>
          </cell>
          <cell r="C46">
            <v>357</v>
          </cell>
          <cell r="E46">
            <v>0</v>
          </cell>
          <cell r="F46" t="str">
            <v>STOR</v>
          </cell>
          <cell r="P46">
            <v>0</v>
          </cell>
          <cell r="R46">
            <v>11</v>
          </cell>
        </row>
        <row r="47">
          <cell r="A47">
            <v>32</v>
          </cell>
          <cell r="B47" t="str">
            <v>Subtotal - STORAGE PLANT</v>
          </cell>
          <cell r="C47" t="str">
            <v>350-363</v>
          </cell>
          <cell r="E47">
            <v>0</v>
          </cell>
          <cell r="P47">
            <v>0</v>
          </cell>
        </row>
        <row r="48">
          <cell r="A48">
            <v>33</v>
          </cell>
        </row>
        <row r="49">
          <cell r="A49">
            <v>34</v>
          </cell>
          <cell r="B49" t="str">
            <v>D. TRANSMISSION PLANT</v>
          </cell>
        </row>
        <row r="50">
          <cell r="A50">
            <v>35</v>
          </cell>
        </row>
        <row r="51">
          <cell r="A51">
            <v>36</v>
          </cell>
          <cell r="B51" t="str">
            <v>Land &amp; Land Rights</v>
          </cell>
          <cell r="C51">
            <v>365</v>
          </cell>
          <cell r="E51">
            <v>1229801.72</v>
          </cell>
          <cell r="F51" t="str">
            <v>TRANS</v>
          </cell>
          <cell r="P51">
            <v>0</v>
          </cell>
          <cell r="R51">
            <v>14</v>
          </cell>
        </row>
        <row r="52">
          <cell r="A52">
            <v>37</v>
          </cell>
          <cell r="B52" t="str">
            <v>Structures &amp; Improvements</v>
          </cell>
          <cell r="C52">
            <v>366</v>
          </cell>
          <cell r="E52">
            <v>0</v>
          </cell>
          <cell r="F52" t="str">
            <v>TRANS</v>
          </cell>
          <cell r="P52">
            <v>0</v>
          </cell>
          <cell r="R52">
            <v>14</v>
          </cell>
        </row>
        <row r="53">
          <cell r="A53">
            <v>38</v>
          </cell>
          <cell r="B53" t="str">
            <v>Mains</v>
          </cell>
          <cell r="C53">
            <v>367</v>
          </cell>
          <cell r="E53">
            <v>15382525.939166667</v>
          </cell>
          <cell r="F53" t="str">
            <v>TRANS</v>
          </cell>
          <cell r="P53">
            <v>0</v>
          </cell>
          <cell r="R53">
            <v>14</v>
          </cell>
        </row>
        <row r="54">
          <cell r="A54">
            <v>39</v>
          </cell>
          <cell r="B54" t="str">
            <v>Mains - Direct</v>
          </cell>
          <cell r="C54">
            <v>367</v>
          </cell>
          <cell r="E54">
            <v>658588.30000000005</v>
          </cell>
          <cell r="F54" t="str">
            <v>TRANS</v>
          </cell>
          <cell r="P54">
            <v>0</v>
          </cell>
          <cell r="R54">
            <v>14</v>
          </cell>
        </row>
        <row r="55">
          <cell r="A55">
            <v>40</v>
          </cell>
          <cell r="B55" t="str">
            <v>Compression Staion Equipement</v>
          </cell>
          <cell r="C55">
            <v>368</v>
          </cell>
          <cell r="E55">
            <v>0</v>
          </cell>
          <cell r="F55" t="str">
            <v>TRANS</v>
          </cell>
          <cell r="P55">
            <v>0</v>
          </cell>
          <cell r="R55">
            <v>14</v>
          </cell>
        </row>
        <row r="56">
          <cell r="A56">
            <v>41</v>
          </cell>
          <cell r="B56" t="str">
            <v>M&amp;R Station Equipment</v>
          </cell>
          <cell r="C56">
            <v>369</v>
          </cell>
          <cell r="E56">
            <v>156138.81000000003</v>
          </cell>
          <cell r="F56" t="str">
            <v>TRANS</v>
          </cell>
          <cell r="P56">
            <v>0</v>
          </cell>
          <cell r="R56">
            <v>14</v>
          </cell>
        </row>
        <row r="57">
          <cell r="A57">
            <v>42</v>
          </cell>
          <cell r="B57" t="str">
            <v>Other Equipment</v>
          </cell>
          <cell r="C57" t="str">
            <v>371</v>
          </cell>
          <cell r="E57">
            <v>0</v>
          </cell>
          <cell r="F57" t="str">
            <v>TRANSPT</v>
          </cell>
          <cell r="P57">
            <v>0</v>
          </cell>
          <cell r="R57">
            <v>74</v>
          </cell>
        </row>
        <row r="58">
          <cell r="A58">
            <v>43</v>
          </cell>
          <cell r="B58" t="str">
            <v>Subtotal - TRANSMISSION PLANT</v>
          </cell>
          <cell r="C58" t="str">
            <v>365-371</v>
          </cell>
          <cell r="E58">
            <v>17427054.769166667</v>
          </cell>
          <cell r="P58">
            <v>0</v>
          </cell>
        </row>
        <row r="59">
          <cell r="A59">
            <v>44</v>
          </cell>
        </row>
        <row r="60">
          <cell r="A60">
            <v>45</v>
          </cell>
          <cell r="B60" t="str">
            <v>E. DISTRIBUTION PLANT</v>
          </cell>
        </row>
        <row r="61">
          <cell r="A61">
            <v>46</v>
          </cell>
        </row>
        <row r="62">
          <cell r="A62">
            <v>47</v>
          </cell>
          <cell r="B62" t="str">
            <v>Land and Land Rights</v>
          </cell>
          <cell r="C62" t="str">
            <v>374</v>
          </cell>
          <cell r="E62">
            <v>2242166.0584726674</v>
          </cell>
          <cell r="F62" t="str">
            <v>DIST</v>
          </cell>
          <cell r="P62">
            <v>0</v>
          </cell>
          <cell r="R62">
            <v>17</v>
          </cell>
        </row>
        <row r="63">
          <cell r="A63">
            <v>48</v>
          </cell>
          <cell r="B63" t="str">
            <v>Structures and Improvements</v>
          </cell>
          <cell r="C63" t="str">
            <v>375</v>
          </cell>
          <cell r="E63">
            <v>995654.58139750012</v>
          </cell>
          <cell r="F63" t="str">
            <v>DIST</v>
          </cell>
          <cell r="P63">
            <v>0</v>
          </cell>
          <cell r="R63">
            <v>17</v>
          </cell>
        </row>
        <row r="64">
          <cell r="A64">
            <v>49</v>
          </cell>
          <cell r="B64" t="str">
            <v>Mains - High Pressure</v>
          </cell>
          <cell r="C64" t="str">
            <v>376</v>
          </cell>
          <cell r="E64">
            <v>93870445.610000014</v>
          </cell>
          <cell r="F64" t="str">
            <v>DIST</v>
          </cell>
          <cell r="P64">
            <v>0</v>
          </cell>
          <cell r="R64">
            <v>17</v>
          </cell>
        </row>
        <row r="65">
          <cell r="A65">
            <v>50</v>
          </cell>
          <cell r="B65" t="str">
            <v>Mains - HPx663</v>
          </cell>
          <cell r="C65" t="str">
            <v>376</v>
          </cell>
          <cell r="E65">
            <v>3943430.2719999999</v>
          </cell>
          <cell r="F65" t="str">
            <v>DIST</v>
          </cell>
          <cell r="P65">
            <v>0</v>
          </cell>
          <cell r="R65">
            <v>17</v>
          </cell>
        </row>
        <row r="66">
          <cell r="A66">
            <v>51</v>
          </cell>
          <cell r="B66" t="str">
            <v>Mains - HP Direct Assign</v>
          </cell>
          <cell r="C66" t="str">
            <v>376</v>
          </cell>
          <cell r="E66">
            <v>985857.56799999997</v>
          </cell>
          <cell r="F66" t="str">
            <v>DIST</v>
          </cell>
          <cell r="P66">
            <v>0</v>
          </cell>
          <cell r="R66">
            <v>17</v>
          </cell>
        </row>
        <row r="67">
          <cell r="A67">
            <v>52</v>
          </cell>
          <cell r="B67" t="str">
            <v>Mains Steel IP &gt;6"</v>
          </cell>
          <cell r="C67" t="str">
            <v>376</v>
          </cell>
          <cell r="E67">
            <v>8543907.7400000002</v>
          </cell>
          <cell r="F67" t="str">
            <v>DIST</v>
          </cell>
          <cell r="P67">
            <v>0</v>
          </cell>
          <cell r="R67">
            <v>17</v>
          </cell>
        </row>
        <row r="68">
          <cell r="A68">
            <v>53</v>
          </cell>
          <cell r="B68" t="str">
            <v>Mains Steel IP &gt;4-6"</v>
          </cell>
          <cell r="C68" t="str">
            <v>376</v>
          </cell>
          <cell r="E68">
            <v>12921271.720000003</v>
          </cell>
          <cell r="F68" t="str">
            <v>DIST</v>
          </cell>
          <cell r="P68">
            <v>0</v>
          </cell>
          <cell r="R68">
            <v>17</v>
          </cell>
        </row>
        <row r="69">
          <cell r="A69">
            <v>54</v>
          </cell>
          <cell r="B69" t="str">
            <v>Mains Steel IP &gt;2-4"</v>
          </cell>
          <cell r="C69" t="str">
            <v>376</v>
          </cell>
          <cell r="E69">
            <v>23422942.150000002</v>
          </cell>
          <cell r="F69" t="str">
            <v>DIST</v>
          </cell>
          <cell r="P69">
            <v>0</v>
          </cell>
          <cell r="R69">
            <v>17</v>
          </cell>
        </row>
        <row r="70">
          <cell r="A70">
            <v>55</v>
          </cell>
          <cell r="B70" t="str">
            <v>Mains Steel IP &lt;=2"</v>
          </cell>
          <cell r="C70" t="str">
            <v>376</v>
          </cell>
          <cell r="E70">
            <v>65857060.210000001</v>
          </cell>
          <cell r="F70" t="str">
            <v>DIST</v>
          </cell>
          <cell r="P70">
            <v>0</v>
          </cell>
          <cell r="R70">
            <v>17</v>
          </cell>
        </row>
        <row r="71">
          <cell r="A71">
            <v>56</v>
          </cell>
          <cell r="B71" t="str">
            <v>Mains Plasticl IP 6"</v>
          </cell>
          <cell r="C71" t="str">
            <v>376</v>
          </cell>
          <cell r="E71">
            <v>8176829.4099999992</v>
          </cell>
          <cell r="F71" t="str">
            <v>DIST</v>
          </cell>
          <cell r="P71">
            <v>0</v>
          </cell>
          <cell r="R71">
            <v>17</v>
          </cell>
        </row>
        <row r="72">
          <cell r="A72">
            <v>57</v>
          </cell>
          <cell r="B72" t="str">
            <v>Mains Plasticl IP 4"</v>
          </cell>
          <cell r="C72" t="str">
            <v>376</v>
          </cell>
          <cell r="E72">
            <v>25939078.09</v>
          </cell>
          <cell r="F72" t="str">
            <v>DIST</v>
          </cell>
          <cell r="P72">
            <v>0</v>
          </cell>
          <cell r="R72">
            <v>17</v>
          </cell>
        </row>
        <row r="73">
          <cell r="A73">
            <v>58</v>
          </cell>
          <cell r="B73" t="str">
            <v>Mains Plasticl IP 2"</v>
          </cell>
          <cell r="C73" t="str">
            <v>376</v>
          </cell>
          <cell r="E73">
            <v>64574112.350000001</v>
          </cell>
          <cell r="F73" t="str">
            <v>DIST</v>
          </cell>
          <cell r="P73">
            <v>0</v>
          </cell>
          <cell r="R73">
            <v>17</v>
          </cell>
        </row>
        <row r="74">
          <cell r="A74">
            <v>59</v>
          </cell>
          <cell r="B74" t="str">
            <v>Mains - Direct Allocation</v>
          </cell>
          <cell r="C74" t="str">
            <v>376</v>
          </cell>
          <cell r="E74">
            <v>22509568.120000001</v>
          </cell>
          <cell r="F74" t="str">
            <v>DIST</v>
          </cell>
          <cell r="P74">
            <v>0</v>
          </cell>
          <cell r="R74">
            <v>17</v>
          </cell>
        </row>
        <row r="75">
          <cell r="A75">
            <v>60</v>
          </cell>
          <cell r="B75" t="str">
            <v>Mains - Other</v>
          </cell>
          <cell r="C75" t="str">
            <v>376</v>
          </cell>
          <cell r="E75">
            <v>8403131.9529166576</v>
          </cell>
          <cell r="F75" t="str">
            <v>DIST</v>
          </cell>
          <cell r="P75">
            <v>0</v>
          </cell>
          <cell r="R75">
            <v>17</v>
          </cell>
        </row>
        <row r="76">
          <cell r="A76">
            <v>61</v>
          </cell>
          <cell r="B76" t="str">
            <v>Compressor Station</v>
          </cell>
          <cell r="C76">
            <v>377</v>
          </cell>
          <cell r="E76">
            <v>2097766.77</v>
          </cell>
          <cell r="F76" t="str">
            <v>DIST</v>
          </cell>
          <cell r="P76">
            <v>0</v>
          </cell>
          <cell r="R76">
            <v>17</v>
          </cell>
        </row>
        <row r="77">
          <cell r="A77">
            <v>62</v>
          </cell>
          <cell r="B77" t="str">
            <v>M &amp; R Station Equipment</v>
          </cell>
          <cell r="C77" t="str">
            <v>378</v>
          </cell>
          <cell r="E77">
            <v>19188859.344166666</v>
          </cell>
          <cell r="F77" t="str">
            <v>DIST</v>
          </cell>
          <cell r="P77">
            <v>0</v>
          </cell>
          <cell r="R77">
            <v>17</v>
          </cell>
        </row>
        <row r="78">
          <cell r="A78">
            <v>63</v>
          </cell>
          <cell r="B78" t="str">
            <v>Services</v>
          </cell>
          <cell r="C78" t="str">
            <v>380</v>
          </cell>
          <cell r="E78">
            <v>163002131.05500001</v>
          </cell>
          <cell r="F78" t="str">
            <v>DIST</v>
          </cell>
          <cell r="P78">
            <v>0</v>
          </cell>
          <cell r="R78">
            <v>17</v>
          </cell>
        </row>
        <row r="79">
          <cell r="A79">
            <v>64</v>
          </cell>
          <cell r="B79" t="str">
            <v>Services - Direct</v>
          </cell>
          <cell r="C79" t="str">
            <v>380</v>
          </cell>
          <cell r="E79">
            <v>22241.79</v>
          </cell>
          <cell r="F79" t="str">
            <v>DIST</v>
          </cell>
          <cell r="P79">
            <v>0</v>
          </cell>
          <cell r="R79">
            <v>17</v>
          </cell>
        </row>
        <row r="80">
          <cell r="A80">
            <v>65</v>
          </cell>
          <cell r="B80" t="str">
            <v>Meters</v>
          </cell>
          <cell r="C80" t="str">
            <v>381</v>
          </cell>
          <cell r="E80">
            <v>41039332.402482167</v>
          </cell>
          <cell r="F80" t="str">
            <v>DIST</v>
          </cell>
          <cell r="P80">
            <v>0</v>
          </cell>
          <cell r="R80">
            <v>17</v>
          </cell>
        </row>
        <row r="81">
          <cell r="A81">
            <v>66</v>
          </cell>
          <cell r="B81" t="str">
            <v xml:space="preserve">Meter Install </v>
          </cell>
          <cell r="C81" t="str">
            <v>382</v>
          </cell>
          <cell r="E81">
            <v>22597276.53083333</v>
          </cell>
          <cell r="F81" t="str">
            <v>DIST</v>
          </cell>
          <cell r="P81">
            <v>0</v>
          </cell>
          <cell r="R81">
            <v>17</v>
          </cell>
        </row>
        <row r="82">
          <cell r="A82">
            <v>67</v>
          </cell>
          <cell r="B82" t="str">
            <v>House Regulator &amp; Install.</v>
          </cell>
          <cell r="C82" t="str">
            <v>383, 384</v>
          </cell>
          <cell r="E82">
            <v>7755597.5630362509</v>
          </cell>
          <cell r="F82" t="str">
            <v>DIST</v>
          </cell>
          <cell r="P82">
            <v>0</v>
          </cell>
          <cell r="R82">
            <v>17</v>
          </cell>
        </row>
        <row r="83">
          <cell r="A83">
            <v>68</v>
          </cell>
          <cell r="B83" t="str">
            <v>Industrial M &amp; R Station Equipment</v>
          </cell>
          <cell r="C83" t="str">
            <v>385</v>
          </cell>
          <cell r="E83">
            <v>9042638.8108333349</v>
          </cell>
          <cell r="F83" t="str">
            <v>DIST</v>
          </cell>
          <cell r="P83">
            <v>0</v>
          </cell>
          <cell r="R83">
            <v>17</v>
          </cell>
        </row>
        <row r="84">
          <cell r="A84">
            <v>69</v>
          </cell>
          <cell r="B84" t="str">
            <v>Other Property on Customers Premise</v>
          </cell>
          <cell r="C84" t="str">
            <v>386</v>
          </cell>
          <cell r="E84">
            <v>0</v>
          </cell>
          <cell r="F84" t="str">
            <v>DIST</v>
          </cell>
          <cell r="P84">
            <v>0</v>
          </cell>
          <cell r="R84">
            <v>17</v>
          </cell>
        </row>
        <row r="85">
          <cell r="A85">
            <v>70</v>
          </cell>
          <cell r="B85" t="str">
            <v>Other Equipment</v>
          </cell>
          <cell r="C85" t="str">
            <v>387, 388</v>
          </cell>
          <cell r="E85">
            <v>0</v>
          </cell>
          <cell r="F85" t="str">
            <v>DISTPT</v>
          </cell>
          <cell r="P85">
            <v>0</v>
          </cell>
          <cell r="R85">
            <v>77</v>
          </cell>
        </row>
        <row r="86">
          <cell r="A86">
            <v>71</v>
          </cell>
          <cell r="B86" t="str">
            <v>Subtotal - DISTRIBUTION PLANT</v>
          </cell>
          <cell r="C86" t="str">
            <v>374-387</v>
          </cell>
          <cell r="E86">
            <v>607131300.09913862</v>
          </cell>
          <cell r="P86">
            <v>0</v>
          </cell>
        </row>
        <row r="87">
          <cell r="A87">
            <v>72</v>
          </cell>
        </row>
        <row r="88">
          <cell r="A88">
            <v>73</v>
          </cell>
          <cell r="B88" t="str">
            <v>F. GENERAL PLANT</v>
          </cell>
        </row>
        <row r="89">
          <cell r="A89">
            <v>74</v>
          </cell>
        </row>
        <row r="90">
          <cell r="A90">
            <v>75</v>
          </cell>
          <cell r="B90" t="str">
            <v>Land and Land Rights</v>
          </cell>
          <cell r="C90" t="str">
            <v>389</v>
          </cell>
          <cell r="E90">
            <v>2738864.5645764172</v>
          </cell>
          <cell r="F90" t="str">
            <v>PSTDP</v>
          </cell>
          <cell r="P90">
            <v>0</v>
          </cell>
          <cell r="R90">
            <v>50</v>
          </cell>
        </row>
        <row r="91">
          <cell r="A91">
            <v>76</v>
          </cell>
          <cell r="B91" t="str">
            <v>Structures and Improvements</v>
          </cell>
          <cell r="C91" t="str">
            <v>390</v>
          </cell>
          <cell r="E91">
            <v>13566023.193436205</v>
          </cell>
          <cell r="F91" t="str">
            <v>PSTDP</v>
          </cell>
          <cell r="P91">
            <v>0</v>
          </cell>
          <cell r="R91">
            <v>50</v>
          </cell>
        </row>
        <row r="92">
          <cell r="A92">
            <v>77</v>
          </cell>
          <cell r="B92" t="str">
            <v>Office Furniture and Equipment</v>
          </cell>
          <cell r="C92" t="str">
            <v>391</v>
          </cell>
          <cell r="E92">
            <v>5763949.7455356671</v>
          </cell>
          <cell r="F92" t="str">
            <v>PSTDP</v>
          </cell>
          <cell r="P92">
            <v>0</v>
          </cell>
          <cell r="R92">
            <v>50</v>
          </cell>
        </row>
        <row r="93">
          <cell r="A93">
            <v>78</v>
          </cell>
          <cell r="B93" t="str">
            <v>Transportation Equipment</v>
          </cell>
          <cell r="C93" t="str">
            <v>392</v>
          </cell>
          <cell r="E93">
            <v>10752616.541323917</v>
          </cell>
          <cell r="F93" t="str">
            <v>PSTDP</v>
          </cell>
          <cell r="P93">
            <v>0</v>
          </cell>
          <cell r="R93">
            <v>50</v>
          </cell>
        </row>
        <row r="94">
          <cell r="A94">
            <v>79</v>
          </cell>
          <cell r="B94" t="str">
            <v>Stores Equipment</v>
          </cell>
          <cell r="C94" t="str">
            <v>393</v>
          </cell>
          <cell r="E94">
            <v>56277.75918275</v>
          </cell>
          <cell r="F94" t="str">
            <v>PSTDP</v>
          </cell>
          <cell r="P94">
            <v>0</v>
          </cell>
          <cell r="R94">
            <v>50</v>
          </cell>
        </row>
        <row r="95">
          <cell r="A95">
            <v>80</v>
          </cell>
          <cell r="B95" t="str">
            <v>Tools, Shop and Garage Equipment</v>
          </cell>
          <cell r="C95" t="str">
            <v>394</v>
          </cell>
          <cell r="E95">
            <v>6006139.5495692082</v>
          </cell>
          <cell r="F95" t="str">
            <v>PSTDP</v>
          </cell>
          <cell r="P95">
            <v>0</v>
          </cell>
          <cell r="R95">
            <v>50</v>
          </cell>
        </row>
        <row r="96">
          <cell r="A96">
            <v>81</v>
          </cell>
          <cell r="B96" t="str">
            <v>Laboratory Equipment</v>
          </cell>
          <cell r="C96" t="str">
            <v>395</v>
          </cell>
          <cell r="E96">
            <v>102218.10203783335</v>
          </cell>
          <cell r="F96" t="str">
            <v>PSTDP</v>
          </cell>
          <cell r="P96">
            <v>0</v>
          </cell>
          <cell r="R96">
            <v>50</v>
          </cell>
        </row>
        <row r="97">
          <cell r="A97">
            <v>82</v>
          </cell>
          <cell r="B97" t="str">
            <v>Power Operated Equipment</v>
          </cell>
          <cell r="C97" t="str">
            <v>396</v>
          </cell>
          <cell r="E97">
            <v>2567582.4077424579</v>
          </cell>
          <cell r="F97" t="str">
            <v>PSTDP</v>
          </cell>
          <cell r="P97">
            <v>0</v>
          </cell>
          <cell r="R97">
            <v>50</v>
          </cell>
        </row>
        <row r="98">
          <cell r="A98">
            <v>83</v>
          </cell>
          <cell r="B98" t="str">
            <v>Communication Equipment</v>
          </cell>
          <cell r="C98" t="str">
            <v>397</v>
          </cell>
          <cell r="E98">
            <v>5311915.0541760828</v>
          </cell>
          <cell r="F98" t="str">
            <v>PSTDP</v>
          </cell>
          <cell r="P98">
            <v>0</v>
          </cell>
          <cell r="R98">
            <v>50</v>
          </cell>
        </row>
        <row r="99">
          <cell r="A99">
            <v>84</v>
          </cell>
          <cell r="B99" t="str">
            <v>Communication Equipment-Metretek</v>
          </cell>
          <cell r="C99" t="str">
            <v>397</v>
          </cell>
          <cell r="E99">
            <v>106500</v>
          </cell>
          <cell r="F99" t="str">
            <v>DIST</v>
          </cell>
          <cell r="P99">
            <v>0</v>
          </cell>
          <cell r="R99">
            <v>17</v>
          </cell>
        </row>
        <row r="100">
          <cell r="A100">
            <v>85</v>
          </cell>
          <cell r="B100" t="str">
            <v>Miscellaneous Equipment</v>
          </cell>
          <cell r="C100">
            <v>398</v>
          </cell>
          <cell r="E100">
            <v>56984.498182583353</v>
          </cell>
          <cell r="F100" t="str">
            <v>PSTDP</v>
          </cell>
          <cell r="P100">
            <v>0</v>
          </cell>
          <cell r="R100">
            <v>50</v>
          </cell>
        </row>
        <row r="101">
          <cell r="A101">
            <v>86</v>
          </cell>
          <cell r="B101" t="str">
            <v>Other Tangible Plant</v>
          </cell>
          <cell r="C101">
            <v>399</v>
          </cell>
          <cell r="E101">
            <v>0</v>
          </cell>
          <cell r="F101" t="str">
            <v>PSTDP</v>
          </cell>
          <cell r="P101">
            <v>0</v>
          </cell>
          <cell r="R101">
            <v>50</v>
          </cell>
        </row>
        <row r="102">
          <cell r="A102">
            <v>87</v>
          </cell>
          <cell r="B102" t="str">
            <v>Subtotal - GENERAL PLANT</v>
          </cell>
          <cell r="C102" t="str">
            <v>389-399</v>
          </cell>
          <cell r="E102">
            <v>47029071.415763117</v>
          </cell>
          <cell r="P102">
            <v>0</v>
          </cell>
        </row>
        <row r="103">
          <cell r="A103">
            <v>88</v>
          </cell>
        </row>
        <row r="104">
          <cell r="A104">
            <v>89</v>
          </cell>
          <cell r="B104" t="str">
            <v>TOTAL PLANT IN SERVICE</v>
          </cell>
          <cell r="E104">
            <v>698410162.7612288</v>
          </cell>
          <cell r="P104">
            <v>0</v>
          </cell>
        </row>
        <row r="105">
          <cell r="A105">
            <v>90</v>
          </cell>
        </row>
        <row r="106">
          <cell r="A106">
            <v>91</v>
          </cell>
          <cell r="B106" t="str">
            <v xml:space="preserve">G. Utility Plant </v>
          </cell>
          <cell r="C106" t="str">
            <v>105</v>
          </cell>
          <cell r="E106">
            <v>0</v>
          </cell>
          <cell r="F106" t="str">
            <v>PSTDP</v>
          </cell>
          <cell r="P106">
            <v>0</v>
          </cell>
          <cell r="R106">
            <v>50</v>
          </cell>
        </row>
        <row r="107">
          <cell r="A107">
            <v>92</v>
          </cell>
        </row>
        <row r="108">
          <cell r="A108">
            <v>93</v>
          </cell>
          <cell r="B108" t="str">
            <v>TOTAL UTILITY PLANT</v>
          </cell>
          <cell r="E108">
            <v>698410162.7612288</v>
          </cell>
          <cell r="P108">
            <v>0</v>
          </cell>
        </row>
        <row r="109">
          <cell r="A109">
            <v>94</v>
          </cell>
        </row>
        <row r="110">
          <cell r="A110">
            <v>95</v>
          </cell>
          <cell r="B110" t="str">
            <v>II. DEPRECIATION RESERVE</v>
          </cell>
        </row>
        <row r="111">
          <cell r="A111">
            <v>96</v>
          </cell>
          <cell r="B111" t="str">
            <v>Intangible Plant</v>
          </cell>
          <cell r="C111">
            <v>303</v>
          </cell>
          <cell r="E111">
            <v>7329017.6091067931</v>
          </cell>
          <cell r="F111" t="str">
            <v>INTANGPT</v>
          </cell>
          <cell r="P111">
            <v>0</v>
          </cell>
          <cell r="R111">
            <v>116</v>
          </cell>
        </row>
        <row r="112">
          <cell r="A112">
            <v>97</v>
          </cell>
          <cell r="B112" t="str">
            <v>Production Plant</v>
          </cell>
          <cell r="C112" t="str">
            <v>332-337</v>
          </cell>
          <cell r="E112">
            <v>0</v>
          </cell>
          <cell r="F112" t="str">
            <v>SUPP</v>
          </cell>
          <cell r="P112">
            <v>0</v>
          </cell>
          <cell r="R112">
            <v>8</v>
          </cell>
        </row>
        <row r="113">
          <cell r="A113">
            <v>98</v>
          </cell>
          <cell r="B113" t="str">
            <v>Local Storage Plant</v>
          </cell>
          <cell r="C113" t="str">
            <v>350-357</v>
          </cell>
          <cell r="E113">
            <v>0</v>
          </cell>
          <cell r="F113" t="str">
            <v>STORPT</v>
          </cell>
          <cell r="P113">
            <v>0</v>
          </cell>
          <cell r="R113">
            <v>71</v>
          </cell>
        </row>
        <row r="114">
          <cell r="A114">
            <v>99</v>
          </cell>
          <cell r="B114" t="str">
            <v>Transmission</v>
          </cell>
          <cell r="C114" t="str">
            <v>365-371</v>
          </cell>
          <cell r="E114">
            <v>11521078.067329334</v>
          </cell>
          <cell r="F114" t="str">
            <v>TRANSPT</v>
          </cell>
          <cell r="P114">
            <v>0</v>
          </cell>
          <cell r="R114">
            <v>74</v>
          </cell>
        </row>
        <row r="115">
          <cell r="A115">
            <v>100</v>
          </cell>
          <cell r="B115" t="str">
            <v>Distribution Land Structures &amp; Improvements</v>
          </cell>
          <cell r="C115" t="str">
            <v>374-375</v>
          </cell>
          <cell r="E115">
            <v>1592449.7936781668</v>
          </cell>
          <cell r="F115" t="str">
            <v>DISTPT</v>
          </cell>
          <cell r="P115">
            <v>0</v>
          </cell>
          <cell r="R115">
            <v>77</v>
          </cell>
        </row>
        <row r="116">
          <cell r="A116">
            <v>101</v>
          </cell>
          <cell r="B116" t="str">
            <v>Mains</v>
          </cell>
          <cell r="C116">
            <v>376</v>
          </cell>
          <cell r="E116">
            <v>138449805.07294154</v>
          </cell>
          <cell r="F116" t="str">
            <v>DISTPT</v>
          </cell>
          <cell r="P116">
            <v>0</v>
          </cell>
          <cell r="R116">
            <v>77</v>
          </cell>
        </row>
        <row r="117">
          <cell r="A117">
            <v>102</v>
          </cell>
          <cell r="B117" t="str">
            <v>Compressor Station</v>
          </cell>
          <cell r="C117">
            <v>377</v>
          </cell>
          <cell r="E117">
            <v>1370496.24</v>
          </cell>
          <cell r="F117" t="str">
            <v>DISTPT</v>
          </cell>
          <cell r="P117">
            <v>0</v>
          </cell>
          <cell r="R117">
            <v>77</v>
          </cell>
        </row>
        <row r="118">
          <cell r="A118">
            <v>103</v>
          </cell>
          <cell r="B118" t="str">
            <v>Distribution M&amp;R General</v>
          </cell>
          <cell r="C118">
            <v>378</v>
          </cell>
          <cell r="E118">
            <v>5594946.9176786663</v>
          </cell>
          <cell r="F118" t="str">
            <v>DISTPT</v>
          </cell>
          <cell r="P118">
            <v>0</v>
          </cell>
          <cell r="R118">
            <v>77</v>
          </cell>
        </row>
        <row r="119">
          <cell r="A119">
            <v>104</v>
          </cell>
          <cell r="B119" t="str">
            <v>Distribution Services</v>
          </cell>
          <cell r="C119">
            <v>380</v>
          </cell>
          <cell r="E119">
            <v>129932792.20200464</v>
          </cell>
          <cell r="F119" t="str">
            <v>DISTPT</v>
          </cell>
          <cell r="P119">
            <v>0</v>
          </cell>
          <cell r="R119">
            <v>77</v>
          </cell>
        </row>
        <row r="120">
          <cell r="A120">
            <v>105</v>
          </cell>
          <cell r="B120" t="str">
            <v>Distribution - Meters</v>
          </cell>
          <cell r="C120">
            <v>381</v>
          </cell>
          <cell r="E120">
            <v>12787623.594037356</v>
          </cell>
          <cell r="F120" t="str">
            <v>DISTPT</v>
          </cell>
          <cell r="P120">
            <v>0</v>
          </cell>
          <cell r="R120">
            <v>77</v>
          </cell>
        </row>
        <row r="121">
          <cell r="A121">
            <v>106</v>
          </cell>
          <cell r="B121" t="str">
            <v>Distribution - Meters Installations</v>
          </cell>
          <cell r="C121">
            <v>382</v>
          </cell>
          <cell r="E121">
            <v>10244836.287083333</v>
          </cell>
          <cell r="F121" t="str">
            <v>DISTPT</v>
          </cell>
          <cell r="P121">
            <v>0</v>
          </cell>
          <cell r="R121">
            <v>77</v>
          </cell>
        </row>
        <row r="122">
          <cell r="A122">
            <v>107</v>
          </cell>
          <cell r="B122" t="str">
            <v>House Regulator &amp; Install.</v>
          </cell>
          <cell r="C122" t="str">
            <v>383, 384</v>
          </cell>
          <cell r="E122">
            <v>2785488.26940525</v>
          </cell>
          <cell r="F122" t="str">
            <v>DISTPT</v>
          </cell>
          <cell r="P122">
            <v>0</v>
          </cell>
          <cell r="R122">
            <v>77</v>
          </cell>
        </row>
        <row r="123">
          <cell r="A123">
            <v>108</v>
          </cell>
          <cell r="B123" t="str">
            <v>Industrial M &amp; R Station Equipment - Other</v>
          </cell>
          <cell r="C123">
            <v>385</v>
          </cell>
          <cell r="E123">
            <v>3552565.8973903325</v>
          </cell>
          <cell r="F123" t="str">
            <v>DISTPT</v>
          </cell>
          <cell r="P123">
            <v>0</v>
          </cell>
          <cell r="R123">
            <v>77</v>
          </cell>
        </row>
        <row r="124">
          <cell r="A124">
            <v>109</v>
          </cell>
          <cell r="B124" t="str">
            <v>Other Property on Customers Premises</v>
          </cell>
          <cell r="C124">
            <v>386</v>
          </cell>
          <cell r="E124">
            <v>-305.76000000000005</v>
          </cell>
          <cell r="F124" t="str">
            <v>DISTPT</v>
          </cell>
          <cell r="P124">
            <v>0</v>
          </cell>
          <cell r="R124">
            <v>77</v>
          </cell>
        </row>
        <row r="125">
          <cell r="A125">
            <v>110</v>
          </cell>
          <cell r="B125" t="str">
            <v>Other Equipment</v>
          </cell>
          <cell r="C125">
            <v>387</v>
          </cell>
          <cell r="E125">
            <v>0</v>
          </cell>
          <cell r="F125" t="str">
            <v>DISTPT</v>
          </cell>
          <cell r="P125">
            <v>0</v>
          </cell>
          <cell r="R125">
            <v>77</v>
          </cell>
        </row>
        <row r="126">
          <cell r="A126">
            <v>111</v>
          </cell>
          <cell r="B126" t="str">
            <v>General Plant</v>
          </cell>
          <cell r="C126" t="str">
            <v>389-399</v>
          </cell>
          <cell r="E126">
            <v>20507992.664249986</v>
          </cell>
          <cell r="F126" t="str">
            <v>PSTDP</v>
          </cell>
          <cell r="P126">
            <v>0</v>
          </cell>
          <cell r="R126">
            <v>50</v>
          </cell>
        </row>
        <row r="127">
          <cell r="A127">
            <v>112</v>
          </cell>
          <cell r="B127" t="str">
            <v>Total-DEP. RESERVE (PLANT IN SERVI</v>
          </cell>
          <cell r="E127">
            <v>345668786.85490537</v>
          </cell>
          <cell r="P127">
            <v>0</v>
          </cell>
        </row>
        <row r="128">
          <cell r="A128">
            <v>113</v>
          </cell>
        </row>
        <row r="129">
          <cell r="A129">
            <v>114</v>
          </cell>
          <cell r="B129" t="str">
            <v>Retirement Obligation</v>
          </cell>
          <cell r="E129">
            <v>0</v>
          </cell>
          <cell r="F129" t="str">
            <v>PSTDP</v>
          </cell>
          <cell r="P129">
            <v>0</v>
          </cell>
          <cell r="R129">
            <v>50</v>
          </cell>
        </row>
        <row r="130">
          <cell r="A130">
            <v>115</v>
          </cell>
        </row>
        <row r="131">
          <cell r="A131">
            <v>116</v>
          </cell>
          <cell r="B131" t="str">
            <v>TOTAL  - DEPRECIATION RESERVE</v>
          </cell>
          <cell r="E131">
            <v>345668786.85490537</v>
          </cell>
          <cell r="P131">
            <v>0</v>
          </cell>
        </row>
        <row r="132">
          <cell r="A132">
            <v>117</v>
          </cell>
        </row>
        <row r="133">
          <cell r="A133">
            <v>118</v>
          </cell>
          <cell r="B133" t="str">
            <v>III. OTHER RATE BASE ITEMS</v>
          </cell>
        </row>
        <row r="134">
          <cell r="A134">
            <v>119</v>
          </cell>
          <cell r="B134" t="str">
            <v>CWIP</v>
          </cell>
          <cell r="E134">
            <v>0</v>
          </cell>
          <cell r="F134" t="str">
            <v>PSTDP</v>
          </cell>
          <cell r="P134">
            <v>0</v>
          </cell>
          <cell r="R134">
            <v>50</v>
          </cell>
        </row>
        <row r="135">
          <cell r="A135">
            <v>120</v>
          </cell>
          <cell r="B135" t="str">
            <v>Working Capital</v>
          </cell>
          <cell r="E135">
            <v>25610869.595646363</v>
          </cell>
          <cell r="F135" t="str">
            <v>PSTDP</v>
          </cell>
          <cell r="P135">
            <v>0</v>
          </cell>
          <cell r="R135">
            <v>50</v>
          </cell>
        </row>
        <row r="136">
          <cell r="A136">
            <v>121</v>
          </cell>
          <cell r="B136" t="str">
            <v xml:space="preserve">Deferred Income Taxes </v>
          </cell>
          <cell r="E136">
            <v>-73719929.417244926</v>
          </cell>
          <cell r="F136" t="str">
            <v>PSTDP</v>
          </cell>
          <cell r="P136">
            <v>0</v>
          </cell>
          <cell r="R136">
            <v>50</v>
          </cell>
        </row>
        <row r="137">
          <cell r="A137">
            <v>122</v>
          </cell>
          <cell r="B137" t="str">
            <v>Customer Advances</v>
          </cell>
          <cell r="E137">
            <v>-3771590.387083333</v>
          </cell>
          <cell r="F137" t="str">
            <v>DISTPT</v>
          </cell>
          <cell r="P137">
            <v>0</v>
          </cell>
          <cell r="R137">
            <v>77</v>
          </cell>
        </row>
        <row r="138">
          <cell r="A138">
            <v>123</v>
          </cell>
          <cell r="B138" t="str">
            <v>Total - OTHER RATE BASE ITEMS</v>
          </cell>
          <cell r="E138">
            <v>-51880650.208681896</v>
          </cell>
          <cell r="P138">
            <v>0</v>
          </cell>
        </row>
        <row r="139">
          <cell r="A139">
            <v>124</v>
          </cell>
        </row>
        <row r="140">
          <cell r="A140">
            <v>125</v>
          </cell>
          <cell r="B140" t="str">
            <v>IV. TOTAL RATE BASE (Excl. Working Capital)</v>
          </cell>
          <cell r="E140">
            <v>300860725.69764155</v>
          </cell>
          <cell r="P140">
            <v>0</v>
          </cell>
        </row>
        <row r="141">
          <cell r="A141">
            <v>126</v>
          </cell>
        </row>
        <row r="142">
          <cell r="A142">
            <v>127</v>
          </cell>
          <cell r="B142" t="str">
            <v>Gas Purchases Cash Working Capital</v>
          </cell>
          <cell r="E142">
            <v>0</v>
          </cell>
          <cell r="F142" t="str">
            <v>DIST</v>
          </cell>
          <cell r="P142">
            <v>0</v>
          </cell>
          <cell r="R142">
            <v>17</v>
          </cell>
        </row>
        <row r="143">
          <cell r="A143">
            <v>128</v>
          </cell>
        </row>
        <row r="144">
          <cell r="A144">
            <v>129</v>
          </cell>
          <cell r="B144" t="str">
            <v>V. TOTAL RATE BASE</v>
          </cell>
          <cell r="E144">
            <v>300860725.69764155</v>
          </cell>
          <cell r="P144">
            <v>0</v>
          </cell>
        </row>
        <row r="145">
          <cell r="A145">
            <v>130</v>
          </cell>
        </row>
        <row r="146">
          <cell r="A146">
            <v>131</v>
          </cell>
          <cell r="B146" t="str">
            <v>I. OPERATION &amp; MAINTENANCE EXPENSE</v>
          </cell>
        </row>
        <row r="147">
          <cell r="A147">
            <v>132</v>
          </cell>
        </row>
        <row r="148">
          <cell r="A148">
            <v>133</v>
          </cell>
          <cell r="B148" t="str">
            <v>A. PRODUCTION EXPENSES</v>
          </cell>
        </row>
        <row r="149">
          <cell r="A149">
            <v>134</v>
          </cell>
        </row>
        <row r="150">
          <cell r="A150">
            <v>135</v>
          </cell>
          <cell r="B150" t="str">
            <v>1. Manufactured Gas Production</v>
          </cell>
        </row>
        <row r="151">
          <cell r="A151">
            <v>136</v>
          </cell>
        </row>
        <row r="152">
          <cell r="A152">
            <v>137</v>
          </cell>
          <cell r="B152" t="str">
            <v>Production Maps</v>
          </cell>
          <cell r="C152">
            <v>751</v>
          </cell>
          <cell r="E152">
            <v>0</v>
          </cell>
          <cell r="F152" t="str">
            <v>SUPP</v>
          </cell>
          <cell r="P152">
            <v>0</v>
          </cell>
          <cell r="R152">
            <v>8</v>
          </cell>
        </row>
        <row r="153">
          <cell r="A153">
            <v>138</v>
          </cell>
          <cell r="B153" t="str">
            <v>Gas Wells Expense</v>
          </cell>
          <cell r="C153">
            <v>752</v>
          </cell>
          <cell r="E153">
            <v>0</v>
          </cell>
          <cell r="F153" t="str">
            <v>SUPP</v>
          </cell>
          <cell r="P153">
            <v>0</v>
          </cell>
          <cell r="R153">
            <v>8</v>
          </cell>
        </row>
        <row r="154">
          <cell r="A154">
            <v>139</v>
          </cell>
          <cell r="B154" t="str">
            <v>Field Lines Expense</v>
          </cell>
          <cell r="C154">
            <v>753</v>
          </cell>
          <cell r="E154">
            <v>0</v>
          </cell>
          <cell r="F154" t="str">
            <v>SUPP</v>
          </cell>
          <cell r="P154">
            <v>0</v>
          </cell>
          <cell r="R154">
            <v>8</v>
          </cell>
        </row>
        <row r="155">
          <cell r="A155">
            <v>140</v>
          </cell>
          <cell r="B155" t="str">
            <v>Field Compressor Station Expense</v>
          </cell>
          <cell r="C155">
            <v>754756</v>
          </cell>
          <cell r="E155">
            <v>0</v>
          </cell>
          <cell r="F155" t="str">
            <v>SUPP</v>
          </cell>
          <cell r="P155">
            <v>0</v>
          </cell>
          <cell r="R155">
            <v>8</v>
          </cell>
        </row>
        <row r="156">
          <cell r="A156">
            <v>141</v>
          </cell>
          <cell r="B156" t="str">
            <v>Other Expense</v>
          </cell>
          <cell r="C156">
            <v>759</v>
          </cell>
          <cell r="E156">
            <v>0</v>
          </cell>
          <cell r="F156" t="str">
            <v>SUPP</v>
          </cell>
          <cell r="P156">
            <v>0</v>
          </cell>
          <cell r="R156">
            <v>8</v>
          </cell>
        </row>
        <row r="157">
          <cell r="A157">
            <v>142</v>
          </cell>
          <cell r="B157" t="str">
            <v>Rents</v>
          </cell>
          <cell r="C157">
            <v>760</v>
          </cell>
          <cell r="E157">
            <v>0</v>
          </cell>
          <cell r="F157" t="str">
            <v>SUPP</v>
          </cell>
          <cell r="P157">
            <v>0</v>
          </cell>
          <cell r="R157">
            <v>8</v>
          </cell>
        </row>
        <row r="158">
          <cell r="A158">
            <v>143</v>
          </cell>
          <cell r="B158" t="str">
            <v xml:space="preserve">     Subtotal - Operation Accounts </v>
          </cell>
          <cell r="C158" t="str">
            <v>751-760</v>
          </cell>
          <cell r="E158">
            <v>0</v>
          </cell>
          <cell r="P158">
            <v>0</v>
          </cell>
          <cell r="R158">
            <v>4</v>
          </cell>
        </row>
        <row r="159">
          <cell r="A159">
            <v>144</v>
          </cell>
          <cell r="B159" t="str">
            <v>Maint Supervision &amp; Engineering</v>
          </cell>
          <cell r="C159">
            <v>762</v>
          </cell>
          <cell r="E159">
            <v>0</v>
          </cell>
          <cell r="F159" t="str">
            <v>SUPP</v>
          </cell>
          <cell r="P159">
            <v>0</v>
          </cell>
          <cell r="R159">
            <v>8</v>
          </cell>
        </row>
        <row r="160">
          <cell r="A160">
            <v>145</v>
          </cell>
          <cell r="B160" t="str">
            <v>Field Lines</v>
          </cell>
          <cell r="C160" t="str">
            <v>764, 787</v>
          </cell>
          <cell r="E160">
            <v>0</v>
          </cell>
          <cell r="F160" t="str">
            <v>SUPP</v>
          </cell>
          <cell r="P160">
            <v>0</v>
          </cell>
          <cell r="R160">
            <v>8</v>
          </cell>
        </row>
        <row r="161">
          <cell r="A161">
            <v>146</v>
          </cell>
          <cell r="B161" t="str">
            <v>Field Meas/Reg</v>
          </cell>
          <cell r="C161" t="str">
            <v>765, 766</v>
          </cell>
          <cell r="E161">
            <v>0</v>
          </cell>
          <cell r="F161" t="str">
            <v>SUPP</v>
          </cell>
          <cell r="P161">
            <v>0</v>
          </cell>
          <cell r="R161">
            <v>8</v>
          </cell>
        </row>
        <row r="162">
          <cell r="A162">
            <v>147</v>
          </cell>
          <cell r="B162" t="str">
            <v xml:space="preserve">     Subtotal - Maintenance Accounts</v>
          </cell>
          <cell r="C162" t="str">
            <v>762-787</v>
          </cell>
          <cell r="E162">
            <v>0</v>
          </cell>
          <cell r="P162">
            <v>0</v>
          </cell>
        </row>
        <row r="163">
          <cell r="A163">
            <v>148</v>
          </cell>
        </row>
        <row r="164">
          <cell r="A164">
            <v>149</v>
          </cell>
          <cell r="B164" t="str">
            <v>Subtotal - Manufactured Gas Production</v>
          </cell>
          <cell r="C164" t="str">
            <v>751-787</v>
          </cell>
          <cell r="E164">
            <v>0</v>
          </cell>
          <cell r="P164">
            <v>0</v>
          </cell>
        </row>
        <row r="165">
          <cell r="A165">
            <v>150</v>
          </cell>
        </row>
        <row r="166">
          <cell r="A166">
            <v>151</v>
          </cell>
          <cell r="B166" t="str">
            <v>2. Other Gas Supply  Expenses</v>
          </cell>
        </row>
        <row r="167">
          <cell r="A167">
            <v>152</v>
          </cell>
        </row>
        <row r="168">
          <cell r="A168">
            <v>153</v>
          </cell>
          <cell r="B168" t="str">
            <v>Oth Gas Supply Op - Natural gas well head Pur</v>
          </cell>
          <cell r="C168">
            <v>800</v>
          </cell>
          <cell r="E168">
            <v>0</v>
          </cell>
          <cell r="F168" t="str">
            <v>SUPP</v>
          </cell>
          <cell r="P168">
            <v>0</v>
          </cell>
          <cell r="R168">
            <v>8</v>
          </cell>
        </row>
        <row r="169">
          <cell r="A169">
            <v>154</v>
          </cell>
          <cell r="B169" t="str">
            <v>Nat Gas Field Lines</v>
          </cell>
          <cell r="C169">
            <v>801</v>
          </cell>
          <cell r="E169">
            <v>0</v>
          </cell>
          <cell r="F169" t="str">
            <v>SUPP</v>
          </cell>
          <cell r="P169">
            <v>0</v>
          </cell>
          <cell r="R169">
            <v>8</v>
          </cell>
        </row>
        <row r="170">
          <cell r="A170">
            <v>155</v>
          </cell>
          <cell r="B170" t="str">
            <v>Nat Gas Transmission Lines</v>
          </cell>
          <cell r="C170">
            <v>803</v>
          </cell>
          <cell r="E170">
            <v>0</v>
          </cell>
          <cell r="F170" t="str">
            <v>SUPP</v>
          </cell>
          <cell r="P170">
            <v>0</v>
          </cell>
          <cell r="R170">
            <v>8</v>
          </cell>
        </row>
        <row r="171">
          <cell r="A171">
            <v>156</v>
          </cell>
          <cell r="B171" t="str">
            <v>Natural Gas City Gate</v>
          </cell>
          <cell r="C171">
            <v>804</v>
          </cell>
          <cell r="E171">
            <v>107612402.79367998</v>
          </cell>
          <cell r="F171" t="str">
            <v>SUPP</v>
          </cell>
          <cell r="P171">
            <v>0</v>
          </cell>
          <cell r="R171">
            <v>8</v>
          </cell>
        </row>
        <row r="172">
          <cell r="A172">
            <v>157</v>
          </cell>
          <cell r="B172" t="str">
            <v>Natural Gas City Gate - TF1</v>
          </cell>
          <cell r="C172">
            <v>0</v>
          </cell>
          <cell r="E172">
            <v>0</v>
          </cell>
          <cell r="F172" t="str">
            <v>SUPP</v>
          </cell>
          <cell r="P172">
            <v>0</v>
          </cell>
          <cell r="R172">
            <v>8</v>
          </cell>
        </row>
        <row r="173">
          <cell r="A173">
            <v>158</v>
          </cell>
          <cell r="B173" t="str">
            <v>Natural Gas City Gate - JP + TF-2</v>
          </cell>
          <cell r="C173">
            <v>0</v>
          </cell>
          <cell r="E173">
            <v>0</v>
          </cell>
          <cell r="F173" t="str">
            <v>SUPP</v>
          </cell>
          <cell r="P173">
            <v>0</v>
          </cell>
          <cell r="R173">
            <v>8</v>
          </cell>
        </row>
        <row r="174">
          <cell r="A174">
            <v>159</v>
          </cell>
          <cell r="B174" t="str">
            <v>Natural Gas City Gate - Peaking</v>
          </cell>
          <cell r="C174">
            <v>0</v>
          </cell>
          <cell r="E174">
            <v>0</v>
          </cell>
          <cell r="F174" t="str">
            <v>SUPP</v>
          </cell>
          <cell r="P174">
            <v>0</v>
          </cell>
          <cell r="R174">
            <v>8</v>
          </cell>
        </row>
        <row r="175">
          <cell r="A175">
            <v>160</v>
          </cell>
          <cell r="B175" t="str">
            <v>Purchase Gas Cost Adjustment</v>
          </cell>
          <cell r="C175">
            <v>805</v>
          </cell>
          <cell r="E175">
            <v>0</v>
          </cell>
          <cell r="F175" t="str">
            <v>SUPP</v>
          </cell>
          <cell r="P175">
            <v>0</v>
          </cell>
          <cell r="R175">
            <v>8</v>
          </cell>
        </row>
        <row r="176">
          <cell r="A176">
            <v>161</v>
          </cell>
          <cell r="B176" t="str">
            <v>Exchange Gas</v>
          </cell>
          <cell r="C176">
            <v>806</v>
          </cell>
          <cell r="E176">
            <v>0</v>
          </cell>
          <cell r="F176" t="str">
            <v>SUPP</v>
          </cell>
          <cell r="P176">
            <v>0</v>
          </cell>
          <cell r="R176">
            <v>8</v>
          </cell>
        </row>
        <row r="177">
          <cell r="A177">
            <v>162</v>
          </cell>
          <cell r="B177" t="str">
            <v>Well Expense - Purchase Gas</v>
          </cell>
          <cell r="C177">
            <v>807</v>
          </cell>
          <cell r="E177">
            <v>0</v>
          </cell>
          <cell r="F177" t="str">
            <v>SUPP</v>
          </cell>
          <cell r="P177">
            <v>0</v>
          </cell>
          <cell r="R177">
            <v>8</v>
          </cell>
        </row>
        <row r="178">
          <cell r="A178">
            <v>163</v>
          </cell>
          <cell r="B178" t="str">
            <v>Gas Delivery/Withdraw from Storage</v>
          </cell>
          <cell r="C178">
            <v>808</v>
          </cell>
          <cell r="E178">
            <v>0</v>
          </cell>
          <cell r="F178" t="str">
            <v>SUPP</v>
          </cell>
          <cell r="P178">
            <v>0</v>
          </cell>
          <cell r="R178">
            <v>8</v>
          </cell>
        </row>
        <row r="179">
          <cell r="A179">
            <v>164</v>
          </cell>
          <cell r="B179" t="str">
            <v>Gas used Compressor Station</v>
          </cell>
          <cell r="C179">
            <v>810</v>
          </cell>
          <cell r="E179">
            <v>0</v>
          </cell>
          <cell r="F179" t="str">
            <v>SUPP</v>
          </cell>
          <cell r="P179">
            <v>0</v>
          </cell>
          <cell r="R179">
            <v>8</v>
          </cell>
        </row>
        <row r="180">
          <cell r="A180">
            <v>165</v>
          </cell>
          <cell r="B180" t="str">
            <v>Gas Used Other Util Ops-Credit</v>
          </cell>
          <cell r="C180">
            <v>812755</v>
          </cell>
          <cell r="E180">
            <v>0</v>
          </cell>
          <cell r="F180" t="str">
            <v>SUPP</v>
          </cell>
          <cell r="P180">
            <v>0</v>
          </cell>
          <cell r="R180">
            <v>8</v>
          </cell>
        </row>
        <row r="181">
          <cell r="A181">
            <v>166</v>
          </cell>
          <cell r="B181" t="str">
            <v>Other Gas Supply Expenses</v>
          </cell>
          <cell r="C181">
            <v>813</v>
          </cell>
          <cell r="E181">
            <v>535154.69966348482</v>
          </cell>
          <cell r="F181" t="str">
            <v>SUPP</v>
          </cell>
          <cell r="P181">
            <v>0</v>
          </cell>
          <cell r="R181">
            <v>8</v>
          </cell>
        </row>
        <row r="182">
          <cell r="A182">
            <v>167</v>
          </cell>
          <cell r="B182" t="str">
            <v>Subtotal - OTHER GAS SUPPLY EXPENSES</v>
          </cell>
          <cell r="C182" t="str">
            <v>801-813</v>
          </cell>
          <cell r="E182">
            <v>108147557.49334347</v>
          </cell>
          <cell r="P182">
            <v>0</v>
          </cell>
        </row>
        <row r="183">
          <cell r="A183">
            <v>168</v>
          </cell>
        </row>
        <row r="184">
          <cell r="A184">
            <v>169</v>
          </cell>
        </row>
        <row r="185">
          <cell r="A185">
            <v>170</v>
          </cell>
          <cell r="B185" t="str">
            <v>B. NATURAL GAS STORAGE, TERMINALING &amp; PROCESSING EXPENSES</v>
          </cell>
        </row>
        <row r="186">
          <cell r="A186">
            <v>171</v>
          </cell>
        </row>
        <row r="187">
          <cell r="A187">
            <v>172</v>
          </cell>
          <cell r="B187" t="str">
            <v>UG Storage Operation supervision and engineering</v>
          </cell>
          <cell r="C187">
            <v>814</v>
          </cell>
          <cell r="E187">
            <v>0</v>
          </cell>
          <cell r="F187" t="str">
            <v>STOR</v>
          </cell>
          <cell r="P187">
            <v>0</v>
          </cell>
          <cell r="R187">
            <v>11</v>
          </cell>
        </row>
        <row r="188">
          <cell r="A188">
            <v>173</v>
          </cell>
          <cell r="B188" t="str">
            <v>Wells Expense</v>
          </cell>
          <cell r="C188">
            <v>816</v>
          </cell>
          <cell r="E188">
            <v>0</v>
          </cell>
          <cell r="F188" t="str">
            <v>STOR</v>
          </cell>
          <cell r="P188">
            <v>0</v>
          </cell>
          <cell r="R188">
            <v>11</v>
          </cell>
        </row>
        <row r="189">
          <cell r="A189">
            <v>174</v>
          </cell>
          <cell r="B189" t="str">
            <v>Lines Expenses</v>
          </cell>
          <cell r="C189">
            <v>817</v>
          </cell>
          <cell r="E189">
            <v>0</v>
          </cell>
          <cell r="F189" t="str">
            <v>STOR</v>
          </cell>
          <cell r="P189">
            <v>0</v>
          </cell>
          <cell r="R189">
            <v>11</v>
          </cell>
        </row>
        <row r="190">
          <cell r="A190">
            <v>175</v>
          </cell>
          <cell r="B190" t="str">
            <v>Compressor Station Expenses</v>
          </cell>
          <cell r="C190">
            <v>818</v>
          </cell>
          <cell r="E190">
            <v>0</v>
          </cell>
          <cell r="F190" t="str">
            <v>STOR</v>
          </cell>
          <cell r="P190">
            <v>0</v>
          </cell>
          <cell r="R190">
            <v>11</v>
          </cell>
        </row>
        <row r="191">
          <cell r="A191">
            <v>176</v>
          </cell>
          <cell r="B191" t="str">
            <v>Compressor Station Fuel</v>
          </cell>
          <cell r="C191">
            <v>819</v>
          </cell>
          <cell r="E191">
            <v>0</v>
          </cell>
          <cell r="F191" t="str">
            <v>SUPP</v>
          </cell>
          <cell r="P191">
            <v>0</v>
          </cell>
          <cell r="R191">
            <v>8</v>
          </cell>
        </row>
        <row r="192">
          <cell r="A192">
            <v>177</v>
          </cell>
          <cell r="B192" t="str">
            <v>Meas/Reg Station Expenses</v>
          </cell>
          <cell r="C192">
            <v>820</v>
          </cell>
          <cell r="E192">
            <v>0</v>
          </cell>
          <cell r="F192" t="str">
            <v>STOR</v>
          </cell>
          <cell r="P192">
            <v>0</v>
          </cell>
          <cell r="R192">
            <v>11</v>
          </cell>
        </row>
        <row r="193">
          <cell r="A193">
            <v>178</v>
          </cell>
          <cell r="B193" t="str">
            <v>Gas Losses</v>
          </cell>
          <cell r="C193">
            <v>823</v>
          </cell>
          <cell r="E193">
            <v>0</v>
          </cell>
          <cell r="F193" t="str">
            <v>SUPP</v>
          </cell>
          <cell r="P193">
            <v>0</v>
          </cell>
          <cell r="R193">
            <v>8</v>
          </cell>
        </row>
        <row r="194">
          <cell r="A194">
            <v>179</v>
          </cell>
          <cell r="B194" t="str">
            <v>Other Expenses</v>
          </cell>
          <cell r="C194">
            <v>824</v>
          </cell>
          <cell r="E194">
            <v>0</v>
          </cell>
          <cell r="F194" t="str">
            <v>STOR</v>
          </cell>
          <cell r="P194">
            <v>0</v>
          </cell>
          <cell r="R194">
            <v>11</v>
          </cell>
        </row>
        <row r="195">
          <cell r="A195">
            <v>180</v>
          </cell>
          <cell r="B195" t="str">
            <v>Storage Well Royalties</v>
          </cell>
          <cell r="C195">
            <v>825</v>
          </cell>
          <cell r="E195">
            <v>0</v>
          </cell>
          <cell r="F195" t="str">
            <v>STOR</v>
          </cell>
          <cell r="P195">
            <v>0</v>
          </cell>
          <cell r="R195">
            <v>11</v>
          </cell>
        </row>
        <row r="196">
          <cell r="A196">
            <v>181</v>
          </cell>
          <cell r="B196" t="str">
            <v xml:space="preserve">     Subtotal - Operations Accounts</v>
          </cell>
          <cell r="C196" t="str">
            <v>816-825</v>
          </cell>
          <cell r="E196">
            <v>0</v>
          </cell>
          <cell r="P196">
            <v>0</v>
          </cell>
          <cell r="R196">
            <v>4</v>
          </cell>
        </row>
        <row r="197">
          <cell r="A197">
            <v>182</v>
          </cell>
          <cell r="B197" t="str">
            <v>UG Storage Maint - supervision and engineering</v>
          </cell>
          <cell r="C197">
            <v>830</v>
          </cell>
          <cell r="E197">
            <v>0</v>
          </cell>
          <cell r="F197" t="str">
            <v>STOR</v>
          </cell>
          <cell r="P197">
            <v>0</v>
          </cell>
          <cell r="R197">
            <v>11</v>
          </cell>
        </row>
        <row r="198">
          <cell r="A198">
            <v>183</v>
          </cell>
          <cell r="B198" t="str">
            <v>Maint. of Structures &amp; Improvements</v>
          </cell>
          <cell r="C198">
            <v>831</v>
          </cell>
          <cell r="E198">
            <v>0</v>
          </cell>
          <cell r="F198" t="str">
            <v>STOR</v>
          </cell>
          <cell r="P198">
            <v>0</v>
          </cell>
          <cell r="R198">
            <v>11</v>
          </cell>
        </row>
        <row r="199">
          <cell r="A199">
            <v>184</v>
          </cell>
          <cell r="B199" t="str">
            <v>Maint. of Reservoirs and Wells</v>
          </cell>
          <cell r="C199">
            <v>832</v>
          </cell>
          <cell r="E199">
            <v>0</v>
          </cell>
          <cell r="F199" t="str">
            <v>STOR</v>
          </cell>
          <cell r="P199">
            <v>0</v>
          </cell>
          <cell r="R199">
            <v>11</v>
          </cell>
        </row>
        <row r="200">
          <cell r="A200">
            <v>185</v>
          </cell>
          <cell r="B200" t="str">
            <v>Maint. of Lines</v>
          </cell>
          <cell r="C200">
            <v>833</v>
          </cell>
          <cell r="E200">
            <v>0</v>
          </cell>
          <cell r="F200" t="str">
            <v>STOR</v>
          </cell>
          <cell r="P200">
            <v>0</v>
          </cell>
          <cell r="R200">
            <v>11</v>
          </cell>
        </row>
        <row r="201">
          <cell r="A201">
            <v>186</v>
          </cell>
          <cell r="B201" t="str">
            <v>Maint. of Compressor Station Equipment</v>
          </cell>
          <cell r="C201">
            <v>834</v>
          </cell>
          <cell r="E201">
            <v>0</v>
          </cell>
          <cell r="F201" t="str">
            <v>STOR</v>
          </cell>
          <cell r="P201">
            <v>0</v>
          </cell>
          <cell r="R201">
            <v>11</v>
          </cell>
        </row>
        <row r="202">
          <cell r="A202">
            <v>187</v>
          </cell>
          <cell r="B202" t="str">
            <v>Maint. of Meas/Reg Statoin Equipment</v>
          </cell>
          <cell r="C202">
            <v>835</v>
          </cell>
          <cell r="E202">
            <v>0</v>
          </cell>
          <cell r="F202" t="str">
            <v>STOR</v>
          </cell>
          <cell r="P202">
            <v>0</v>
          </cell>
          <cell r="R202">
            <v>11</v>
          </cell>
        </row>
        <row r="203">
          <cell r="A203">
            <v>188</v>
          </cell>
          <cell r="B203" t="str">
            <v xml:space="preserve">     Subtotal - Maint.  Accounts</v>
          </cell>
          <cell r="C203" t="str">
            <v>831-835</v>
          </cell>
          <cell r="E203">
            <v>0</v>
          </cell>
          <cell r="P203">
            <v>0</v>
          </cell>
        </row>
        <row r="204">
          <cell r="A204">
            <v>189</v>
          </cell>
        </row>
        <row r="205">
          <cell r="A205">
            <v>190</v>
          </cell>
          <cell r="B205" t="str">
            <v>Subtotal - NATURAL GAS STORAGE</v>
          </cell>
          <cell r="C205" t="str">
            <v>816-835</v>
          </cell>
          <cell r="E205">
            <v>0</v>
          </cell>
          <cell r="P205">
            <v>0</v>
          </cell>
        </row>
        <row r="206">
          <cell r="A206">
            <v>191</v>
          </cell>
        </row>
        <row r="207">
          <cell r="A207">
            <v>192</v>
          </cell>
          <cell r="B207" t="str">
            <v>C. TRANSMISSION EXPENSES</v>
          </cell>
        </row>
        <row r="208">
          <cell r="A208">
            <v>193</v>
          </cell>
        </row>
        <row r="209">
          <cell r="A209">
            <v>194</v>
          </cell>
          <cell r="B209" t="str">
            <v>Supvervision/Engineering</v>
          </cell>
          <cell r="C209">
            <v>850</v>
          </cell>
          <cell r="E209">
            <v>0</v>
          </cell>
          <cell r="F209" t="str">
            <v>TRANS</v>
          </cell>
          <cell r="P209">
            <v>0</v>
          </cell>
          <cell r="R209">
            <v>14</v>
          </cell>
        </row>
        <row r="210">
          <cell r="A210">
            <v>195</v>
          </cell>
          <cell r="B210" t="str">
            <v>Compressor Station Labor &amp; Expenses</v>
          </cell>
          <cell r="C210">
            <v>853</v>
          </cell>
          <cell r="E210">
            <v>0</v>
          </cell>
          <cell r="F210" t="str">
            <v>TRANS</v>
          </cell>
          <cell r="P210">
            <v>0</v>
          </cell>
          <cell r="R210">
            <v>14</v>
          </cell>
        </row>
        <row r="211">
          <cell r="A211">
            <v>196</v>
          </cell>
          <cell r="B211" t="str">
            <v>Mains Expense</v>
          </cell>
          <cell r="C211">
            <v>856</v>
          </cell>
          <cell r="E211">
            <v>0</v>
          </cell>
          <cell r="F211" t="str">
            <v>TRANS</v>
          </cell>
          <cell r="P211">
            <v>0</v>
          </cell>
          <cell r="R211">
            <v>14</v>
          </cell>
        </row>
        <row r="212">
          <cell r="A212">
            <v>197</v>
          </cell>
          <cell r="B212" t="str">
            <v>Meas/Reg Station Expenses</v>
          </cell>
          <cell r="C212">
            <v>857</v>
          </cell>
          <cell r="E212">
            <v>0</v>
          </cell>
          <cell r="F212" t="str">
            <v>TRANS</v>
          </cell>
          <cell r="P212">
            <v>0</v>
          </cell>
          <cell r="R212">
            <v>14</v>
          </cell>
        </row>
        <row r="213">
          <cell r="A213">
            <v>198</v>
          </cell>
          <cell r="B213" t="str">
            <v>Transmission/Compressor Ga</v>
          </cell>
          <cell r="C213">
            <v>858</v>
          </cell>
          <cell r="E213">
            <v>0</v>
          </cell>
          <cell r="F213" t="str">
            <v>SUPP</v>
          </cell>
          <cell r="P213">
            <v>0</v>
          </cell>
          <cell r="R213">
            <v>8</v>
          </cell>
        </row>
        <row r="214">
          <cell r="A214">
            <v>199</v>
          </cell>
          <cell r="B214" t="str">
            <v>Other Expenses</v>
          </cell>
          <cell r="C214">
            <v>859</v>
          </cell>
          <cell r="E214">
            <v>0</v>
          </cell>
          <cell r="F214" t="str">
            <v>TRANS</v>
          </cell>
          <cell r="P214">
            <v>0</v>
          </cell>
          <cell r="R214">
            <v>14</v>
          </cell>
        </row>
        <row r="215">
          <cell r="A215">
            <v>200</v>
          </cell>
          <cell r="B215" t="str">
            <v>Rents</v>
          </cell>
          <cell r="C215" t="str">
            <v>860</v>
          </cell>
          <cell r="E215">
            <v>0</v>
          </cell>
          <cell r="F215" t="str">
            <v>TRANS</v>
          </cell>
          <cell r="P215">
            <v>0</v>
          </cell>
          <cell r="R215">
            <v>14</v>
          </cell>
        </row>
        <row r="216">
          <cell r="A216">
            <v>201</v>
          </cell>
          <cell r="B216" t="str">
            <v xml:space="preserve">     Subtotal - Operation Accounts</v>
          </cell>
          <cell r="C216" t="str">
            <v>850-860</v>
          </cell>
          <cell r="E216">
            <v>0</v>
          </cell>
          <cell r="P216">
            <v>0</v>
          </cell>
        </row>
        <row r="217">
          <cell r="A217">
            <v>202</v>
          </cell>
          <cell r="B217" t="str">
            <v>Gas Transmission Maint - structures and improvements</v>
          </cell>
          <cell r="C217">
            <v>862</v>
          </cell>
          <cell r="E217">
            <v>0</v>
          </cell>
          <cell r="F217" t="str">
            <v>TRANS</v>
          </cell>
          <cell r="P217">
            <v>0</v>
          </cell>
          <cell r="R217">
            <v>14</v>
          </cell>
        </row>
        <row r="218">
          <cell r="A218">
            <v>203</v>
          </cell>
          <cell r="B218" t="str">
            <v>Maint. of Mains</v>
          </cell>
          <cell r="C218">
            <v>863</v>
          </cell>
          <cell r="E218">
            <v>0</v>
          </cell>
          <cell r="F218" t="str">
            <v>TRANS</v>
          </cell>
          <cell r="P218">
            <v>0</v>
          </cell>
          <cell r="R218">
            <v>14</v>
          </cell>
        </row>
        <row r="219">
          <cell r="A219">
            <v>204</v>
          </cell>
          <cell r="B219" t="str">
            <v>Maint. Of Compressor Station</v>
          </cell>
          <cell r="C219">
            <v>864</v>
          </cell>
          <cell r="E219">
            <v>0</v>
          </cell>
          <cell r="F219" t="str">
            <v>TRANS</v>
          </cell>
          <cell r="P219">
            <v>0</v>
          </cell>
          <cell r="R219">
            <v>14</v>
          </cell>
        </row>
        <row r="220">
          <cell r="A220">
            <v>205</v>
          </cell>
          <cell r="B220" t="str">
            <v>Maint. Of Meas/Reg Station Equipment</v>
          </cell>
          <cell r="C220">
            <v>865</v>
          </cell>
          <cell r="E220">
            <v>0</v>
          </cell>
          <cell r="F220" t="str">
            <v>TRANS</v>
          </cell>
          <cell r="P220">
            <v>0</v>
          </cell>
          <cell r="R220">
            <v>14</v>
          </cell>
        </row>
        <row r="221">
          <cell r="A221">
            <v>206</v>
          </cell>
          <cell r="B221" t="str">
            <v xml:space="preserve">     Subtotal - Maintenance Accounts</v>
          </cell>
          <cell r="C221" t="str">
            <v>863-865</v>
          </cell>
          <cell r="E221">
            <v>0</v>
          </cell>
          <cell r="P221">
            <v>0</v>
          </cell>
          <cell r="R221">
            <v>4</v>
          </cell>
        </row>
        <row r="222">
          <cell r="A222">
            <v>207</v>
          </cell>
        </row>
        <row r="223">
          <cell r="A223">
            <v>208</v>
          </cell>
          <cell r="B223" t="str">
            <v>Subtotal - TRANSMISSION EXPENSES</v>
          </cell>
          <cell r="C223" t="str">
            <v>850-865</v>
          </cell>
          <cell r="E223">
            <v>0</v>
          </cell>
          <cell r="P223">
            <v>0</v>
          </cell>
        </row>
        <row r="224">
          <cell r="A224">
            <v>209</v>
          </cell>
        </row>
        <row r="225">
          <cell r="A225">
            <v>210</v>
          </cell>
          <cell r="B225" t="str">
            <v>D. DISTRIBUTION EXPENSES</v>
          </cell>
        </row>
        <row r="226">
          <cell r="A226">
            <v>211</v>
          </cell>
        </row>
        <row r="227">
          <cell r="A227">
            <v>212</v>
          </cell>
          <cell r="B227" t="str">
            <v>Operation Supervision &amp; Engineering</v>
          </cell>
          <cell r="C227" t="str">
            <v>870</v>
          </cell>
          <cell r="E227">
            <v>2692327.8328841524</v>
          </cell>
          <cell r="F227" t="str">
            <v>DIST</v>
          </cell>
          <cell r="P227">
            <v>0</v>
          </cell>
          <cell r="R227">
            <v>17</v>
          </cell>
        </row>
        <row r="228">
          <cell r="A228">
            <v>213</v>
          </cell>
          <cell r="B228" t="str">
            <v>Distribution Load Dispatching</v>
          </cell>
          <cell r="C228" t="str">
            <v>871</v>
          </cell>
          <cell r="E228">
            <v>518908.79036897403</v>
          </cell>
          <cell r="F228" t="str">
            <v>DIST</v>
          </cell>
          <cell r="P228">
            <v>0</v>
          </cell>
          <cell r="R228">
            <v>17</v>
          </cell>
        </row>
        <row r="229">
          <cell r="A229">
            <v>214</v>
          </cell>
          <cell r="B229" t="str">
            <v>Compressor Station</v>
          </cell>
          <cell r="C229">
            <v>872</v>
          </cell>
          <cell r="E229">
            <v>117168.15408762959</v>
          </cell>
          <cell r="F229" t="str">
            <v>DIST</v>
          </cell>
          <cell r="P229">
            <v>0</v>
          </cell>
          <cell r="R229">
            <v>17</v>
          </cell>
        </row>
        <row r="230">
          <cell r="A230">
            <v>215</v>
          </cell>
          <cell r="B230" t="str">
            <v>Mains and Services Expenses</v>
          </cell>
          <cell r="C230" t="str">
            <v>874</v>
          </cell>
          <cell r="E230">
            <v>3687791.2703530602</v>
          </cell>
          <cell r="F230" t="str">
            <v>MAIN-SERVICE</v>
          </cell>
          <cell r="P230">
            <v>0</v>
          </cell>
          <cell r="R230">
            <v>59</v>
          </cell>
        </row>
        <row r="231">
          <cell r="A231">
            <v>216</v>
          </cell>
          <cell r="B231" t="str">
            <v>Meas. &amp; Reg. Station Expenses</v>
          </cell>
          <cell r="C231" t="str">
            <v>875</v>
          </cell>
          <cell r="E231">
            <v>611560.37632012053</v>
          </cell>
          <cell r="F231" t="str">
            <v>DIST</v>
          </cell>
          <cell r="P231">
            <v>0</v>
          </cell>
          <cell r="R231">
            <v>17</v>
          </cell>
        </row>
        <row r="232">
          <cell r="A232">
            <v>217</v>
          </cell>
          <cell r="B232" t="str">
            <v>Meas. &amp; Reg. Station Expenses - Ind</v>
          </cell>
          <cell r="C232">
            <v>876</v>
          </cell>
          <cell r="E232">
            <v>157191.37296992328</v>
          </cell>
          <cell r="F232" t="str">
            <v>DIST</v>
          </cell>
          <cell r="P232">
            <v>0</v>
          </cell>
          <cell r="R232">
            <v>17</v>
          </cell>
        </row>
        <row r="233">
          <cell r="A233">
            <v>218</v>
          </cell>
          <cell r="B233" t="str">
            <v>Meter &amp; House Regulator Expenses</v>
          </cell>
          <cell r="C233" t="str">
            <v>878</v>
          </cell>
          <cell r="E233">
            <v>1403651.9251681019</v>
          </cell>
          <cell r="F233" t="str">
            <v>DIST</v>
          </cell>
          <cell r="P233">
            <v>0</v>
          </cell>
          <cell r="R233">
            <v>17</v>
          </cell>
        </row>
        <row r="234">
          <cell r="A234">
            <v>219</v>
          </cell>
          <cell r="B234" t="str">
            <v>Customer Installations Expenses</v>
          </cell>
          <cell r="C234" t="str">
            <v>879</v>
          </cell>
          <cell r="E234">
            <v>1117249.1980196733</v>
          </cell>
          <cell r="F234" t="str">
            <v>DIST</v>
          </cell>
          <cell r="P234">
            <v>0</v>
          </cell>
          <cell r="R234">
            <v>17</v>
          </cell>
        </row>
        <row r="235">
          <cell r="A235">
            <v>220</v>
          </cell>
          <cell r="B235" t="str">
            <v>Other Expenses</v>
          </cell>
          <cell r="C235">
            <v>880</v>
          </cell>
          <cell r="E235">
            <v>3396389.0393745224</v>
          </cell>
          <cell r="F235" t="str">
            <v>DIST</v>
          </cell>
          <cell r="P235">
            <v>0</v>
          </cell>
          <cell r="R235">
            <v>17</v>
          </cell>
        </row>
        <row r="236">
          <cell r="A236">
            <v>221</v>
          </cell>
          <cell r="B236" t="str">
            <v>Rents</v>
          </cell>
          <cell r="C236" t="str">
            <v>881</v>
          </cell>
          <cell r="E236">
            <v>149900.68</v>
          </cell>
          <cell r="F236" t="str">
            <v>DIST</v>
          </cell>
          <cell r="P236">
            <v>0</v>
          </cell>
          <cell r="R236">
            <v>17</v>
          </cell>
        </row>
        <row r="237">
          <cell r="A237">
            <v>222</v>
          </cell>
          <cell r="B237" t="str">
            <v>Maint. Supervision &amp; Engineering</v>
          </cell>
          <cell r="C237">
            <v>885</v>
          </cell>
          <cell r="E237">
            <v>143664.39464672163</v>
          </cell>
          <cell r="F237" t="str">
            <v>DIST</v>
          </cell>
          <cell r="P237">
            <v>0</v>
          </cell>
          <cell r="R237">
            <v>17</v>
          </cell>
        </row>
        <row r="238">
          <cell r="A238">
            <v>223</v>
          </cell>
          <cell r="B238" t="str">
            <v>Maint. of Structures &amp; Improvements</v>
          </cell>
          <cell r="C238" t="str">
            <v>886</v>
          </cell>
          <cell r="E238">
            <v>15839.48407712</v>
          </cell>
          <cell r="F238" t="str">
            <v>DIST</v>
          </cell>
          <cell r="P238">
            <v>0</v>
          </cell>
          <cell r="R238">
            <v>17</v>
          </cell>
        </row>
        <row r="239">
          <cell r="A239">
            <v>224</v>
          </cell>
          <cell r="B239" t="str">
            <v>Maint. of Mains</v>
          </cell>
          <cell r="C239" t="str">
            <v>887</v>
          </cell>
          <cell r="E239">
            <v>1297085.0157871176</v>
          </cell>
          <cell r="F239" t="str">
            <v>DIST-MAINS</v>
          </cell>
          <cell r="P239">
            <v>0</v>
          </cell>
          <cell r="R239">
            <v>62</v>
          </cell>
        </row>
        <row r="240">
          <cell r="A240">
            <v>225</v>
          </cell>
          <cell r="B240" t="str">
            <v>Maint. of Compressor Station Equip.</v>
          </cell>
          <cell r="C240" t="str">
            <v>888</v>
          </cell>
          <cell r="E240">
            <v>43235.8</v>
          </cell>
          <cell r="F240" t="str">
            <v>DIST</v>
          </cell>
          <cell r="P240">
            <v>0</v>
          </cell>
          <cell r="R240">
            <v>17</v>
          </cell>
        </row>
        <row r="241">
          <cell r="A241">
            <v>226</v>
          </cell>
          <cell r="B241" t="str">
            <v>Maint. of Meas. &amp; Reg. Station Expenses-General</v>
          </cell>
          <cell r="C241" t="str">
            <v>889</v>
          </cell>
          <cell r="E241">
            <v>348808.42392243946</v>
          </cell>
          <cell r="F241" t="str">
            <v>DIST</v>
          </cell>
          <cell r="P241">
            <v>0</v>
          </cell>
          <cell r="R241">
            <v>17</v>
          </cell>
        </row>
        <row r="242">
          <cell r="A242">
            <v>227</v>
          </cell>
          <cell r="B242" t="str">
            <v>Maint. of Meas. &amp; Reg. Station Expenses-Indust.</v>
          </cell>
          <cell r="C242" t="str">
            <v>890</v>
          </cell>
          <cell r="E242">
            <v>22017.708227379419</v>
          </cell>
          <cell r="F242" t="str">
            <v>DIST</v>
          </cell>
          <cell r="P242">
            <v>0</v>
          </cell>
          <cell r="R242">
            <v>17</v>
          </cell>
        </row>
        <row r="243">
          <cell r="A243">
            <v>228</v>
          </cell>
          <cell r="B243" t="str">
            <v>Maint. of Services</v>
          </cell>
          <cell r="C243" t="str">
            <v>892</v>
          </cell>
          <cell r="E243">
            <v>1236992.4879191988</v>
          </cell>
          <cell r="F243" t="str">
            <v>DIST</v>
          </cell>
          <cell r="P243">
            <v>0</v>
          </cell>
          <cell r="R243">
            <v>17</v>
          </cell>
        </row>
        <row r="244">
          <cell r="A244">
            <v>229</v>
          </cell>
          <cell r="B244" t="str">
            <v>Maint. of Meters &amp; House Regulators</v>
          </cell>
          <cell r="C244" t="str">
            <v>893</v>
          </cell>
          <cell r="E244">
            <v>1158015.9543685243</v>
          </cell>
          <cell r="F244" t="str">
            <v>DIST</v>
          </cell>
          <cell r="P244">
            <v>0</v>
          </cell>
          <cell r="R244">
            <v>17</v>
          </cell>
        </row>
        <row r="245">
          <cell r="A245">
            <v>230</v>
          </cell>
          <cell r="B245" t="str">
            <v>Maint. of Other Equipment</v>
          </cell>
          <cell r="C245" t="str">
            <v>894</v>
          </cell>
          <cell r="E245">
            <v>152352.80817273728</v>
          </cell>
          <cell r="F245" t="str">
            <v>DISTPT</v>
          </cell>
          <cell r="P245">
            <v>0</v>
          </cell>
          <cell r="R245">
            <v>77</v>
          </cell>
        </row>
        <row r="246">
          <cell r="A246">
            <v>231</v>
          </cell>
        </row>
        <row r="247">
          <cell r="A247">
            <v>232</v>
          </cell>
          <cell r="B247" t="str">
            <v>Subtotal - DISTRIBUTION EXPENSES</v>
          </cell>
          <cell r="C247" t="str">
            <v>870-894</v>
          </cell>
          <cell r="E247">
            <v>18270150.716667399</v>
          </cell>
          <cell r="P247">
            <v>0</v>
          </cell>
        </row>
        <row r="248">
          <cell r="A248">
            <v>233</v>
          </cell>
        </row>
        <row r="249">
          <cell r="A249">
            <v>234</v>
          </cell>
          <cell r="B249" t="str">
            <v>Total - OPERATION &amp; MAINTENANCE EXPENSES</v>
          </cell>
          <cell r="E249">
            <v>126417708.21001087</v>
          </cell>
          <cell r="P249">
            <v>0</v>
          </cell>
        </row>
        <row r="250">
          <cell r="A250">
            <v>235</v>
          </cell>
        </row>
        <row r="251">
          <cell r="A251">
            <v>236</v>
          </cell>
        </row>
        <row r="252">
          <cell r="A252">
            <v>237</v>
          </cell>
          <cell r="B252" t="str">
            <v>II. CUSTOMER ACCOUNTS EXPENSES</v>
          </cell>
        </row>
        <row r="253">
          <cell r="A253">
            <v>238</v>
          </cell>
          <cell r="B253" t="str">
            <v>Supervision</v>
          </cell>
          <cell r="C253">
            <v>901</v>
          </cell>
          <cell r="E253">
            <v>-2727.79</v>
          </cell>
          <cell r="F253" t="str">
            <v>DIST</v>
          </cell>
          <cell r="P253">
            <v>0</v>
          </cell>
          <cell r="R253">
            <v>17</v>
          </cell>
        </row>
        <row r="254">
          <cell r="A254">
            <v>239</v>
          </cell>
          <cell r="B254" t="str">
            <v>Meter Reading Expenses</v>
          </cell>
          <cell r="C254" t="str">
            <v>902</v>
          </cell>
          <cell r="E254">
            <v>548914.53047802974</v>
          </cell>
          <cell r="F254" t="str">
            <v>DIST</v>
          </cell>
          <cell r="P254">
            <v>0</v>
          </cell>
          <cell r="R254">
            <v>17</v>
          </cell>
        </row>
        <row r="255">
          <cell r="A255">
            <v>240</v>
          </cell>
          <cell r="B255" t="str">
            <v>Customer Records &amp; Collection Expense</v>
          </cell>
          <cell r="C255" t="str">
            <v>903</v>
          </cell>
          <cell r="E255">
            <v>5145122.597435995</v>
          </cell>
          <cell r="F255" t="str">
            <v>DIST</v>
          </cell>
          <cell r="P255">
            <v>0</v>
          </cell>
          <cell r="R255">
            <v>17</v>
          </cell>
        </row>
        <row r="256">
          <cell r="A256">
            <v>241</v>
          </cell>
          <cell r="B256" t="str">
            <v>Uncollectible Accounts</v>
          </cell>
          <cell r="C256" t="str">
            <v>904</v>
          </cell>
          <cell r="E256">
            <v>823816.4605104347</v>
          </cell>
          <cell r="F256" t="str">
            <v>DIST</v>
          </cell>
          <cell r="P256">
            <v>0</v>
          </cell>
          <cell r="R256">
            <v>17</v>
          </cell>
        </row>
        <row r="257">
          <cell r="A257">
            <v>242</v>
          </cell>
          <cell r="B257" t="str">
            <v>Misc. Exp.</v>
          </cell>
          <cell r="C257">
            <v>905</v>
          </cell>
          <cell r="E257">
            <v>795.98</v>
          </cell>
          <cell r="F257" t="str">
            <v>DIST</v>
          </cell>
          <cell r="P257">
            <v>0</v>
          </cell>
          <cell r="R257">
            <v>17</v>
          </cell>
        </row>
        <row r="258">
          <cell r="A258">
            <v>243</v>
          </cell>
        </row>
        <row r="259">
          <cell r="A259">
            <v>244</v>
          </cell>
          <cell r="B259" t="str">
            <v>Total - CUSTOMER ACCOUNTS EXPENSES</v>
          </cell>
          <cell r="C259" t="str">
            <v>901-904</v>
          </cell>
          <cell r="E259">
            <v>6515921.7784244595</v>
          </cell>
          <cell r="P259">
            <v>0</v>
          </cell>
        </row>
        <row r="260">
          <cell r="A260">
            <v>245</v>
          </cell>
        </row>
        <row r="261">
          <cell r="A261">
            <v>246</v>
          </cell>
          <cell r="B261" t="str">
            <v>III. CUSTOMER SERVICE &amp; INFORMATIONAL EXPENSES</v>
          </cell>
        </row>
        <row r="262">
          <cell r="A262">
            <v>247</v>
          </cell>
        </row>
        <row r="263">
          <cell r="A263">
            <v>248</v>
          </cell>
          <cell r="B263" t="str">
            <v>Supervision</v>
          </cell>
          <cell r="C263">
            <v>907</v>
          </cell>
          <cell r="E263">
            <v>0</v>
          </cell>
          <cell r="F263" t="str">
            <v>DIST</v>
          </cell>
          <cell r="P263">
            <v>0</v>
          </cell>
          <cell r="R263">
            <v>17</v>
          </cell>
        </row>
        <row r="264">
          <cell r="A264">
            <v>249</v>
          </cell>
          <cell r="B264" t="str">
            <v>Customer Assistance Expenses</v>
          </cell>
          <cell r="C264">
            <v>908</v>
          </cell>
          <cell r="E264">
            <v>250860.92000000004</v>
          </cell>
          <cell r="F264" t="str">
            <v>DIST</v>
          </cell>
          <cell r="P264">
            <v>0</v>
          </cell>
          <cell r="R264">
            <v>17</v>
          </cell>
        </row>
        <row r="265">
          <cell r="A265">
            <v>250</v>
          </cell>
          <cell r="B265" t="str">
            <v>Misc. Customer Serv. &amp; Inform. Expen.</v>
          </cell>
          <cell r="C265" t="str">
            <v>909, 910</v>
          </cell>
          <cell r="E265">
            <v>40201.360000000001</v>
          </cell>
          <cell r="F265" t="str">
            <v>DIST</v>
          </cell>
          <cell r="P265">
            <v>0</v>
          </cell>
          <cell r="R265">
            <v>17</v>
          </cell>
        </row>
        <row r="266">
          <cell r="A266">
            <v>251</v>
          </cell>
        </row>
        <row r="267">
          <cell r="A267">
            <v>252</v>
          </cell>
          <cell r="B267" t="str">
            <v>Subtotal - CUSTOMER SERVICE</v>
          </cell>
          <cell r="C267" t="str">
            <v>907-910</v>
          </cell>
          <cell r="E267">
            <v>291062.28000000003</v>
          </cell>
          <cell r="P267">
            <v>0</v>
          </cell>
        </row>
        <row r="268">
          <cell r="A268">
            <v>253</v>
          </cell>
        </row>
        <row r="269">
          <cell r="A269">
            <v>254</v>
          </cell>
          <cell r="B269" t="str">
            <v>IV. SALES EXPENSES (C-8)</v>
          </cell>
        </row>
        <row r="270">
          <cell r="A270">
            <v>255</v>
          </cell>
        </row>
        <row r="271">
          <cell r="A271">
            <v>256</v>
          </cell>
          <cell r="B271" t="str">
            <v>Supervision</v>
          </cell>
          <cell r="C271">
            <v>911</v>
          </cell>
          <cell r="E271">
            <v>0</v>
          </cell>
          <cell r="F271" t="str">
            <v>DIST</v>
          </cell>
          <cell r="P271">
            <v>0</v>
          </cell>
          <cell r="R271">
            <v>17</v>
          </cell>
        </row>
        <row r="272">
          <cell r="A272">
            <v>257</v>
          </cell>
          <cell r="B272" t="str">
            <v>Demonstrating &amp; Selling Expenses</v>
          </cell>
          <cell r="C272" t="str">
            <v>912, 913</v>
          </cell>
          <cell r="E272">
            <v>0</v>
          </cell>
          <cell r="F272" t="str">
            <v>DIST</v>
          </cell>
          <cell r="P272">
            <v>0</v>
          </cell>
          <cell r="R272">
            <v>17</v>
          </cell>
        </row>
        <row r="273">
          <cell r="A273">
            <v>258</v>
          </cell>
          <cell r="B273" t="str">
            <v>Miscellaneous Sales Expenses</v>
          </cell>
          <cell r="C273">
            <v>916</v>
          </cell>
          <cell r="E273">
            <v>-300</v>
          </cell>
          <cell r="F273" t="str">
            <v>DIST</v>
          </cell>
          <cell r="P273">
            <v>0</v>
          </cell>
          <cell r="R273">
            <v>17</v>
          </cell>
        </row>
        <row r="274">
          <cell r="A274">
            <v>259</v>
          </cell>
          <cell r="B274" t="str">
            <v xml:space="preserve">     Subtotal - O&amp;M Accounts </v>
          </cell>
          <cell r="C274" t="str">
            <v>911-916</v>
          </cell>
          <cell r="E274">
            <v>-300</v>
          </cell>
          <cell r="P274">
            <v>0</v>
          </cell>
        </row>
        <row r="275">
          <cell r="A275">
            <v>260</v>
          </cell>
        </row>
        <row r="276">
          <cell r="A276">
            <v>261</v>
          </cell>
          <cell r="B276" t="str">
            <v>Total - SALES EXPENSES</v>
          </cell>
          <cell r="C276" t="str">
            <v>911-916</v>
          </cell>
          <cell r="E276">
            <v>-300</v>
          </cell>
          <cell r="P276">
            <v>0</v>
          </cell>
        </row>
        <row r="277">
          <cell r="A277">
            <v>262</v>
          </cell>
        </row>
        <row r="278">
          <cell r="A278">
            <v>263</v>
          </cell>
          <cell r="B278" t="str">
            <v>Total - CUSTOMER ACCOUNTS, SERVICES &amp; SALES EXPENSES</v>
          </cell>
          <cell r="C278" t="str">
            <v>901-916</v>
          </cell>
          <cell r="E278">
            <v>6806684.0584244598</v>
          </cell>
          <cell r="P278">
            <v>0</v>
          </cell>
        </row>
        <row r="279">
          <cell r="A279">
            <v>264</v>
          </cell>
        </row>
        <row r="280">
          <cell r="A280">
            <v>265</v>
          </cell>
          <cell r="B280" t="str">
            <v>V. ADMINISTRATIVE &amp; GENERAL EXPENSES</v>
          </cell>
          <cell r="P280">
            <v>0</v>
          </cell>
        </row>
        <row r="281">
          <cell r="A281">
            <v>266</v>
          </cell>
        </row>
        <row r="282">
          <cell r="A282">
            <v>267</v>
          </cell>
          <cell r="B282" t="str">
            <v>A. Labor-Related:</v>
          </cell>
        </row>
        <row r="283">
          <cell r="A283">
            <v>268</v>
          </cell>
        </row>
        <row r="284">
          <cell r="A284">
            <v>269</v>
          </cell>
          <cell r="B284" t="str">
            <v>Administrative &amp; General Salaries</v>
          </cell>
          <cell r="C284" t="str">
            <v>920</v>
          </cell>
          <cell r="E284">
            <v>6031663.8440251816</v>
          </cell>
          <cell r="F284" t="str">
            <v>LABOR</v>
          </cell>
          <cell r="P284">
            <v>0</v>
          </cell>
          <cell r="R284">
            <v>38</v>
          </cell>
        </row>
        <row r="285">
          <cell r="A285">
            <v>270</v>
          </cell>
          <cell r="B285" t="str">
            <v>Office Supplies &amp; Expenses</v>
          </cell>
          <cell r="C285" t="str">
            <v>921</v>
          </cell>
          <cell r="E285">
            <v>2457887.234337891</v>
          </cell>
          <cell r="F285" t="str">
            <v>LABOR</v>
          </cell>
          <cell r="P285">
            <v>0</v>
          </cell>
          <cell r="R285">
            <v>38</v>
          </cell>
        </row>
        <row r="286">
          <cell r="A286">
            <v>271</v>
          </cell>
          <cell r="B286" t="str">
            <v>Admin. Expenses Transferred-Credit</v>
          </cell>
          <cell r="C286" t="str">
            <v>922</v>
          </cell>
          <cell r="E286">
            <v>-284965.68</v>
          </cell>
          <cell r="F286" t="str">
            <v>LABOR</v>
          </cell>
          <cell r="P286">
            <v>0</v>
          </cell>
          <cell r="R286">
            <v>38</v>
          </cell>
        </row>
        <row r="287">
          <cell r="A287">
            <v>272</v>
          </cell>
          <cell r="B287" t="str">
            <v>Outside Services Employed</v>
          </cell>
          <cell r="C287" t="str">
            <v>923</v>
          </cell>
          <cell r="E287">
            <v>1296216.6000000001</v>
          </cell>
          <cell r="F287" t="str">
            <v>LABOR</v>
          </cell>
          <cell r="P287">
            <v>0</v>
          </cell>
          <cell r="R287">
            <v>38</v>
          </cell>
        </row>
        <row r="288">
          <cell r="A288">
            <v>273</v>
          </cell>
          <cell r="B288" t="str">
            <v>Outside Services-Dem&amp;Selling Exp</v>
          </cell>
          <cell r="C288" t="str">
            <v>923</v>
          </cell>
          <cell r="E288">
            <v>0</v>
          </cell>
          <cell r="F288" t="str">
            <v>LABOR</v>
          </cell>
          <cell r="P288">
            <v>0</v>
          </cell>
          <cell r="R288">
            <v>38</v>
          </cell>
        </row>
        <row r="289">
          <cell r="A289">
            <v>274</v>
          </cell>
          <cell r="B289" t="str">
            <v>Employee Pensions and Benefits</v>
          </cell>
          <cell r="C289" t="str">
            <v>926</v>
          </cell>
          <cell r="E289">
            <v>4560394.5620801607</v>
          </cell>
          <cell r="F289" t="str">
            <v>LABOR</v>
          </cell>
          <cell r="P289">
            <v>0</v>
          </cell>
          <cell r="R289">
            <v>38</v>
          </cell>
        </row>
        <row r="290">
          <cell r="A290">
            <v>275</v>
          </cell>
        </row>
        <row r="291">
          <cell r="A291">
            <v>276</v>
          </cell>
          <cell r="B291" t="str">
            <v>Subtotal - O&amp;M Accounts</v>
          </cell>
          <cell r="C291" t="str">
            <v>920-932</v>
          </cell>
          <cell r="E291">
            <v>14061196.560443234</v>
          </cell>
          <cell r="P291">
            <v>0</v>
          </cell>
        </row>
        <row r="292">
          <cell r="A292">
            <v>277</v>
          </cell>
        </row>
        <row r="293">
          <cell r="A293">
            <v>278</v>
          </cell>
          <cell r="B293" t="str">
            <v>B. Plant-Related:</v>
          </cell>
        </row>
        <row r="294">
          <cell r="A294">
            <v>279</v>
          </cell>
        </row>
        <row r="295">
          <cell r="A295">
            <v>280</v>
          </cell>
          <cell r="B295" t="str">
            <v>Property Insurance</v>
          </cell>
          <cell r="C295" t="str">
            <v>924</v>
          </cell>
          <cell r="E295">
            <v>60387.9</v>
          </cell>
          <cell r="F295" t="str">
            <v>PSTDP</v>
          </cell>
          <cell r="P295">
            <v>0</v>
          </cell>
          <cell r="R295">
            <v>50</v>
          </cell>
        </row>
        <row r="296">
          <cell r="A296">
            <v>281</v>
          </cell>
          <cell r="B296" t="str">
            <v>Injuries and Damages</v>
          </cell>
          <cell r="C296" t="str">
            <v>925</v>
          </cell>
          <cell r="E296">
            <v>1073773.6000000001</v>
          </cell>
          <cell r="F296" t="str">
            <v>LABOR</v>
          </cell>
          <cell r="P296">
            <v>0</v>
          </cell>
          <cell r="R296">
            <v>38</v>
          </cell>
        </row>
        <row r="297">
          <cell r="A297">
            <v>282</v>
          </cell>
          <cell r="B297" t="str">
            <v>Maintenance of General Plant</v>
          </cell>
          <cell r="C297" t="str">
            <v>932</v>
          </cell>
          <cell r="E297">
            <v>33089.775699783007</v>
          </cell>
          <cell r="F297" t="str">
            <v>PSTDP</v>
          </cell>
          <cell r="P297">
            <v>0</v>
          </cell>
          <cell r="R297">
            <v>50</v>
          </cell>
        </row>
        <row r="298">
          <cell r="A298">
            <v>283</v>
          </cell>
        </row>
        <row r="299">
          <cell r="A299">
            <v>284</v>
          </cell>
          <cell r="B299" t="str">
            <v xml:space="preserve">Subtotal - O&amp;M Accounts </v>
          </cell>
          <cell r="E299">
            <v>1167251.2756997831</v>
          </cell>
          <cell r="P299">
            <v>0</v>
          </cell>
        </row>
        <row r="300">
          <cell r="A300">
            <v>285</v>
          </cell>
        </row>
        <row r="301">
          <cell r="A301">
            <v>286</v>
          </cell>
          <cell r="B301" t="str">
            <v>C. Other-Related:</v>
          </cell>
        </row>
        <row r="302">
          <cell r="A302">
            <v>287</v>
          </cell>
        </row>
        <row r="303">
          <cell r="A303">
            <v>288</v>
          </cell>
          <cell r="B303" t="str">
            <v>Franchise Requirements</v>
          </cell>
          <cell r="C303" t="str">
            <v>927</v>
          </cell>
          <cell r="E303">
            <v>0</v>
          </cell>
          <cell r="F303" t="str">
            <v>PSTD/LP</v>
          </cell>
          <cell r="P303">
            <v>0</v>
          </cell>
          <cell r="R303">
            <v>65</v>
          </cell>
        </row>
        <row r="304">
          <cell r="A304">
            <v>289</v>
          </cell>
          <cell r="B304" t="str">
            <v>Regulatory Commission Expenses</v>
          </cell>
          <cell r="C304" t="str">
            <v>928</v>
          </cell>
          <cell r="E304">
            <v>0</v>
          </cell>
          <cell r="F304" t="str">
            <v>PSTD/LP</v>
          </cell>
          <cell r="P304">
            <v>0</v>
          </cell>
          <cell r="R304">
            <v>65</v>
          </cell>
        </row>
        <row r="305">
          <cell r="A305">
            <v>290</v>
          </cell>
          <cell r="B305" t="str">
            <v>Duplicate Charges - Credit</v>
          </cell>
          <cell r="C305" t="str">
            <v>929</v>
          </cell>
          <cell r="E305">
            <v>0</v>
          </cell>
          <cell r="F305" t="str">
            <v>PSTD/LP</v>
          </cell>
          <cell r="P305">
            <v>0</v>
          </cell>
          <cell r="R305">
            <v>65</v>
          </cell>
        </row>
        <row r="306">
          <cell r="A306">
            <v>291</v>
          </cell>
          <cell r="B306" t="str">
            <v>Misc. Gen'l Expenses</v>
          </cell>
          <cell r="E306">
            <v>774898.59</v>
          </cell>
          <cell r="F306" t="str">
            <v>O&amp;MXGAS</v>
          </cell>
          <cell r="P306">
            <v>0</v>
          </cell>
          <cell r="R306">
            <v>119</v>
          </cell>
        </row>
        <row r="307">
          <cell r="A307">
            <v>292</v>
          </cell>
          <cell r="B307" t="str">
            <v>Rents</v>
          </cell>
          <cell r="C307" t="str">
            <v>931</v>
          </cell>
          <cell r="E307">
            <v>1238673.51</v>
          </cell>
          <cell r="F307" t="str">
            <v>PSTDP</v>
          </cell>
          <cell r="P307">
            <v>0</v>
          </cell>
          <cell r="R307">
            <v>50</v>
          </cell>
        </row>
        <row r="308">
          <cell r="A308">
            <v>293</v>
          </cell>
        </row>
        <row r="309">
          <cell r="A309">
            <v>294</v>
          </cell>
          <cell r="B309" t="str">
            <v>Total - ADMINISTRATIVE &amp; GENERAL EXPENSES</v>
          </cell>
          <cell r="C309" t="str">
            <v>920-931</v>
          </cell>
          <cell r="E309">
            <v>17242019.936143018</v>
          </cell>
          <cell r="P309">
            <v>0</v>
          </cell>
        </row>
        <row r="310">
          <cell r="A310">
            <v>295</v>
          </cell>
        </row>
        <row r="311">
          <cell r="A311">
            <v>296</v>
          </cell>
          <cell r="B311" t="str">
            <v>TOTAL - OPERATING EXPENSES (Excl. Depr.,</v>
          </cell>
          <cell r="E311">
            <v>42318854.711234868</v>
          </cell>
          <cell r="P311">
            <v>0</v>
          </cell>
        </row>
        <row r="312">
          <cell r="A312">
            <v>297</v>
          </cell>
          <cell r="B312" t="str">
            <v>Taxes, and Gas Supply Expense)</v>
          </cell>
        </row>
        <row r="313">
          <cell r="A313">
            <v>298</v>
          </cell>
        </row>
        <row r="314">
          <cell r="A314">
            <v>299</v>
          </cell>
          <cell r="B314" t="str">
            <v>VI. DEPRECIATION EXPENSE</v>
          </cell>
        </row>
        <row r="315">
          <cell r="A315">
            <v>300</v>
          </cell>
          <cell r="B315" t="str">
            <v>Intangible Plant</v>
          </cell>
          <cell r="C315" t="str">
            <v>403.1</v>
          </cell>
          <cell r="E315">
            <v>2195886.7982905838</v>
          </cell>
          <cell r="F315" t="str">
            <v>INTANGPT</v>
          </cell>
          <cell r="P315">
            <v>0</v>
          </cell>
          <cell r="R315">
            <v>116</v>
          </cell>
        </row>
        <row r="316">
          <cell r="A316">
            <v>301</v>
          </cell>
          <cell r="B316" t="str">
            <v>Production Plant</v>
          </cell>
          <cell r="C316" t="str">
            <v>403.2</v>
          </cell>
          <cell r="E316">
            <v>0</v>
          </cell>
          <cell r="F316" t="str">
            <v>SUPP</v>
          </cell>
          <cell r="P316">
            <v>0</v>
          </cell>
          <cell r="R316">
            <v>8</v>
          </cell>
        </row>
        <row r="317">
          <cell r="A317">
            <v>302</v>
          </cell>
          <cell r="B317" t="str">
            <v>Natural Gas Storage Plant</v>
          </cell>
          <cell r="C317" t="str">
            <v>403.3</v>
          </cell>
          <cell r="E317">
            <v>0</v>
          </cell>
          <cell r="F317" t="str">
            <v>STORPT</v>
          </cell>
          <cell r="P317">
            <v>0</v>
          </cell>
          <cell r="R317">
            <v>71</v>
          </cell>
        </row>
        <row r="318">
          <cell r="A318">
            <v>303</v>
          </cell>
          <cell r="B318" t="str">
            <v>Transmission</v>
          </cell>
          <cell r="C318" t="str">
            <v>403.4</v>
          </cell>
          <cell r="E318">
            <v>308678.84799199994</v>
          </cell>
          <cell r="F318" t="str">
            <v>TRANSPT</v>
          </cell>
          <cell r="P318">
            <v>0</v>
          </cell>
          <cell r="R318">
            <v>74</v>
          </cell>
        </row>
        <row r="319">
          <cell r="A319">
            <v>304</v>
          </cell>
          <cell r="B319" t="str">
            <v>Distribution Land &amp; Structures</v>
          </cell>
          <cell r="C319">
            <v>0</v>
          </cell>
          <cell r="E319">
            <v>44678.056517999998</v>
          </cell>
          <cell r="F319" t="str">
            <v>DISTPT</v>
          </cell>
          <cell r="P319">
            <v>0</v>
          </cell>
          <cell r="R319">
            <v>77</v>
          </cell>
        </row>
        <row r="320">
          <cell r="A320">
            <v>305</v>
          </cell>
          <cell r="B320" t="str">
            <v>Distribution Mains</v>
          </cell>
          <cell r="C320" t="str">
            <v>403.5</v>
          </cell>
          <cell r="E320">
            <v>8055208.5000497503</v>
          </cell>
          <cell r="F320" t="str">
            <v>DISTPT</v>
          </cell>
          <cell r="P320">
            <v>0</v>
          </cell>
          <cell r="R320">
            <v>77</v>
          </cell>
        </row>
        <row r="321">
          <cell r="A321">
            <v>306</v>
          </cell>
          <cell r="B321" t="str">
            <v>Compressor Station</v>
          </cell>
          <cell r="C321">
            <v>0</v>
          </cell>
          <cell r="E321">
            <v>404057.81702400005</v>
          </cell>
          <cell r="F321" t="str">
            <v>DISTPT</v>
          </cell>
          <cell r="P321">
            <v>0</v>
          </cell>
          <cell r="R321">
            <v>77</v>
          </cell>
        </row>
        <row r="322">
          <cell r="A322">
            <v>307</v>
          </cell>
          <cell r="B322" t="str">
            <v>Distribution Services</v>
          </cell>
          <cell r="C322" t="str">
            <v>403.6</v>
          </cell>
          <cell r="E322">
            <v>5970894.3806760004</v>
          </cell>
          <cell r="F322" t="str">
            <v>DISTPT</v>
          </cell>
          <cell r="P322">
            <v>0</v>
          </cell>
          <cell r="R322">
            <v>77</v>
          </cell>
        </row>
        <row r="323">
          <cell r="A323">
            <v>308</v>
          </cell>
          <cell r="B323" t="str">
            <v>Distr- Meters &amp; House Regulators</v>
          </cell>
          <cell r="C323" t="str">
            <v>403.7</v>
          </cell>
          <cell r="E323">
            <v>1573842.2037488776</v>
          </cell>
          <cell r="F323" t="str">
            <v>DISTPT</v>
          </cell>
          <cell r="P323">
            <v>0</v>
          </cell>
          <cell r="R323">
            <v>77</v>
          </cell>
        </row>
        <row r="324">
          <cell r="A324">
            <v>309</v>
          </cell>
          <cell r="B324" t="str">
            <v>Industrial M &amp; R Station Equipment</v>
          </cell>
          <cell r="C324">
            <v>0</v>
          </cell>
          <cell r="E324">
            <v>196845.42311399995</v>
          </cell>
          <cell r="F324" t="str">
            <v>DISTPT</v>
          </cell>
          <cell r="P324">
            <v>0</v>
          </cell>
          <cell r="R324">
            <v>77</v>
          </cell>
        </row>
        <row r="325">
          <cell r="A325">
            <v>310</v>
          </cell>
          <cell r="B325" t="str">
            <v xml:space="preserve">General Plant </v>
          </cell>
          <cell r="C325" t="str">
            <v>403.9</v>
          </cell>
          <cell r="E325">
            <v>957214.35916271806</v>
          </cell>
          <cell r="F325" t="str">
            <v>PSTDP</v>
          </cell>
          <cell r="P325">
            <v>0</v>
          </cell>
          <cell r="R325">
            <v>50</v>
          </cell>
        </row>
        <row r="326">
          <cell r="A326">
            <v>311</v>
          </cell>
          <cell r="B326" t="str">
            <v>Amort &amp; Depl of UG Storage Land &amp; Land</v>
          </cell>
          <cell r="C326">
            <v>404</v>
          </cell>
          <cell r="E326">
            <v>0</v>
          </cell>
          <cell r="F326" t="str">
            <v>STORPT</v>
          </cell>
          <cell r="P326">
            <v>0</v>
          </cell>
          <cell r="R326">
            <v>71</v>
          </cell>
        </row>
        <row r="327">
          <cell r="A327">
            <v>312</v>
          </cell>
        </row>
        <row r="328">
          <cell r="A328">
            <v>313</v>
          </cell>
          <cell r="B328" t="str">
            <v>Total - DEPRECIATION EXPENSE</v>
          </cell>
          <cell r="C328" t="str">
            <v>403</v>
          </cell>
          <cell r="E328">
            <v>19707306.386575934</v>
          </cell>
          <cell r="P328">
            <v>0</v>
          </cell>
        </row>
        <row r="329">
          <cell r="A329">
            <v>314</v>
          </cell>
        </row>
        <row r="330">
          <cell r="A330">
            <v>315</v>
          </cell>
          <cell r="B330" t="str">
            <v>VII. TAXES OTHER THAN INCOME TAXES</v>
          </cell>
          <cell r="P330">
            <v>0</v>
          </cell>
        </row>
        <row r="331">
          <cell r="A331">
            <v>316</v>
          </cell>
        </row>
        <row r="332">
          <cell r="A332">
            <v>317</v>
          </cell>
          <cell r="B332" t="str">
            <v>A. General Taxes</v>
          </cell>
        </row>
        <row r="333">
          <cell r="A333">
            <v>318</v>
          </cell>
        </row>
        <row r="334">
          <cell r="A334">
            <v>319</v>
          </cell>
          <cell r="B334" t="str">
            <v>Payroll Taxes</v>
          </cell>
          <cell r="C334" t="str">
            <v>408.15</v>
          </cell>
          <cell r="E334">
            <v>4402810.6573555116</v>
          </cell>
          <cell r="F334" t="str">
            <v>LABOR</v>
          </cell>
          <cell r="P334">
            <v>0</v>
          </cell>
          <cell r="R334">
            <v>38</v>
          </cell>
        </row>
        <row r="335">
          <cell r="A335">
            <v>320</v>
          </cell>
          <cell r="B335" t="str">
            <v>Plant Related Taxes</v>
          </cell>
          <cell r="C335" t="str">
            <v>408.17</v>
          </cell>
          <cell r="E335">
            <v>0</v>
          </cell>
          <cell r="F335" t="str">
            <v>PSTDP</v>
          </cell>
          <cell r="P335">
            <v>0</v>
          </cell>
          <cell r="R335">
            <v>50</v>
          </cell>
        </row>
        <row r="336">
          <cell r="A336">
            <v>321</v>
          </cell>
          <cell r="B336" t="str">
            <v>Gas Related</v>
          </cell>
          <cell r="C336" t="str">
            <v>408.18</v>
          </cell>
          <cell r="E336">
            <v>0</v>
          </cell>
          <cell r="F336" t="str">
            <v>SUPP</v>
          </cell>
          <cell r="P336">
            <v>0</v>
          </cell>
          <cell r="R336">
            <v>8</v>
          </cell>
        </row>
        <row r="337">
          <cell r="A337">
            <v>322</v>
          </cell>
          <cell r="B337" t="str">
            <v>Subtotal - Real Estate &amp; Other</v>
          </cell>
          <cell r="C337" t="str">
            <v>408.17,408.18</v>
          </cell>
          <cell r="E337">
            <v>0</v>
          </cell>
          <cell r="P337">
            <v>0</v>
          </cell>
        </row>
        <row r="338">
          <cell r="A338">
            <v>323</v>
          </cell>
          <cell r="B338" t="str">
            <v>Subtotal - General Taxes</v>
          </cell>
          <cell r="E338">
            <v>4402810.6573555116</v>
          </cell>
          <cell r="P338">
            <v>0</v>
          </cell>
        </row>
        <row r="339">
          <cell r="A339">
            <v>324</v>
          </cell>
        </row>
        <row r="340">
          <cell r="A340">
            <v>325</v>
          </cell>
          <cell r="B340" t="str">
            <v xml:space="preserve">TOTAL EXPENSES (excl. Gross Receipts </v>
          </cell>
          <cell r="C340" t="str">
            <v>408.1</v>
          </cell>
          <cell r="E340">
            <v>174576529.24850979</v>
          </cell>
          <cell r="P340">
            <v>0</v>
          </cell>
        </row>
        <row r="341">
          <cell r="A341">
            <v>326</v>
          </cell>
          <cell r="B341" t="str">
            <v>Taxes &amp; Gas Purchases)</v>
          </cell>
        </row>
        <row r="342">
          <cell r="A342">
            <v>327</v>
          </cell>
        </row>
        <row r="343">
          <cell r="A343">
            <v>328</v>
          </cell>
          <cell r="B343" t="str">
            <v>B. Revenue Taxes: (GRT)</v>
          </cell>
        </row>
        <row r="344">
          <cell r="A344">
            <v>329</v>
          </cell>
        </row>
        <row r="345">
          <cell r="A345">
            <v>330</v>
          </cell>
          <cell r="B345" t="str">
            <v>Gross Revenue Taxes</v>
          </cell>
          <cell r="C345" t="str">
            <v>408.11</v>
          </cell>
          <cell r="E345">
            <v>17435062.161555059</v>
          </cell>
          <cell r="F345" t="str">
            <v>REVREQ</v>
          </cell>
          <cell r="P345">
            <v>0</v>
          </cell>
          <cell r="R345">
            <v>107</v>
          </cell>
        </row>
        <row r="346">
          <cell r="A346">
            <v>331</v>
          </cell>
          <cell r="B346" t="str">
            <v>Municipal Tax</v>
          </cell>
          <cell r="C346">
            <v>408.12</v>
          </cell>
          <cell r="E346">
            <v>0</v>
          </cell>
          <cell r="F346" t="str">
            <v>REVREQ</v>
          </cell>
          <cell r="P346">
            <v>0</v>
          </cell>
          <cell r="R346">
            <v>107</v>
          </cell>
        </row>
        <row r="347">
          <cell r="A347">
            <v>332</v>
          </cell>
          <cell r="B347" t="str">
            <v>Subtotal - Revenue Taxes (GRT)</v>
          </cell>
          <cell r="E347">
            <v>17435062.161555059</v>
          </cell>
          <cell r="P347">
            <v>0</v>
          </cell>
        </row>
        <row r="348">
          <cell r="A348">
            <v>333</v>
          </cell>
        </row>
        <row r="349">
          <cell r="A349">
            <v>334</v>
          </cell>
          <cell r="B349" t="str">
            <v>C. INCOME TAXES</v>
          </cell>
        </row>
        <row r="350">
          <cell r="A350">
            <v>335</v>
          </cell>
        </row>
        <row r="351">
          <cell r="A351">
            <v>336</v>
          </cell>
          <cell r="B351" t="str">
            <v>Fed &amp; State Income Taxes Based on Net Income</v>
          </cell>
          <cell r="C351">
            <v>409.1</v>
          </cell>
          <cell r="E351">
            <v>4982116.9962927923</v>
          </cell>
          <cell r="F351" t="str">
            <v>REVREQ</v>
          </cell>
          <cell r="P351">
            <v>0</v>
          </cell>
          <cell r="R351">
            <v>107</v>
          </cell>
        </row>
        <row r="352">
          <cell r="A352">
            <v>337</v>
          </cell>
          <cell r="B352" t="str">
            <v>Provision for Deferred Taxes</v>
          </cell>
          <cell r="C352">
            <v>410.1</v>
          </cell>
          <cell r="E352">
            <v>1031914.19</v>
          </cell>
          <cell r="F352" t="str">
            <v>PSTDP</v>
          </cell>
          <cell r="P352">
            <v>0</v>
          </cell>
          <cell r="R352">
            <v>50</v>
          </cell>
        </row>
        <row r="353">
          <cell r="A353">
            <v>338</v>
          </cell>
          <cell r="B353" t="str">
            <v>Investment Tax Credit Adjustments</v>
          </cell>
          <cell r="C353">
            <v>411</v>
          </cell>
          <cell r="E353">
            <v>-37382.410000000003</v>
          </cell>
          <cell r="F353" t="str">
            <v>PSTDP</v>
          </cell>
          <cell r="P353">
            <v>0</v>
          </cell>
          <cell r="R353">
            <v>50</v>
          </cell>
        </row>
        <row r="354">
          <cell r="A354">
            <v>339</v>
          </cell>
          <cell r="B354" t="str">
            <v>Fed &amp; State Inc Taxes Based on Deferred Plant</v>
          </cell>
          <cell r="C354" t="str">
            <v>409.1Plant</v>
          </cell>
          <cell r="E354">
            <v>0</v>
          </cell>
          <cell r="F354" t="str">
            <v>REVREQ</v>
          </cell>
          <cell r="P354">
            <v>0</v>
          </cell>
          <cell r="R354">
            <v>107</v>
          </cell>
        </row>
        <row r="355">
          <cell r="A355">
            <v>340</v>
          </cell>
          <cell r="B355" t="str">
            <v>Other</v>
          </cell>
          <cell r="C355">
            <v>409.4</v>
          </cell>
          <cell r="E355">
            <v>0</v>
          </cell>
          <cell r="F355" t="str">
            <v>REVREQ</v>
          </cell>
          <cell r="P355">
            <v>0</v>
          </cell>
          <cell r="R355">
            <v>107</v>
          </cell>
        </row>
        <row r="356">
          <cell r="A356">
            <v>341</v>
          </cell>
          <cell r="B356" t="str">
            <v>Subtotal - Income Taxes</v>
          </cell>
          <cell r="E356">
            <v>5976648.7762927916</v>
          </cell>
          <cell r="P356">
            <v>0</v>
          </cell>
        </row>
        <row r="357">
          <cell r="A357">
            <v>342</v>
          </cell>
          <cell r="P357">
            <v>0</v>
          </cell>
        </row>
        <row r="358">
          <cell r="A358">
            <v>343</v>
          </cell>
          <cell r="B358" t="str">
            <v>TOTAL TAXES (Excl. General Taxes)</v>
          </cell>
          <cell r="E358">
            <v>23411710.937847853</v>
          </cell>
          <cell r="P358">
            <v>0</v>
          </cell>
        </row>
        <row r="359">
          <cell r="A359">
            <v>344</v>
          </cell>
        </row>
        <row r="360">
          <cell r="A360">
            <v>345</v>
          </cell>
          <cell r="B360" t="str">
            <v>TOTAL EXPENSES</v>
          </cell>
          <cell r="E360">
            <v>197988240.18635765</v>
          </cell>
          <cell r="P360">
            <v>0</v>
          </cell>
        </row>
        <row r="361">
          <cell r="A361">
            <v>346</v>
          </cell>
        </row>
        <row r="362">
          <cell r="A362">
            <v>347</v>
          </cell>
        </row>
        <row r="363">
          <cell r="A363">
            <v>348</v>
          </cell>
          <cell r="B363" t="str">
            <v>V. OPERATING REVENUES</v>
          </cell>
        </row>
        <row r="364">
          <cell r="A364">
            <v>349</v>
          </cell>
        </row>
        <row r="365">
          <cell r="A365">
            <v>350</v>
          </cell>
          <cell r="B365" t="str">
            <v>Sales &amp; Transportation Operating Revenues</v>
          </cell>
          <cell r="C365" t="str">
            <v>480-485</v>
          </cell>
          <cell r="E365">
            <v>92897542.45995459</v>
          </cell>
          <cell r="F365" t="str">
            <v>REVREQ</v>
          </cell>
          <cell r="P365">
            <v>0</v>
          </cell>
          <cell r="R365">
            <v>107</v>
          </cell>
        </row>
        <row r="366">
          <cell r="A366">
            <v>351</v>
          </cell>
          <cell r="B366" t="str">
            <v>Gas Revenues</v>
          </cell>
          <cell r="E366">
            <v>112289916.10277365</v>
          </cell>
          <cell r="F366" t="str">
            <v>SUPP</v>
          </cell>
          <cell r="P366">
            <v>0</v>
          </cell>
          <cell r="R366">
            <v>8</v>
          </cell>
        </row>
        <row r="367">
          <cell r="A367">
            <v>352</v>
          </cell>
          <cell r="B367" t="str">
            <v>Miscellaneous Service Revenues</v>
          </cell>
          <cell r="C367">
            <v>487</v>
          </cell>
          <cell r="E367">
            <v>810183.02</v>
          </cell>
          <cell r="F367" t="str">
            <v>DIST</v>
          </cell>
          <cell r="P367">
            <v>0</v>
          </cell>
          <cell r="R367">
            <v>17</v>
          </cell>
        </row>
        <row r="368">
          <cell r="A368">
            <v>353</v>
          </cell>
          <cell r="B368" t="str">
            <v>Miscellaneous Charge Changes</v>
          </cell>
          <cell r="E368">
            <v>-101645</v>
          </cell>
          <cell r="F368" t="str">
            <v>REVREQ</v>
          </cell>
          <cell r="P368">
            <v>0</v>
          </cell>
          <cell r="R368">
            <v>107</v>
          </cell>
        </row>
        <row r="369">
          <cell r="A369">
            <v>354</v>
          </cell>
          <cell r="B369" t="str">
            <v>Rent From Gas Property</v>
          </cell>
          <cell r="E369">
            <v>100</v>
          </cell>
          <cell r="F369" t="str">
            <v>PSTDP</v>
          </cell>
          <cell r="P369">
            <v>0</v>
          </cell>
          <cell r="R369">
            <v>50</v>
          </cell>
        </row>
        <row r="370">
          <cell r="A370">
            <v>355</v>
          </cell>
          <cell r="B370" t="str">
            <v>Interdepartmental Rents</v>
          </cell>
          <cell r="E370">
            <v>91471.079999999973</v>
          </cell>
          <cell r="F370" t="str">
            <v>PSTDP</v>
          </cell>
          <cell r="P370">
            <v>0</v>
          </cell>
          <cell r="R370">
            <v>50</v>
          </cell>
        </row>
        <row r="371">
          <cell r="A371">
            <v>356</v>
          </cell>
          <cell r="B371" t="str">
            <v>Other Gas Revenue</v>
          </cell>
          <cell r="E371">
            <v>109620.85000000002</v>
          </cell>
          <cell r="F371" t="str">
            <v>REVREQ</v>
          </cell>
          <cell r="P371">
            <v>0</v>
          </cell>
          <cell r="R371">
            <v>107</v>
          </cell>
        </row>
        <row r="372">
          <cell r="A372">
            <v>357</v>
          </cell>
          <cell r="B372" t="str">
            <v>Miscellaneous Charges and Taxes</v>
          </cell>
          <cell r="E372">
            <v>11094720.090000002</v>
          </cell>
          <cell r="F372" t="str">
            <v>REVREQ</v>
          </cell>
          <cell r="P372">
            <v>0</v>
          </cell>
          <cell r="R372">
            <v>107</v>
          </cell>
        </row>
        <row r="373">
          <cell r="A373">
            <v>358</v>
          </cell>
          <cell r="B373" t="str">
            <v>Service Co. IT Support Revenue</v>
          </cell>
          <cell r="E373">
            <v>0</v>
          </cell>
          <cell r="F373" t="str">
            <v>DIST</v>
          </cell>
          <cell r="P373">
            <v>0</v>
          </cell>
          <cell r="R373">
            <v>17</v>
          </cell>
        </row>
        <row r="374">
          <cell r="A374">
            <v>359</v>
          </cell>
          <cell r="B374" t="str">
            <v>Storage Revenues</v>
          </cell>
          <cell r="E374">
            <v>0</v>
          </cell>
          <cell r="F374" t="str">
            <v>STOR</v>
          </cell>
          <cell r="P374">
            <v>0</v>
          </cell>
          <cell r="R374">
            <v>11</v>
          </cell>
        </row>
        <row r="375">
          <cell r="A375">
            <v>360</v>
          </cell>
          <cell r="B375" t="str">
            <v>Total Operating Revenues</v>
          </cell>
          <cell r="E375">
            <v>217191908.60272825</v>
          </cell>
          <cell r="P375">
            <v>0</v>
          </cell>
        </row>
        <row r="376">
          <cell r="A376">
            <v>361</v>
          </cell>
        </row>
        <row r="377">
          <cell r="A377">
            <v>362</v>
          </cell>
          <cell r="B377" t="str">
            <v xml:space="preserve">Other Income </v>
          </cell>
          <cell r="C377">
            <v>412</v>
          </cell>
          <cell r="E377">
            <v>0</v>
          </cell>
          <cell r="F377" t="str">
            <v>PSTDP</v>
          </cell>
          <cell r="P377">
            <v>0</v>
          </cell>
          <cell r="R377">
            <v>50</v>
          </cell>
        </row>
        <row r="378">
          <cell r="A378">
            <v>363</v>
          </cell>
        </row>
        <row r="379">
          <cell r="A379">
            <v>364</v>
          </cell>
          <cell r="B379" t="str">
            <v>NET INCOME</v>
          </cell>
          <cell r="E379">
            <v>19203668.4163706</v>
          </cell>
          <cell r="P379">
            <v>0</v>
          </cell>
        </row>
        <row r="380">
          <cell r="A380">
            <v>365</v>
          </cell>
          <cell r="B380" t="str">
            <v>Return</v>
          </cell>
          <cell r="E380">
            <v>6.3829096908015401E-2</v>
          </cell>
        </row>
        <row r="381">
          <cell r="A381">
            <v>366</v>
          </cell>
        </row>
        <row r="382">
          <cell r="A382">
            <v>367</v>
          </cell>
          <cell r="B382" t="str">
            <v>Effective Tax Rate Historical</v>
          </cell>
          <cell r="E382">
            <v>0.23735399083988362</v>
          </cell>
        </row>
        <row r="383">
          <cell r="A383">
            <v>368</v>
          </cell>
        </row>
        <row r="384">
          <cell r="A384">
            <v>369</v>
          </cell>
        </row>
        <row r="385">
          <cell r="A385">
            <v>370</v>
          </cell>
        </row>
        <row r="386">
          <cell r="A386">
            <v>371</v>
          </cell>
        </row>
        <row r="387">
          <cell r="A387">
            <v>372</v>
          </cell>
        </row>
        <row r="388">
          <cell r="A388">
            <v>1</v>
          </cell>
          <cell r="B388" t="str">
            <v>SUMMARY</v>
          </cell>
        </row>
        <row r="389">
          <cell r="A389">
            <v>2</v>
          </cell>
          <cell r="B389" t="str">
            <v>OPERATING REVENUES</v>
          </cell>
        </row>
        <row r="390">
          <cell r="A390">
            <v>3</v>
          </cell>
          <cell r="B390" t="str">
            <v>Sales &amp; Transportation Operating Revenues</v>
          </cell>
          <cell r="E390">
            <v>92897542.45995459</v>
          </cell>
          <cell r="P390">
            <v>0</v>
          </cell>
        </row>
        <row r="391">
          <cell r="A391">
            <v>4</v>
          </cell>
          <cell r="B391" t="str">
            <v>Gas Revenues</v>
          </cell>
          <cell r="E391">
            <v>112289916.10277365</v>
          </cell>
          <cell r="P391">
            <v>0</v>
          </cell>
        </row>
        <row r="392">
          <cell r="A392">
            <v>5</v>
          </cell>
          <cell r="B392" t="str">
            <v>Miscellaneous Service Revenues</v>
          </cell>
          <cell r="E392">
            <v>810183.02</v>
          </cell>
          <cell r="P392">
            <v>0</v>
          </cell>
        </row>
        <row r="393">
          <cell r="A393">
            <v>6</v>
          </cell>
          <cell r="B393" t="str">
            <v>Rev. From Transp. of Gas of Others</v>
          </cell>
          <cell r="E393">
            <v>-101645</v>
          </cell>
          <cell r="P393">
            <v>0</v>
          </cell>
        </row>
        <row r="394">
          <cell r="A394">
            <v>7</v>
          </cell>
          <cell r="B394" t="str">
            <v>Rent From Gas Property</v>
          </cell>
          <cell r="E394">
            <v>100</v>
          </cell>
          <cell r="P394">
            <v>0</v>
          </cell>
        </row>
        <row r="395">
          <cell r="A395">
            <v>8</v>
          </cell>
          <cell r="B395" t="str">
            <v>Interdepartmental Rents</v>
          </cell>
          <cell r="E395">
            <v>91471.079999999973</v>
          </cell>
          <cell r="P395">
            <v>0</v>
          </cell>
        </row>
        <row r="396">
          <cell r="A396">
            <v>9</v>
          </cell>
          <cell r="B396" t="str">
            <v>Other Gas Revenue</v>
          </cell>
          <cell r="E396">
            <v>109620.85000000002</v>
          </cell>
          <cell r="P396">
            <v>0</v>
          </cell>
        </row>
        <row r="397">
          <cell r="A397">
            <v>10</v>
          </cell>
          <cell r="B397" t="str">
            <v>Overrun Penalty Income</v>
          </cell>
          <cell r="E397">
            <v>11094720.090000002</v>
          </cell>
          <cell r="P397">
            <v>0</v>
          </cell>
        </row>
        <row r="398">
          <cell r="A398">
            <v>11</v>
          </cell>
          <cell r="B398" t="str">
            <v>Service Co. IT Support Revenue</v>
          </cell>
          <cell r="E398">
            <v>0</v>
          </cell>
          <cell r="P398">
            <v>0</v>
          </cell>
        </row>
        <row r="399">
          <cell r="A399">
            <v>12</v>
          </cell>
          <cell r="B399" t="str">
            <v>Storage Revenues</v>
          </cell>
          <cell r="E399">
            <v>0</v>
          </cell>
          <cell r="P399">
            <v>0</v>
          </cell>
        </row>
        <row r="400">
          <cell r="A400">
            <v>13</v>
          </cell>
        </row>
        <row r="401">
          <cell r="A401">
            <v>14</v>
          </cell>
          <cell r="B401" t="str">
            <v>Proposed Revenue Increase</v>
          </cell>
        </row>
        <row r="402">
          <cell r="A402">
            <v>15</v>
          </cell>
        </row>
        <row r="403">
          <cell r="A403">
            <v>16</v>
          </cell>
          <cell r="B403" t="str">
            <v>Total Revenue</v>
          </cell>
          <cell r="E403">
            <v>217191908.60272825</v>
          </cell>
          <cell r="P403">
            <v>0</v>
          </cell>
        </row>
        <row r="404">
          <cell r="A404">
            <v>17</v>
          </cell>
        </row>
        <row r="405">
          <cell r="A405">
            <v>18</v>
          </cell>
        </row>
        <row r="406">
          <cell r="A406">
            <v>19</v>
          </cell>
          <cell r="B406" t="str">
            <v>Production Expenses</v>
          </cell>
          <cell r="E406">
            <v>108147557.49334347</v>
          </cell>
          <cell r="P406">
            <v>0</v>
          </cell>
        </row>
        <row r="407">
          <cell r="A407">
            <v>20</v>
          </cell>
          <cell r="B407" t="str">
            <v>Natural Gas Storage, Terminaling &amp; Proc. Exp.</v>
          </cell>
          <cell r="E407">
            <v>0</v>
          </cell>
          <cell r="P407">
            <v>0</v>
          </cell>
        </row>
        <row r="408">
          <cell r="A408">
            <v>21</v>
          </cell>
          <cell r="B408" t="str">
            <v>Transmission Expenses</v>
          </cell>
          <cell r="E408">
            <v>0</v>
          </cell>
          <cell r="P408">
            <v>0</v>
          </cell>
        </row>
        <row r="409">
          <cell r="A409">
            <v>22</v>
          </cell>
          <cell r="B409" t="str">
            <v>Distribution Expenses</v>
          </cell>
          <cell r="E409">
            <v>18270150.716667399</v>
          </cell>
          <cell r="P409">
            <v>0</v>
          </cell>
        </row>
        <row r="410">
          <cell r="A410">
            <v>23</v>
          </cell>
          <cell r="B410" t="str">
            <v>Total Operating Expenses</v>
          </cell>
          <cell r="E410">
            <v>126417708.21001087</v>
          </cell>
          <cell r="P410">
            <v>0</v>
          </cell>
        </row>
        <row r="411">
          <cell r="A411">
            <v>24</v>
          </cell>
        </row>
        <row r="412">
          <cell r="A412">
            <v>25</v>
          </cell>
          <cell r="B412" t="str">
            <v>CUSTOMER ACCOUNTS, SERVICES, &amp; SALES EXPENSES</v>
          </cell>
          <cell r="E412">
            <v>6806684.0584244598</v>
          </cell>
          <cell r="P412">
            <v>0</v>
          </cell>
        </row>
        <row r="413">
          <cell r="A413">
            <v>26</v>
          </cell>
        </row>
        <row r="414">
          <cell r="A414">
            <v>27</v>
          </cell>
          <cell r="B414" t="str">
            <v>ADMINISTRATIVE &amp; GENERAL EXPENSES</v>
          </cell>
          <cell r="E414">
            <v>17242019.936143018</v>
          </cell>
          <cell r="P414">
            <v>0</v>
          </cell>
        </row>
        <row r="415">
          <cell r="A415">
            <v>28</v>
          </cell>
        </row>
        <row r="416">
          <cell r="A416">
            <v>29</v>
          </cell>
          <cell r="B416" t="str">
            <v>DEPRECIATION EXPENSE</v>
          </cell>
          <cell r="E416">
            <v>19707306.386575934</v>
          </cell>
          <cell r="P416">
            <v>0</v>
          </cell>
        </row>
        <row r="417">
          <cell r="A417">
            <v>30</v>
          </cell>
        </row>
        <row r="418">
          <cell r="A418">
            <v>31</v>
          </cell>
          <cell r="B418" t="str">
            <v>TAXES OTHER THAN INCOME TAXES</v>
          </cell>
          <cell r="E418">
            <v>21837872.818910569</v>
          </cell>
          <cell r="P418">
            <v>0</v>
          </cell>
        </row>
        <row r="419">
          <cell r="A419">
            <v>32</v>
          </cell>
          <cell r="B419" t="str">
            <v xml:space="preserve">Other Income </v>
          </cell>
          <cell r="E419">
            <v>0</v>
          </cell>
          <cell r="P419">
            <v>0</v>
          </cell>
        </row>
        <row r="420">
          <cell r="A420">
            <v>33</v>
          </cell>
          <cell r="B420" t="str">
            <v>INCOME BEFORE INCOME TAXES</v>
          </cell>
          <cell r="E420">
            <v>25180317.192663401</v>
          </cell>
          <cell r="P420">
            <v>0</v>
          </cell>
        </row>
        <row r="421">
          <cell r="A421">
            <v>34</v>
          </cell>
        </row>
        <row r="422">
          <cell r="A422">
            <v>35</v>
          </cell>
          <cell r="B422" t="str">
            <v>FEDERAL INCOME TAXES</v>
          </cell>
        </row>
        <row r="423">
          <cell r="A423">
            <v>36</v>
          </cell>
          <cell r="B423" t="str">
            <v>Federal Income Taxes-Current</v>
          </cell>
          <cell r="E423">
            <v>4982116.9962927923</v>
          </cell>
          <cell r="P423">
            <v>0</v>
          </cell>
        </row>
        <row r="424">
          <cell r="A424">
            <v>37</v>
          </cell>
          <cell r="B424" t="str">
            <v>Provision for Deferred Taxes</v>
          </cell>
          <cell r="E424">
            <v>1031914.19</v>
          </cell>
          <cell r="P424">
            <v>0</v>
          </cell>
        </row>
        <row r="425">
          <cell r="A425">
            <v>38</v>
          </cell>
          <cell r="B425" t="str">
            <v>Investment Tax Credit Adjustments</v>
          </cell>
          <cell r="E425">
            <v>-37382.410000000003</v>
          </cell>
          <cell r="P425">
            <v>0</v>
          </cell>
        </row>
        <row r="426">
          <cell r="A426">
            <v>39</v>
          </cell>
          <cell r="B426" t="str">
            <v>State Net Income Tax</v>
          </cell>
          <cell r="E426">
            <v>0</v>
          </cell>
          <cell r="P426">
            <v>0</v>
          </cell>
        </row>
        <row r="427">
          <cell r="A427">
            <v>40</v>
          </cell>
          <cell r="B427" t="str">
            <v>Subtotal - Income Taxes</v>
          </cell>
          <cell r="E427">
            <v>5976648.7762927916</v>
          </cell>
          <cell r="P427">
            <v>0</v>
          </cell>
        </row>
        <row r="428">
          <cell r="A428">
            <v>41</v>
          </cell>
        </row>
        <row r="429">
          <cell r="A429">
            <v>42</v>
          </cell>
          <cell r="B429" t="str">
            <v>NET OPERATING INCOME</v>
          </cell>
          <cell r="E429">
            <v>19203668.4163706</v>
          </cell>
          <cell r="P429">
            <v>0</v>
          </cell>
        </row>
        <row r="430">
          <cell r="A430">
            <v>43</v>
          </cell>
        </row>
        <row r="431">
          <cell r="A431">
            <v>44</v>
          </cell>
          <cell r="B431" t="str">
            <v>RATE BASE</v>
          </cell>
          <cell r="E431">
            <v>300860725.69764155</v>
          </cell>
          <cell r="P431">
            <v>0</v>
          </cell>
        </row>
        <row r="432">
          <cell r="A432">
            <v>45</v>
          </cell>
        </row>
        <row r="433">
          <cell r="A433">
            <v>46</v>
          </cell>
          <cell r="B433" t="str">
            <v>RATE OF RETURN</v>
          </cell>
          <cell r="E433">
            <v>6.3829096908015401E-2</v>
          </cell>
        </row>
        <row r="434">
          <cell r="A434">
            <v>47</v>
          </cell>
          <cell r="B434" t="str">
            <v>Unitized RoR Compared to System Average</v>
          </cell>
          <cell r="E434">
            <v>1</v>
          </cell>
        </row>
        <row r="435">
          <cell r="A435">
            <v>48</v>
          </cell>
          <cell r="B435" t="str">
            <v>Unitized RoR Compared to Proposed</v>
          </cell>
          <cell r="E435">
            <v>0.84007761131897063</v>
          </cell>
        </row>
        <row r="436">
          <cell r="A436">
            <v>49</v>
          </cell>
        </row>
        <row r="437">
          <cell r="A437">
            <v>422</v>
          </cell>
        </row>
        <row r="438">
          <cell r="A438">
            <v>423</v>
          </cell>
        </row>
        <row r="439">
          <cell r="A439">
            <v>424</v>
          </cell>
        </row>
        <row r="440">
          <cell r="A440">
            <v>425</v>
          </cell>
        </row>
        <row r="442">
          <cell r="A442">
            <v>1</v>
          </cell>
          <cell r="B442" t="str">
            <v>REVENUE REQUIREMENTS ANALYSIS</v>
          </cell>
        </row>
        <row r="443">
          <cell r="A443">
            <v>2</v>
          </cell>
          <cell r="B443" t="str">
            <v>System Average Rate of Return Achieved</v>
          </cell>
          <cell r="E443">
            <v>7.598000000000002E-2</v>
          </cell>
        </row>
        <row r="444">
          <cell r="A444">
            <v>3</v>
          </cell>
        </row>
        <row r="445">
          <cell r="A445">
            <v>4</v>
          </cell>
        </row>
        <row r="446">
          <cell r="A446">
            <v>5</v>
          </cell>
          <cell r="B446" t="str">
            <v>RATE BASE</v>
          </cell>
          <cell r="E446">
            <v>300860725.69764155</v>
          </cell>
          <cell r="P446">
            <v>0</v>
          </cell>
        </row>
        <row r="447">
          <cell r="A447">
            <v>6</v>
          </cell>
        </row>
        <row r="448">
          <cell r="A448">
            <v>7</v>
          </cell>
          <cell r="B448" t="str">
            <v>OPERATING EXPENSES</v>
          </cell>
          <cell r="E448">
            <v>126417708.21001087</v>
          </cell>
          <cell r="P448">
            <v>0</v>
          </cell>
        </row>
        <row r="449">
          <cell r="A449">
            <v>8</v>
          </cell>
          <cell r="B449" t="str">
            <v>CUST. ACCTS., SERVICES, &amp; SALES EXP.</v>
          </cell>
          <cell r="E449">
            <v>6806684.0584244598</v>
          </cell>
          <cell r="P449">
            <v>0</v>
          </cell>
        </row>
        <row r="450">
          <cell r="A450">
            <v>9</v>
          </cell>
          <cell r="B450" t="str">
            <v>ADMINISTRATIVE &amp; GENERAL EXPENSES</v>
          </cell>
          <cell r="E450">
            <v>17242019.936143018</v>
          </cell>
          <cell r="P450">
            <v>0</v>
          </cell>
        </row>
        <row r="451">
          <cell r="A451">
            <v>10</v>
          </cell>
          <cell r="B451" t="str">
            <v>DEPRECIATION EXPENSE</v>
          </cell>
          <cell r="E451">
            <v>19707306.386575934</v>
          </cell>
          <cell r="P451">
            <v>0</v>
          </cell>
        </row>
        <row r="452">
          <cell r="A452">
            <v>11</v>
          </cell>
          <cell r="B452" t="str">
            <v>Taxes</v>
          </cell>
          <cell r="E452">
            <v>27814521.595203362</v>
          </cell>
          <cell r="P452">
            <v>0</v>
          </cell>
        </row>
        <row r="453">
          <cell r="A453">
            <v>12</v>
          </cell>
        </row>
        <row r="454">
          <cell r="A454">
            <v>13</v>
          </cell>
          <cell r="B454" t="str">
            <v>TOTAL Expenses</v>
          </cell>
          <cell r="E454">
            <v>197988240.18635765</v>
          </cell>
          <cell r="P454">
            <v>0</v>
          </cell>
          <cell r="R454">
            <v>23411710.937847853</v>
          </cell>
        </row>
        <row r="455">
          <cell r="A455">
            <v>14</v>
          </cell>
        </row>
        <row r="456">
          <cell r="A456">
            <v>15</v>
          </cell>
          <cell r="B456" t="str">
            <v>Return on Ratebase</v>
          </cell>
          <cell r="E456">
            <v>22859397.938506804</v>
          </cell>
        </row>
        <row r="457">
          <cell r="A457">
            <v>16</v>
          </cell>
        </row>
        <row r="458">
          <cell r="A458">
            <v>17</v>
          </cell>
          <cell r="B458" t="str">
            <v>FIT ON RETURN</v>
          </cell>
          <cell r="E458">
            <v>1968469.7426887252</v>
          </cell>
          <cell r="F458" t="str">
            <v>RevDeficiency</v>
          </cell>
          <cell r="P458">
            <v>0</v>
          </cell>
          <cell r="R458">
            <v>110</v>
          </cell>
        </row>
        <row r="459">
          <cell r="A459">
            <v>18</v>
          </cell>
          <cell r="B459" t="str">
            <v>GROSS RECEIPTS TAX</v>
          </cell>
          <cell r="E459">
            <v>238459.41454539585</v>
          </cell>
          <cell r="F459" t="str">
            <v>RevDeficiency</v>
          </cell>
          <cell r="P459">
            <v>0</v>
          </cell>
          <cell r="R459">
            <v>110</v>
          </cell>
        </row>
        <row r="460">
          <cell r="A460">
            <v>19</v>
          </cell>
          <cell r="B460" t="str">
            <v>Increase in Uncoll</v>
          </cell>
          <cell r="E460">
            <v>22321.93626135866</v>
          </cell>
          <cell r="F460" t="str">
            <v>RevDeficiency</v>
          </cell>
          <cell r="P460">
            <v>0</v>
          </cell>
          <cell r="R460">
            <v>110</v>
          </cell>
        </row>
        <row r="461">
          <cell r="A461">
            <v>20</v>
          </cell>
        </row>
        <row r="462">
          <cell r="A462">
            <v>21</v>
          </cell>
          <cell r="B462" t="str">
            <v>TOTAL REVENUE REQUIREMENT</v>
          </cell>
          <cell r="E462">
            <v>223076889.21835995</v>
          </cell>
          <cell r="P462">
            <v>0</v>
          </cell>
        </row>
        <row r="463">
          <cell r="A463">
            <v>448</v>
          </cell>
          <cell r="B463" t="str">
            <v>Effective Tax Rate on RevReq</v>
          </cell>
          <cell r="E463">
            <v>7.9284687995160849E-2</v>
          </cell>
        </row>
        <row r="464">
          <cell r="A464">
            <v>449</v>
          </cell>
          <cell r="B464" t="str">
            <v>Storage Capacity Rate ($/MCF Capacity)</v>
          </cell>
        </row>
        <row r="465">
          <cell r="A465">
            <v>450</v>
          </cell>
        </row>
        <row r="466">
          <cell r="A466">
            <v>451</v>
          </cell>
        </row>
        <row r="467">
          <cell r="A467">
            <v>452</v>
          </cell>
          <cell r="B467" t="str">
            <v>Cost of Gas Subreport</v>
          </cell>
        </row>
        <row r="468">
          <cell r="A468">
            <v>453</v>
          </cell>
        </row>
        <row r="469">
          <cell r="A469">
            <v>454</v>
          </cell>
          <cell r="B469" t="str">
            <v>DEMAND COSTS:</v>
          </cell>
        </row>
        <row r="470">
          <cell r="A470">
            <v>455</v>
          </cell>
        </row>
        <row r="471">
          <cell r="A471">
            <v>456</v>
          </cell>
          <cell r="B471" t="str">
            <v>Producer Demand Charges</v>
          </cell>
        </row>
        <row r="472">
          <cell r="A472">
            <v>457</v>
          </cell>
          <cell r="B472" t="str">
            <v>Producer Reservation Charges</v>
          </cell>
          <cell r="E472">
            <v>0</v>
          </cell>
          <cell r="F472" t="str">
            <v>SUPP</v>
          </cell>
          <cell r="P472">
            <v>0</v>
          </cell>
          <cell r="R472">
            <v>8</v>
          </cell>
        </row>
        <row r="473">
          <cell r="A473">
            <v>458</v>
          </cell>
          <cell r="B473" t="str">
            <v>GSR</v>
          </cell>
          <cell r="E473">
            <v>0</v>
          </cell>
          <cell r="F473" t="str">
            <v>SUPP</v>
          </cell>
          <cell r="P473">
            <v>0</v>
          </cell>
          <cell r="R473">
            <v>8</v>
          </cell>
        </row>
        <row r="474">
          <cell r="A474">
            <v>459</v>
          </cell>
          <cell r="B474" t="str">
            <v>Peak Shaving Reservation</v>
          </cell>
          <cell r="E474">
            <v>0</v>
          </cell>
          <cell r="F474" t="str">
            <v>SUPP</v>
          </cell>
          <cell r="P474">
            <v>0</v>
          </cell>
          <cell r="R474">
            <v>8</v>
          </cell>
        </row>
        <row r="475">
          <cell r="A475">
            <v>460</v>
          </cell>
          <cell r="B475" t="str">
            <v>Capacity Release Credits - 100% UBRC</v>
          </cell>
          <cell r="E475">
            <v>0</v>
          </cell>
          <cell r="F475" t="str">
            <v>SUPP</v>
          </cell>
          <cell r="P475">
            <v>0</v>
          </cell>
          <cell r="R475">
            <v>8</v>
          </cell>
        </row>
        <row r="476">
          <cell r="A476">
            <v>461</v>
          </cell>
          <cell r="B476" t="str">
            <v>Peaking Supplies</v>
          </cell>
          <cell r="E476">
            <v>0</v>
          </cell>
          <cell r="F476" t="str">
            <v>SUPP</v>
          </cell>
          <cell r="P476">
            <v>0</v>
          </cell>
          <cell r="R476">
            <v>8</v>
          </cell>
        </row>
        <row r="477">
          <cell r="A477">
            <v>462</v>
          </cell>
          <cell r="B477" t="str">
            <v>Subtotal- Gas Supply</v>
          </cell>
          <cell r="E477">
            <v>0</v>
          </cell>
          <cell r="P477">
            <v>0</v>
          </cell>
        </row>
        <row r="478">
          <cell r="A478">
            <v>463</v>
          </cell>
        </row>
        <row r="479">
          <cell r="A479">
            <v>464</v>
          </cell>
          <cell r="B479" t="str">
            <v>Storage Contract</v>
          </cell>
          <cell r="P479">
            <v>0</v>
          </cell>
        </row>
        <row r="480">
          <cell r="A480">
            <v>465</v>
          </cell>
          <cell r="B480" t="str">
            <v>Peak</v>
          </cell>
          <cell r="E480">
            <v>0</v>
          </cell>
          <cell r="F480" t="str">
            <v>SUPP</v>
          </cell>
          <cell r="P480">
            <v>0</v>
          </cell>
          <cell r="R480">
            <v>8</v>
          </cell>
        </row>
        <row r="481">
          <cell r="A481">
            <v>466</v>
          </cell>
          <cell r="B481" t="str">
            <v>Capacity</v>
          </cell>
          <cell r="E481">
            <v>0</v>
          </cell>
          <cell r="F481" t="str">
            <v>SUPP</v>
          </cell>
          <cell r="P481">
            <v>0</v>
          </cell>
          <cell r="R481">
            <v>8</v>
          </cell>
        </row>
        <row r="482">
          <cell r="A482">
            <v>467</v>
          </cell>
          <cell r="B482" t="str">
            <v>Subtotal- Storage</v>
          </cell>
          <cell r="E482">
            <v>0</v>
          </cell>
          <cell r="P482">
            <v>0</v>
          </cell>
        </row>
        <row r="483">
          <cell r="A483">
            <v>468</v>
          </cell>
        </row>
        <row r="484">
          <cell r="A484">
            <v>469</v>
          </cell>
          <cell r="B484" t="str">
            <v>Firm Transportation</v>
          </cell>
        </row>
        <row r="485">
          <cell r="A485">
            <v>470</v>
          </cell>
          <cell r="B485" t="str">
            <v>Demand Charges - TF Demand all Pipelines</v>
          </cell>
        </row>
        <row r="486">
          <cell r="A486">
            <v>471</v>
          </cell>
          <cell r="B486" t="str">
            <v xml:space="preserve">   Pipeline Supply</v>
          </cell>
          <cell r="E486">
            <v>0</v>
          </cell>
          <cell r="F486" t="str">
            <v>SUPP</v>
          </cell>
          <cell r="P486">
            <v>0</v>
          </cell>
          <cell r="R486">
            <v>8</v>
          </cell>
        </row>
        <row r="487">
          <cell r="A487">
            <v>472</v>
          </cell>
          <cell r="B487" t="str">
            <v xml:space="preserve">   Storage</v>
          </cell>
          <cell r="E487">
            <v>0</v>
          </cell>
          <cell r="F487" t="str">
            <v>SUPP</v>
          </cell>
          <cell r="P487">
            <v>0</v>
          </cell>
          <cell r="R487">
            <v>8</v>
          </cell>
        </row>
        <row r="488">
          <cell r="A488">
            <v>473</v>
          </cell>
          <cell r="B488" t="str">
            <v>Subtotal- Transportation</v>
          </cell>
          <cell r="E488">
            <v>0</v>
          </cell>
        </row>
        <row r="489">
          <cell r="A489">
            <v>474</v>
          </cell>
        </row>
        <row r="490">
          <cell r="A490">
            <v>475</v>
          </cell>
          <cell r="B490" t="str">
            <v>Contingency Reserve</v>
          </cell>
          <cell r="E490">
            <v>0</v>
          </cell>
          <cell r="F490" t="str">
            <v>SUPP</v>
          </cell>
          <cell r="P490">
            <v>0</v>
          </cell>
          <cell r="R490">
            <v>8</v>
          </cell>
        </row>
        <row r="491">
          <cell r="A491">
            <v>476</v>
          </cell>
        </row>
        <row r="492">
          <cell r="A492">
            <v>477</v>
          </cell>
          <cell r="B492" t="str">
            <v>Direct Assigned Demand Costs</v>
          </cell>
          <cell r="E492">
            <v>0</v>
          </cell>
          <cell r="F492" t="str">
            <v>SUPP</v>
          </cell>
          <cell r="P492">
            <v>0</v>
          </cell>
          <cell r="R492">
            <v>8</v>
          </cell>
        </row>
        <row r="493">
          <cell r="A493">
            <v>478</v>
          </cell>
        </row>
        <row r="494">
          <cell r="A494">
            <v>479</v>
          </cell>
          <cell r="B494" t="str">
            <v>TOTAL DEMAND COSTS</v>
          </cell>
          <cell r="E494">
            <v>0</v>
          </cell>
          <cell r="P494">
            <v>0</v>
          </cell>
        </row>
        <row r="495">
          <cell r="A495">
            <v>480</v>
          </cell>
        </row>
        <row r="496">
          <cell r="A496">
            <v>481</v>
          </cell>
          <cell r="B496" t="str">
            <v>Other Fixed Costs:</v>
          </cell>
        </row>
        <row r="497">
          <cell r="A497">
            <v>482</v>
          </cell>
          <cell r="B497" t="str">
            <v>Cove Point all classes</v>
          </cell>
          <cell r="E497">
            <v>0</v>
          </cell>
          <cell r="F497" t="str">
            <v>SUPP</v>
          </cell>
          <cell r="P497">
            <v>0</v>
          </cell>
          <cell r="R497">
            <v>8</v>
          </cell>
        </row>
        <row r="498">
          <cell r="A498">
            <v>483</v>
          </cell>
          <cell r="B498" t="str">
            <v>Take or Pay</v>
          </cell>
          <cell r="E498">
            <v>0</v>
          </cell>
          <cell r="F498" t="str">
            <v>SUPP</v>
          </cell>
          <cell r="P498">
            <v>0</v>
          </cell>
          <cell r="R498">
            <v>8</v>
          </cell>
        </row>
        <row r="499">
          <cell r="A499">
            <v>484</v>
          </cell>
          <cell r="B499" t="str">
            <v>Supplier Refunds</v>
          </cell>
          <cell r="E499">
            <v>0</v>
          </cell>
          <cell r="F499" t="str">
            <v>SUPP</v>
          </cell>
          <cell r="P499">
            <v>0</v>
          </cell>
          <cell r="R499">
            <v>8</v>
          </cell>
        </row>
        <row r="500">
          <cell r="A500">
            <v>485</v>
          </cell>
          <cell r="B500" t="str">
            <v>Deferrals/Amortizations</v>
          </cell>
          <cell r="E500">
            <v>0</v>
          </cell>
          <cell r="F500" t="str">
            <v>SUPP</v>
          </cell>
          <cell r="P500">
            <v>0</v>
          </cell>
          <cell r="R500">
            <v>8</v>
          </cell>
        </row>
        <row r="501">
          <cell r="A501">
            <v>486</v>
          </cell>
          <cell r="B501" t="str">
            <v>Subtotal</v>
          </cell>
          <cell r="E501">
            <v>0</v>
          </cell>
        </row>
        <row r="502">
          <cell r="A502">
            <v>487</v>
          </cell>
        </row>
        <row r="503">
          <cell r="A503">
            <v>488</v>
          </cell>
          <cell r="B503" t="str">
            <v>TOTAL DEMAND &amp; FIXED COSTS</v>
          </cell>
          <cell r="E503">
            <v>0</v>
          </cell>
        </row>
        <row r="504">
          <cell r="A504">
            <v>489</v>
          </cell>
        </row>
        <row r="505">
          <cell r="A505">
            <v>490</v>
          </cell>
          <cell r="B505" t="str">
            <v>VARIABLE COSTS:</v>
          </cell>
        </row>
        <row r="506">
          <cell r="A506">
            <v>491</v>
          </cell>
          <cell r="B506" t="str">
            <v>Commodity Cost including transport liability</v>
          </cell>
          <cell r="E506">
            <v>0</v>
          </cell>
          <cell r="F506" t="str">
            <v>SUPP</v>
          </cell>
          <cell r="P506">
            <v>0</v>
          </cell>
          <cell r="R506">
            <v>8</v>
          </cell>
        </row>
        <row r="507">
          <cell r="A507">
            <v>492</v>
          </cell>
          <cell r="B507" t="str">
            <v>Cash Out</v>
          </cell>
          <cell r="E507">
            <v>0</v>
          </cell>
          <cell r="F507" t="str">
            <v>SUPP</v>
          </cell>
          <cell r="P507">
            <v>0</v>
          </cell>
          <cell r="R507">
            <v>8</v>
          </cell>
        </row>
        <row r="508">
          <cell r="A508">
            <v>493</v>
          </cell>
          <cell r="B508" t="str">
            <v>TF Transportation Step 1 &amp; Step 2 (total other)</v>
          </cell>
          <cell r="E508">
            <v>0</v>
          </cell>
          <cell r="F508" t="str">
            <v>SUPP</v>
          </cell>
          <cell r="P508">
            <v>0</v>
          </cell>
          <cell r="R508">
            <v>8</v>
          </cell>
        </row>
        <row r="509">
          <cell r="A509">
            <v>494</v>
          </cell>
          <cell r="B509" t="str">
            <v>Withdrawal Transportation Charges</v>
          </cell>
          <cell r="E509">
            <v>0</v>
          </cell>
          <cell r="F509" t="str">
            <v>SUPP</v>
          </cell>
          <cell r="P509">
            <v>0</v>
          </cell>
          <cell r="R509">
            <v>8</v>
          </cell>
        </row>
        <row r="510">
          <cell r="A510">
            <v>495</v>
          </cell>
          <cell r="B510" t="str">
            <v>Injection Fees</v>
          </cell>
          <cell r="E510">
            <v>0</v>
          </cell>
          <cell r="F510" t="str">
            <v>SUPP</v>
          </cell>
          <cell r="P510">
            <v>0</v>
          </cell>
          <cell r="R510">
            <v>8</v>
          </cell>
        </row>
        <row r="511">
          <cell r="A511">
            <v>496</v>
          </cell>
          <cell r="B511" t="str">
            <v>Withdrawal Fees</v>
          </cell>
          <cell r="E511">
            <v>0</v>
          </cell>
          <cell r="F511" t="str">
            <v>SUPP</v>
          </cell>
          <cell r="P511">
            <v>0</v>
          </cell>
          <cell r="R511">
            <v>8</v>
          </cell>
        </row>
        <row r="512">
          <cell r="A512">
            <v>497</v>
          </cell>
          <cell r="B512" t="str">
            <v>Injection Gas Costs (Acct 808,809)</v>
          </cell>
          <cell r="E512">
            <v>0</v>
          </cell>
          <cell r="F512" t="str">
            <v>SUPP</v>
          </cell>
          <cell r="P512">
            <v>0</v>
          </cell>
          <cell r="R512">
            <v>8</v>
          </cell>
        </row>
        <row r="513">
          <cell r="A513">
            <v>498</v>
          </cell>
          <cell r="B513" t="str">
            <v>Withdrawal Gas Costs (Acct 808,809)</v>
          </cell>
          <cell r="E513">
            <v>0</v>
          </cell>
          <cell r="F513" t="str">
            <v>SUPP</v>
          </cell>
          <cell r="P513">
            <v>0</v>
          </cell>
          <cell r="R513">
            <v>8</v>
          </cell>
        </row>
        <row r="514">
          <cell r="A514">
            <v>499</v>
          </cell>
          <cell r="B514" t="str">
            <v>Directly Assigned commodity costs</v>
          </cell>
          <cell r="E514">
            <v>0</v>
          </cell>
          <cell r="F514" t="str">
            <v>SUPP</v>
          </cell>
          <cell r="P514">
            <v>0</v>
          </cell>
          <cell r="R514">
            <v>8</v>
          </cell>
        </row>
        <row r="515">
          <cell r="A515">
            <v>500</v>
          </cell>
          <cell r="B515" t="str">
            <v>Off System Sales</v>
          </cell>
          <cell r="E515">
            <v>0</v>
          </cell>
          <cell r="F515" t="str">
            <v>SUPP</v>
          </cell>
          <cell r="P515">
            <v>0</v>
          </cell>
          <cell r="R515">
            <v>8</v>
          </cell>
        </row>
        <row r="516">
          <cell r="A516">
            <v>501</v>
          </cell>
          <cell r="B516" t="str">
            <v>Gas Commodity Deferral</v>
          </cell>
          <cell r="E516">
            <v>0</v>
          </cell>
          <cell r="F516" t="str">
            <v>SUPP</v>
          </cell>
          <cell r="P516">
            <v>0</v>
          </cell>
          <cell r="R516">
            <v>8</v>
          </cell>
        </row>
        <row r="517">
          <cell r="A517">
            <v>502</v>
          </cell>
          <cell r="B517" t="str">
            <v>Hedging</v>
          </cell>
          <cell r="E517">
            <v>0</v>
          </cell>
          <cell r="F517" t="str">
            <v>SUPP</v>
          </cell>
          <cell r="P517">
            <v>0</v>
          </cell>
          <cell r="R517">
            <v>8</v>
          </cell>
        </row>
        <row r="518">
          <cell r="A518">
            <v>503</v>
          </cell>
          <cell r="B518" t="str">
            <v>Subtotal</v>
          </cell>
          <cell r="E518">
            <v>0</v>
          </cell>
        </row>
        <row r="519">
          <cell r="A519">
            <v>504</v>
          </cell>
        </row>
        <row r="520">
          <cell r="A520">
            <v>505</v>
          </cell>
          <cell r="B520" t="str">
            <v>TOTAL COST OF GAS</v>
          </cell>
          <cell r="E520">
            <v>0</v>
          </cell>
        </row>
        <row r="521">
          <cell r="A521">
            <v>506</v>
          </cell>
        </row>
        <row r="522">
          <cell r="A522">
            <v>507</v>
          </cell>
        </row>
        <row r="523">
          <cell r="A523">
            <v>508</v>
          </cell>
        </row>
        <row r="524">
          <cell r="A524">
            <v>509</v>
          </cell>
        </row>
        <row r="525">
          <cell r="A525">
            <v>510</v>
          </cell>
        </row>
        <row r="526">
          <cell r="A526">
            <v>511</v>
          </cell>
        </row>
        <row r="527">
          <cell r="A527">
            <v>512</v>
          </cell>
          <cell r="B527" t="str">
            <v>LABOR SUBREPORT: FUNCTIONALIZATION PHASE</v>
          </cell>
        </row>
        <row r="528">
          <cell r="A528">
            <v>513</v>
          </cell>
          <cell r="B528" t="str">
            <v>----------------------------------------</v>
          </cell>
        </row>
        <row r="529">
          <cell r="A529">
            <v>514</v>
          </cell>
          <cell r="B529" t="str">
            <v xml:space="preserve">  1. PRODUCTION:  </v>
          </cell>
          <cell r="E529" t="str">
            <v>Labor $</v>
          </cell>
          <cell r="F529" t="str">
            <v>Labor %</v>
          </cell>
        </row>
        <row r="530">
          <cell r="A530">
            <v>515</v>
          </cell>
          <cell r="C530" t="str">
            <v>751-766</v>
          </cell>
          <cell r="E530">
            <v>0</v>
          </cell>
          <cell r="F530">
            <v>0</v>
          </cell>
          <cell r="P530">
            <v>0</v>
          </cell>
        </row>
        <row r="531">
          <cell r="A531">
            <v>516</v>
          </cell>
          <cell r="C531">
            <v>807</v>
          </cell>
          <cell r="E531">
            <v>0</v>
          </cell>
          <cell r="F531">
            <v>0</v>
          </cell>
          <cell r="P531">
            <v>0</v>
          </cell>
        </row>
        <row r="532">
          <cell r="A532">
            <v>517</v>
          </cell>
          <cell r="B532" t="str">
            <v>Sub Production</v>
          </cell>
          <cell r="E532">
            <v>0</v>
          </cell>
          <cell r="F532">
            <v>0</v>
          </cell>
          <cell r="P532">
            <v>0</v>
          </cell>
        </row>
        <row r="533">
          <cell r="A533">
            <v>518</v>
          </cell>
          <cell r="P533">
            <v>0</v>
          </cell>
        </row>
        <row r="534">
          <cell r="A534">
            <v>519</v>
          </cell>
          <cell r="B534" t="str">
            <v xml:space="preserve">  2. STORAGE:     </v>
          </cell>
          <cell r="P534">
            <v>0</v>
          </cell>
        </row>
        <row r="535">
          <cell r="A535">
            <v>520</v>
          </cell>
          <cell r="C535" t="str">
            <v>816-825</v>
          </cell>
          <cell r="E535">
            <v>0</v>
          </cell>
          <cell r="F535">
            <v>0</v>
          </cell>
          <cell r="P535">
            <v>0</v>
          </cell>
        </row>
        <row r="536">
          <cell r="A536">
            <v>521</v>
          </cell>
          <cell r="C536" t="str">
            <v>831-835</v>
          </cell>
          <cell r="E536">
            <v>0</v>
          </cell>
          <cell r="F536">
            <v>0</v>
          </cell>
          <cell r="P536">
            <v>0</v>
          </cell>
        </row>
        <row r="537">
          <cell r="A537">
            <v>522</v>
          </cell>
          <cell r="B537" t="str">
            <v>Sub Storage</v>
          </cell>
          <cell r="E537">
            <v>0</v>
          </cell>
          <cell r="F537">
            <v>0</v>
          </cell>
          <cell r="P537">
            <v>0</v>
          </cell>
        </row>
        <row r="538">
          <cell r="A538">
            <v>523</v>
          </cell>
          <cell r="P538">
            <v>0</v>
          </cell>
        </row>
        <row r="539">
          <cell r="A539">
            <v>524</v>
          </cell>
          <cell r="B539" t="str">
            <v xml:space="preserve">  3. TRANSMISSION:</v>
          </cell>
          <cell r="P539">
            <v>0</v>
          </cell>
        </row>
        <row r="540">
          <cell r="A540">
            <v>525</v>
          </cell>
          <cell r="C540" t="str">
            <v>856-860</v>
          </cell>
          <cell r="E540">
            <v>0</v>
          </cell>
          <cell r="F540">
            <v>0</v>
          </cell>
          <cell r="P540">
            <v>0</v>
          </cell>
        </row>
        <row r="541">
          <cell r="A541">
            <v>526</v>
          </cell>
          <cell r="C541" t="str">
            <v>863-865</v>
          </cell>
          <cell r="E541">
            <v>0</v>
          </cell>
          <cell r="F541">
            <v>0</v>
          </cell>
          <cell r="P541">
            <v>0</v>
          </cell>
        </row>
        <row r="542">
          <cell r="A542">
            <v>527</v>
          </cell>
          <cell r="B542" t="str">
            <v>Sub Transmission</v>
          </cell>
          <cell r="E542">
            <v>0</v>
          </cell>
          <cell r="F542">
            <v>0</v>
          </cell>
          <cell r="P542">
            <v>0</v>
          </cell>
        </row>
        <row r="543">
          <cell r="A543">
            <v>528</v>
          </cell>
          <cell r="P543">
            <v>0</v>
          </cell>
        </row>
        <row r="544">
          <cell r="A544">
            <v>529</v>
          </cell>
          <cell r="B544" t="str">
            <v xml:space="preserve">  4. DISTRIBUTION, Customer Accounting &amp; Sales ETC</v>
          </cell>
          <cell r="P544">
            <v>0</v>
          </cell>
        </row>
        <row r="545">
          <cell r="A545">
            <v>530</v>
          </cell>
          <cell r="C545" t="str">
            <v>870</v>
          </cell>
          <cell r="E545">
            <v>1362913.4400000002</v>
          </cell>
          <cell r="F545">
            <v>0.50622120506772794</v>
          </cell>
          <cell r="P545">
            <v>0</v>
          </cell>
        </row>
        <row r="546">
          <cell r="A546">
            <v>531</v>
          </cell>
          <cell r="C546" t="str">
            <v>871</v>
          </cell>
          <cell r="E546">
            <v>452341.63</v>
          </cell>
          <cell r="F546">
            <v>0.87171703080681873</v>
          </cell>
          <cell r="P546">
            <v>0</v>
          </cell>
        </row>
        <row r="547">
          <cell r="A547">
            <v>532</v>
          </cell>
          <cell r="C547" t="str">
            <v>874</v>
          </cell>
          <cell r="E547">
            <v>2491637.96</v>
          </cell>
          <cell r="F547">
            <v>0.67564506159304849</v>
          </cell>
          <cell r="P547">
            <v>0</v>
          </cell>
        </row>
        <row r="548">
          <cell r="A548">
            <v>533</v>
          </cell>
          <cell r="C548" t="str">
            <v>875</v>
          </cell>
          <cell r="E548">
            <v>306707.33999999997</v>
          </cell>
          <cell r="F548">
            <v>0.50151604302018149</v>
          </cell>
          <cell r="P548">
            <v>0</v>
          </cell>
        </row>
        <row r="549">
          <cell r="A549">
            <v>534</v>
          </cell>
          <cell r="C549" t="str">
            <v>878</v>
          </cell>
          <cell r="E549">
            <v>1177550.3599999999</v>
          </cell>
          <cell r="F549">
            <v>0.83891906453872167</v>
          </cell>
          <cell r="P549">
            <v>0</v>
          </cell>
        </row>
        <row r="550">
          <cell r="A550">
            <v>535</v>
          </cell>
          <cell r="C550" t="str">
            <v>879</v>
          </cell>
          <cell r="E550">
            <v>958712.14000000013</v>
          </cell>
          <cell r="F550">
            <v>0.85810053987894508</v>
          </cell>
          <cell r="P550">
            <v>0</v>
          </cell>
        </row>
        <row r="551">
          <cell r="A551">
            <v>536</v>
          </cell>
          <cell r="C551" t="str">
            <v>880</v>
          </cell>
          <cell r="E551">
            <v>1661547.6</v>
          </cell>
          <cell r="F551">
            <v>0.48921003475679276</v>
          </cell>
          <cell r="P551">
            <v>0</v>
          </cell>
        </row>
        <row r="552">
          <cell r="A552">
            <v>537</v>
          </cell>
          <cell r="C552" t="str">
            <v>885</v>
          </cell>
          <cell r="E552">
            <v>0</v>
          </cell>
          <cell r="F552">
            <v>0</v>
          </cell>
          <cell r="P552">
            <v>0</v>
          </cell>
        </row>
        <row r="553">
          <cell r="A553">
            <v>538</v>
          </cell>
          <cell r="C553" t="str">
            <v>886</v>
          </cell>
          <cell r="E553">
            <v>73.92</v>
          </cell>
          <cell r="F553">
            <v>4.6668186690990024E-3</v>
          </cell>
          <cell r="P553">
            <v>0</v>
          </cell>
        </row>
        <row r="554">
          <cell r="A554">
            <v>539</v>
          </cell>
          <cell r="C554" t="str">
            <v>887</v>
          </cell>
          <cell r="E554">
            <v>625865.84</v>
          </cell>
          <cell r="F554">
            <v>0.4825172077253565</v>
          </cell>
          <cell r="P554">
            <v>0</v>
          </cell>
        </row>
        <row r="555">
          <cell r="A555">
            <v>540</v>
          </cell>
          <cell r="C555">
            <v>888</v>
          </cell>
          <cell r="E555">
            <v>18595.93</v>
          </cell>
          <cell r="F555">
            <v>0.43010491305816012</v>
          </cell>
          <cell r="P555">
            <v>0</v>
          </cell>
        </row>
        <row r="556">
          <cell r="A556">
            <v>541</v>
          </cell>
          <cell r="C556" t="str">
            <v>889</v>
          </cell>
          <cell r="E556">
            <v>219662.53</v>
          </cell>
          <cell r="F556">
            <v>0.62975121853376981</v>
          </cell>
          <cell r="P556">
            <v>0</v>
          </cell>
        </row>
        <row r="557">
          <cell r="A557">
            <v>542</v>
          </cell>
          <cell r="C557" t="str">
            <v>890</v>
          </cell>
          <cell r="E557">
            <v>9726.590000000002</v>
          </cell>
          <cell r="F557">
            <v>0.44176214434092698</v>
          </cell>
          <cell r="P557">
            <v>0</v>
          </cell>
        </row>
        <row r="558">
          <cell r="A558">
            <v>543</v>
          </cell>
          <cell r="C558" t="str">
            <v>892</v>
          </cell>
          <cell r="E558">
            <v>836672.96</v>
          </cell>
          <cell r="F558">
            <v>0.67637675100792694</v>
          </cell>
          <cell r="P558">
            <v>0</v>
          </cell>
        </row>
        <row r="559">
          <cell r="A559">
            <v>544</v>
          </cell>
          <cell r="C559" t="str">
            <v>893</v>
          </cell>
          <cell r="E559">
            <v>897759</v>
          </cell>
          <cell r="F559">
            <v>0.77525615827076877</v>
          </cell>
          <cell r="P559">
            <v>0</v>
          </cell>
        </row>
        <row r="560">
          <cell r="A560">
            <v>545</v>
          </cell>
          <cell r="C560" t="str">
            <v>894</v>
          </cell>
          <cell r="E560">
            <v>62225.46</v>
          </cell>
          <cell r="F560">
            <v>0.40843001679003454</v>
          </cell>
          <cell r="P560">
            <v>0</v>
          </cell>
        </row>
        <row r="561">
          <cell r="A561">
            <v>546</v>
          </cell>
          <cell r="C561">
            <v>901</v>
          </cell>
          <cell r="E561">
            <v>0</v>
          </cell>
          <cell r="F561">
            <v>0</v>
          </cell>
          <cell r="P561">
            <v>0</v>
          </cell>
        </row>
        <row r="562">
          <cell r="A562">
            <v>547</v>
          </cell>
          <cell r="C562" t="str">
            <v>902</v>
          </cell>
          <cell r="E562">
            <v>400637.62</v>
          </cell>
          <cell r="F562">
            <v>0.72987249882253846</v>
          </cell>
          <cell r="P562">
            <v>0</v>
          </cell>
        </row>
        <row r="563">
          <cell r="A563">
            <v>548</v>
          </cell>
          <cell r="C563" t="str">
            <v>903</v>
          </cell>
          <cell r="E563">
            <v>3239745.9099999992</v>
          </cell>
          <cell r="F563">
            <v>0.62967321937372001</v>
          </cell>
          <cell r="P563">
            <v>0</v>
          </cell>
        </row>
        <row r="564">
          <cell r="A564">
            <v>549</v>
          </cell>
          <cell r="C564">
            <v>907</v>
          </cell>
          <cell r="E564">
            <v>0</v>
          </cell>
          <cell r="F564">
            <v>0</v>
          </cell>
          <cell r="P564">
            <v>0</v>
          </cell>
        </row>
        <row r="565">
          <cell r="A565">
            <v>550</v>
          </cell>
          <cell r="C565">
            <v>908</v>
          </cell>
          <cell r="E565">
            <v>0</v>
          </cell>
          <cell r="F565">
            <v>0</v>
          </cell>
          <cell r="P565">
            <v>0</v>
          </cell>
        </row>
        <row r="566">
          <cell r="A566">
            <v>551</v>
          </cell>
          <cell r="C566">
            <v>910</v>
          </cell>
          <cell r="E566">
            <v>0</v>
          </cell>
          <cell r="F566">
            <v>0</v>
          </cell>
          <cell r="P566">
            <v>0</v>
          </cell>
        </row>
        <row r="567">
          <cell r="A567">
            <v>552</v>
          </cell>
          <cell r="C567">
            <v>912</v>
          </cell>
          <cell r="E567">
            <v>0</v>
          </cell>
          <cell r="F567">
            <v>0</v>
          </cell>
          <cell r="P567">
            <v>0</v>
          </cell>
        </row>
        <row r="568">
          <cell r="A568">
            <v>553</v>
          </cell>
          <cell r="C568">
            <v>916</v>
          </cell>
          <cell r="E568">
            <v>0</v>
          </cell>
          <cell r="F568">
            <v>0</v>
          </cell>
          <cell r="P568">
            <v>0</v>
          </cell>
        </row>
        <row r="569">
          <cell r="A569">
            <v>554</v>
          </cell>
          <cell r="B569" t="str">
            <v>Sub Distribution</v>
          </cell>
          <cell r="E569">
            <v>14722376.229999997</v>
          </cell>
          <cell r="F569">
            <v>0.61769965890884682</v>
          </cell>
          <cell r="P569">
            <v>0</v>
          </cell>
        </row>
        <row r="570">
          <cell r="A570">
            <v>555</v>
          </cell>
          <cell r="P570">
            <v>0</v>
          </cell>
        </row>
        <row r="571">
          <cell r="A571">
            <v>556</v>
          </cell>
          <cell r="B571" t="str">
            <v xml:space="preserve">  5. TOTAL:       LABOR allocator</v>
          </cell>
          <cell r="E571">
            <v>14722376.229999997</v>
          </cell>
          <cell r="F571">
            <v>0.61769965890884682</v>
          </cell>
          <cell r="P571">
            <v>0</v>
          </cell>
        </row>
        <row r="572">
          <cell r="P572">
            <v>0</v>
          </cell>
        </row>
        <row r="573">
          <cell r="E573">
            <v>14722376.229999997</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ow r="7">
          <cell r="F7" t="str">
            <v>Res</v>
          </cell>
          <cell r="G7" t="str">
            <v>GSC</v>
          </cell>
          <cell r="H7" t="str">
            <v>GSI</v>
          </cell>
          <cell r="I7" t="str">
            <v>GSLV</v>
          </cell>
          <cell r="J7" t="str">
            <v>Interruptible</v>
          </cell>
          <cell r="K7" t="str">
            <v>Transport</v>
          </cell>
          <cell r="L7" t="str">
            <v>Spl Contracts</v>
          </cell>
          <cell r="M7">
            <v>0</v>
          </cell>
          <cell r="N7">
            <v>0</v>
          </cell>
          <cell r="O7">
            <v>0</v>
          </cell>
          <cell r="P7">
            <v>0</v>
          </cell>
          <cell r="Q7">
            <v>0</v>
          </cell>
          <cell r="R7">
            <v>0</v>
          </cell>
          <cell r="S7">
            <v>0</v>
          </cell>
          <cell r="T7">
            <v>0</v>
          </cell>
          <cell r="U7">
            <v>0</v>
          </cell>
          <cell r="V7">
            <v>0</v>
          </cell>
          <cell r="W7">
            <v>0</v>
          </cell>
          <cell r="X7">
            <v>0</v>
          </cell>
          <cell r="Y7">
            <v>0</v>
          </cell>
          <cell r="Z7">
            <v>0</v>
          </cell>
        </row>
        <row r="8">
          <cell r="F8" t="str">
            <v>502, 503</v>
          </cell>
          <cell r="G8" t="str">
            <v>504, 512</v>
          </cell>
          <cell r="H8" t="str">
            <v>505</v>
          </cell>
          <cell r="I8" t="str">
            <v>511</v>
          </cell>
          <cell r="J8" t="str">
            <v>570, 577</v>
          </cell>
          <cell r="K8" t="str">
            <v>663</v>
          </cell>
          <cell r="L8" t="str">
            <v>9xx</v>
          </cell>
        </row>
        <row r="9">
          <cell r="AB9" t="str">
            <v>check total</v>
          </cell>
        </row>
        <row r="10">
          <cell r="F10">
            <v>3</v>
          </cell>
          <cell r="G10">
            <v>4</v>
          </cell>
          <cell r="H10">
            <v>5</v>
          </cell>
          <cell r="I10">
            <v>6</v>
          </cell>
          <cell r="J10">
            <v>7</v>
          </cell>
          <cell r="K10">
            <v>8</v>
          </cell>
          <cell r="L10">
            <v>9</v>
          </cell>
          <cell r="M10">
            <v>10</v>
          </cell>
          <cell r="N10">
            <v>11</v>
          </cell>
          <cell r="O10">
            <v>12</v>
          </cell>
          <cell r="P10">
            <v>13</v>
          </cell>
          <cell r="Q10">
            <v>14</v>
          </cell>
          <cell r="R10">
            <v>15</v>
          </cell>
          <cell r="S10">
            <v>16</v>
          </cell>
          <cell r="T10">
            <v>17</v>
          </cell>
          <cell r="U10">
            <v>18</v>
          </cell>
          <cell r="V10">
            <v>19</v>
          </cell>
          <cell r="W10">
            <v>20</v>
          </cell>
          <cell r="X10">
            <v>21</v>
          </cell>
          <cell r="Y10">
            <v>22</v>
          </cell>
          <cell r="Z10">
            <v>23</v>
          </cell>
        </row>
        <row r="16">
          <cell r="AB16">
            <v>0</v>
          </cell>
        </row>
        <row r="17">
          <cell r="AB17">
            <v>0</v>
          </cell>
        </row>
        <row r="18">
          <cell r="AB18">
            <v>0</v>
          </cell>
        </row>
        <row r="19">
          <cell r="AB19">
            <v>0</v>
          </cell>
        </row>
        <row r="20">
          <cell r="AB20">
            <v>0</v>
          </cell>
        </row>
        <row r="21">
          <cell r="AB21">
            <v>0</v>
          </cell>
        </row>
        <row r="25">
          <cell r="AB25">
            <v>0</v>
          </cell>
        </row>
        <row r="26">
          <cell r="AB26">
            <v>0</v>
          </cell>
        </row>
        <row r="27">
          <cell r="AB27">
            <v>0</v>
          </cell>
        </row>
        <row r="28">
          <cell r="AB28">
            <v>0</v>
          </cell>
        </row>
        <row r="29">
          <cell r="AB29">
            <v>0</v>
          </cell>
        </row>
        <row r="30">
          <cell r="AB30">
            <v>0</v>
          </cell>
        </row>
        <row r="31">
          <cell r="AB31">
            <v>0</v>
          </cell>
        </row>
        <row r="32">
          <cell r="AB32">
            <v>0</v>
          </cell>
        </row>
        <row r="33">
          <cell r="AB33">
            <v>0</v>
          </cell>
        </row>
        <row r="34">
          <cell r="AB34">
            <v>0</v>
          </cell>
        </row>
        <row r="35">
          <cell r="AB35">
            <v>0</v>
          </cell>
        </row>
        <row r="36">
          <cell r="AB36">
            <v>0</v>
          </cell>
        </row>
        <row r="40">
          <cell r="AB40">
            <v>0</v>
          </cell>
        </row>
        <row r="41">
          <cell r="AB41">
            <v>0</v>
          </cell>
        </row>
        <row r="42">
          <cell r="AB42">
            <v>0</v>
          </cell>
        </row>
        <row r="43">
          <cell r="AB43">
            <v>0</v>
          </cell>
        </row>
        <row r="44">
          <cell r="AB44">
            <v>0</v>
          </cell>
        </row>
        <row r="45">
          <cell r="AB45">
            <v>0</v>
          </cell>
        </row>
        <row r="46">
          <cell r="AB46">
            <v>0</v>
          </cell>
        </row>
        <row r="47">
          <cell r="AB47">
            <v>0</v>
          </cell>
        </row>
        <row r="51">
          <cell r="AB51">
            <v>0</v>
          </cell>
        </row>
        <row r="52">
          <cell r="AB52">
            <v>0</v>
          </cell>
        </row>
        <row r="53">
          <cell r="AB53">
            <v>0</v>
          </cell>
        </row>
        <row r="54">
          <cell r="AB54">
            <v>0</v>
          </cell>
        </row>
        <row r="55">
          <cell r="AB55">
            <v>0</v>
          </cell>
        </row>
        <row r="56">
          <cell r="AB56">
            <v>0</v>
          </cell>
        </row>
        <row r="57">
          <cell r="AB57">
            <v>0</v>
          </cell>
        </row>
        <row r="58">
          <cell r="AB58">
            <v>0</v>
          </cell>
        </row>
        <row r="62">
          <cell r="AB62">
            <v>0</v>
          </cell>
        </row>
        <row r="63">
          <cell r="AB63">
            <v>0</v>
          </cell>
        </row>
        <row r="64">
          <cell r="AB64">
            <v>0</v>
          </cell>
        </row>
        <row r="65">
          <cell r="AB65">
            <v>0</v>
          </cell>
        </row>
        <row r="66">
          <cell r="AB66">
            <v>0</v>
          </cell>
        </row>
        <row r="67">
          <cell r="AB67">
            <v>0</v>
          </cell>
        </row>
        <row r="68">
          <cell r="AB68">
            <v>0</v>
          </cell>
        </row>
        <row r="69">
          <cell r="AB69">
            <v>0</v>
          </cell>
        </row>
        <row r="70">
          <cell r="AB70">
            <v>0</v>
          </cell>
        </row>
        <row r="71">
          <cell r="AB71">
            <v>0</v>
          </cell>
        </row>
        <row r="72">
          <cell r="AB72">
            <v>0</v>
          </cell>
        </row>
        <row r="73">
          <cell r="AB73">
            <v>0</v>
          </cell>
        </row>
        <row r="74">
          <cell r="AB74">
            <v>0</v>
          </cell>
        </row>
        <row r="75">
          <cell r="AB75">
            <v>0</v>
          </cell>
        </row>
        <row r="76">
          <cell r="AB76">
            <v>0</v>
          </cell>
        </row>
        <row r="77">
          <cell r="AB77">
            <v>0</v>
          </cell>
        </row>
        <row r="78">
          <cell r="AB78">
            <v>0</v>
          </cell>
        </row>
        <row r="79">
          <cell r="AB79">
            <v>0</v>
          </cell>
        </row>
        <row r="80">
          <cell r="AB80">
            <v>0</v>
          </cell>
        </row>
        <row r="81">
          <cell r="AB81">
            <v>0</v>
          </cell>
        </row>
        <row r="82">
          <cell r="AB82">
            <v>0</v>
          </cell>
        </row>
        <row r="83">
          <cell r="AB83">
            <v>0</v>
          </cell>
        </row>
        <row r="84">
          <cell r="AB84">
            <v>0</v>
          </cell>
        </row>
        <row r="85">
          <cell r="AB85">
            <v>0</v>
          </cell>
        </row>
        <row r="86">
          <cell r="AB86">
            <v>0</v>
          </cell>
        </row>
        <row r="90">
          <cell r="AB90">
            <v>0</v>
          </cell>
        </row>
        <row r="91">
          <cell r="AB91">
            <v>0</v>
          </cell>
        </row>
        <row r="92">
          <cell r="AB92">
            <v>0</v>
          </cell>
        </row>
        <row r="93">
          <cell r="AB93">
            <v>0</v>
          </cell>
        </row>
        <row r="94">
          <cell r="AB94">
            <v>0</v>
          </cell>
        </row>
        <row r="95">
          <cell r="AB95">
            <v>0</v>
          </cell>
        </row>
        <row r="96">
          <cell r="AB96">
            <v>0</v>
          </cell>
        </row>
        <row r="97">
          <cell r="AB97">
            <v>0</v>
          </cell>
        </row>
        <row r="98">
          <cell r="AB98">
            <v>0</v>
          </cell>
        </row>
        <row r="99">
          <cell r="AB99">
            <v>0</v>
          </cell>
        </row>
        <row r="100">
          <cell r="AB100">
            <v>0</v>
          </cell>
        </row>
        <row r="101">
          <cell r="AB101">
            <v>0</v>
          </cell>
        </row>
        <row r="102">
          <cell r="AB102">
            <v>0</v>
          </cell>
        </row>
        <row r="104">
          <cell r="AB104">
            <v>0</v>
          </cell>
        </row>
        <row r="106">
          <cell r="AB106">
            <v>0</v>
          </cell>
        </row>
        <row r="108">
          <cell r="AB108">
            <v>0</v>
          </cell>
        </row>
        <row r="111">
          <cell r="AB111">
            <v>0</v>
          </cell>
        </row>
        <row r="112">
          <cell r="AB112">
            <v>0</v>
          </cell>
        </row>
        <row r="113">
          <cell r="AB113">
            <v>0</v>
          </cell>
        </row>
        <row r="114">
          <cell r="AB114">
            <v>0</v>
          </cell>
        </row>
        <row r="115">
          <cell r="AB115">
            <v>0</v>
          </cell>
        </row>
        <row r="116">
          <cell r="AB116">
            <v>0</v>
          </cell>
        </row>
        <row r="117">
          <cell r="AB117">
            <v>0</v>
          </cell>
        </row>
        <row r="118">
          <cell r="AB118">
            <v>0</v>
          </cell>
        </row>
        <row r="119">
          <cell r="AB119">
            <v>0</v>
          </cell>
        </row>
        <row r="120">
          <cell r="AB120">
            <v>0</v>
          </cell>
        </row>
        <row r="121">
          <cell r="AB121">
            <v>0</v>
          </cell>
        </row>
        <row r="122">
          <cell r="AB122">
            <v>0</v>
          </cell>
        </row>
        <row r="123">
          <cell r="AB123">
            <v>0</v>
          </cell>
        </row>
        <row r="124">
          <cell r="AB124">
            <v>0</v>
          </cell>
        </row>
        <row r="125">
          <cell r="AB125">
            <v>0</v>
          </cell>
        </row>
        <row r="126">
          <cell r="AB126">
            <v>0</v>
          </cell>
        </row>
        <row r="127">
          <cell r="AB127">
            <v>0</v>
          </cell>
        </row>
        <row r="129">
          <cell r="AB129">
            <v>0</v>
          </cell>
        </row>
        <row r="131">
          <cell r="AB131">
            <v>0</v>
          </cell>
        </row>
        <row r="134">
          <cell r="AB134">
            <v>0</v>
          </cell>
        </row>
        <row r="135">
          <cell r="AB135">
            <v>0</v>
          </cell>
        </row>
        <row r="136">
          <cell r="AB136">
            <v>0</v>
          </cell>
        </row>
        <row r="137">
          <cell r="AB137">
            <v>0</v>
          </cell>
        </row>
        <row r="140">
          <cell r="AB140">
            <v>0</v>
          </cell>
        </row>
        <row r="142">
          <cell r="AB142">
            <v>0</v>
          </cell>
        </row>
        <row r="144">
          <cell r="AB144">
            <v>0</v>
          </cell>
        </row>
        <row r="152">
          <cell r="AB152">
            <v>0</v>
          </cell>
        </row>
        <row r="153">
          <cell r="AB153">
            <v>0</v>
          </cell>
        </row>
        <row r="154">
          <cell r="AB154">
            <v>0</v>
          </cell>
        </row>
        <row r="155">
          <cell r="AB155">
            <v>0</v>
          </cell>
        </row>
        <row r="156">
          <cell r="AB156">
            <v>0</v>
          </cell>
        </row>
        <row r="157">
          <cell r="AB157">
            <v>0</v>
          </cell>
        </row>
        <row r="158">
          <cell r="AB158">
            <v>0</v>
          </cell>
        </row>
        <row r="159">
          <cell r="AB159">
            <v>0</v>
          </cell>
        </row>
        <row r="160">
          <cell r="AB160">
            <v>0</v>
          </cell>
        </row>
        <row r="161">
          <cell r="AB161">
            <v>0</v>
          </cell>
        </row>
        <row r="162">
          <cell r="AB162">
            <v>0</v>
          </cell>
        </row>
        <row r="164">
          <cell r="AB164">
            <v>0</v>
          </cell>
        </row>
        <row r="168">
          <cell r="AB168">
            <v>0</v>
          </cell>
        </row>
        <row r="169">
          <cell r="AB169">
            <v>0</v>
          </cell>
        </row>
        <row r="170">
          <cell r="AB170">
            <v>0</v>
          </cell>
        </row>
        <row r="171">
          <cell r="AB171">
            <v>0</v>
          </cell>
        </row>
        <row r="172">
          <cell r="AB172">
            <v>0</v>
          </cell>
        </row>
        <row r="173">
          <cell r="AB173">
            <v>0</v>
          </cell>
        </row>
        <row r="174">
          <cell r="AB174">
            <v>0</v>
          </cell>
        </row>
        <row r="175">
          <cell r="AB175">
            <v>0</v>
          </cell>
        </row>
        <row r="176">
          <cell r="AB176">
            <v>0</v>
          </cell>
        </row>
        <row r="177">
          <cell r="AB177">
            <v>0</v>
          </cell>
        </row>
        <row r="178">
          <cell r="AB178">
            <v>0</v>
          </cell>
        </row>
        <row r="179">
          <cell r="AB179">
            <v>0</v>
          </cell>
        </row>
        <row r="180">
          <cell r="AB180">
            <v>0</v>
          </cell>
        </row>
        <row r="181">
          <cell r="AB181">
            <v>0</v>
          </cell>
        </row>
        <row r="182">
          <cell r="AB182">
            <v>0</v>
          </cell>
        </row>
        <row r="187">
          <cell r="AB187">
            <v>0</v>
          </cell>
        </row>
        <row r="188">
          <cell r="AB188">
            <v>0</v>
          </cell>
        </row>
        <row r="189">
          <cell r="AB189">
            <v>0</v>
          </cell>
        </row>
        <row r="190">
          <cell r="AB190">
            <v>0</v>
          </cell>
        </row>
        <row r="191">
          <cell r="AB191">
            <v>0</v>
          </cell>
        </row>
        <row r="192">
          <cell r="AB192">
            <v>0</v>
          </cell>
        </row>
        <row r="193">
          <cell r="AB193">
            <v>0</v>
          </cell>
        </row>
        <row r="194">
          <cell r="AB194">
            <v>0</v>
          </cell>
        </row>
        <row r="195">
          <cell r="AB195">
            <v>0</v>
          </cell>
        </row>
        <row r="196">
          <cell r="AB196">
            <v>0</v>
          </cell>
        </row>
        <row r="197">
          <cell r="AB197">
            <v>0</v>
          </cell>
        </row>
        <row r="198">
          <cell r="AB198">
            <v>0</v>
          </cell>
        </row>
        <row r="199">
          <cell r="AB199">
            <v>0</v>
          </cell>
        </row>
        <row r="200">
          <cell r="AB200">
            <v>0</v>
          </cell>
        </row>
        <row r="201">
          <cell r="AB201">
            <v>0</v>
          </cell>
        </row>
        <row r="202">
          <cell r="AB202">
            <v>0</v>
          </cell>
        </row>
        <row r="203">
          <cell r="AB203">
            <v>0</v>
          </cell>
        </row>
        <row r="205">
          <cell r="AB205">
            <v>0</v>
          </cell>
        </row>
        <row r="209">
          <cell r="AB209">
            <v>0</v>
          </cell>
        </row>
        <row r="210">
          <cell r="AB210">
            <v>0</v>
          </cell>
        </row>
        <row r="211">
          <cell r="AB211">
            <v>0</v>
          </cell>
        </row>
        <row r="212">
          <cell r="AB212">
            <v>0</v>
          </cell>
        </row>
        <row r="213">
          <cell r="AB213">
            <v>0</v>
          </cell>
        </row>
        <row r="214">
          <cell r="AB214">
            <v>0</v>
          </cell>
        </row>
        <row r="215">
          <cell r="AB215">
            <v>0</v>
          </cell>
        </row>
        <row r="216">
          <cell r="AB216">
            <v>0</v>
          </cell>
        </row>
        <row r="217">
          <cell r="AB217">
            <v>0</v>
          </cell>
        </row>
        <row r="218">
          <cell r="AB218">
            <v>0</v>
          </cell>
        </row>
        <row r="219">
          <cell r="AB219">
            <v>0</v>
          </cell>
        </row>
        <row r="220">
          <cell r="AB220">
            <v>0</v>
          </cell>
        </row>
        <row r="221">
          <cell r="AB221">
            <v>0</v>
          </cell>
        </row>
        <row r="223">
          <cell r="AB223">
            <v>0</v>
          </cell>
        </row>
        <row r="227">
          <cell r="AB227">
            <v>0</v>
          </cell>
        </row>
        <row r="228">
          <cell r="AB228">
            <v>0</v>
          </cell>
        </row>
        <row r="229">
          <cell r="AB229">
            <v>0</v>
          </cell>
        </row>
        <row r="230">
          <cell r="AB230">
            <v>0</v>
          </cell>
        </row>
        <row r="231">
          <cell r="AB231">
            <v>0</v>
          </cell>
        </row>
        <row r="232">
          <cell r="AB232">
            <v>0</v>
          </cell>
        </row>
        <row r="233">
          <cell r="AB233">
            <v>0</v>
          </cell>
        </row>
        <row r="234">
          <cell r="AB234">
            <v>0</v>
          </cell>
        </row>
        <row r="235">
          <cell r="AB235">
            <v>0</v>
          </cell>
        </row>
        <row r="236">
          <cell r="AB236">
            <v>0</v>
          </cell>
        </row>
        <row r="237">
          <cell r="AB237">
            <v>0</v>
          </cell>
        </row>
        <row r="238">
          <cell r="AB238">
            <v>0</v>
          </cell>
        </row>
        <row r="239">
          <cell r="AB239">
            <v>0</v>
          </cell>
        </row>
        <row r="240">
          <cell r="AB240">
            <v>0</v>
          </cell>
        </row>
        <row r="241">
          <cell r="AB241">
            <v>0</v>
          </cell>
        </row>
        <row r="242">
          <cell r="AB242">
            <v>0</v>
          </cell>
        </row>
        <row r="243">
          <cell r="AB243">
            <v>0</v>
          </cell>
        </row>
        <row r="244">
          <cell r="AB244">
            <v>0</v>
          </cell>
        </row>
        <row r="245">
          <cell r="AB245">
            <v>0</v>
          </cell>
        </row>
        <row r="247">
          <cell r="AB247">
            <v>0</v>
          </cell>
        </row>
        <row r="249">
          <cell r="AB249">
            <v>0</v>
          </cell>
        </row>
        <row r="253">
          <cell r="AB253">
            <v>0</v>
          </cell>
        </row>
        <row r="254">
          <cell r="AB254">
            <v>0</v>
          </cell>
        </row>
        <row r="255">
          <cell r="AB255">
            <v>0</v>
          </cell>
        </row>
        <row r="256">
          <cell r="AB256">
            <v>0</v>
          </cell>
        </row>
        <row r="257">
          <cell r="AB257">
            <v>0</v>
          </cell>
        </row>
        <row r="259">
          <cell r="AB259">
            <v>0</v>
          </cell>
        </row>
        <row r="263">
          <cell r="AB263">
            <v>0</v>
          </cell>
        </row>
        <row r="264">
          <cell r="AB264">
            <v>0</v>
          </cell>
        </row>
        <row r="265">
          <cell r="AB265">
            <v>0</v>
          </cell>
        </row>
        <row r="267">
          <cell r="AB267">
            <v>0</v>
          </cell>
        </row>
        <row r="271">
          <cell r="AB271">
            <v>0</v>
          </cell>
        </row>
        <row r="272">
          <cell r="AB272">
            <v>0</v>
          </cell>
        </row>
        <row r="273">
          <cell r="AB273">
            <v>0</v>
          </cell>
        </row>
        <row r="274">
          <cell r="AB274">
            <v>0</v>
          </cell>
        </row>
        <row r="276">
          <cell r="AB276">
            <v>0</v>
          </cell>
        </row>
        <row r="278">
          <cell r="AB278">
            <v>0</v>
          </cell>
        </row>
        <row r="284">
          <cell r="AB284">
            <v>0</v>
          </cell>
        </row>
        <row r="285">
          <cell r="AB285">
            <v>0</v>
          </cell>
        </row>
        <row r="286">
          <cell r="AB286">
            <v>0</v>
          </cell>
        </row>
        <row r="287">
          <cell r="AB287">
            <v>0</v>
          </cell>
        </row>
        <row r="288">
          <cell r="AB288">
            <v>0</v>
          </cell>
        </row>
        <row r="289">
          <cell r="AB289">
            <v>0</v>
          </cell>
        </row>
        <row r="291">
          <cell r="AB291">
            <v>0</v>
          </cell>
        </row>
        <row r="295">
          <cell r="AB295">
            <v>0</v>
          </cell>
        </row>
        <row r="296">
          <cell r="AB296">
            <v>0</v>
          </cell>
        </row>
        <row r="297">
          <cell r="AB297">
            <v>0</v>
          </cell>
        </row>
        <row r="299">
          <cell r="AB299">
            <v>0</v>
          </cell>
        </row>
        <row r="303">
          <cell r="AB303">
            <v>0</v>
          </cell>
        </row>
        <row r="304">
          <cell r="AB304">
            <v>0</v>
          </cell>
        </row>
        <row r="305">
          <cell r="AB305">
            <v>0</v>
          </cell>
        </row>
        <row r="306">
          <cell r="AB306">
            <v>0</v>
          </cell>
        </row>
        <row r="307">
          <cell r="AB307">
            <v>0</v>
          </cell>
        </row>
        <row r="309">
          <cell r="AB309">
            <v>0</v>
          </cell>
        </row>
        <row r="311">
          <cell r="AB311">
            <v>0</v>
          </cell>
        </row>
        <row r="315">
          <cell r="AB315">
            <v>0</v>
          </cell>
        </row>
        <row r="316">
          <cell r="AB316">
            <v>0</v>
          </cell>
        </row>
        <row r="317">
          <cell r="AB317">
            <v>0</v>
          </cell>
        </row>
        <row r="318">
          <cell r="AB318">
            <v>0</v>
          </cell>
        </row>
        <row r="319">
          <cell r="AB319">
            <v>0</v>
          </cell>
        </row>
        <row r="320">
          <cell r="AB320">
            <v>0</v>
          </cell>
        </row>
        <row r="321">
          <cell r="AB321">
            <v>0</v>
          </cell>
        </row>
        <row r="322">
          <cell r="AB322">
            <v>0</v>
          </cell>
        </row>
        <row r="323">
          <cell r="AB323">
            <v>0</v>
          </cell>
        </row>
        <row r="324">
          <cell r="AB324">
            <v>0</v>
          </cell>
        </row>
        <row r="325">
          <cell r="AB325">
            <v>0</v>
          </cell>
        </row>
        <row r="326">
          <cell r="AB326">
            <v>0</v>
          </cell>
        </row>
        <row r="328">
          <cell r="AB328">
            <v>0</v>
          </cell>
        </row>
        <row r="334">
          <cell r="AB334">
            <v>0</v>
          </cell>
        </row>
        <row r="335">
          <cell r="AB335">
            <v>0</v>
          </cell>
        </row>
        <row r="336">
          <cell r="AB336">
            <v>0</v>
          </cell>
        </row>
        <row r="337">
          <cell r="AB337">
            <v>0</v>
          </cell>
        </row>
        <row r="338">
          <cell r="AB338">
            <v>0</v>
          </cell>
        </row>
        <row r="340">
          <cell r="AB340">
            <v>0</v>
          </cell>
        </row>
        <row r="345">
          <cell r="AB345">
            <v>0</v>
          </cell>
        </row>
        <row r="346">
          <cell r="AB346">
            <v>0</v>
          </cell>
        </row>
        <row r="347">
          <cell r="AB347">
            <v>0</v>
          </cell>
        </row>
        <row r="351">
          <cell r="AB351">
            <v>0</v>
          </cell>
        </row>
        <row r="352">
          <cell r="AB352">
            <v>0</v>
          </cell>
        </row>
        <row r="353">
          <cell r="AB353">
            <v>0</v>
          </cell>
        </row>
        <row r="354">
          <cell r="AB354">
            <v>0</v>
          </cell>
        </row>
        <row r="355">
          <cell r="AB355">
            <v>0</v>
          </cell>
        </row>
        <row r="356">
          <cell r="AB356">
            <v>0</v>
          </cell>
        </row>
        <row r="358">
          <cell r="AB358">
            <v>0</v>
          </cell>
        </row>
        <row r="360">
          <cell r="AB360">
            <v>0</v>
          </cell>
        </row>
        <row r="365">
          <cell r="AB365">
            <v>0</v>
          </cell>
        </row>
        <row r="366">
          <cell r="AB366">
            <v>0</v>
          </cell>
        </row>
        <row r="367">
          <cell r="AB367">
            <v>0</v>
          </cell>
        </row>
        <row r="368">
          <cell r="AB368">
            <v>0</v>
          </cell>
        </row>
        <row r="369">
          <cell r="AB369">
            <v>0</v>
          </cell>
        </row>
        <row r="370">
          <cell r="AB370">
            <v>0</v>
          </cell>
        </row>
        <row r="371">
          <cell r="AB371">
            <v>0</v>
          </cell>
        </row>
        <row r="372">
          <cell r="AB372">
            <v>0</v>
          </cell>
        </row>
        <row r="373">
          <cell r="AB373">
            <v>0</v>
          </cell>
        </row>
        <row r="374">
          <cell r="AB374">
            <v>0</v>
          </cell>
        </row>
        <row r="375">
          <cell r="AB375">
            <v>0</v>
          </cell>
        </row>
        <row r="377">
          <cell r="AB377">
            <v>0</v>
          </cell>
        </row>
        <row r="379">
          <cell r="AB379">
            <v>0</v>
          </cell>
        </row>
        <row r="390">
          <cell r="AB390">
            <v>0</v>
          </cell>
        </row>
        <row r="391">
          <cell r="AB391">
            <v>0</v>
          </cell>
        </row>
        <row r="392">
          <cell r="AB392">
            <v>0</v>
          </cell>
        </row>
        <row r="393">
          <cell r="AB393">
            <v>0</v>
          </cell>
        </row>
        <row r="394">
          <cell r="AB394">
            <v>0</v>
          </cell>
        </row>
        <row r="395">
          <cell r="AB395">
            <v>0</v>
          </cell>
        </row>
        <row r="396">
          <cell r="AB396">
            <v>0</v>
          </cell>
        </row>
        <row r="397">
          <cell r="AB397">
            <v>0</v>
          </cell>
        </row>
        <row r="398">
          <cell r="AB398">
            <v>0</v>
          </cell>
        </row>
        <row r="399">
          <cell r="AB399">
            <v>0</v>
          </cell>
        </row>
        <row r="403">
          <cell r="AB403">
            <v>0</v>
          </cell>
        </row>
        <row r="406">
          <cell r="AB406">
            <v>0</v>
          </cell>
        </row>
        <row r="407">
          <cell r="AB407">
            <v>0</v>
          </cell>
        </row>
        <row r="408">
          <cell r="AB408">
            <v>0</v>
          </cell>
        </row>
        <row r="409">
          <cell r="AB409">
            <v>0</v>
          </cell>
        </row>
        <row r="410">
          <cell r="AB410">
            <v>0</v>
          </cell>
        </row>
        <row r="412">
          <cell r="AB412">
            <v>0</v>
          </cell>
        </row>
        <row r="414">
          <cell r="AB414">
            <v>0</v>
          </cell>
        </row>
        <row r="416">
          <cell r="AB416">
            <v>0</v>
          </cell>
        </row>
        <row r="418">
          <cell r="AB418">
            <v>0</v>
          </cell>
        </row>
        <row r="419">
          <cell r="AB419">
            <v>0</v>
          </cell>
        </row>
        <row r="420">
          <cell r="AB420">
            <v>0</v>
          </cell>
        </row>
        <row r="423">
          <cell r="AB423">
            <v>0</v>
          </cell>
        </row>
        <row r="424">
          <cell r="AB424">
            <v>0</v>
          </cell>
        </row>
        <row r="425">
          <cell r="AB425">
            <v>0</v>
          </cell>
        </row>
        <row r="426">
          <cell r="AB426">
            <v>0</v>
          </cell>
        </row>
        <row r="427">
          <cell r="AB427">
            <v>0</v>
          </cell>
        </row>
        <row r="429">
          <cell r="AB429">
            <v>0</v>
          </cell>
        </row>
        <row r="431">
          <cell r="AB431">
            <v>0</v>
          </cell>
        </row>
        <row r="446">
          <cell r="AB446">
            <v>0</v>
          </cell>
        </row>
        <row r="448">
          <cell r="AB448">
            <v>0</v>
          </cell>
        </row>
        <row r="449">
          <cell r="AB449">
            <v>0</v>
          </cell>
        </row>
        <row r="450">
          <cell r="AB450">
            <v>0</v>
          </cell>
        </row>
        <row r="451">
          <cell r="AB451">
            <v>0</v>
          </cell>
        </row>
        <row r="452">
          <cell r="AB452">
            <v>0</v>
          </cell>
        </row>
        <row r="454">
          <cell r="AB454">
            <v>0</v>
          </cell>
        </row>
        <row r="456">
          <cell r="AB456">
            <v>0</v>
          </cell>
        </row>
        <row r="458">
          <cell r="AB458">
            <v>0</v>
          </cell>
        </row>
        <row r="459">
          <cell r="AB459">
            <v>0</v>
          </cell>
        </row>
        <row r="460">
          <cell r="AB460">
            <v>0</v>
          </cell>
        </row>
        <row r="462">
          <cell r="AB462">
            <v>0</v>
          </cell>
        </row>
        <row r="472">
          <cell r="AB472">
            <v>0</v>
          </cell>
        </row>
        <row r="473">
          <cell r="AB473">
            <v>0</v>
          </cell>
        </row>
        <row r="474">
          <cell r="AB474">
            <v>0</v>
          </cell>
        </row>
        <row r="475">
          <cell r="AB475">
            <v>0</v>
          </cell>
        </row>
        <row r="476">
          <cell r="AB476">
            <v>0</v>
          </cell>
        </row>
        <row r="477">
          <cell r="AB477">
            <v>0</v>
          </cell>
        </row>
        <row r="480">
          <cell r="AB480">
            <v>0</v>
          </cell>
        </row>
        <row r="481">
          <cell r="AB481">
            <v>0</v>
          </cell>
        </row>
        <row r="482">
          <cell r="AB482">
            <v>0</v>
          </cell>
        </row>
        <row r="486">
          <cell r="AB486">
            <v>0</v>
          </cell>
        </row>
        <row r="487">
          <cell r="AB487">
            <v>0</v>
          </cell>
        </row>
        <row r="488">
          <cell r="AB488">
            <v>0</v>
          </cell>
        </row>
        <row r="490">
          <cell r="AB490">
            <v>0</v>
          </cell>
        </row>
        <row r="492">
          <cell r="AB492">
            <v>0</v>
          </cell>
        </row>
        <row r="494">
          <cell r="AB494">
            <v>0</v>
          </cell>
        </row>
        <row r="497">
          <cell r="AB497">
            <v>0</v>
          </cell>
        </row>
        <row r="498">
          <cell r="AB498">
            <v>0</v>
          </cell>
        </row>
        <row r="499">
          <cell r="AB499">
            <v>0</v>
          </cell>
        </row>
        <row r="500">
          <cell r="AB500">
            <v>0</v>
          </cell>
        </row>
        <row r="501">
          <cell r="AB501">
            <v>0</v>
          </cell>
        </row>
        <row r="503">
          <cell r="AB503">
            <v>0</v>
          </cell>
        </row>
        <row r="506">
          <cell r="AB506">
            <v>0</v>
          </cell>
        </row>
        <row r="507">
          <cell r="AB507">
            <v>0</v>
          </cell>
        </row>
        <row r="508">
          <cell r="AB508">
            <v>0</v>
          </cell>
        </row>
        <row r="509">
          <cell r="AB509">
            <v>0</v>
          </cell>
        </row>
        <row r="510">
          <cell r="AB510">
            <v>0</v>
          </cell>
        </row>
        <row r="511">
          <cell r="AB511">
            <v>0</v>
          </cell>
        </row>
        <row r="512">
          <cell r="AB512">
            <v>0</v>
          </cell>
        </row>
        <row r="513">
          <cell r="AB513">
            <v>0</v>
          </cell>
        </row>
        <row r="514">
          <cell r="AB514">
            <v>0</v>
          </cell>
        </row>
        <row r="515">
          <cell r="AB515">
            <v>0</v>
          </cell>
        </row>
        <row r="516">
          <cell r="AB516">
            <v>0</v>
          </cell>
        </row>
        <row r="517">
          <cell r="AB517">
            <v>0</v>
          </cell>
        </row>
        <row r="518">
          <cell r="AB518">
            <v>0</v>
          </cell>
        </row>
        <row r="520">
          <cell r="AB520">
            <v>0</v>
          </cell>
        </row>
        <row r="768">
          <cell r="F768">
            <v>9.5000000000000001E-2</v>
          </cell>
          <cell r="G768">
            <v>9.5000000000000001E-2</v>
          </cell>
          <cell r="H768">
            <v>9.5000000000000001E-2</v>
          </cell>
          <cell r="I768">
            <v>9.5000000000000001E-2</v>
          </cell>
          <cell r="J768">
            <v>9.5000000000000001E-2</v>
          </cell>
          <cell r="K768">
            <v>9.5000000000000001E-2</v>
          </cell>
          <cell r="L768">
            <v>9.5000000000000001E-2</v>
          </cell>
          <cell r="M768">
            <v>9.5000000000000001E-2</v>
          </cell>
          <cell r="N768">
            <v>9.5000000000000001E-2</v>
          </cell>
          <cell r="O768">
            <v>9.5000000000000001E-2</v>
          </cell>
          <cell r="P768">
            <v>9.5000000000000001E-2</v>
          </cell>
          <cell r="Q768">
            <v>9.5000000000000001E-2</v>
          </cell>
          <cell r="R768">
            <v>9.5000000000000001E-2</v>
          </cell>
          <cell r="S768">
            <v>9.5000000000000001E-2</v>
          </cell>
          <cell r="T768">
            <v>9.5000000000000001E-2</v>
          </cell>
          <cell r="U768">
            <v>9.5000000000000001E-2</v>
          </cell>
          <cell r="V768">
            <v>9.5000000000000001E-2</v>
          </cell>
          <cell r="W768">
            <v>9.5000000000000001E-2</v>
          </cell>
          <cell r="X768">
            <v>9.5000000000000001E-2</v>
          </cell>
          <cell r="Y768">
            <v>9.5000000000000001E-2</v>
          </cell>
          <cell r="Z768">
            <v>9.5000000000000001E-2</v>
          </cell>
        </row>
      </sheetData>
      <sheetData sheetId="93" refreshError="1"/>
      <sheetData sheetId="94">
        <row r="12">
          <cell r="D12" t="str">
            <v>None</v>
          </cell>
          <cell r="E12" t="str">
            <v>EXT</v>
          </cell>
          <cell r="F12">
            <v>1</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C12" t="str">
            <v>None</v>
          </cell>
          <cell r="AD12" t="str">
            <v>EXT</v>
          </cell>
          <cell r="AE12">
            <v>0</v>
          </cell>
          <cell r="AF12">
            <v>0</v>
          </cell>
          <cell r="AG12">
            <v>0</v>
          </cell>
          <cell r="AH12">
            <v>0</v>
          </cell>
          <cell r="AI12">
            <v>0</v>
          </cell>
          <cell r="AJ12">
            <v>0</v>
          </cell>
          <cell r="AK12">
            <v>0</v>
          </cell>
          <cell r="AL12">
            <v>0</v>
          </cell>
          <cell r="AN12" t="str">
            <v>None</v>
          </cell>
          <cell r="AO12" t="str">
            <v>EXT</v>
          </cell>
          <cell r="AP12">
            <v>0</v>
          </cell>
          <cell r="AQ12">
            <v>0</v>
          </cell>
          <cell r="AR12">
            <v>0</v>
          </cell>
        </row>
        <row r="13">
          <cell r="D13" t="str">
            <v>None%</v>
          </cell>
          <cell r="E13">
            <v>1</v>
          </cell>
          <cell r="F13">
            <v>1</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C13" t="str">
            <v>None%</v>
          </cell>
          <cell r="AD13">
            <v>0</v>
          </cell>
          <cell r="AE13">
            <v>0</v>
          </cell>
          <cell r="AF13">
            <v>0</v>
          </cell>
          <cell r="AG13">
            <v>0</v>
          </cell>
          <cell r="AH13">
            <v>0</v>
          </cell>
          <cell r="AI13">
            <v>0</v>
          </cell>
          <cell r="AJ13">
            <v>0</v>
          </cell>
          <cell r="AK13">
            <v>0</v>
          </cell>
          <cell r="AL13">
            <v>0</v>
          </cell>
          <cell r="AN13" t="str">
            <v>None%</v>
          </cell>
          <cell r="AO13">
            <v>0</v>
          </cell>
          <cell r="AP13">
            <v>0</v>
          </cell>
          <cell r="AQ13">
            <v>0</v>
          </cell>
          <cell r="AR13">
            <v>0</v>
          </cell>
        </row>
        <row r="15">
          <cell r="D15" t="str">
            <v>Temp</v>
          </cell>
          <cell r="E15" t="str">
            <v>EXT</v>
          </cell>
          <cell r="F15">
            <v>1</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C15" t="str">
            <v>TBD</v>
          </cell>
          <cell r="AD15" t="str">
            <v>EXT</v>
          </cell>
          <cell r="AE15">
            <v>1</v>
          </cell>
          <cell r="AF15">
            <v>1</v>
          </cell>
          <cell r="AG15">
            <v>0</v>
          </cell>
          <cell r="AH15">
            <v>1</v>
          </cell>
          <cell r="AI15">
            <v>0</v>
          </cell>
          <cell r="AJ15">
            <v>0</v>
          </cell>
          <cell r="AK15">
            <v>0</v>
          </cell>
          <cell r="AL15">
            <v>0</v>
          </cell>
          <cell r="AN15" t="str">
            <v>TBD</v>
          </cell>
          <cell r="AO15" t="str">
            <v>EXT</v>
          </cell>
          <cell r="AP15">
            <v>1</v>
          </cell>
          <cell r="AQ15">
            <v>1</v>
          </cell>
          <cell r="AR15">
            <v>1</v>
          </cell>
        </row>
        <row r="16">
          <cell r="D16" t="str">
            <v>Temp%</v>
          </cell>
          <cell r="E16">
            <v>1</v>
          </cell>
          <cell r="F16">
            <v>1</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C16" t="str">
            <v>TBD%</v>
          </cell>
          <cell r="AD16">
            <v>3</v>
          </cell>
          <cell r="AE16">
            <v>0.33333333333333331</v>
          </cell>
          <cell r="AF16">
            <v>0.33333333333333331</v>
          </cell>
          <cell r="AG16">
            <v>0</v>
          </cell>
          <cell r="AH16">
            <v>0.33333333333333331</v>
          </cell>
          <cell r="AI16">
            <v>0</v>
          </cell>
          <cell r="AJ16">
            <v>0</v>
          </cell>
          <cell r="AK16">
            <v>0</v>
          </cell>
          <cell r="AL16">
            <v>0</v>
          </cell>
          <cell r="AN16" t="str">
            <v>TBD%</v>
          </cell>
          <cell r="AO16">
            <v>3</v>
          </cell>
          <cell r="AP16">
            <v>0.33333333333333331</v>
          </cell>
          <cell r="AQ16">
            <v>0.33333333333333331</v>
          </cell>
          <cell r="AR16">
            <v>0.33333333333333331</v>
          </cell>
        </row>
        <row r="18">
          <cell r="D18" t="str">
            <v>Sales_Rev</v>
          </cell>
          <cell r="E18" t="str">
            <v>EXT</v>
          </cell>
          <cell r="F18">
            <v>109247922.01915</v>
          </cell>
          <cell r="G18">
            <v>66969194.382099994</v>
          </cell>
          <cell r="H18">
            <v>7820969.71483</v>
          </cell>
          <cell r="I18">
            <v>7152646.4782490907</v>
          </cell>
          <cell r="J18">
            <v>2087539.2325518094</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C18" t="str">
            <v>SUPP</v>
          </cell>
          <cell r="AD18" t="str">
            <v>EXT</v>
          </cell>
          <cell r="AE18">
            <v>1</v>
          </cell>
          <cell r="AF18">
            <v>0</v>
          </cell>
          <cell r="AG18">
            <v>0</v>
          </cell>
          <cell r="AH18">
            <v>0</v>
          </cell>
          <cell r="AI18">
            <v>0</v>
          </cell>
          <cell r="AJ18">
            <v>0</v>
          </cell>
          <cell r="AK18">
            <v>0</v>
          </cell>
          <cell r="AL18">
            <v>0</v>
          </cell>
          <cell r="AN18" t="str">
            <v>DEMAND</v>
          </cell>
          <cell r="AO18" t="str">
            <v>EXT</v>
          </cell>
          <cell r="AP18">
            <v>1</v>
          </cell>
          <cell r="AQ18" t="str">
            <v xml:space="preserve"> </v>
          </cell>
          <cell r="AR18">
            <v>0</v>
          </cell>
        </row>
        <row r="19">
          <cell r="D19" t="str">
            <v>Sales_Rev%</v>
          </cell>
          <cell r="E19">
            <v>193278271.82688093</v>
          </cell>
          <cell r="F19">
            <v>0.56523643856358152</v>
          </cell>
          <cell r="G19">
            <v>0.3464910657007747</v>
          </cell>
          <cell r="H19">
            <v>4.0464816044274397E-2</v>
          </cell>
          <cell r="I19">
            <v>3.7006986924302106E-2</v>
          </cell>
          <cell r="J19">
            <v>1.0800692767067036E-2</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C19" t="str">
            <v>SUPP%</v>
          </cell>
          <cell r="AD19">
            <v>1</v>
          </cell>
          <cell r="AE19">
            <v>1</v>
          </cell>
          <cell r="AF19">
            <v>0</v>
          </cell>
          <cell r="AG19">
            <v>0</v>
          </cell>
          <cell r="AH19">
            <v>0</v>
          </cell>
          <cell r="AI19">
            <v>0</v>
          </cell>
          <cell r="AJ19">
            <v>0</v>
          </cell>
          <cell r="AK19">
            <v>0</v>
          </cell>
          <cell r="AL19">
            <v>0</v>
          </cell>
          <cell r="AN19" t="str">
            <v>DEMAND%</v>
          </cell>
          <cell r="AO19">
            <v>1</v>
          </cell>
          <cell r="AP19">
            <v>1</v>
          </cell>
          <cell r="AQ19">
            <v>0</v>
          </cell>
          <cell r="AR19">
            <v>0</v>
          </cell>
        </row>
        <row r="21">
          <cell r="D21" t="str">
            <v>Transport_Rev</v>
          </cell>
          <cell r="E21" t="str">
            <v>EXT</v>
          </cell>
          <cell r="F21">
            <v>0</v>
          </cell>
          <cell r="G21">
            <v>0</v>
          </cell>
          <cell r="H21">
            <v>0</v>
          </cell>
          <cell r="I21">
            <v>0</v>
          </cell>
          <cell r="J21">
            <v>0</v>
          </cell>
          <cell r="K21">
            <v>16899197.012163844</v>
          </cell>
          <cell r="L21">
            <v>6104709.8136834996</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C21" t="str">
            <v>STOR</v>
          </cell>
          <cell r="AD21" t="str">
            <v>EXT</v>
          </cell>
          <cell r="AE21">
            <v>0</v>
          </cell>
          <cell r="AF21">
            <v>1</v>
          </cell>
          <cell r="AG21">
            <v>0</v>
          </cell>
          <cell r="AH21">
            <v>0</v>
          </cell>
          <cell r="AI21">
            <v>0</v>
          </cell>
          <cell r="AJ21">
            <v>0</v>
          </cell>
          <cell r="AK21">
            <v>0</v>
          </cell>
          <cell r="AL21">
            <v>0</v>
          </cell>
          <cell r="AN21" t="str">
            <v>CUST</v>
          </cell>
          <cell r="AO21" t="str">
            <v>EXT</v>
          </cell>
          <cell r="AP21">
            <v>0</v>
          </cell>
          <cell r="AQ21">
            <v>0</v>
          </cell>
          <cell r="AR21">
            <v>1</v>
          </cell>
        </row>
        <row r="22">
          <cell r="D22" t="str">
            <v>Transport_Rev%</v>
          </cell>
          <cell r="E22">
            <v>23003906.825847343</v>
          </cell>
          <cell r="F22">
            <v>0</v>
          </cell>
          <cell r="G22">
            <v>0</v>
          </cell>
          <cell r="H22">
            <v>0</v>
          </cell>
          <cell r="I22">
            <v>0</v>
          </cell>
          <cell r="J22">
            <v>0</v>
          </cell>
          <cell r="K22">
            <v>0.73462291166889071</v>
          </cell>
          <cell r="L22">
            <v>0.26537708833110935</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C22" t="str">
            <v>STOR%</v>
          </cell>
          <cell r="AD22">
            <v>1</v>
          </cell>
          <cell r="AE22">
            <v>0</v>
          </cell>
          <cell r="AF22">
            <v>1</v>
          </cell>
          <cell r="AG22">
            <v>0</v>
          </cell>
          <cell r="AH22">
            <v>0</v>
          </cell>
          <cell r="AI22">
            <v>0</v>
          </cell>
          <cell r="AJ22">
            <v>0</v>
          </cell>
          <cell r="AK22">
            <v>0</v>
          </cell>
          <cell r="AL22">
            <v>0</v>
          </cell>
          <cell r="AN22" t="str">
            <v>CUST%</v>
          </cell>
          <cell r="AO22">
            <v>1</v>
          </cell>
          <cell r="AP22">
            <v>0</v>
          </cell>
          <cell r="AQ22">
            <v>0</v>
          </cell>
          <cell r="AR22">
            <v>1</v>
          </cell>
        </row>
        <row r="24">
          <cell r="D24" t="str">
            <v>GASDEMAND-DIRECT</v>
          </cell>
          <cell r="E24" t="str">
            <v>EXT</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C24" t="str">
            <v>TRANS</v>
          </cell>
          <cell r="AD24" t="str">
            <v>EXT</v>
          </cell>
          <cell r="AE24">
            <v>0</v>
          </cell>
          <cell r="AF24">
            <v>0</v>
          </cell>
          <cell r="AG24">
            <v>1</v>
          </cell>
          <cell r="AH24">
            <v>0</v>
          </cell>
          <cell r="AI24">
            <v>0</v>
          </cell>
          <cell r="AJ24">
            <v>0</v>
          </cell>
          <cell r="AK24">
            <v>0</v>
          </cell>
          <cell r="AL24">
            <v>0</v>
          </cell>
          <cell r="AN24" t="str">
            <v>COMMODITY</v>
          </cell>
          <cell r="AO24" t="str">
            <v>EXT</v>
          </cell>
          <cell r="AP24">
            <v>0</v>
          </cell>
          <cell r="AQ24">
            <v>1</v>
          </cell>
          <cell r="AR24">
            <v>0</v>
          </cell>
        </row>
        <row r="25">
          <cell r="D25" t="str">
            <v>GASDEMAND-DIRECT%</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C25" t="str">
            <v>TRANS%</v>
          </cell>
          <cell r="AD25">
            <v>1</v>
          </cell>
          <cell r="AE25">
            <v>0</v>
          </cell>
          <cell r="AF25">
            <v>0</v>
          </cell>
          <cell r="AG25">
            <v>1</v>
          </cell>
          <cell r="AH25">
            <v>0</v>
          </cell>
          <cell r="AI25">
            <v>0</v>
          </cell>
          <cell r="AJ25">
            <v>0</v>
          </cell>
          <cell r="AK25">
            <v>0</v>
          </cell>
          <cell r="AL25">
            <v>0</v>
          </cell>
          <cell r="AN25" t="str">
            <v>COMMODITY%</v>
          </cell>
          <cell r="AO25">
            <v>1</v>
          </cell>
          <cell r="AP25">
            <v>0</v>
          </cell>
          <cell r="AQ25">
            <v>1</v>
          </cell>
          <cell r="AR25">
            <v>0</v>
          </cell>
        </row>
        <row r="27">
          <cell r="D27" t="str">
            <v>GASCOMM-DIRECT</v>
          </cell>
          <cell r="E27" t="str">
            <v>EXT</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C27" t="str">
            <v>DIST</v>
          </cell>
          <cell r="AD27" t="str">
            <v>EXT</v>
          </cell>
          <cell r="AE27">
            <v>0</v>
          </cell>
          <cell r="AF27">
            <v>0</v>
          </cell>
          <cell r="AG27">
            <v>0</v>
          </cell>
          <cell r="AH27">
            <v>1</v>
          </cell>
          <cell r="AI27">
            <v>0</v>
          </cell>
          <cell r="AJ27">
            <v>0</v>
          </cell>
          <cell r="AK27">
            <v>0</v>
          </cell>
          <cell r="AL27">
            <v>0</v>
          </cell>
          <cell r="AN27" t="str">
            <v>ACCT-813</v>
          </cell>
          <cell r="AO27" t="str">
            <v>EXT</v>
          </cell>
          <cell r="AP27">
            <v>0.20823529807438873</v>
          </cell>
          <cell r="AQ27">
            <v>0.79176470192561132</v>
          </cell>
          <cell r="AR27">
            <v>0</v>
          </cell>
        </row>
        <row r="28">
          <cell r="D28" t="str">
            <v>GASCOMM-DIRECT%</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C28" t="str">
            <v>DIST%</v>
          </cell>
          <cell r="AD28">
            <v>1</v>
          </cell>
          <cell r="AE28">
            <v>0</v>
          </cell>
          <cell r="AF28">
            <v>0</v>
          </cell>
          <cell r="AG28">
            <v>0</v>
          </cell>
          <cell r="AH28">
            <v>1</v>
          </cell>
          <cell r="AI28">
            <v>0</v>
          </cell>
          <cell r="AJ28">
            <v>0</v>
          </cell>
          <cell r="AK28">
            <v>0</v>
          </cell>
          <cell r="AL28">
            <v>0</v>
          </cell>
          <cell r="AN28" t="str">
            <v>ACCT-813%</v>
          </cell>
          <cell r="AO28">
            <v>1</v>
          </cell>
          <cell r="AP28">
            <v>0.20823529807438873</v>
          </cell>
          <cell r="AQ28">
            <v>0.79176470192561132</v>
          </cell>
          <cell r="AR28">
            <v>0</v>
          </cell>
        </row>
        <row r="30">
          <cell r="D30" t="str">
            <v>DesignDay(Low Pressure)</v>
          </cell>
          <cell r="E30" t="str">
            <v>EXT</v>
          </cell>
          <cell r="F30">
            <v>1405191.9453319171</v>
          </cell>
          <cell r="G30">
            <v>915538.11314643966</v>
          </cell>
          <cell r="H30">
            <v>113558.11957853253</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C30" t="str">
            <v>BB&amp;H</v>
          </cell>
          <cell r="AD30" t="str">
            <v>EXT</v>
          </cell>
          <cell r="AE30">
            <v>0</v>
          </cell>
          <cell r="AF30">
            <v>0</v>
          </cell>
          <cell r="AG30">
            <v>0</v>
          </cell>
          <cell r="AH30">
            <v>0</v>
          </cell>
          <cell r="AI30">
            <v>1</v>
          </cell>
          <cell r="AJ30">
            <v>0</v>
          </cell>
          <cell r="AK30">
            <v>0</v>
          </cell>
          <cell r="AN30" t="str">
            <v>Peak_Avg</v>
          </cell>
          <cell r="AO30" t="str">
            <v>EXT</v>
          </cell>
          <cell r="AP30">
            <v>0.50081259974842618</v>
          </cell>
          <cell r="AQ30">
            <v>0.49918740025157382</v>
          </cell>
          <cell r="AR30">
            <v>0</v>
          </cell>
        </row>
        <row r="31">
          <cell r="D31" t="str">
            <v>DesignDay(Low Pressure)%</v>
          </cell>
          <cell r="E31">
            <v>2434288.1780568892</v>
          </cell>
          <cell r="F31">
            <v>0.57724962804263258</v>
          </cell>
          <cell r="G31">
            <v>0.37610095690365036</v>
          </cell>
          <cell r="H31">
            <v>4.6649415053717058E-2</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C31" t="str">
            <v>BB&amp;H%</v>
          </cell>
          <cell r="AD31">
            <v>1</v>
          </cell>
          <cell r="AE31">
            <v>0</v>
          </cell>
          <cell r="AF31">
            <v>0</v>
          </cell>
          <cell r="AG31">
            <v>0</v>
          </cell>
          <cell r="AH31">
            <v>0</v>
          </cell>
          <cell r="AI31">
            <v>1</v>
          </cell>
          <cell r="AJ31">
            <v>0</v>
          </cell>
          <cell r="AK31">
            <v>0</v>
          </cell>
          <cell r="AL31">
            <v>0</v>
          </cell>
          <cell r="AN31" t="str">
            <v>Peak_Avg%</v>
          </cell>
          <cell r="AO31">
            <v>1</v>
          </cell>
          <cell r="AP31">
            <v>0.50081259974842618</v>
          </cell>
          <cell r="AQ31">
            <v>0.49918740025157382</v>
          </cell>
          <cell r="AR31">
            <v>0</v>
          </cell>
        </row>
        <row r="33">
          <cell r="D33" t="str">
            <v>DesignDay</v>
          </cell>
          <cell r="E33" t="str">
            <v>EXT</v>
          </cell>
          <cell r="F33">
            <v>1405191.9453319171</v>
          </cell>
          <cell r="G33">
            <v>915538.11314643966</v>
          </cell>
          <cell r="H33">
            <v>113558.11957853253</v>
          </cell>
          <cell r="I33">
            <v>78708.639086339521</v>
          </cell>
          <cell r="J33">
            <v>20797.666666666668</v>
          </cell>
          <cell r="K33">
            <v>1493270</v>
          </cell>
          <cell r="L33">
            <v>1203970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C33" t="str">
            <v>Gathering</v>
          </cell>
          <cell r="AD33" t="str">
            <v>EXT</v>
          </cell>
          <cell r="AE33">
            <v>0</v>
          </cell>
          <cell r="AF33">
            <v>0</v>
          </cell>
          <cell r="AG33">
            <v>0</v>
          </cell>
          <cell r="AH33">
            <v>0</v>
          </cell>
          <cell r="AI33">
            <v>0</v>
          </cell>
          <cell r="AJ33">
            <v>1</v>
          </cell>
          <cell r="AK33">
            <v>0</v>
          </cell>
          <cell r="AL33">
            <v>0</v>
          </cell>
          <cell r="AN33" t="str">
            <v>SUPPLABOR</v>
          </cell>
          <cell r="AO33" t="str">
            <v>INT</v>
          </cell>
          <cell r="AP33">
            <v>0</v>
          </cell>
          <cell r="AQ33">
            <v>0</v>
          </cell>
          <cell r="AR33">
            <v>0</v>
          </cell>
        </row>
        <row r="34">
          <cell r="D34" t="str">
            <v>DesignDay%</v>
          </cell>
          <cell r="E34">
            <v>5231034.4838098958</v>
          </cell>
          <cell r="F34">
            <v>0.26862601454473306</v>
          </cell>
          <cell r="G34">
            <v>0.17502046984779765</v>
          </cell>
          <cell r="H34">
            <v>2.1708539664572285E-2</v>
          </cell>
          <cell r="I34">
            <v>1.5046476816381835E-2</v>
          </cell>
          <cell r="J34">
            <v>3.9758228952677822E-3</v>
          </cell>
          <cell r="K34">
            <v>0.28546361233551137</v>
          </cell>
          <cell r="L34">
            <v>0.23015906389573595</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C34" t="str">
            <v>Gathering%</v>
          </cell>
          <cell r="AD34">
            <v>1</v>
          </cell>
          <cell r="AE34">
            <v>0</v>
          </cell>
          <cell r="AF34">
            <v>0</v>
          </cell>
          <cell r="AG34">
            <v>0</v>
          </cell>
          <cell r="AH34">
            <v>0</v>
          </cell>
          <cell r="AI34">
            <v>0</v>
          </cell>
          <cell r="AJ34">
            <v>1</v>
          </cell>
          <cell r="AK34">
            <v>0</v>
          </cell>
          <cell r="AL34">
            <v>0</v>
          </cell>
          <cell r="AN34" t="str">
            <v>SUPPLABOR%</v>
          </cell>
          <cell r="AO34">
            <v>0</v>
          </cell>
          <cell r="AP34">
            <v>0</v>
          </cell>
          <cell r="AQ34">
            <v>0</v>
          </cell>
          <cell r="AR34">
            <v>0</v>
          </cell>
        </row>
        <row r="36">
          <cell r="D36" t="str">
            <v>DesignDayxSPL</v>
          </cell>
          <cell r="E36" t="str">
            <v>EXT</v>
          </cell>
          <cell r="F36">
            <v>1405191.9453319171</v>
          </cell>
          <cell r="G36">
            <v>915538.11314643966</v>
          </cell>
          <cell r="H36">
            <v>113558.11957853253</v>
          </cell>
          <cell r="I36">
            <v>78708.639086339521</v>
          </cell>
          <cell r="J36">
            <v>20797.666666666668</v>
          </cell>
          <cell r="K36">
            <v>1493270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C36" t="str">
            <v>STOR-TRANS</v>
          </cell>
          <cell r="AD36" t="str">
            <v>EXT</v>
          </cell>
          <cell r="AE36">
            <v>0</v>
          </cell>
          <cell r="AF36">
            <v>0</v>
          </cell>
          <cell r="AG36">
            <v>0</v>
          </cell>
          <cell r="AH36">
            <v>0</v>
          </cell>
          <cell r="AI36">
            <v>0</v>
          </cell>
          <cell r="AJ36">
            <v>0</v>
          </cell>
          <cell r="AK36">
            <v>0</v>
          </cell>
          <cell r="AL36">
            <v>0</v>
          </cell>
          <cell r="AN36" t="str">
            <v>STORLABOR</v>
          </cell>
          <cell r="AO36" t="str">
            <v>INT</v>
          </cell>
          <cell r="AP36">
            <v>0</v>
          </cell>
          <cell r="AQ36">
            <v>0</v>
          </cell>
          <cell r="AR36">
            <v>0</v>
          </cell>
        </row>
        <row r="37">
          <cell r="D37" t="str">
            <v>DesignDayxSPL%</v>
          </cell>
          <cell r="E37">
            <v>4027064.4838098953</v>
          </cell>
          <cell r="F37">
            <v>0.34893703614164717</v>
          </cell>
          <cell r="G37">
            <v>0.22734627588587161</v>
          </cell>
          <cell r="H37">
            <v>2.8198733850692725E-2</v>
          </cell>
          <cell r="I37">
            <v>1.9544916502522811E-2</v>
          </cell>
          <cell r="J37">
            <v>5.1644732162298441E-3</v>
          </cell>
          <cell r="K37">
            <v>0.37080856440303589</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C37" t="str">
            <v>STOR-TRANS%</v>
          </cell>
          <cell r="AD37">
            <v>0</v>
          </cell>
          <cell r="AE37">
            <v>0</v>
          </cell>
          <cell r="AF37">
            <v>0</v>
          </cell>
          <cell r="AG37">
            <v>0</v>
          </cell>
          <cell r="AH37">
            <v>0</v>
          </cell>
          <cell r="AI37">
            <v>0</v>
          </cell>
          <cell r="AJ37">
            <v>0</v>
          </cell>
          <cell r="AK37">
            <v>0</v>
          </cell>
          <cell r="AL37">
            <v>0</v>
          </cell>
          <cell r="AN37" t="str">
            <v>STORLABOR%</v>
          </cell>
          <cell r="AO37">
            <v>0</v>
          </cell>
          <cell r="AP37">
            <v>0</v>
          </cell>
          <cell r="AQ37">
            <v>0</v>
          </cell>
          <cell r="AR37">
            <v>0</v>
          </cell>
        </row>
        <row r="39">
          <cell r="D39" t="str">
            <v>Dday/Peak_ST&gt;6"</v>
          </cell>
          <cell r="E39" t="str">
            <v>EXT</v>
          </cell>
          <cell r="F39">
            <v>1405191.9453319171</v>
          </cell>
          <cell r="G39">
            <v>915538.11314643966</v>
          </cell>
          <cell r="H39">
            <v>113558.11957853253</v>
          </cell>
          <cell r="I39">
            <v>78708.639086339521</v>
          </cell>
          <cell r="J39">
            <v>20797.666666666668</v>
          </cell>
          <cell r="K39">
            <v>1493270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C39" t="str">
            <v>CWIP</v>
          </cell>
          <cell r="AD39" t="str">
            <v>EXT</v>
          </cell>
          <cell r="AE39">
            <v>0</v>
          </cell>
          <cell r="AF39">
            <v>0</v>
          </cell>
          <cell r="AG39">
            <v>0</v>
          </cell>
          <cell r="AH39">
            <v>0</v>
          </cell>
          <cell r="AI39">
            <v>0</v>
          </cell>
          <cell r="AJ39">
            <v>0</v>
          </cell>
          <cell r="AK39">
            <v>0</v>
          </cell>
          <cell r="AL39">
            <v>0</v>
          </cell>
          <cell r="AN39" t="str">
            <v>TRANLABOR</v>
          </cell>
          <cell r="AO39" t="str">
            <v>INT</v>
          </cell>
          <cell r="AP39">
            <v>0</v>
          </cell>
          <cell r="AQ39">
            <v>0</v>
          </cell>
          <cell r="AR39">
            <v>0</v>
          </cell>
        </row>
        <row r="40">
          <cell r="D40" t="str">
            <v>Dday/Peak_ST&gt;6"%</v>
          </cell>
          <cell r="E40">
            <v>4027064.4838098953</v>
          </cell>
          <cell r="F40">
            <v>0.34893703614164717</v>
          </cell>
          <cell r="G40">
            <v>0.22734627588587161</v>
          </cell>
          <cell r="H40">
            <v>2.8198733850692725E-2</v>
          </cell>
          <cell r="I40">
            <v>1.9544916502522811E-2</v>
          </cell>
          <cell r="J40">
            <v>5.1644732162298441E-3</v>
          </cell>
          <cell r="K40">
            <v>0.37080856440303589</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C40" t="str">
            <v>CWIP%</v>
          </cell>
          <cell r="AD40">
            <v>0</v>
          </cell>
          <cell r="AE40">
            <v>0</v>
          </cell>
          <cell r="AF40">
            <v>0</v>
          </cell>
          <cell r="AG40">
            <v>0</v>
          </cell>
          <cell r="AH40">
            <v>0</v>
          </cell>
          <cell r="AI40">
            <v>0</v>
          </cell>
          <cell r="AJ40">
            <v>0</v>
          </cell>
          <cell r="AK40">
            <v>0</v>
          </cell>
          <cell r="AL40">
            <v>0</v>
          </cell>
          <cell r="AN40" t="str">
            <v>TRANLABOR%</v>
          </cell>
          <cell r="AO40">
            <v>0</v>
          </cell>
          <cell r="AP40">
            <v>0</v>
          </cell>
          <cell r="AQ40">
            <v>0</v>
          </cell>
          <cell r="AR40">
            <v>0</v>
          </cell>
        </row>
        <row r="42">
          <cell r="D42" t="str">
            <v>Dday/Peak_ST&gt;4-6"</v>
          </cell>
          <cell r="E42" t="str">
            <v>EXT</v>
          </cell>
          <cell r="F42">
            <v>1405191.9453319171</v>
          </cell>
          <cell r="G42">
            <v>915538.11314643966</v>
          </cell>
          <cell r="H42">
            <v>113558.11957853253</v>
          </cell>
          <cell r="I42">
            <v>78708.639086339521</v>
          </cell>
          <cell r="J42">
            <v>20797.666666666668</v>
          </cell>
          <cell r="K42">
            <v>913025.66666666663</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C42" t="str">
            <v>LABOR-DELXBILLCC</v>
          </cell>
          <cell r="AD42" t="str">
            <v>INT</v>
          </cell>
          <cell r="AE42">
            <v>0</v>
          </cell>
          <cell r="AF42">
            <v>0</v>
          </cell>
          <cell r="AG42">
            <v>0</v>
          </cell>
          <cell r="AH42">
            <v>14722376.229999997</v>
          </cell>
          <cell r="AI42">
            <v>0</v>
          </cell>
          <cell r="AJ42">
            <v>0</v>
          </cell>
          <cell r="AK42">
            <v>0</v>
          </cell>
          <cell r="AL42">
            <v>0</v>
          </cell>
          <cell r="AN42" t="str">
            <v>DISTLABOR</v>
          </cell>
          <cell r="AO42" t="str">
            <v>INT</v>
          </cell>
          <cell r="AP42">
            <v>1707332.6490860668</v>
          </cell>
          <cell r="AQ42">
            <v>2200281.0225217952</v>
          </cell>
          <cell r="AR42">
            <v>10814762.558392137</v>
          </cell>
        </row>
        <row r="43">
          <cell r="D43" t="str">
            <v>Dday/Peak_ST&gt;4-6"%</v>
          </cell>
          <cell r="E43">
            <v>3446820.1504765619</v>
          </cell>
          <cell r="F43">
            <v>0.40767776790954219</v>
          </cell>
          <cell r="G43">
            <v>0.26561818521916675</v>
          </cell>
          <cell r="H43">
            <v>3.2945762941194313E-2</v>
          </cell>
          <cell r="I43">
            <v>2.2835145336915001E-2</v>
          </cell>
          <cell r="J43">
            <v>6.0338705701807951E-3</v>
          </cell>
          <cell r="K43">
            <v>0.264889268023001</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C43" t="str">
            <v>LABOR-DELXBILLCC%</v>
          </cell>
          <cell r="AD43">
            <v>14722376.229999997</v>
          </cell>
          <cell r="AE43">
            <v>0</v>
          </cell>
          <cell r="AF43">
            <v>0</v>
          </cell>
          <cell r="AG43">
            <v>0</v>
          </cell>
          <cell r="AH43">
            <v>1</v>
          </cell>
          <cell r="AI43">
            <v>0</v>
          </cell>
          <cell r="AJ43">
            <v>0</v>
          </cell>
          <cell r="AK43">
            <v>0</v>
          </cell>
          <cell r="AL43">
            <v>0</v>
          </cell>
          <cell r="AN43" t="str">
            <v>DISTLABOR%</v>
          </cell>
          <cell r="AO43">
            <v>14722376.23</v>
          </cell>
          <cell r="AP43">
            <v>0.11596855170750291</v>
          </cell>
          <cell r="AQ43">
            <v>0.14945148718847781</v>
          </cell>
          <cell r="AR43">
            <v>0.73457996110401924</v>
          </cell>
        </row>
        <row r="45">
          <cell r="D45" t="str">
            <v>Dday/Peak_ST&gt;4"x663</v>
          </cell>
          <cell r="E45" t="str">
            <v>EXT</v>
          </cell>
          <cell r="F45">
            <v>1405191.9453319171</v>
          </cell>
          <cell r="G45">
            <v>915538.11314643966</v>
          </cell>
          <cell r="H45">
            <v>113558.11957853253</v>
          </cell>
          <cell r="I45">
            <v>78708.639086339521</v>
          </cell>
          <cell r="J45">
            <v>20797.666666666668</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C45" t="str">
            <v>LABOR-DELIVERY</v>
          </cell>
          <cell r="AD45" t="str">
            <v>INT</v>
          </cell>
          <cell r="AE45">
            <v>0</v>
          </cell>
          <cell r="AF45">
            <v>0</v>
          </cell>
          <cell r="AG45">
            <v>0</v>
          </cell>
          <cell r="AH45">
            <v>14722376.229999997</v>
          </cell>
          <cell r="AI45">
            <v>0</v>
          </cell>
          <cell r="AJ45">
            <v>0</v>
          </cell>
          <cell r="AK45">
            <v>0</v>
          </cell>
          <cell r="AL45">
            <v>0</v>
          </cell>
          <cell r="AN45" t="str">
            <v>BBA_PPLABOR</v>
          </cell>
          <cell r="AO45" t="str">
            <v>INT</v>
          </cell>
          <cell r="AP45">
            <v>0</v>
          </cell>
          <cell r="AQ45">
            <v>0</v>
          </cell>
          <cell r="AR45">
            <v>0</v>
          </cell>
        </row>
        <row r="46">
          <cell r="D46" t="str">
            <v>Dday/Peak_ST&gt;4"x663%</v>
          </cell>
          <cell r="E46">
            <v>2533794.4838098953</v>
          </cell>
          <cell r="F46">
            <v>0.55458007913057927</v>
          </cell>
          <cell r="G46">
            <v>0.36133084944198274</v>
          </cell>
          <cell r="H46">
            <v>4.4817415265575471E-2</v>
          </cell>
          <cell r="I46">
            <v>3.1063545046475381E-2</v>
          </cell>
          <cell r="J46">
            <v>8.208111115387157E-3</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C46" t="str">
            <v>LABOR-DELIVERY%</v>
          </cell>
          <cell r="AD46">
            <v>14722376.229999997</v>
          </cell>
          <cell r="AE46">
            <v>0</v>
          </cell>
          <cell r="AF46">
            <v>0</v>
          </cell>
          <cell r="AG46">
            <v>0</v>
          </cell>
          <cell r="AH46">
            <v>1</v>
          </cell>
          <cell r="AI46">
            <v>0</v>
          </cell>
          <cell r="AJ46">
            <v>0</v>
          </cell>
          <cell r="AK46">
            <v>0</v>
          </cell>
          <cell r="AL46">
            <v>0</v>
          </cell>
          <cell r="AN46" t="str">
            <v>BBA_PPLABOR%</v>
          </cell>
          <cell r="AO46">
            <v>0</v>
          </cell>
          <cell r="AP46">
            <v>0</v>
          </cell>
          <cell r="AQ46">
            <v>0</v>
          </cell>
          <cell r="AR46">
            <v>0</v>
          </cell>
        </row>
        <row r="48">
          <cell r="D48" t="str">
            <v>Dday/Peak_ST2-4"</v>
          </cell>
          <cell r="E48" t="str">
            <v>EXT</v>
          </cell>
          <cell r="F48">
            <v>1405191.9453319171</v>
          </cell>
          <cell r="G48">
            <v>915538.11314643966</v>
          </cell>
          <cell r="H48">
            <v>113558.11957853253</v>
          </cell>
          <cell r="I48">
            <v>78708.639086339521</v>
          </cell>
          <cell r="J48">
            <v>10961</v>
          </cell>
          <cell r="K48">
            <v>813566</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C48" t="str">
            <v>LABOR</v>
          </cell>
          <cell r="AD48" t="str">
            <v>INT</v>
          </cell>
          <cell r="AE48">
            <v>0</v>
          </cell>
          <cell r="AF48">
            <v>0</v>
          </cell>
          <cell r="AG48">
            <v>0</v>
          </cell>
          <cell r="AH48">
            <v>14722376.229999997</v>
          </cell>
          <cell r="AI48">
            <v>0</v>
          </cell>
          <cell r="AJ48">
            <v>0</v>
          </cell>
          <cell r="AK48">
            <v>0</v>
          </cell>
          <cell r="AL48">
            <v>0</v>
          </cell>
          <cell r="AN48" t="str">
            <v>C_COLLPLABOR</v>
          </cell>
          <cell r="AO48" t="str">
            <v>INT</v>
          </cell>
          <cell r="AP48">
            <v>0</v>
          </cell>
          <cell r="AQ48">
            <v>0</v>
          </cell>
          <cell r="AR48">
            <v>0</v>
          </cell>
        </row>
        <row r="49">
          <cell r="D49" t="str">
            <v>Dday/Peak_ST2-4"%</v>
          </cell>
          <cell r="E49">
            <v>3337523.8171432288</v>
          </cell>
          <cell r="F49">
            <v>0.42102828992983743</v>
          </cell>
          <cell r="G49">
            <v>0.27431657819002453</v>
          </cell>
          <cell r="H49">
            <v>3.4024661935066938E-2</v>
          </cell>
          <cell r="I49">
            <v>2.3582944541714342E-2</v>
          </cell>
          <cell r="J49">
            <v>3.2841713199764145E-3</v>
          </cell>
          <cell r="K49">
            <v>0.24376335408338032</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C49" t="str">
            <v>LABOR%</v>
          </cell>
          <cell r="AD49">
            <v>14722376.229999997</v>
          </cell>
          <cell r="AE49">
            <v>0</v>
          </cell>
          <cell r="AF49">
            <v>0</v>
          </cell>
          <cell r="AG49">
            <v>0</v>
          </cell>
          <cell r="AH49">
            <v>1</v>
          </cell>
          <cell r="AI49">
            <v>0</v>
          </cell>
          <cell r="AJ49">
            <v>0</v>
          </cell>
          <cell r="AK49">
            <v>0</v>
          </cell>
          <cell r="AL49">
            <v>0</v>
          </cell>
          <cell r="AN49" t="str">
            <v>C_COLLPLABOR%</v>
          </cell>
          <cell r="AO49">
            <v>0</v>
          </cell>
          <cell r="AP49">
            <v>0</v>
          </cell>
          <cell r="AQ49">
            <v>0</v>
          </cell>
          <cell r="AR49">
            <v>0</v>
          </cell>
        </row>
        <row r="51">
          <cell r="D51" t="str">
            <v>Dday/Peak_ST&lt;=2"</v>
          </cell>
          <cell r="E51" t="str">
            <v>EXT</v>
          </cell>
          <cell r="F51">
            <v>1405191.9453319171</v>
          </cell>
          <cell r="G51">
            <v>915538.11314643966</v>
          </cell>
          <cell r="H51">
            <v>113558.11957853253</v>
          </cell>
          <cell r="I51">
            <v>78708.639086339521</v>
          </cell>
          <cell r="J51">
            <v>4722.666666666667</v>
          </cell>
          <cell r="K51">
            <v>325396</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C51" t="str">
            <v>REVENUE</v>
          </cell>
          <cell r="AD51" t="str">
            <v>INT</v>
          </cell>
          <cell r="AE51">
            <v>112888065.77502857</v>
          </cell>
          <cell r="AF51">
            <v>0</v>
          </cell>
          <cell r="AG51">
            <v>1457236.523448522</v>
          </cell>
          <cell r="AH51">
            <v>102846606.30425115</v>
          </cell>
          <cell r="AI51">
            <v>0</v>
          </cell>
          <cell r="AJ51">
            <v>0</v>
          </cell>
          <cell r="AK51">
            <v>0</v>
          </cell>
          <cell r="AL51">
            <v>0</v>
          </cell>
          <cell r="AN51" t="str">
            <v>MAIN&amp;SERVICE</v>
          </cell>
          <cell r="AO51" t="str">
            <v>INT</v>
          </cell>
          <cell r="AP51">
            <v>47011501.905487344</v>
          </cell>
          <cell r="AQ51">
            <v>46858943.704512671</v>
          </cell>
          <cell r="AR51">
            <v>163002131.05500001</v>
          </cell>
        </row>
        <row r="52">
          <cell r="D52" t="str">
            <v>Dday/Peak_ST&lt;=2"%</v>
          </cell>
          <cell r="E52">
            <v>2843115.4838098953</v>
          </cell>
          <cell r="F52">
            <v>0.49424371023047586</v>
          </cell>
          <cell r="G52">
            <v>0.32201931942615986</v>
          </cell>
          <cell r="H52">
            <v>3.9941437562135119E-2</v>
          </cell>
          <cell r="I52">
            <v>2.7683940217886123E-2</v>
          </cell>
          <cell r="J52">
            <v>1.6610885817195484E-3</v>
          </cell>
          <cell r="K52">
            <v>0.11445050398162356</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C52" t="str">
            <v>REVENUE%</v>
          </cell>
          <cell r="AD52">
            <v>217191908.60272825</v>
          </cell>
          <cell r="AE52">
            <v>0.51976183874103365</v>
          </cell>
          <cell r="AF52">
            <v>0</v>
          </cell>
          <cell r="AG52">
            <v>6.7094420451638175E-3</v>
          </cell>
          <cell r="AH52">
            <v>0.47352871921380246</v>
          </cell>
          <cell r="AI52">
            <v>0</v>
          </cell>
          <cell r="AJ52">
            <v>0</v>
          </cell>
          <cell r="AK52">
            <v>0</v>
          </cell>
          <cell r="AL52">
            <v>0</v>
          </cell>
          <cell r="AN52" t="str">
            <v>MAIN&amp;SERVICE%</v>
          </cell>
          <cell r="AO52">
            <v>256872576.66500002</v>
          </cell>
          <cell r="AP52">
            <v>0.18301487264947447</v>
          </cell>
          <cell r="AQ52">
            <v>0.18242096650754466</v>
          </cell>
          <cell r="AR52">
            <v>0.63456416084298084</v>
          </cell>
        </row>
        <row r="54">
          <cell r="D54" t="str">
            <v>Dday/Peak_PL6"</v>
          </cell>
          <cell r="E54" t="str">
            <v>EXT</v>
          </cell>
          <cell r="F54">
            <v>1405191.9453319171</v>
          </cell>
          <cell r="G54">
            <v>915538.11314643966</v>
          </cell>
          <cell r="H54">
            <v>113558.11957853253</v>
          </cell>
          <cell r="I54">
            <v>78708.639086339521</v>
          </cell>
          <cell r="J54">
            <v>1094</v>
          </cell>
          <cell r="K54">
            <v>220809</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C54" t="str">
            <v>PSTDGP</v>
          </cell>
          <cell r="AD54" t="str">
            <v>INT</v>
          </cell>
          <cell r="AE54">
            <v>0</v>
          </cell>
          <cell r="AF54">
            <v>0</v>
          </cell>
          <cell r="AG54">
            <v>22122688.880637836</v>
          </cell>
          <cell r="AH54">
            <v>676287473.88059092</v>
          </cell>
          <cell r="AI54">
            <v>0</v>
          </cell>
          <cell r="AJ54">
            <v>0</v>
          </cell>
          <cell r="AK54">
            <v>0</v>
          </cell>
          <cell r="AL54">
            <v>0</v>
          </cell>
          <cell r="AN54" t="str">
            <v>SUPPL/P</v>
          </cell>
          <cell r="AO54" t="str">
            <v>INT</v>
          </cell>
          <cell r="AP54">
            <v>0</v>
          </cell>
          <cell r="AQ54">
            <v>0</v>
          </cell>
          <cell r="AR54">
            <v>0</v>
          </cell>
        </row>
        <row r="55">
          <cell r="D55" t="str">
            <v>Dday/Peak_PL6"%</v>
          </cell>
          <cell r="E55">
            <v>2734899.8171432288</v>
          </cell>
          <cell r="F55">
            <v>0.51380015330862339</v>
          </cell>
          <cell r="G55">
            <v>0.33476111534600034</v>
          </cell>
          <cell r="H55">
            <v>4.1521857168849048E-2</v>
          </cell>
          <cell r="I55">
            <v>2.8779350012372862E-2</v>
          </cell>
          <cell r="J55">
            <v>4.0001465250846021E-4</v>
          </cell>
          <cell r="K55">
            <v>8.0737509511645877E-2</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C55" t="str">
            <v>PSTDGP%</v>
          </cell>
          <cell r="AD55">
            <v>698410162.7612288</v>
          </cell>
          <cell r="AE55">
            <v>0</v>
          </cell>
          <cell r="AF55">
            <v>0</v>
          </cell>
          <cell r="AG55">
            <v>3.1675783171845252E-2</v>
          </cell>
          <cell r="AH55">
            <v>0.96832421682815473</v>
          </cell>
          <cell r="AI55">
            <v>0</v>
          </cell>
          <cell r="AJ55">
            <v>0</v>
          </cell>
          <cell r="AK55">
            <v>0</v>
          </cell>
          <cell r="AL55">
            <v>0</v>
          </cell>
          <cell r="AN55" t="str">
            <v>SUPPL/P%</v>
          </cell>
          <cell r="AO55">
            <v>0</v>
          </cell>
          <cell r="AP55">
            <v>0</v>
          </cell>
          <cell r="AQ55">
            <v>0</v>
          </cell>
          <cell r="AR55">
            <v>0</v>
          </cell>
        </row>
        <row r="57">
          <cell r="D57" t="str">
            <v>Dday/Peak_PL4"</v>
          </cell>
          <cell r="E57" t="str">
            <v>EXT</v>
          </cell>
          <cell r="F57">
            <v>1405191.9453319171</v>
          </cell>
          <cell r="G57">
            <v>915538.11314643966</v>
          </cell>
          <cell r="H57">
            <v>113558.11957853253</v>
          </cell>
          <cell r="I57">
            <v>78708.639086339521</v>
          </cell>
          <cell r="J57">
            <v>1094</v>
          </cell>
          <cell r="K57">
            <v>206907.33333333334</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C57" t="str">
            <v>PRETAX</v>
          </cell>
          <cell r="AD57" t="str">
            <v>INT</v>
          </cell>
          <cell r="AE57">
            <v>-103507325.68100233</v>
          </cell>
          <cell r="AF57">
            <v>0</v>
          </cell>
          <cell r="AG57">
            <v>562885.59990626213</v>
          </cell>
          <cell r="AH57">
            <v>19977199.780415997</v>
          </cell>
          <cell r="AI57">
            <v>0</v>
          </cell>
          <cell r="AJ57">
            <v>0</v>
          </cell>
          <cell r="AK57">
            <v>0</v>
          </cell>
          <cell r="AL57">
            <v>0</v>
          </cell>
          <cell r="AN57" t="str">
            <v>STORL/P</v>
          </cell>
          <cell r="AO57" t="str">
            <v>INT</v>
          </cell>
          <cell r="AP57">
            <v>0</v>
          </cell>
          <cell r="AQ57">
            <v>0</v>
          </cell>
          <cell r="AR57">
            <v>0</v>
          </cell>
        </row>
        <row r="58">
          <cell r="D58" t="str">
            <v>Dday/Peak_PL4"%</v>
          </cell>
          <cell r="E58">
            <v>2720998.1504765623</v>
          </cell>
          <cell r="F58">
            <v>0.5164251747417794</v>
          </cell>
          <cell r="G58">
            <v>0.33647142060206475</v>
          </cell>
          <cell r="H58">
            <v>4.1733993666494655E-2</v>
          </cell>
          <cell r="I58">
            <v>2.8926384632990028E-2</v>
          </cell>
          <cell r="J58">
            <v>4.0205834017505458E-4</v>
          </cell>
          <cell r="K58">
            <v>7.604096801649611E-2</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C58" t="str">
            <v>PRETAX%</v>
          </cell>
          <cell r="AD58">
            <v>-82967240.300680071</v>
          </cell>
          <cell r="AE58">
            <v>1.2475686223367599</v>
          </cell>
          <cell r="AF58">
            <v>0</v>
          </cell>
          <cell r="AG58">
            <v>-6.7844319982961789E-3</v>
          </cell>
          <cell r="AH58">
            <v>-0.24078419033846357</v>
          </cell>
          <cell r="AI58">
            <v>0</v>
          </cell>
          <cell r="AJ58">
            <v>0</v>
          </cell>
          <cell r="AK58">
            <v>0</v>
          </cell>
          <cell r="AL58">
            <v>0</v>
          </cell>
          <cell r="AN58" t="str">
            <v>STORL/P%</v>
          </cell>
          <cell r="AO58">
            <v>0</v>
          </cell>
          <cell r="AP58">
            <v>0</v>
          </cell>
          <cell r="AQ58">
            <v>0</v>
          </cell>
          <cell r="AR58">
            <v>0</v>
          </cell>
        </row>
        <row r="60">
          <cell r="D60" t="str">
            <v>Dday/Peak_PL&lt;=2"</v>
          </cell>
          <cell r="E60" t="str">
            <v>EXT</v>
          </cell>
          <cell r="F60">
            <v>1405191.9453319171</v>
          </cell>
          <cell r="G60">
            <v>915538.11314643966</v>
          </cell>
          <cell r="H60">
            <v>113558.11957853253</v>
          </cell>
          <cell r="I60">
            <v>78708.639086339521</v>
          </cell>
          <cell r="J60">
            <v>1094</v>
          </cell>
          <cell r="K60">
            <v>163673</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C60" t="str">
            <v>PSTDP</v>
          </cell>
          <cell r="AD60" t="str">
            <v>INT</v>
          </cell>
          <cell r="AE60">
            <v>0</v>
          </cell>
          <cell r="AF60">
            <v>0</v>
          </cell>
          <cell r="AG60">
            <v>17427054.769166667</v>
          </cell>
          <cell r="AH60">
            <v>607131300.09913862</v>
          </cell>
          <cell r="AI60">
            <v>0</v>
          </cell>
          <cell r="AJ60">
            <v>0</v>
          </cell>
          <cell r="AK60">
            <v>0</v>
          </cell>
          <cell r="AL60">
            <v>0</v>
          </cell>
          <cell r="AN60" t="str">
            <v>TRANL/P</v>
          </cell>
          <cell r="AO60" t="str">
            <v>INT</v>
          </cell>
          <cell r="AP60">
            <v>1105.1823260042438</v>
          </cell>
          <cell r="AQ60">
            <v>1503.1257070505999</v>
          </cell>
          <cell r="AR60">
            <v>0</v>
          </cell>
        </row>
        <row r="61">
          <cell r="D61" t="str">
            <v>Dday/Peak_PL&lt;=2"%</v>
          </cell>
          <cell r="E61">
            <v>2677763.8171432288</v>
          </cell>
          <cell r="F61">
            <v>0.52476321337071674</v>
          </cell>
          <cell r="G61">
            <v>0.34190398245173881</v>
          </cell>
          <cell r="H61">
            <v>4.2407817616895709E-2</v>
          </cell>
          <cell r="I61">
            <v>2.9393420951631874E-2</v>
          </cell>
          <cell r="J61">
            <v>4.0854984782307403E-4</v>
          </cell>
          <cell r="K61">
            <v>6.1123015761193784E-2</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C61" t="str">
            <v>PSTDP%</v>
          </cell>
          <cell r="AD61">
            <v>624558354.86830533</v>
          </cell>
          <cell r="AE61">
            <v>0</v>
          </cell>
          <cell r="AF61">
            <v>0</v>
          </cell>
          <cell r="AG61">
            <v>2.7903004792628777E-2</v>
          </cell>
          <cell r="AH61">
            <v>0.97209699520737114</v>
          </cell>
          <cell r="AI61">
            <v>0</v>
          </cell>
          <cell r="AJ61">
            <v>0</v>
          </cell>
          <cell r="AK61">
            <v>0</v>
          </cell>
          <cell r="AL61">
            <v>0</v>
          </cell>
          <cell r="AN61" t="str">
            <v>TRANL/P%</v>
          </cell>
          <cell r="AO61">
            <v>2608.3080330548437</v>
          </cell>
          <cell r="AP61">
            <v>0.42371618382429205</v>
          </cell>
          <cell r="AQ61">
            <v>0.5762838161757079</v>
          </cell>
          <cell r="AR61">
            <v>0</v>
          </cell>
        </row>
        <row r="63">
          <cell r="D63" t="str">
            <v>Dday-Non-Ind</v>
          </cell>
          <cell r="E63" t="str">
            <v>EXT</v>
          </cell>
          <cell r="F63">
            <v>1405191.9453319171</v>
          </cell>
          <cell r="G63">
            <v>915538.11314643966</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C63" t="str">
            <v>TPISXL</v>
          </cell>
          <cell r="AD63" t="str">
            <v>INT</v>
          </cell>
          <cell r="AE63">
            <v>0</v>
          </cell>
          <cell r="AF63">
            <v>0</v>
          </cell>
          <cell r="AG63">
            <v>19583606.425541334</v>
          </cell>
          <cell r="AH63">
            <v>628325517.14145172</v>
          </cell>
          <cell r="AI63">
            <v>0</v>
          </cell>
          <cell r="AJ63">
            <v>0</v>
          </cell>
          <cell r="AK63">
            <v>0</v>
          </cell>
          <cell r="AL63">
            <v>0</v>
          </cell>
          <cell r="AN63" t="str">
            <v>DISTL/P</v>
          </cell>
          <cell r="AO63" t="str">
            <v>INT</v>
          </cell>
          <cell r="AP63">
            <v>1781644.2634545038</v>
          </cell>
          <cell r="AQ63">
            <v>2288321.614848244</v>
          </cell>
          <cell r="AR63">
            <v>11155873.649807213</v>
          </cell>
        </row>
        <row r="64">
          <cell r="D64" t="str">
            <v>Dday-Non-Ind%</v>
          </cell>
          <cell r="E64">
            <v>2320730.0584783568</v>
          </cell>
          <cell r="F64">
            <v>0.60549564573368153</v>
          </cell>
          <cell r="G64">
            <v>0.39450435426631847</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C64" t="str">
            <v>TPISXL%</v>
          </cell>
          <cell r="AD64">
            <v>647909123.566993</v>
          </cell>
          <cell r="AE64">
            <v>0</v>
          </cell>
          <cell r="AF64">
            <v>0</v>
          </cell>
          <cell r="AG64">
            <v>3.0225853770550298E-2</v>
          </cell>
          <cell r="AH64">
            <v>0.9697741462294498</v>
          </cell>
          <cell r="AI64">
            <v>0</v>
          </cell>
          <cell r="AJ64">
            <v>0</v>
          </cell>
          <cell r="AK64">
            <v>0</v>
          </cell>
          <cell r="AL64">
            <v>0</v>
          </cell>
          <cell r="AN64" t="str">
            <v>DISTL/P%</v>
          </cell>
          <cell r="AO64">
            <v>15225839.52810996</v>
          </cell>
          <cell r="AP64">
            <v>0.11701451733845154</v>
          </cell>
          <cell r="AQ64">
            <v>0.15029198295591795</v>
          </cell>
          <cell r="AR64">
            <v>0.73269349970563058</v>
          </cell>
        </row>
        <row r="66">
          <cell r="D66" t="str">
            <v>Dday-Ind</v>
          </cell>
          <cell r="E66" t="str">
            <v>EXT</v>
          </cell>
          <cell r="F66">
            <v>0</v>
          </cell>
          <cell r="G66">
            <v>0</v>
          </cell>
          <cell r="H66">
            <v>113558.11957853253</v>
          </cell>
          <cell r="I66">
            <v>78708.639086339521</v>
          </cell>
          <cell r="J66">
            <v>20797.666666666668</v>
          </cell>
          <cell r="K66">
            <v>1493270</v>
          </cell>
          <cell r="L66">
            <v>1203970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C66" t="str">
            <v>DISTXOTHER</v>
          </cell>
          <cell r="AD66" t="str">
            <v>INT</v>
          </cell>
          <cell r="AE66">
            <v>0</v>
          </cell>
          <cell r="AF66">
            <v>0</v>
          </cell>
          <cell r="AG66">
            <v>0</v>
          </cell>
          <cell r="AH66">
            <v>14873761.677292876</v>
          </cell>
          <cell r="AI66">
            <v>0</v>
          </cell>
          <cell r="AJ66">
            <v>0</v>
          </cell>
          <cell r="AK66">
            <v>0</v>
          </cell>
          <cell r="AL66">
            <v>0</v>
          </cell>
          <cell r="AN66" t="str">
            <v>Comm_PassL/P</v>
          </cell>
          <cell r="AO66" t="str">
            <v>INT</v>
          </cell>
          <cell r="AP66">
            <v>0</v>
          </cell>
          <cell r="AQ66">
            <v>0</v>
          </cell>
          <cell r="AR66">
            <v>0</v>
          </cell>
        </row>
        <row r="67">
          <cell r="D67" t="str">
            <v>Dday-Ind%</v>
          </cell>
          <cell r="E67">
            <v>2910304.4253315385</v>
          </cell>
          <cell r="F67">
            <v>0</v>
          </cell>
          <cell r="G67">
            <v>0</v>
          </cell>
          <cell r="H67">
            <v>3.9019326840901231E-2</v>
          </cell>
          <cell r="I67">
            <v>2.7044813044729204E-2</v>
          </cell>
          <cell r="J67">
            <v>7.1462168993875691E-3</v>
          </cell>
          <cell r="K67">
            <v>0.51309752581291845</v>
          </cell>
          <cell r="L67">
            <v>0.41369211740206357</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C67" t="str">
            <v>DISTXOTHER%</v>
          </cell>
          <cell r="AD67">
            <v>14873761.677292876</v>
          </cell>
          <cell r="AE67">
            <v>0</v>
          </cell>
          <cell r="AF67">
            <v>0</v>
          </cell>
          <cell r="AG67">
            <v>0</v>
          </cell>
          <cell r="AH67">
            <v>1</v>
          </cell>
          <cell r="AI67">
            <v>0</v>
          </cell>
          <cell r="AJ67">
            <v>0</v>
          </cell>
          <cell r="AK67">
            <v>0</v>
          </cell>
          <cell r="AL67">
            <v>0</v>
          </cell>
          <cell r="AN67" t="str">
            <v>Comm_PassL/P%</v>
          </cell>
          <cell r="AO67">
            <v>0</v>
          </cell>
          <cell r="AP67">
            <v>0</v>
          </cell>
          <cell r="AQ67">
            <v>0</v>
          </cell>
          <cell r="AR67">
            <v>0</v>
          </cell>
        </row>
        <row r="69">
          <cell r="D69" t="str">
            <v xml:space="preserve">Sale for Resale-Gas </v>
          </cell>
          <cell r="E69" t="str">
            <v>EXT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C69" t="str">
            <v>MAIN-SERVICE</v>
          </cell>
          <cell r="AD69" t="str">
            <v>INT</v>
          </cell>
          <cell r="AE69">
            <v>0</v>
          </cell>
          <cell r="AF69">
            <v>0</v>
          </cell>
          <cell r="AG69">
            <v>0</v>
          </cell>
          <cell r="AH69">
            <v>256872576.66500002</v>
          </cell>
          <cell r="AI69">
            <v>0</v>
          </cell>
          <cell r="AJ69">
            <v>0</v>
          </cell>
          <cell r="AK69">
            <v>0</v>
          </cell>
          <cell r="AL69">
            <v>0</v>
          </cell>
          <cell r="AN69" t="str">
            <v>TRANPXL</v>
          </cell>
          <cell r="AO69" t="str">
            <v>INT</v>
          </cell>
          <cell r="AP69">
            <v>8111788.4083362818</v>
          </cell>
          <cell r="AQ69">
            <v>8085464.6408303855</v>
          </cell>
          <cell r="AR69">
            <v>0</v>
          </cell>
        </row>
        <row r="70">
          <cell r="D70" t="str">
            <v>Sale for Resale-Gas %</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C70" t="str">
            <v>MAIN-SERVICE%</v>
          </cell>
          <cell r="AD70">
            <v>256872576.66500002</v>
          </cell>
          <cell r="AE70">
            <v>0</v>
          </cell>
          <cell r="AF70">
            <v>0</v>
          </cell>
          <cell r="AG70">
            <v>0</v>
          </cell>
          <cell r="AH70">
            <v>1</v>
          </cell>
          <cell r="AI70">
            <v>0</v>
          </cell>
          <cell r="AJ70">
            <v>0</v>
          </cell>
          <cell r="AK70">
            <v>0</v>
          </cell>
          <cell r="AL70">
            <v>0</v>
          </cell>
          <cell r="AN70" t="str">
            <v>TRANPXL%</v>
          </cell>
          <cell r="AO70">
            <v>16197253.049166668</v>
          </cell>
          <cell r="AP70">
            <v>0.50081259974842618</v>
          </cell>
          <cell r="AQ70">
            <v>0.49918740025157377</v>
          </cell>
          <cell r="AR70">
            <v>0</v>
          </cell>
        </row>
        <row r="72">
          <cell r="D72" t="str">
            <v>GSR</v>
          </cell>
          <cell r="E72" t="str">
            <v>EXT</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C72" t="str">
            <v>DIST-MAINS</v>
          </cell>
          <cell r="AD72" t="str">
            <v>INT</v>
          </cell>
          <cell r="AE72">
            <v>0</v>
          </cell>
          <cell r="AF72">
            <v>0</v>
          </cell>
          <cell r="AG72">
            <v>0</v>
          </cell>
          <cell r="AH72">
            <v>93870445.610000014</v>
          </cell>
          <cell r="AI72">
            <v>0</v>
          </cell>
          <cell r="AJ72">
            <v>0</v>
          </cell>
          <cell r="AK72">
            <v>0</v>
          </cell>
          <cell r="AL72">
            <v>0</v>
          </cell>
          <cell r="AN72" t="str">
            <v>DISTPXL</v>
          </cell>
          <cell r="AO72" t="str">
            <v>INT</v>
          </cell>
          <cell r="AP72">
            <v>180799981.82213497</v>
          </cell>
          <cell r="AQ72">
            <v>180213263.27784142</v>
          </cell>
          <cell r="AR72">
            <v>243875888.94068959</v>
          </cell>
        </row>
        <row r="73">
          <cell r="D73" t="str">
            <v>GSR%</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C73" t="str">
            <v>DIST-MAINS%</v>
          </cell>
          <cell r="AD73">
            <v>93870445.610000014</v>
          </cell>
          <cell r="AE73">
            <v>0</v>
          </cell>
          <cell r="AF73">
            <v>0</v>
          </cell>
          <cell r="AG73">
            <v>0</v>
          </cell>
          <cell r="AH73">
            <v>1</v>
          </cell>
          <cell r="AI73">
            <v>0</v>
          </cell>
          <cell r="AJ73">
            <v>0</v>
          </cell>
          <cell r="AK73">
            <v>0</v>
          </cell>
          <cell r="AL73">
            <v>0</v>
          </cell>
          <cell r="AN73" t="str">
            <v>DISTPXL%</v>
          </cell>
          <cell r="AO73">
            <v>604889134.04066598</v>
          </cell>
          <cell r="AP73">
            <v>0.29889771802377924</v>
          </cell>
          <cell r="AQ73">
            <v>0.29792775756114986</v>
          </cell>
          <cell r="AR73">
            <v>0.4031745244150709</v>
          </cell>
        </row>
        <row r="75">
          <cell r="D75" t="str">
            <v>Sales</v>
          </cell>
          <cell r="E75" t="str">
            <v>EXT</v>
          </cell>
          <cell r="F75">
            <v>106836539</v>
          </cell>
          <cell r="G75">
            <v>75664947</v>
          </cell>
          <cell r="H75">
            <v>10823803</v>
          </cell>
          <cell r="I75">
            <v>10315598</v>
          </cell>
          <cell r="J75">
            <v>3848935</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C75" t="str">
            <v>PSTD/LP</v>
          </cell>
          <cell r="AD75" t="str">
            <v>INT</v>
          </cell>
          <cell r="AE75">
            <v>0</v>
          </cell>
          <cell r="AF75">
            <v>0</v>
          </cell>
          <cell r="AG75">
            <v>2608.3080330548437</v>
          </cell>
          <cell r="AH75">
            <v>15225839.528109962</v>
          </cell>
          <cell r="AI75">
            <v>0</v>
          </cell>
          <cell r="AJ75">
            <v>0</v>
          </cell>
          <cell r="AK75">
            <v>0</v>
          </cell>
          <cell r="AL75">
            <v>0</v>
          </cell>
          <cell r="AN75" t="str">
            <v>DISTPT_xMSM</v>
          </cell>
          <cell r="AO75" t="str">
            <v>INT</v>
          </cell>
          <cell r="AP75">
            <v>6761098.0606799852</v>
          </cell>
          <cell r="AQ75">
            <v>6739157.4522130527</v>
          </cell>
          <cell r="AR75">
            <v>416670.78850446432</v>
          </cell>
        </row>
        <row r="76">
          <cell r="D76" t="str">
            <v>Sales%</v>
          </cell>
          <cell r="E76">
            <v>207489822</v>
          </cell>
          <cell r="F76">
            <v>0.5149001429091784</v>
          </cell>
          <cell r="G76">
            <v>0.36466823418451821</v>
          </cell>
          <cell r="H76">
            <v>5.2165464771568408E-2</v>
          </cell>
          <cell r="I76">
            <v>4.9716163908994054E-2</v>
          </cell>
          <cell r="J76">
            <v>1.8549994225740867E-2</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C76" t="str">
            <v>PSTD/LP%</v>
          </cell>
          <cell r="AD76">
            <v>15228447.836143017</v>
          </cell>
          <cell r="AE76">
            <v>0</v>
          </cell>
          <cell r="AF76">
            <v>0</v>
          </cell>
          <cell r="AG76">
            <v>1.7127865302623399E-4</v>
          </cell>
          <cell r="AH76">
            <v>0.99982872134697376</v>
          </cell>
          <cell r="AI76">
            <v>0</v>
          </cell>
          <cell r="AJ76">
            <v>0</v>
          </cell>
          <cell r="AK76">
            <v>0</v>
          </cell>
          <cell r="AL76">
            <v>0</v>
          </cell>
          <cell r="AN76" t="str">
            <v>DISTPT_xMSM%</v>
          </cell>
          <cell r="AO76">
            <v>13916926.301397502</v>
          </cell>
          <cell r="AP76">
            <v>0.48581834194243401</v>
          </cell>
          <cell r="AQ76">
            <v>0.48424180068671657</v>
          </cell>
          <cell r="AR76">
            <v>2.9939857370849431E-2</v>
          </cell>
        </row>
        <row r="78">
          <cell r="D78" t="str">
            <v>Sales_Firm</v>
          </cell>
          <cell r="E78" t="str">
            <v>EXT</v>
          </cell>
          <cell r="F78">
            <v>106836539</v>
          </cell>
          <cell r="G78">
            <v>75664947</v>
          </cell>
          <cell r="H78">
            <v>10823803</v>
          </cell>
          <cell r="I78">
            <v>10315598</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C78" t="str">
            <v>SUPPPT</v>
          </cell>
          <cell r="AD78" t="str">
            <v>INT</v>
          </cell>
          <cell r="AE78">
            <v>0</v>
          </cell>
          <cell r="AF78">
            <v>0</v>
          </cell>
          <cell r="AG78">
            <v>0</v>
          </cell>
          <cell r="AH78">
            <v>0</v>
          </cell>
          <cell r="AI78">
            <v>0</v>
          </cell>
          <cell r="AJ78">
            <v>0</v>
          </cell>
          <cell r="AK78">
            <v>0</v>
          </cell>
          <cell r="AL78">
            <v>0</v>
          </cell>
          <cell r="AN78" t="str">
            <v>SUPP_PreTax</v>
          </cell>
          <cell r="AO78" t="str">
            <v>INT</v>
          </cell>
          <cell r="AP78">
            <v>-222363.17510824633</v>
          </cell>
          <cell r="AQ78">
            <v>-103284962.50589409</v>
          </cell>
          <cell r="AR78">
            <v>0</v>
          </cell>
        </row>
        <row r="79">
          <cell r="D79" t="str">
            <v>Sales_Firm%</v>
          </cell>
          <cell r="E79">
            <v>203640887</v>
          </cell>
          <cell r="F79">
            <v>0.52463206467962398</v>
          </cell>
          <cell r="G79">
            <v>0.37156068270317444</v>
          </cell>
          <cell r="H79">
            <v>5.3151423368137267E-2</v>
          </cell>
          <cell r="I79">
            <v>5.065582924906431E-2</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C79" t="str">
            <v>SUPPPT%</v>
          </cell>
          <cell r="AD79">
            <v>0</v>
          </cell>
          <cell r="AE79">
            <v>0</v>
          </cell>
          <cell r="AF79">
            <v>0</v>
          </cell>
          <cell r="AG79">
            <v>0</v>
          </cell>
          <cell r="AH79">
            <v>0</v>
          </cell>
          <cell r="AI79">
            <v>0</v>
          </cell>
          <cell r="AJ79">
            <v>0</v>
          </cell>
          <cell r="AK79">
            <v>0</v>
          </cell>
          <cell r="AL79">
            <v>0</v>
          </cell>
          <cell r="AN79" t="str">
            <v>SUPP_PreTax%</v>
          </cell>
          <cell r="AO79">
            <v>-103507325.68100233</v>
          </cell>
          <cell r="AP79">
            <v>2.1482844199215818E-3</v>
          </cell>
          <cell r="AQ79">
            <v>0.99785171558007846</v>
          </cell>
          <cell r="AR79">
            <v>0</v>
          </cell>
        </row>
        <row r="81">
          <cell r="D81" t="str">
            <v>Winter5</v>
          </cell>
          <cell r="E81" t="str">
            <v>EXT</v>
          </cell>
          <cell r="F81">
            <v>52728281.857142858</v>
          </cell>
          <cell r="G81">
            <v>32040716.142857142</v>
          </cell>
          <cell r="H81">
            <v>2794243</v>
          </cell>
          <cell r="I81">
            <v>3237761.4285714282</v>
          </cell>
          <cell r="J81">
            <v>826791.57142857136</v>
          </cell>
          <cell r="K81">
            <v>16212179</v>
          </cell>
          <cell r="L81">
            <v>1917844.5714285672</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C81" t="str">
            <v>STORPT</v>
          </cell>
          <cell r="AD81" t="str">
            <v>INT</v>
          </cell>
          <cell r="AE81">
            <v>0</v>
          </cell>
          <cell r="AF81">
            <v>0</v>
          </cell>
          <cell r="AG81">
            <v>0</v>
          </cell>
          <cell r="AH81">
            <v>0</v>
          </cell>
          <cell r="AI81">
            <v>0</v>
          </cell>
          <cell r="AJ81">
            <v>0</v>
          </cell>
          <cell r="AK81">
            <v>0</v>
          </cell>
          <cell r="AL81">
            <v>0</v>
          </cell>
          <cell r="AN81" t="str">
            <v>STOR_PreTax</v>
          </cell>
          <cell r="AO81" t="str">
            <v>INT</v>
          </cell>
          <cell r="AP81">
            <v>0</v>
          </cell>
          <cell r="AQ81">
            <v>0</v>
          </cell>
          <cell r="AR81">
            <v>0</v>
          </cell>
        </row>
        <row r="82">
          <cell r="D82" t="str">
            <v>Winter5%</v>
          </cell>
          <cell r="E82">
            <v>109757817.57142857</v>
          </cell>
          <cell r="F82">
            <v>0.48040570616146011</v>
          </cell>
          <cell r="G82">
            <v>0.29192195008802518</v>
          </cell>
          <cell r="H82">
            <v>2.5458259482806798E-2</v>
          </cell>
          <cell r="I82">
            <v>2.9499141839845228E-2</v>
          </cell>
          <cell r="J82">
            <v>7.5328718238271194E-3</v>
          </cell>
          <cell r="K82">
            <v>0.14770864944949713</v>
          </cell>
          <cell r="L82">
            <v>1.7473421154538406E-2</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C82" t="str">
            <v>STORPT%</v>
          </cell>
          <cell r="AD82">
            <v>0</v>
          </cell>
          <cell r="AE82">
            <v>0</v>
          </cell>
          <cell r="AF82">
            <v>0</v>
          </cell>
          <cell r="AG82">
            <v>0</v>
          </cell>
          <cell r="AH82">
            <v>0</v>
          </cell>
          <cell r="AI82">
            <v>0</v>
          </cell>
          <cell r="AJ82">
            <v>0</v>
          </cell>
          <cell r="AK82">
            <v>0</v>
          </cell>
          <cell r="AL82">
            <v>0</v>
          </cell>
          <cell r="AN82" t="str">
            <v>STOR_PreTax%</v>
          </cell>
          <cell r="AO82">
            <v>0</v>
          </cell>
          <cell r="AP82">
            <v>0</v>
          </cell>
          <cell r="AQ82">
            <v>0</v>
          </cell>
          <cell r="AR82">
            <v>0</v>
          </cell>
        </row>
        <row r="84">
          <cell r="D84" t="str">
            <v>WinterSales</v>
          </cell>
          <cell r="E84" t="str">
            <v>EXT</v>
          </cell>
          <cell r="F84">
            <v>75273389</v>
          </cell>
          <cell r="G84">
            <v>50217479</v>
          </cell>
          <cell r="H84">
            <v>6139893</v>
          </cell>
          <cell r="I84">
            <v>6186860</v>
          </cell>
          <cell r="J84">
            <v>2086018</v>
          </cell>
          <cell r="K84">
            <v>192208744</v>
          </cell>
          <cell r="L84">
            <v>120535821</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C84" t="str">
            <v>TRANSPT</v>
          </cell>
          <cell r="AD84" t="str">
            <v>INT</v>
          </cell>
          <cell r="AE84">
            <v>0</v>
          </cell>
          <cell r="AF84">
            <v>0</v>
          </cell>
          <cell r="AG84">
            <v>17427054.769166667</v>
          </cell>
          <cell r="AH84">
            <v>0</v>
          </cell>
          <cell r="AI84">
            <v>0</v>
          </cell>
          <cell r="AJ84">
            <v>0</v>
          </cell>
          <cell r="AK84">
            <v>0</v>
          </cell>
          <cell r="AL84">
            <v>0</v>
          </cell>
          <cell r="AN84" t="str">
            <v>TRAN_PreTax</v>
          </cell>
          <cell r="AO84" t="str">
            <v>INT</v>
          </cell>
          <cell r="AP84">
            <v>270064.17653198412</v>
          </cell>
          <cell r="AQ84">
            <v>292821.42337427812</v>
          </cell>
          <cell r="AR84">
            <v>0</v>
          </cell>
        </row>
        <row r="85">
          <cell r="D85" t="str">
            <v>WinterSales%</v>
          </cell>
          <cell r="E85">
            <v>452648204</v>
          </cell>
          <cell r="F85">
            <v>0.16629556537465021</v>
          </cell>
          <cell r="G85">
            <v>0.11094151828336869</v>
          </cell>
          <cell r="H85">
            <v>1.3564381667136804E-2</v>
          </cell>
          <cell r="I85">
            <v>1.3668142158363672E-2</v>
          </cell>
          <cell r="J85">
            <v>4.6084751503841156E-3</v>
          </cell>
          <cell r="K85">
            <v>0.42463162849531599</v>
          </cell>
          <cell r="L85">
            <v>0.26629028887078054</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C85" t="str">
            <v>TRANSPT%</v>
          </cell>
          <cell r="AD85">
            <v>17427054.769166667</v>
          </cell>
          <cell r="AE85">
            <v>0</v>
          </cell>
          <cell r="AF85">
            <v>0</v>
          </cell>
          <cell r="AG85">
            <v>1</v>
          </cell>
          <cell r="AH85">
            <v>0</v>
          </cell>
          <cell r="AI85">
            <v>0</v>
          </cell>
          <cell r="AJ85">
            <v>0</v>
          </cell>
          <cell r="AK85">
            <v>0</v>
          </cell>
          <cell r="AL85">
            <v>0</v>
          </cell>
          <cell r="AN85" t="str">
            <v>TRAN_PreTax%</v>
          </cell>
          <cell r="AO85">
            <v>562885.59990626224</v>
          </cell>
          <cell r="AP85">
            <v>0.47978519361120292</v>
          </cell>
          <cell r="AQ85">
            <v>0.52021480638879714</v>
          </cell>
          <cell r="AR85">
            <v>0</v>
          </cell>
        </row>
        <row r="87">
          <cell r="D87" t="str">
            <v>Meter_Install</v>
          </cell>
          <cell r="E87" t="str">
            <v>EXT</v>
          </cell>
          <cell r="F87">
            <v>38178556.40973182</v>
          </cell>
          <cell r="G87">
            <v>3320718.2594306623</v>
          </cell>
          <cell r="H87">
            <v>8496.5027807839706</v>
          </cell>
          <cell r="I87">
            <v>1145.9206820964841</v>
          </cell>
          <cell r="J87">
            <v>22.829509198910046</v>
          </cell>
          <cell r="K87">
            <v>7784.177450333651</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C87" t="str">
            <v>DISTPT</v>
          </cell>
          <cell r="AD87" t="str">
            <v>INT</v>
          </cell>
          <cell r="AE87">
            <v>0</v>
          </cell>
          <cell r="AF87">
            <v>0</v>
          </cell>
          <cell r="AG87">
            <v>0</v>
          </cell>
          <cell r="AH87">
            <v>607131300.09913862</v>
          </cell>
          <cell r="AI87">
            <v>0</v>
          </cell>
          <cell r="AJ87">
            <v>0</v>
          </cell>
          <cell r="AK87">
            <v>0</v>
          </cell>
          <cell r="AL87">
            <v>0</v>
          </cell>
          <cell r="AN87" t="str">
            <v>DIST_PreTax</v>
          </cell>
          <cell r="AO87" t="str">
            <v>INT</v>
          </cell>
          <cell r="AP87">
            <v>7047447.7756485082</v>
          </cell>
          <cell r="AQ87">
            <v>7371421.1961781718</v>
          </cell>
          <cell r="AR87">
            <v>5558330.8085893244</v>
          </cell>
        </row>
        <row r="88">
          <cell r="D88" t="str">
            <v>Meter_Install%</v>
          </cell>
          <cell r="E88">
            <v>41516724.0995849</v>
          </cell>
          <cell r="F88">
            <v>0.91959462693044092</v>
          </cell>
          <cell r="G88">
            <v>7.9985074242981138E-2</v>
          </cell>
          <cell r="H88">
            <v>2.046525337693713E-4</v>
          </cell>
          <cell r="I88">
            <v>2.7601423449205654E-5</v>
          </cell>
          <cell r="J88">
            <v>5.4988705621738357E-7</v>
          </cell>
          <cell r="K88">
            <v>1.8749498230308302E-4</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C88" t="str">
            <v>DISTPT%</v>
          </cell>
          <cell r="AD88">
            <v>607131300.09913862</v>
          </cell>
          <cell r="AE88">
            <v>0</v>
          </cell>
          <cell r="AF88">
            <v>0</v>
          </cell>
          <cell r="AG88">
            <v>0</v>
          </cell>
          <cell r="AH88">
            <v>1</v>
          </cell>
          <cell r="AI88">
            <v>0</v>
          </cell>
          <cell r="AJ88">
            <v>0</v>
          </cell>
          <cell r="AK88">
            <v>0</v>
          </cell>
          <cell r="AL88">
            <v>0</v>
          </cell>
          <cell r="AN88" t="str">
            <v>DIST_PreTax%</v>
          </cell>
          <cell r="AO88">
            <v>19977199.780416004</v>
          </cell>
          <cell r="AP88">
            <v>0.35277455564904764</v>
          </cell>
          <cell r="AQ88">
            <v>0.36899171441457496</v>
          </cell>
          <cell r="AR88">
            <v>0.27823372993637741</v>
          </cell>
        </row>
        <row r="90">
          <cell r="D90" t="str">
            <v>Meter_Invest</v>
          </cell>
          <cell r="E90" t="str">
            <v>EXT</v>
          </cell>
          <cell r="F90">
            <v>30606861.529999994</v>
          </cell>
          <cell r="G90">
            <v>10164612.055714285</v>
          </cell>
          <cell r="H90">
            <v>706226.74357142858</v>
          </cell>
          <cell r="I90">
            <v>380988.96499999997</v>
          </cell>
          <cell r="J90">
            <v>53807.228571428568</v>
          </cell>
          <cell r="K90">
            <v>996881.83</v>
          </cell>
          <cell r="L90">
            <v>18675.085714285713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C90" t="str">
            <v>GENPT</v>
          </cell>
          <cell r="AD90" t="str">
            <v>INT</v>
          </cell>
          <cell r="AE90">
            <v>0</v>
          </cell>
          <cell r="AF90">
            <v>0</v>
          </cell>
          <cell r="AG90">
            <v>1309280.7350965044</v>
          </cell>
          <cell r="AH90">
            <v>45719790.680666618</v>
          </cell>
          <cell r="AI90">
            <v>0</v>
          </cell>
          <cell r="AJ90">
            <v>0</v>
          </cell>
          <cell r="AK90">
            <v>0</v>
          </cell>
          <cell r="AL90">
            <v>0</v>
          </cell>
          <cell r="AN90" t="str">
            <v>BBA_PP_PreTax</v>
          </cell>
          <cell r="AO90" t="str">
            <v>INT</v>
          </cell>
          <cell r="AP90">
            <v>0</v>
          </cell>
          <cell r="AQ90">
            <v>0</v>
          </cell>
          <cell r="AR90">
            <v>0</v>
          </cell>
        </row>
        <row r="91">
          <cell r="D91" t="str">
            <v>Meter_Invest%</v>
          </cell>
          <cell r="E91">
            <v>42928053.438571431</v>
          </cell>
          <cell r="F91">
            <v>0.71298041905853848</v>
          </cell>
          <cell r="G91">
            <v>0.23678250564655803</v>
          </cell>
          <cell r="H91">
            <v>1.6451403849047447E-2</v>
          </cell>
          <cell r="I91">
            <v>8.8750580210952747E-3</v>
          </cell>
          <cell r="J91">
            <v>1.2534281026374714E-3</v>
          </cell>
          <cell r="K91">
            <v>2.3222153117809164E-2</v>
          </cell>
          <cell r="L91">
            <v>4.3503220431387877E-4</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C91" t="str">
            <v>GENPT%</v>
          </cell>
          <cell r="AD91">
            <v>47029071.415763125</v>
          </cell>
          <cell r="AE91">
            <v>0</v>
          </cell>
          <cell r="AF91">
            <v>0</v>
          </cell>
          <cell r="AG91">
            <v>2.7839816855445329E-2</v>
          </cell>
          <cell r="AH91">
            <v>0.97216018314455466</v>
          </cell>
          <cell r="AI91">
            <v>0</v>
          </cell>
          <cell r="AJ91">
            <v>0</v>
          </cell>
          <cell r="AK91">
            <v>0</v>
          </cell>
          <cell r="AL91">
            <v>0</v>
          </cell>
          <cell r="AN91" t="str">
            <v>BBA_PP_PreTax%</v>
          </cell>
          <cell r="AO91">
            <v>0</v>
          </cell>
          <cell r="AP91">
            <v>0</v>
          </cell>
          <cell r="AQ91">
            <v>0</v>
          </cell>
          <cell r="AR91">
            <v>0</v>
          </cell>
        </row>
        <row r="93">
          <cell r="D93" t="str">
            <v>Service_Invest</v>
          </cell>
          <cell r="E93" t="str">
            <v>EXT</v>
          </cell>
          <cell r="F93">
            <v>340088745.63415772</v>
          </cell>
          <cell r="G93">
            <v>75406712.623927683</v>
          </cell>
          <cell r="H93">
            <v>2158521.354789272</v>
          </cell>
          <cell r="I93">
            <v>17044.366853466167</v>
          </cell>
          <cell r="J93">
            <v>753576.85000000009</v>
          </cell>
          <cell r="K93">
            <v>7540764.2400000002</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C93" t="str">
            <v>TRANSPXL</v>
          </cell>
          <cell r="AD93" t="str">
            <v>INT</v>
          </cell>
          <cell r="AE93">
            <v>0</v>
          </cell>
          <cell r="AF93">
            <v>0</v>
          </cell>
          <cell r="AG93">
            <v>16197253.049166666</v>
          </cell>
          <cell r="AH93">
            <v>0</v>
          </cell>
          <cell r="AI93">
            <v>0</v>
          </cell>
          <cell r="AJ93">
            <v>0</v>
          </cell>
          <cell r="AK93">
            <v>0</v>
          </cell>
          <cell r="AL93">
            <v>0</v>
          </cell>
          <cell r="AN93" t="str">
            <v>Comm_Pass_PreTax</v>
          </cell>
          <cell r="AO93" t="str">
            <v>INT</v>
          </cell>
          <cell r="AP93">
            <v>0</v>
          </cell>
          <cell r="AQ93">
            <v>0</v>
          </cell>
          <cell r="AR93">
            <v>0</v>
          </cell>
        </row>
        <row r="94">
          <cell r="D94" t="str">
            <v>Service_Invest%</v>
          </cell>
          <cell r="E94">
            <v>425965365.06972814</v>
          </cell>
          <cell r="F94">
            <v>0.79839530046882357</v>
          </cell>
          <cell r="G94">
            <v>0.17702545513667298</v>
          </cell>
          <cell r="H94">
            <v>5.0673635271636088E-3</v>
          </cell>
          <cell r="I94">
            <v>4.0013504033775374E-5</v>
          </cell>
          <cell r="J94">
            <v>1.7691035745984742E-3</v>
          </cell>
          <cell r="K94">
            <v>1.7702763788707609E-2</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C94" t="str">
            <v>TRANSPXL%</v>
          </cell>
          <cell r="AD94">
            <v>16197253.049166666</v>
          </cell>
          <cell r="AE94">
            <v>0</v>
          </cell>
          <cell r="AF94">
            <v>0</v>
          </cell>
          <cell r="AG94">
            <v>1</v>
          </cell>
          <cell r="AH94">
            <v>0</v>
          </cell>
          <cell r="AI94">
            <v>0</v>
          </cell>
          <cell r="AJ94">
            <v>0</v>
          </cell>
          <cell r="AK94">
            <v>0</v>
          </cell>
          <cell r="AL94">
            <v>0</v>
          </cell>
          <cell r="AN94" t="str">
            <v>Comm_Pass_PreTax%</v>
          </cell>
          <cell r="AO94">
            <v>0</v>
          </cell>
          <cell r="AP94">
            <v>0</v>
          </cell>
          <cell r="AQ94">
            <v>0</v>
          </cell>
          <cell r="AR94">
            <v>0</v>
          </cell>
        </row>
        <row r="96">
          <cell r="D96" t="str">
            <v>Cust_Avg(Low Pressure)</v>
          </cell>
          <cell r="E96" t="str">
            <v>EXT</v>
          </cell>
          <cell r="F96">
            <v>181657.33333333334</v>
          </cell>
          <cell r="G96">
            <v>25460.583333333332</v>
          </cell>
          <cell r="H96">
            <v>450.66666666666669</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C96" t="str">
            <v>DISTPXL</v>
          </cell>
          <cell r="AD96" t="str">
            <v>INT</v>
          </cell>
          <cell r="AE96">
            <v>0</v>
          </cell>
          <cell r="AF96">
            <v>0</v>
          </cell>
          <cell r="AG96">
            <v>0</v>
          </cell>
          <cell r="AH96">
            <v>604889134.04066598</v>
          </cell>
          <cell r="AI96">
            <v>0</v>
          </cell>
          <cell r="AJ96">
            <v>0</v>
          </cell>
          <cell r="AK96">
            <v>0</v>
          </cell>
          <cell r="AL96">
            <v>0</v>
          </cell>
          <cell r="AN96" t="str">
            <v>SUPPTOTPT</v>
          </cell>
          <cell r="AO96" t="str">
            <v>INT</v>
          </cell>
          <cell r="AP96">
            <v>0</v>
          </cell>
          <cell r="AQ96">
            <v>0</v>
          </cell>
          <cell r="AR96">
            <v>0</v>
          </cell>
        </row>
        <row r="97">
          <cell r="D97" t="str">
            <v>Cust_Avg(Low Pressure)%</v>
          </cell>
          <cell r="E97">
            <v>207568.58333333334</v>
          </cell>
          <cell r="F97">
            <v>0.87516776583482647</v>
          </cell>
          <cell r="G97">
            <v>0.12266106423459233</v>
          </cell>
          <cell r="H97">
            <v>2.1711699305811774E-3</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C97" t="str">
            <v>DISTPXL%</v>
          </cell>
          <cell r="AD97">
            <v>604889134.04066598</v>
          </cell>
          <cell r="AE97">
            <v>0</v>
          </cell>
          <cell r="AF97">
            <v>0</v>
          </cell>
          <cell r="AG97">
            <v>0</v>
          </cell>
          <cell r="AH97">
            <v>1</v>
          </cell>
          <cell r="AI97">
            <v>0</v>
          </cell>
          <cell r="AJ97">
            <v>0</v>
          </cell>
          <cell r="AK97">
            <v>0</v>
          </cell>
          <cell r="AL97">
            <v>0</v>
          </cell>
          <cell r="AN97" t="str">
            <v>SUPPTOTPT%</v>
          </cell>
          <cell r="AO97">
            <v>0</v>
          </cell>
          <cell r="AP97">
            <v>0</v>
          </cell>
          <cell r="AQ97">
            <v>0</v>
          </cell>
          <cell r="AR97">
            <v>0</v>
          </cell>
        </row>
        <row r="99">
          <cell r="D99" t="str">
            <v>Res</v>
          </cell>
          <cell r="E99" t="str">
            <v>EXT</v>
          </cell>
          <cell r="F99">
            <v>1</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C99" t="str">
            <v>GENPTXL</v>
          </cell>
          <cell r="AD99" t="str">
            <v>INT</v>
          </cell>
          <cell r="AE99">
            <v>0</v>
          </cell>
          <cell r="AF99">
            <v>0</v>
          </cell>
          <cell r="AG99">
            <v>1232858.1840247675</v>
          </cell>
          <cell r="AH99">
            <v>43057348.667161942</v>
          </cell>
          <cell r="AI99">
            <v>0</v>
          </cell>
          <cell r="AJ99">
            <v>0</v>
          </cell>
          <cell r="AK99">
            <v>0</v>
          </cell>
          <cell r="AL99">
            <v>0</v>
          </cell>
          <cell r="AN99" t="str">
            <v>STORTOTPT</v>
          </cell>
          <cell r="AO99" t="str">
            <v>INT</v>
          </cell>
          <cell r="AP99">
            <v>0</v>
          </cell>
          <cell r="AQ99">
            <v>0</v>
          </cell>
          <cell r="AR99">
            <v>0</v>
          </cell>
        </row>
        <row r="100">
          <cell r="D100" t="str">
            <v>Res%</v>
          </cell>
          <cell r="E100">
            <v>1</v>
          </cell>
          <cell r="F100">
            <v>1</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C100" t="str">
            <v>GENPTXL%</v>
          </cell>
          <cell r="AD100">
            <v>44290206.851186708</v>
          </cell>
          <cell r="AE100">
            <v>0</v>
          </cell>
          <cell r="AF100">
            <v>0</v>
          </cell>
          <cell r="AG100">
            <v>2.7835909373083778E-2</v>
          </cell>
          <cell r="AH100">
            <v>0.97216409062691622</v>
          </cell>
          <cell r="AI100">
            <v>0</v>
          </cell>
          <cell r="AJ100">
            <v>0</v>
          </cell>
          <cell r="AK100">
            <v>0</v>
          </cell>
          <cell r="AL100">
            <v>0</v>
          </cell>
          <cell r="AN100" t="str">
            <v>STORTOTPT%</v>
          </cell>
          <cell r="AO100">
            <v>0</v>
          </cell>
          <cell r="AP100">
            <v>0</v>
          </cell>
          <cell r="AQ100">
            <v>0</v>
          </cell>
          <cell r="AR100">
            <v>0</v>
          </cell>
        </row>
        <row r="102">
          <cell r="D102" t="str">
            <v>Cust_Avg</v>
          </cell>
          <cell r="E102" t="str">
            <v>EXT</v>
          </cell>
          <cell r="F102">
            <v>181657.33333333334</v>
          </cell>
          <cell r="G102">
            <v>25460.583333333332</v>
          </cell>
          <cell r="H102">
            <v>450.66666666666669</v>
          </cell>
          <cell r="I102">
            <v>86.833333333333329</v>
          </cell>
          <cell r="J102">
            <v>10</v>
          </cell>
          <cell r="K102">
            <v>191.83333333333334</v>
          </cell>
          <cell r="L102">
            <v>11.166666666666666</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C102" t="str">
            <v>GASDEMCOST</v>
          </cell>
          <cell r="AD102" t="str">
            <v>INT</v>
          </cell>
          <cell r="AE102">
            <v>0</v>
          </cell>
          <cell r="AF102">
            <v>0</v>
          </cell>
          <cell r="AG102">
            <v>0</v>
          </cell>
          <cell r="AH102">
            <v>0</v>
          </cell>
          <cell r="AI102">
            <v>0</v>
          </cell>
          <cell r="AJ102">
            <v>0</v>
          </cell>
          <cell r="AK102">
            <v>0</v>
          </cell>
          <cell r="AL102">
            <v>0</v>
          </cell>
          <cell r="AN102" t="str">
            <v>SUPPPT</v>
          </cell>
          <cell r="AO102" t="str">
            <v>INT</v>
          </cell>
          <cell r="AP102">
            <v>0</v>
          </cell>
          <cell r="AQ102">
            <v>0</v>
          </cell>
          <cell r="AR102">
            <v>0</v>
          </cell>
        </row>
        <row r="103">
          <cell r="D103" t="str">
            <v>Cust_Avg%</v>
          </cell>
          <cell r="E103">
            <v>207868.41666666669</v>
          </cell>
          <cell r="F103">
            <v>0.8739054073069461</v>
          </cell>
          <cell r="G103">
            <v>0.12248413559699825</v>
          </cell>
          <cell r="H103">
            <v>2.1680381940338057E-3</v>
          </cell>
          <cell r="I103">
            <v>4.1773221120251948E-4</v>
          </cell>
          <cell r="J103">
            <v>4.8107356376489773E-5</v>
          </cell>
          <cell r="K103">
            <v>9.2285945315566213E-4</v>
          </cell>
          <cell r="L103">
            <v>5.3719881287080244E-5</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C103" t="str">
            <v>GASDEMCOST%</v>
          </cell>
          <cell r="AD103">
            <v>0</v>
          </cell>
          <cell r="AE103">
            <v>0</v>
          </cell>
          <cell r="AF103">
            <v>0</v>
          </cell>
          <cell r="AG103">
            <v>0</v>
          </cell>
          <cell r="AH103">
            <v>0</v>
          </cell>
          <cell r="AI103">
            <v>0</v>
          </cell>
          <cell r="AJ103">
            <v>0</v>
          </cell>
          <cell r="AK103">
            <v>0</v>
          </cell>
          <cell r="AL103">
            <v>0</v>
          </cell>
          <cell r="AN103" t="str">
            <v>SUPPPT%</v>
          </cell>
          <cell r="AO103">
            <v>0</v>
          </cell>
          <cell r="AP103">
            <v>0</v>
          </cell>
          <cell r="AQ103">
            <v>0</v>
          </cell>
          <cell r="AR103">
            <v>0</v>
          </cell>
        </row>
        <row r="105">
          <cell r="D105" t="str">
            <v>SmCust_Avg</v>
          </cell>
          <cell r="E105" t="str">
            <v>EXT</v>
          </cell>
          <cell r="F105">
            <v>181657.33333333334</v>
          </cell>
          <cell r="G105">
            <v>25460.583333333332</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C105" t="str">
            <v>RATEBASE</v>
          </cell>
          <cell r="AD105" t="str">
            <v>INT</v>
          </cell>
          <cell r="AE105">
            <v>0</v>
          </cell>
          <cell r="AF105">
            <v>0</v>
          </cell>
          <cell r="AG105">
            <v>7761705.0692334939</v>
          </cell>
          <cell r="AH105">
            <v>293099020.62840801</v>
          </cell>
          <cell r="AI105">
            <v>0</v>
          </cell>
          <cell r="AJ105">
            <v>0</v>
          </cell>
          <cell r="AK105">
            <v>0</v>
          </cell>
          <cell r="AL105">
            <v>0</v>
          </cell>
          <cell r="AN105" t="str">
            <v>STORPT</v>
          </cell>
          <cell r="AO105" t="str">
            <v>INT</v>
          </cell>
          <cell r="AP105">
            <v>0</v>
          </cell>
          <cell r="AQ105">
            <v>0</v>
          </cell>
          <cell r="AR105">
            <v>0</v>
          </cell>
        </row>
        <row r="106">
          <cell r="D106" t="str">
            <v>SmCust_Avg%</v>
          </cell>
          <cell r="E106">
            <v>207117.91666666669</v>
          </cell>
          <cell r="F106">
            <v>0.87707203827127456</v>
          </cell>
          <cell r="G106">
            <v>0.12292796172872536</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C106" t="str">
            <v>RATEBASE%</v>
          </cell>
          <cell r="AD106">
            <v>300860725.69764149</v>
          </cell>
          <cell r="AE106">
            <v>0</v>
          </cell>
          <cell r="AF106">
            <v>0</v>
          </cell>
          <cell r="AG106">
            <v>2.5798332604681142E-2</v>
          </cell>
          <cell r="AH106">
            <v>0.97420166739531888</v>
          </cell>
          <cell r="AI106">
            <v>0</v>
          </cell>
          <cell r="AJ106">
            <v>0</v>
          </cell>
          <cell r="AK106">
            <v>0</v>
          </cell>
          <cell r="AL106">
            <v>0</v>
          </cell>
          <cell r="AN106" t="str">
            <v>STORPT%</v>
          </cell>
          <cell r="AO106">
            <v>0</v>
          </cell>
          <cell r="AP106">
            <v>0</v>
          </cell>
          <cell r="AQ106">
            <v>0</v>
          </cell>
          <cell r="AR106">
            <v>0</v>
          </cell>
        </row>
        <row r="108">
          <cell r="D108" t="str">
            <v>LGCust</v>
          </cell>
          <cell r="E108" t="str">
            <v>EXT</v>
          </cell>
          <cell r="F108">
            <v>0</v>
          </cell>
          <cell r="G108">
            <v>0</v>
          </cell>
          <cell r="H108">
            <v>0</v>
          </cell>
          <cell r="I108">
            <v>0</v>
          </cell>
          <cell r="J108">
            <v>10</v>
          </cell>
          <cell r="K108">
            <v>191.83333333333334</v>
          </cell>
          <cell r="L108">
            <v>11.166666666666666</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C108" t="str">
            <v>DIR-CustDeposits</v>
          </cell>
          <cell r="AD108" t="str">
            <v>INT</v>
          </cell>
          <cell r="AE108">
            <v>0</v>
          </cell>
          <cell r="AF108">
            <v>0</v>
          </cell>
          <cell r="AG108">
            <v>0</v>
          </cell>
          <cell r="AH108">
            <v>-160300</v>
          </cell>
          <cell r="AI108">
            <v>0</v>
          </cell>
          <cell r="AJ108">
            <v>0</v>
          </cell>
          <cell r="AK108">
            <v>0</v>
          </cell>
          <cell r="AL108">
            <v>0</v>
          </cell>
          <cell r="AN108" t="str">
            <v>TRANPT</v>
          </cell>
          <cell r="AO108" t="str">
            <v>INT</v>
          </cell>
          <cell r="AP108">
            <v>8818977.871806208</v>
          </cell>
          <cell r="AQ108">
            <v>11994430.273735123</v>
          </cell>
          <cell r="AR108">
            <v>0</v>
          </cell>
        </row>
        <row r="109">
          <cell r="D109" t="str">
            <v>LGCust%</v>
          </cell>
          <cell r="E109">
            <v>213</v>
          </cell>
          <cell r="F109">
            <v>0</v>
          </cell>
          <cell r="G109">
            <v>0</v>
          </cell>
          <cell r="H109">
            <v>0</v>
          </cell>
          <cell r="I109">
            <v>0</v>
          </cell>
          <cell r="J109">
            <v>4.6948356807511735E-2</v>
          </cell>
          <cell r="K109">
            <v>0.90062597809076683</v>
          </cell>
          <cell r="L109">
            <v>5.242566510172144E-2</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C109" t="str">
            <v>DIR-CustDeposits%</v>
          </cell>
          <cell r="AD109">
            <v>-160300</v>
          </cell>
          <cell r="AE109">
            <v>0</v>
          </cell>
          <cell r="AF109">
            <v>0</v>
          </cell>
          <cell r="AG109">
            <v>0</v>
          </cell>
          <cell r="AH109">
            <v>1</v>
          </cell>
          <cell r="AI109">
            <v>0</v>
          </cell>
          <cell r="AJ109">
            <v>0</v>
          </cell>
          <cell r="AK109">
            <v>0</v>
          </cell>
          <cell r="AL109">
            <v>0</v>
          </cell>
          <cell r="AN109" t="str">
            <v>TRANPT%</v>
          </cell>
          <cell r="AO109">
            <v>20813408.145541333</v>
          </cell>
          <cell r="AP109">
            <v>0.42371618382429199</v>
          </cell>
          <cell r="AQ109">
            <v>0.5762838161757079</v>
          </cell>
          <cell r="AR109">
            <v>0</v>
          </cell>
        </row>
        <row r="111">
          <cell r="D111" t="str">
            <v>CUST-903</v>
          </cell>
          <cell r="E111" t="str">
            <v>EXT</v>
          </cell>
          <cell r="F111">
            <v>0.79925742494121499</v>
          </cell>
          <cell r="G111">
            <v>0.13742109775921327</v>
          </cell>
          <cell r="H111">
            <v>6.7342591202841978E-3</v>
          </cell>
          <cell r="I111">
            <v>4.8435770102307476E-3</v>
          </cell>
          <cell r="J111">
            <v>1.3831903567500924E-3</v>
          </cell>
          <cell r="K111">
            <v>3.2355921798070661E-2</v>
          </cell>
          <cell r="L111">
            <v>1.8004529014235895E-2</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C111" t="str">
            <v>TRAN-DIST-Mains</v>
          </cell>
          <cell r="AD111" t="str">
            <v>INT</v>
          </cell>
          <cell r="AE111">
            <v>0</v>
          </cell>
          <cell r="AF111">
            <v>0</v>
          </cell>
          <cell r="AG111">
            <v>15382525.939166667</v>
          </cell>
          <cell r="AH111">
            <v>106791717.33000001</v>
          </cell>
          <cell r="AI111">
            <v>0</v>
          </cell>
          <cell r="AJ111">
            <v>0</v>
          </cell>
          <cell r="AK111">
            <v>0</v>
          </cell>
          <cell r="AL111">
            <v>0</v>
          </cell>
          <cell r="AN111" t="str">
            <v>DISTPT</v>
          </cell>
          <cell r="AO111" t="str">
            <v>INT</v>
          </cell>
          <cell r="AP111">
            <v>183638893.10766301</v>
          </cell>
          <cell r="AQ111">
            <v>183042961.94133246</v>
          </cell>
          <cell r="AR111">
            <v>263885828.15092891</v>
          </cell>
        </row>
        <row r="112">
          <cell r="D112" t="str">
            <v>CUST-903%</v>
          </cell>
          <cell r="E112">
            <v>0.99999999999999989</v>
          </cell>
          <cell r="F112">
            <v>0.7992574249412151</v>
          </cell>
          <cell r="G112">
            <v>0.1374210977592133</v>
          </cell>
          <cell r="H112">
            <v>6.7342591202841987E-3</v>
          </cell>
          <cell r="I112">
            <v>4.8435770102307485E-3</v>
          </cell>
          <cell r="J112">
            <v>1.3831903567500926E-3</v>
          </cell>
          <cell r="K112">
            <v>3.2355921798070668E-2</v>
          </cell>
          <cell r="L112">
            <v>1.8004529014235899E-2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C112" t="str">
            <v>TRAN-DIST-Mains%</v>
          </cell>
          <cell r="AD112">
            <v>122174243.26916668</v>
          </cell>
          <cell r="AE112">
            <v>0</v>
          </cell>
          <cell r="AF112">
            <v>0</v>
          </cell>
          <cell r="AG112">
            <v>0.12590645562892372</v>
          </cell>
          <cell r="AH112">
            <v>0.87409354437107634</v>
          </cell>
          <cell r="AI112">
            <v>0</v>
          </cell>
          <cell r="AJ112">
            <v>0</v>
          </cell>
          <cell r="AK112">
            <v>0</v>
          </cell>
          <cell r="AL112">
            <v>0</v>
          </cell>
          <cell r="AN112" t="str">
            <v>DISTPT%</v>
          </cell>
          <cell r="AO112">
            <v>630567683.19992447</v>
          </cell>
          <cell r="AP112">
            <v>0.29122788560262997</v>
          </cell>
          <cell r="AQ112">
            <v>0.29028281470507555</v>
          </cell>
          <cell r="AR112">
            <v>0.41848929969229437</v>
          </cell>
        </row>
        <row r="114">
          <cell r="D114" t="str">
            <v>Cust_Deposit</v>
          </cell>
          <cell r="E114" t="str">
            <v>EXT</v>
          </cell>
          <cell r="F114">
            <v>5228577.8600000003</v>
          </cell>
          <cell r="G114">
            <v>2873106.6500000004</v>
          </cell>
          <cell r="H114">
            <v>1029</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C114" t="str">
            <v>Income_before_tax</v>
          </cell>
          <cell r="AD114" t="str">
            <v>INT</v>
          </cell>
          <cell r="AE114">
            <v>4640231.8123411313</v>
          </cell>
          <cell r="AF114">
            <v>0</v>
          </cell>
          <cell r="AG114">
            <v>562885.59990626224</v>
          </cell>
          <cell r="AH114">
            <v>19977199.780415997</v>
          </cell>
          <cell r="AI114">
            <v>0</v>
          </cell>
          <cell r="AJ114">
            <v>0</v>
          </cell>
          <cell r="AK114">
            <v>0</v>
          </cell>
          <cell r="AL114">
            <v>0</v>
          </cell>
          <cell r="AN114" t="str">
            <v>BBA_PPPT</v>
          </cell>
          <cell r="AO114" t="str">
            <v>INT</v>
          </cell>
          <cell r="AP114">
            <v>0</v>
          </cell>
          <cell r="AQ114">
            <v>0</v>
          </cell>
          <cell r="AR114">
            <v>0</v>
          </cell>
        </row>
        <row r="115">
          <cell r="D115" t="str">
            <v>Cust_Deposit%</v>
          </cell>
          <cell r="E115">
            <v>8102713.5100000007</v>
          </cell>
          <cell r="F115">
            <v>0.64528726747491783</v>
          </cell>
          <cell r="G115">
            <v>0.35458573803135734</v>
          </cell>
          <cell r="H115">
            <v>1.2699449372485588E-4</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C115" t="str">
            <v>Income_before_tax%</v>
          </cell>
          <cell r="AD115">
            <v>25180317.19266339</v>
          </cell>
          <cell r="AE115">
            <v>0.18428011755519597</v>
          </cell>
          <cell r="AF115">
            <v>0</v>
          </cell>
          <cell r="AG115">
            <v>2.2354190203381006E-2</v>
          </cell>
          <cell r="AH115">
            <v>0.79336569224142306</v>
          </cell>
          <cell r="AI115">
            <v>0</v>
          </cell>
          <cell r="AJ115">
            <v>0</v>
          </cell>
          <cell r="AK115">
            <v>0</v>
          </cell>
          <cell r="AL115">
            <v>0</v>
          </cell>
          <cell r="AN115" t="str">
            <v>BBA_PPPT%</v>
          </cell>
          <cell r="AO115">
            <v>0</v>
          </cell>
          <cell r="AP115">
            <v>0</v>
          </cell>
          <cell r="AQ115">
            <v>0</v>
          </cell>
          <cell r="AR115">
            <v>0</v>
          </cell>
        </row>
        <row r="117">
          <cell r="D117" t="str">
            <v>BILLDMND-Supply</v>
          </cell>
          <cell r="E117" t="str">
            <v>EXT</v>
          </cell>
          <cell r="F117">
            <v>106836539</v>
          </cell>
          <cell r="G117">
            <v>75664947</v>
          </cell>
          <cell r="H117">
            <v>10823803</v>
          </cell>
          <cell r="I117">
            <v>10315598</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C117" t="str">
            <v>REVREQ</v>
          </cell>
          <cell r="AD117" t="str">
            <v>INT</v>
          </cell>
          <cell r="AE117">
            <v>664085.44609677792</v>
          </cell>
          <cell r="AF117">
            <v>0</v>
          </cell>
          <cell r="AG117">
            <v>1615035.1681651459</v>
          </cell>
          <cell r="AH117">
            <v>113185365.81041802</v>
          </cell>
          <cell r="AI117">
            <v>0</v>
          </cell>
          <cell r="AJ117">
            <v>0</v>
          </cell>
          <cell r="AK117">
            <v>0</v>
          </cell>
          <cell r="AL117">
            <v>0</v>
          </cell>
          <cell r="AN117" t="str">
            <v>SUPPO&amp;M</v>
          </cell>
          <cell r="AO117" t="str">
            <v>INT</v>
          </cell>
          <cell r="AP117">
            <v>0</v>
          </cell>
          <cell r="AQ117">
            <v>0</v>
          </cell>
          <cell r="AR117">
            <v>0</v>
          </cell>
        </row>
        <row r="118">
          <cell r="D118" t="str">
            <v>BILLDMND-Supply%</v>
          </cell>
          <cell r="E118">
            <v>203640887</v>
          </cell>
          <cell r="F118">
            <v>0.52463206467962398</v>
          </cell>
          <cell r="G118">
            <v>0.37156068270317444</v>
          </cell>
          <cell r="H118">
            <v>5.3151423368137267E-2</v>
          </cell>
          <cell r="I118">
            <v>5.065582924906431E-2</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C118" t="str">
            <v>REVREQ%</v>
          </cell>
          <cell r="AD118">
            <v>115464486.42467995</v>
          </cell>
          <cell r="AE118">
            <v>5.7514259722618311E-3</v>
          </cell>
          <cell r="AF118">
            <v>0</v>
          </cell>
          <cell r="AG118">
            <v>1.3987289236493242E-2</v>
          </cell>
          <cell r="AH118">
            <v>0.98026128479124497</v>
          </cell>
          <cell r="AI118">
            <v>0</v>
          </cell>
          <cell r="AJ118">
            <v>0</v>
          </cell>
          <cell r="AK118">
            <v>0</v>
          </cell>
          <cell r="AL118">
            <v>0</v>
          </cell>
          <cell r="AN118" t="str">
            <v>SUPPO&amp;M%</v>
          </cell>
          <cell r="AO118">
            <v>0</v>
          </cell>
          <cell r="AP118">
            <v>0</v>
          </cell>
          <cell r="AQ118">
            <v>0</v>
          </cell>
          <cell r="AR118">
            <v>0</v>
          </cell>
        </row>
        <row r="120">
          <cell r="D120" t="str">
            <v>BILLDMND-DELIVER</v>
          </cell>
          <cell r="E120" t="str">
            <v>EXT</v>
          </cell>
          <cell r="F120">
            <v>16862303.343983006</v>
          </cell>
          <cell r="G120">
            <v>10986457.357757276</v>
          </cell>
          <cell r="H120">
            <v>1362697.4349423903</v>
          </cell>
          <cell r="I120">
            <v>944503.66903607431</v>
          </cell>
          <cell r="J120">
            <v>249572</v>
          </cell>
          <cell r="K120">
            <v>17919240</v>
          </cell>
          <cell r="L120">
            <v>14447640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C120" t="str">
            <v>RevDeficiency</v>
          </cell>
          <cell r="AD120" t="str">
            <v>INT</v>
          </cell>
          <cell r="AE120">
            <v>0</v>
          </cell>
          <cell r="AF120">
            <v>0</v>
          </cell>
          <cell r="AG120">
            <v>157798.64471662394</v>
          </cell>
          <cell r="AH120">
            <v>10338759.506166875</v>
          </cell>
          <cell r="AI120">
            <v>0</v>
          </cell>
          <cell r="AJ120">
            <v>0</v>
          </cell>
          <cell r="AK120">
            <v>0</v>
          </cell>
          <cell r="AL120">
            <v>0</v>
          </cell>
          <cell r="AN120" t="str">
            <v>STORO&amp;M</v>
          </cell>
          <cell r="AO120" t="str">
            <v>INT</v>
          </cell>
          <cell r="AP120">
            <v>0</v>
          </cell>
          <cell r="AQ120">
            <v>0</v>
          </cell>
          <cell r="AR120">
            <v>0</v>
          </cell>
        </row>
        <row r="121">
          <cell r="D121" t="str">
            <v>BILLDMND-DELIVER%</v>
          </cell>
          <cell r="E121">
            <v>62772413.80571875</v>
          </cell>
          <cell r="F121">
            <v>0.26862601454473306</v>
          </cell>
          <cell r="G121">
            <v>0.17502046984779765</v>
          </cell>
          <cell r="H121">
            <v>2.1708539664572285E-2</v>
          </cell>
          <cell r="I121">
            <v>1.5046476816381837E-2</v>
          </cell>
          <cell r="J121">
            <v>3.9758228952677822E-3</v>
          </cell>
          <cell r="K121">
            <v>0.28546361233551137</v>
          </cell>
          <cell r="L121">
            <v>0.23015906389573595</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C121" t="str">
            <v>RevDeficiency%</v>
          </cell>
          <cell r="AD121">
            <v>10496558.1508835</v>
          </cell>
          <cell r="AE121">
            <v>0</v>
          </cell>
          <cell r="AF121">
            <v>0</v>
          </cell>
          <cell r="AG121">
            <v>1.5033370219869831E-2</v>
          </cell>
          <cell r="AH121">
            <v>0.98496662978013017</v>
          </cell>
          <cell r="AI121">
            <v>0</v>
          </cell>
          <cell r="AJ121">
            <v>0</v>
          </cell>
          <cell r="AK121">
            <v>0</v>
          </cell>
          <cell r="AL121">
            <v>0</v>
          </cell>
          <cell r="AN121" t="str">
            <v>STORO&amp;M%</v>
          </cell>
          <cell r="AO121">
            <v>0</v>
          </cell>
          <cell r="AP121">
            <v>0</v>
          </cell>
          <cell r="AQ121">
            <v>0</v>
          </cell>
          <cell r="AR121">
            <v>0</v>
          </cell>
        </row>
        <row r="123">
          <cell r="D123" t="str">
            <v>OFF SYS SALES</v>
          </cell>
          <cell r="E123" t="str">
            <v>EXT</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C123" t="str">
            <v>GASCOST</v>
          </cell>
          <cell r="AD123" t="str">
            <v>INT</v>
          </cell>
          <cell r="AE123">
            <v>0</v>
          </cell>
          <cell r="AF123">
            <v>0</v>
          </cell>
          <cell r="AG123">
            <v>0</v>
          </cell>
          <cell r="AH123">
            <v>0</v>
          </cell>
          <cell r="AI123">
            <v>0</v>
          </cell>
          <cell r="AJ123">
            <v>0</v>
          </cell>
          <cell r="AK123">
            <v>0</v>
          </cell>
          <cell r="AL123">
            <v>0</v>
          </cell>
          <cell r="AN123" t="str">
            <v>TRANO&amp;M</v>
          </cell>
          <cell r="AO123" t="str">
            <v>INT</v>
          </cell>
          <cell r="AP123">
            <v>16043.739300477091</v>
          </cell>
          <cell r="AQ123">
            <v>21820.614040178309</v>
          </cell>
          <cell r="AR123">
            <v>0</v>
          </cell>
        </row>
        <row r="124">
          <cell r="D124" t="str">
            <v>OFF SYS SALES%</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C124" t="str">
            <v>GASCOST%</v>
          </cell>
          <cell r="AD124">
            <v>0</v>
          </cell>
          <cell r="AE124">
            <v>0</v>
          </cell>
          <cell r="AF124">
            <v>0</v>
          </cell>
          <cell r="AG124">
            <v>0</v>
          </cell>
          <cell r="AH124">
            <v>0</v>
          </cell>
          <cell r="AI124">
            <v>0</v>
          </cell>
          <cell r="AJ124">
            <v>0</v>
          </cell>
          <cell r="AK124">
            <v>0</v>
          </cell>
          <cell r="AL124">
            <v>0</v>
          </cell>
          <cell r="AN124" t="str">
            <v>TRANO&amp;M%</v>
          </cell>
          <cell r="AO124">
            <v>37864.353340655398</v>
          </cell>
          <cell r="AP124">
            <v>0.4237161838242921</v>
          </cell>
          <cell r="AQ124">
            <v>0.5762838161757079</v>
          </cell>
          <cell r="AR124">
            <v>0</v>
          </cell>
        </row>
        <row r="126">
          <cell r="D126" t="str">
            <v>THRUPUT(Low Pressure)</v>
          </cell>
          <cell r="E126" t="str">
            <v>EXT</v>
          </cell>
          <cell r="F126">
            <v>120189407</v>
          </cell>
          <cell r="G126">
            <v>81344242</v>
          </cell>
          <cell r="H126">
            <v>11417671</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C126" t="str">
            <v>INTANGPT</v>
          </cell>
          <cell r="AD126" t="str">
            <v>INT</v>
          </cell>
          <cell r="AE126">
            <v>0</v>
          </cell>
          <cell r="AF126">
            <v>0</v>
          </cell>
          <cell r="AG126">
            <v>3386353.3763746638</v>
          </cell>
          <cell r="AH126">
            <v>23436383.100785717</v>
          </cell>
          <cell r="AI126">
            <v>0</v>
          </cell>
          <cell r="AJ126">
            <v>0</v>
          </cell>
          <cell r="AK126">
            <v>0</v>
          </cell>
          <cell r="AL126">
            <v>0</v>
          </cell>
          <cell r="AN126" t="str">
            <v>DISTO&amp;M</v>
          </cell>
          <cell r="AO126" t="str">
            <v>INT</v>
          </cell>
          <cell r="AP126">
            <v>5621460.3093428025</v>
          </cell>
          <cell r="AQ126">
            <v>6751639.0743979122</v>
          </cell>
          <cell r="AR126">
            <v>29907890.974153504</v>
          </cell>
        </row>
        <row r="127">
          <cell r="D127" t="str">
            <v>THRUPUT(Low Pressure)%</v>
          </cell>
          <cell r="E127">
            <v>212951320</v>
          </cell>
          <cell r="F127">
            <v>0.56439850666340086</v>
          </cell>
          <cell r="G127">
            <v>0.38198515040902303</v>
          </cell>
          <cell r="H127">
            <v>5.3616342927576124E-2</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C127" t="str">
            <v>INTANGPT%</v>
          </cell>
          <cell r="AD127">
            <v>26822736.477160379</v>
          </cell>
          <cell r="AE127">
            <v>0</v>
          </cell>
          <cell r="AF127">
            <v>0</v>
          </cell>
          <cell r="AG127">
            <v>0.12624936233699166</v>
          </cell>
          <cell r="AH127">
            <v>0.87375063766300842</v>
          </cell>
          <cell r="AI127">
            <v>0</v>
          </cell>
          <cell r="AJ127">
            <v>0</v>
          </cell>
          <cell r="AK127">
            <v>0</v>
          </cell>
          <cell r="AL127">
            <v>0</v>
          </cell>
          <cell r="AN127" t="str">
            <v>DISTO&amp;M%</v>
          </cell>
          <cell r="AO127">
            <v>42280990.357894219</v>
          </cell>
          <cell r="AP127">
            <v>0.13295479272739477</v>
          </cell>
          <cell r="AQ127">
            <v>0.15968497940203341</v>
          </cell>
          <cell r="AR127">
            <v>0.70736022787057184</v>
          </cell>
        </row>
        <row r="129">
          <cell r="D129" t="str">
            <v>Transport-Thru</v>
          </cell>
          <cell r="E129" t="str">
            <v>EXT</v>
          </cell>
          <cell r="F129">
            <v>13352868</v>
          </cell>
          <cell r="G129">
            <v>5679295</v>
          </cell>
          <cell r="H129">
            <v>593868</v>
          </cell>
          <cell r="I129">
            <v>791498</v>
          </cell>
          <cell r="J129">
            <v>3848935.3459285335</v>
          </cell>
          <cell r="K129">
            <v>438603934.83285075</v>
          </cell>
          <cell r="L129">
            <v>286600988</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C129" t="str">
            <v>O&amp;MXGAS</v>
          </cell>
          <cell r="AD129" t="str">
            <v>INT</v>
          </cell>
          <cell r="AE129">
            <v>0</v>
          </cell>
          <cell r="AF129">
            <v>0</v>
          </cell>
          <cell r="AG129">
            <v>37864.353340655405</v>
          </cell>
          <cell r="AH129">
            <v>42280990.357894219</v>
          </cell>
          <cell r="AI129">
            <v>0</v>
          </cell>
          <cell r="AJ129">
            <v>0</v>
          </cell>
          <cell r="AK129">
            <v>0</v>
          </cell>
          <cell r="AL129">
            <v>0</v>
          </cell>
          <cell r="AN129" t="str">
            <v>BBA_PPO&amp;M</v>
          </cell>
          <cell r="AO129" t="str">
            <v>INT</v>
          </cell>
          <cell r="AP129">
            <v>0</v>
          </cell>
          <cell r="AQ129">
            <v>0</v>
          </cell>
          <cell r="AR129">
            <v>0</v>
          </cell>
        </row>
        <row r="130">
          <cell r="D130" t="str">
            <v>Transport-Thru%</v>
          </cell>
          <cell r="E130">
            <v>749471387.17877936</v>
          </cell>
          <cell r="F130">
            <v>1.7816381290103607E-2</v>
          </cell>
          <cell r="G130">
            <v>7.5777342499737848E-3</v>
          </cell>
          <cell r="H130">
            <v>7.9238248472097885E-4</v>
          </cell>
          <cell r="I130">
            <v>1.0560750063847275E-3</v>
          </cell>
          <cell r="J130">
            <v>5.1355334063078861E-3</v>
          </cell>
          <cell r="K130">
            <v>0.5852177178956478</v>
          </cell>
          <cell r="L130">
            <v>0.38240417566686108</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C130" t="str">
            <v>O&amp;MXGAS%</v>
          </cell>
          <cell r="AD130">
            <v>42318854.711234875</v>
          </cell>
          <cell r="AE130">
            <v>0</v>
          </cell>
          <cell r="AF130">
            <v>0</v>
          </cell>
          <cell r="AG130">
            <v>8.9473955755714528E-4</v>
          </cell>
          <cell r="AH130">
            <v>0.99910526044244286</v>
          </cell>
          <cell r="AI130">
            <v>0</v>
          </cell>
          <cell r="AJ130">
            <v>0</v>
          </cell>
          <cell r="AK130">
            <v>0</v>
          </cell>
          <cell r="AL130">
            <v>0</v>
          </cell>
          <cell r="AN130" t="str">
            <v>BBA_PPO&amp;M%</v>
          </cell>
          <cell r="AO130">
            <v>0</v>
          </cell>
          <cell r="AP130">
            <v>0</v>
          </cell>
          <cell r="AQ130">
            <v>0</v>
          </cell>
          <cell r="AR130">
            <v>0</v>
          </cell>
        </row>
        <row r="132">
          <cell r="D132" t="str">
            <v>THRUPUT_Non_Ind</v>
          </cell>
          <cell r="E132" t="str">
            <v>EXT</v>
          </cell>
          <cell r="F132">
            <v>120189407</v>
          </cell>
          <cell r="G132">
            <v>81344242</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N132" t="str">
            <v>Comm_PassO&amp;M</v>
          </cell>
          <cell r="AO132" t="str">
            <v>INT</v>
          </cell>
          <cell r="AP132">
            <v>0</v>
          </cell>
          <cell r="AQ132">
            <v>0</v>
          </cell>
          <cell r="AR132">
            <v>0</v>
          </cell>
        </row>
        <row r="133">
          <cell r="D133" t="str">
            <v>THRUPUT_Non_Ind%</v>
          </cell>
          <cell r="E133">
            <v>201533649</v>
          </cell>
          <cell r="F133">
            <v>0.59637389387019935</v>
          </cell>
          <cell r="G133">
            <v>0.40362610612980071</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N133" t="str">
            <v>Comm_PassO&amp;M%</v>
          </cell>
          <cell r="AO133">
            <v>0</v>
          </cell>
          <cell r="AP133">
            <v>0</v>
          </cell>
          <cell r="AQ133">
            <v>0</v>
          </cell>
          <cell r="AR133">
            <v>0</v>
          </cell>
        </row>
        <row r="135">
          <cell r="D135" t="str">
            <v>THRUPUT</v>
          </cell>
          <cell r="E135" t="str">
            <v>EXT</v>
          </cell>
          <cell r="F135">
            <v>120189407</v>
          </cell>
          <cell r="G135">
            <v>81344242</v>
          </cell>
          <cell r="H135">
            <v>11417671</v>
          </cell>
          <cell r="I135">
            <v>11107096</v>
          </cell>
          <cell r="J135">
            <v>3848935.3459285335</v>
          </cell>
          <cell r="K135">
            <v>438603934.83285075</v>
          </cell>
          <cell r="L135">
            <v>286600988</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N135" t="str">
            <v>Coll_ProcessO&amp;M</v>
          </cell>
          <cell r="AO135" t="str">
            <v>INT</v>
          </cell>
          <cell r="AP135">
            <v>0</v>
          </cell>
          <cell r="AQ135">
            <v>0</v>
          </cell>
          <cell r="AR135">
            <v>0</v>
          </cell>
        </row>
        <row r="136">
          <cell r="D136" t="str">
            <v>THRUPUT%</v>
          </cell>
          <cell r="E136">
            <v>953112274.17877924</v>
          </cell>
          <cell r="F136">
            <v>0.12610204511693821</v>
          </cell>
          <cell r="G136">
            <v>8.5345918003299076E-2</v>
          </cell>
          <cell r="H136">
            <v>1.1979355747818582E-2</v>
          </cell>
          <cell r="I136">
            <v>1.1653502216798223E-2</v>
          </cell>
          <cell r="J136">
            <v>4.0382811660303651E-3</v>
          </cell>
          <cell r="K136">
            <v>0.46018076433939614</v>
          </cell>
          <cell r="L136">
            <v>0.30070013340971941</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N136" t="str">
            <v>Coll_ProcessO&amp;M%</v>
          </cell>
          <cell r="AO136">
            <v>0</v>
          </cell>
          <cell r="AP136">
            <v>0</v>
          </cell>
          <cell r="AQ136">
            <v>0</v>
          </cell>
          <cell r="AR136">
            <v>0</v>
          </cell>
        </row>
        <row r="138">
          <cell r="D138" t="str">
            <v>THRUPUTxSPL</v>
          </cell>
          <cell r="E138" t="str">
            <v>EXT</v>
          </cell>
          <cell r="F138">
            <v>120189407</v>
          </cell>
          <cell r="G138">
            <v>81344242</v>
          </cell>
          <cell r="H138">
            <v>11417671</v>
          </cell>
          <cell r="I138">
            <v>11107096</v>
          </cell>
          <cell r="J138">
            <v>3848935.3459285335</v>
          </cell>
          <cell r="K138">
            <v>438603934.83285075</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N138" t="str">
            <v>Coll_ProcessGP</v>
          </cell>
          <cell r="AO138" t="str">
            <v>INT</v>
          </cell>
          <cell r="AP138">
            <v>0</v>
          </cell>
          <cell r="AQ138">
            <v>0</v>
          </cell>
          <cell r="AR138">
            <v>0</v>
          </cell>
        </row>
        <row r="139">
          <cell r="D139" t="str">
            <v>THRUPUTxSPL%</v>
          </cell>
          <cell r="E139">
            <v>666511286.17877924</v>
          </cell>
          <cell r="F139">
            <v>0.18032613924524218</v>
          </cell>
          <cell r="G139">
            <v>0.1220448080727337</v>
          </cell>
          <cell r="H139">
            <v>1.7130499117966057E-2</v>
          </cell>
          <cell r="I139">
            <v>1.6664528013739782E-2</v>
          </cell>
          <cell r="J139">
            <v>5.7747489438552853E-3</v>
          </cell>
          <cell r="K139">
            <v>0.65805927660646302</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N139" t="str">
            <v>Coll_ProcessGP%</v>
          </cell>
          <cell r="AO139">
            <v>0</v>
          </cell>
          <cell r="AP139">
            <v>0</v>
          </cell>
          <cell r="AQ139">
            <v>0</v>
          </cell>
          <cell r="AR139">
            <v>0</v>
          </cell>
        </row>
        <row r="141">
          <cell r="D141" t="str">
            <v>Thruput_ST&gt;6"</v>
          </cell>
          <cell r="E141" t="str">
            <v>EXT</v>
          </cell>
          <cell r="F141">
            <v>120189407</v>
          </cell>
          <cell r="G141">
            <v>81344242</v>
          </cell>
          <cell r="H141">
            <v>11417671</v>
          </cell>
          <cell r="I141">
            <v>11107096</v>
          </cell>
          <cell r="J141">
            <v>3848935.3459285339</v>
          </cell>
          <cell r="K141">
            <v>438603934.83285075</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N141" t="str">
            <v>SUPPGENPTXL</v>
          </cell>
          <cell r="AO141" t="str">
            <v>INT</v>
          </cell>
          <cell r="AP141">
            <v>0</v>
          </cell>
          <cell r="AQ141">
            <v>0</v>
          </cell>
          <cell r="AR141">
            <v>0</v>
          </cell>
        </row>
        <row r="142">
          <cell r="D142" t="str">
            <v>Thruput_ST&gt;6"%</v>
          </cell>
          <cell r="E142">
            <v>666511286.17877924</v>
          </cell>
          <cell r="F142">
            <v>0.18032613924524218</v>
          </cell>
          <cell r="G142">
            <v>0.1220448080727337</v>
          </cell>
          <cell r="H142">
            <v>1.7130499117966057E-2</v>
          </cell>
          <cell r="I142">
            <v>1.6664528013739782E-2</v>
          </cell>
          <cell r="J142">
            <v>5.7747489438552861E-3</v>
          </cell>
          <cell r="K142">
            <v>0.65805927660646302</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N142" t="str">
            <v>SUPPGENPTXL%</v>
          </cell>
          <cell r="AO142">
            <v>0</v>
          </cell>
          <cell r="AP142">
            <v>0</v>
          </cell>
          <cell r="AQ142">
            <v>0</v>
          </cell>
          <cell r="AR142">
            <v>0</v>
          </cell>
        </row>
        <row r="144">
          <cell r="D144" t="str">
            <v>Thruput_ST&gt;4-6"</v>
          </cell>
          <cell r="E144" t="str">
            <v>EXT</v>
          </cell>
          <cell r="F144">
            <v>120189407</v>
          </cell>
          <cell r="G144">
            <v>81344242</v>
          </cell>
          <cell r="H144">
            <v>11417671</v>
          </cell>
          <cell r="I144">
            <v>11107096</v>
          </cell>
          <cell r="J144">
            <v>3848935.3459285339</v>
          </cell>
          <cell r="K144">
            <v>280902644.25604391</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N144" t="str">
            <v>STORGENPTXL</v>
          </cell>
          <cell r="AO144" t="str">
            <v>INT</v>
          </cell>
          <cell r="AP144">
            <v>0</v>
          </cell>
          <cell r="AQ144">
            <v>0</v>
          </cell>
          <cell r="AR144">
            <v>0</v>
          </cell>
        </row>
        <row r="145">
          <cell r="D145" t="str">
            <v>Thruput_ST&gt;4-6"%</v>
          </cell>
          <cell r="E145">
            <v>508809995.60197246</v>
          </cell>
          <cell r="F145">
            <v>0.23621667820775427</v>
          </cell>
          <cell r="G145">
            <v>0.15987154871783077</v>
          </cell>
          <cell r="H145">
            <v>2.243995027356286E-2</v>
          </cell>
          <cell r="I145">
            <v>2.1829555425418104E-2</v>
          </cell>
          <cell r="J145">
            <v>7.5645828092957635E-3</v>
          </cell>
          <cell r="K145">
            <v>0.55207768456613815</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N145" t="str">
            <v>STORGENPTXL%</v>
          </cell>
          <cell r="AO145">
            <v>0</v>
          </cell>
          <cell r="AP145">
            <v>0</v>
          </cell>
          <cell r="AQ145">
            <v>0</v>
          </cell>
          <cell r="AR145">
            <v>0</v>
          </cell>
        </row>
        <row r="147">
          <cell r="D147" t="str">
            <v>Thruput_ST&gt;4"x663</v>
          </cell>
          <cell r="E147" t="str">
            <v>EXT</v>
          </cell>
          <cell r="F147">
            <v>120189407</v>
          </cell>
          <cell r="G147">
            <v>81344242</v>
          </cell>
          <cell r="H147">
            <v>11417671</v>
          </cell>
          <cell r="I147">
            <v>11107096</v>
          </cell>
          <cell r="J147">
            <v>3848935.3459285339</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N147" t="str">
            <v>TRANGENPTXL</v>
          </cell>
          <cell r="AO147" t="str">
            <v>INT</v>
          </cell>
          <cell r="AP147">
            <v>522381.96493152122</v>
          </cell>
          <cell r="AQ147">
            <v>710476.21909324615</v>
          </cell>
          <cell r="AR147">
            <v>0</v>
          </cell>
        </row>
        <row r="148">
          <cell r="D148" t="str">
            <v>Thruput_ST&gt;4"x663%</v>
          </cell>
          <cell r="E148">
            <v>227907351.34592852</v>
          </cell>
          <cell r="F148">
            <v>0.5273608169732571</v>
          </cell>
          <cell r="G148">
            <v>0.35691802620500762</v>
          </cell>
          <cell r="H148">
            <v>5.009786183978647E-2</v>
          </cell>
          <cell r="I148">
            <v>4.8735137038827356E-2</v>
          </cell>
          <cell r="J148">
            <v>1.6888157943121537E-2</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N148" t="str">
            <v>TRANGENPTXL%</v>
          </cell>
          <cell r="AO148">
            <v>1232858.1840247675</v>
          </cell>
          <cell r="AP148">
            <v>0.42371618382429199</v>
          </cell>
          <cell r="AQ148">
            <v>0.5762838161757079</v>
          </cell>
          <cell r="AR148">
            <v>0</v>
          </cell>
        </row>
        <row r="150">
          <cell r="D150" t="str">
            <v>Thruput_ST2-4"</v>
          </cell>
          <cell r="E150" t="str">
            <v>EXT</v>
          </cell>
          <cell r="F150">
            <v>120189407</v>
          </cell>
          <cell r="G150">
            <v>81344242</v>
          </cell>
          <cell r="H150">
            <v>11417671</v>
          </cell>
          <cell r="I150">
            <v>11107096</v>
          </cell>
          <cell r="J150">
            <v>2190146.7000613231</v>
          </cell>
          <cell r="K150">
            <v>236394764.10733354</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N150" t="str">
            <v>DISTGENPTXL</v>
          </cell>
          <cell r="AO150" t="str">
            <v>INT</v>
          </cell>
          <cell r="AP150">
            <v>12508484.842176106</v>
          </cell>
          <cell r="AQ150">
            <v>12467893.245075509</v>
          </cell>
          <cell r="AR150">
            <v>18080970.579910316</v>
          </cell>
        </row>
        <row r="151">
          <cell r="D151" t="str">
            <v>Thruput_ST2-4"%</v>
          </cell>
          <cell r="E151">
            <v>462643326.80739486</v>
          </cell>
          <cell r="F151">
            <v>0.25978848074909466</v>
          </cell>
          <cell r="G151">
            <v>0.17582495474719079</v>
          </cell>
          <cell r="H151">
            <v>2.467920823324302E-2</v>
          </cell>
          <cell r="I151">
            <v>2.4007902754477738E-2</v>
          </cell>
          <cell r="J151">
            <v>4.7339852823017441E-3</v>
          </cell>
          <cell r="K151">
            <v>0.51096546823369204</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N151" t="str">
            <v>DISTGENPTXL%</v>
          </cell>
          <cell r="AO151">
            <v>43057348.667161927</v>
          </cell>
          <cell r="AP151">
            <v>0.29050754933537776</v>
          </cell>
          <cell r="AQ151">
            <v>0.28956481601906575</v>
          </cell>
          <cell r="AR151">
            <v>0.41992763464555655</v>
          </cell>
        </row>
        <row r="153">
          <cell r="D153" t="str">
            <v>Thruput_ST&lt;=2"</v>
          </cell>
          <cell r="E153" t="str">
            <v>EXT</v>
          </cell>
          <cell r="F153">
            <v>120189407</v>
          </cell>
          <cell r="G153">
            <v>81344242</v>
          </cell>
          <cell r="H153">
            <v>11417671</v>
          </cell>
          <cell r="I153">
            <v>11107096</v>
          </cell>
          <cell r="J153">
            <v>870861.11394727172</v>
          </cell>
          <cell r="K153">
            <v>105630149.01877874</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N153" t="str">
            <v>BBA_PPGENPTXL</v>
          </cell>
          <cell r="AO153" t="str">
            <v>INT</v>
          </cell>
          <cell r="AP153">
            <v>0</v>
          </cell>
          <cell r="AQ153">
            <v>0</v>
          </cell>
          <cell r="AR153">
            <v>0</v>
          </cell>
        </row>
        <row r="154">
          <cell r="D154" t="str">
            <v>Thruput_ST&lt;=2"%</v>
          </cell>
          <cell r="E154">
            <v>330559426.13272601</v>
          </cell>
          <cell r="F154">
            <v>0.36359394861649363</v>
          </cell>
          <cell r="G154">
            <v>0.24608053974337041</v>
          </cell>
          <cell r="H154">
            <v>3.4540449000584797E-2</v>
          </cell>
          <cell r="I154">
            <v>3.3600905380142709E-2</v>
          </cell>
          <cell r="J154">
            <v>2.6345069754495644E-3</v>
          </cell>
          <cell r="K154">
            <v>0.31954965028395887</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N154" t="str">
            <v>BBA_PPGENPTXL%</v>
          </cell>
          <cell r="AO154">
            <v>0</v>
          </cell>
          <cell r="AP154">
            <v>0</v>
          </cell>
          <cell r="AQ154">
            <v>0</v>
          </cell>
          <cell r="AR154">
            <v>0</v>
          </cell>
        </row>
        <row r="156">
          <cell r="D156" t="str">
            <v>Thruput_PL6"</v>
          </cell>
          <cell r="E156" t="str">
            <v>EXT</v>
          </cell>
          <cell r="F156">
            <v>120189407</v>
          </cell>
          <cell r="G156">
            <v>81344242</v>
          </cell>
          <cell r="H156">
            <v>11417671</v>
          </cell>
          <cell r="I156">
            <v>11107096</v>
          </cell>
          <cell r="J156">
            <v>559283.32403241436</v>
          </cell>
          <cell r="K156">
            <v>50473066.345322646</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N156" t="str">
            <v>Comm_PassGENPTXL</v>
          </cell>
          <cell r="AO156" t="str">
            <v>INT</v>
          </cell>
          <cell r="AP156">
            <v>0</v>
          </cell>
          <cell r="AQ156">
            <v>0</v>
          </cell>
          <cell r="AR156">
            <v>0</v>
          </cell>
        </row>
        <row r="157">
          <cell r="D157" t="str">
            <v>Thruput_PL6"%</v>
          </cell>
          <cell r="E157">
            <v>275090765.66935509</v>
          </cell>
          <cell r="F157">
            <v>0.43690818449522756</v>
          </cell>
          <cell r="G157">
            <v>0.29569964590440517</v>
          </cell>
          <cell r="H157">
            <v>4.1505104586910965E-2</v>
          </cell>
          <cell r="I157">
            <v>4.0376113581908291E-2</v>
          </cell>
          <cell r="J157">
            <v>2.0330865075443645E-3</v>
          </cell>
          <cell r="K157">
            <v>0.18347786492400356</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N157" t="str">
            <v>Comm_PassGENPTXL%</v>
          </cell>
          <cell r="AO157">
            <v>0</v>
          </cell>
          <cell r="AP157">
            <v>0</v>
          </cell>
          <cell r="AQ157">
            <v>0</v>
          </cell>
          <cell r="AR157">
            <v>0</v>
          </cell>
        </row>
        <row r="159">
          <cell r="D159" t="str">
            <v>Thruput_PL4"</v>
          </cell>
          <cell r="E159" t="str">
            <v>EXT</v>
          </cell>
          <cell r="F159">
            <v>120189407</v>
          </cell>
          <cell r="G159">
            <v>81344242</v>
          </cell>
          <cell r="H159">
            <v>11417671</v>
          </cell>
          <cell r="I159">
            <v>11107096</v>
          </cell>
          <cell r="J159">
            <v>559283.32403241436</v>
          </cell>
          <cell r="K159">
            <v>49880983.159784302</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N159" t="str">
            <v>COLLPGENPTXL</v>
          </cell>
          <cell r="AO159" t="str">
            <v>INT</v>
          </cell>
          <cell r="AP159">
            <v>0</v>
          </cell>
          <cell r="AQ159">
            <v>0</v>
          </cell>
          <cell r="AR159">
            <v>0</v>
          </cell>
        </row>
        <row r="160">
          <cell r="D160" t="str">
            <v>Thruput_PL4"%</v>
          </cell>
          <cell r="E160">
            <v>274498682.48381674</v>
          </cell>
          <cell r="F160">
            <v>0.43785057878041306</v>
          </cell>
          <cell r="G160">
            <v>0.29633745875918988</v>
          </cell>
          <cell r="H160">
            <v>4.1594629514016469E-2</v>
          </cell>
          <cell r="I160">
            <v>4.0463203318488884E-2</v>
          </cell>
          <cell r="J160">
            <v>2.0374717975755212E-3</v>
          </cell>
          <cell r="K160">
            <v>0.18171665783031607</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N160" t="str">
            <v>COLLPGENPTXL%</v>
          </cell>
          <cell r="AO160">
            <v>0</v>
          </cell>
          <cell r="AP160">
            <v>0</v>
          </cell>
          <cell r="AQ160">
            <v>0</v>
          </cell>
          <cell r="AR160">
            <v>0</v>
          </cell>
        </row>
        <row r="162">
          <cell r="D162" t="str">
            <v>Thruput_PL&lt;=2"</v>
          </cell>
          <cell r="E162" t="str">
            <v>EXT</v>
          </cell>
          <cell r="F162">
            <v>120189407</v>
          </cell>
          <cell r="G162">
            <v>81344242</v>
          </cell>
          <cell r="H162">
            <v>11417671</v>
          </cell>
          <cell r="I162">
            <v>11107096</v>
          </cell>
          <cell r="J162">
            <v>559283.32403241436</v>
          </cell>
          <cell r="K162">
            <v>40157461.267831214</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N162" t="str">
            <v>SUPPOPERREV</v>
          </cell>
          <cell r="AO162" t="str">
            <v>INT</v>
          </cell>
          <cell r="AP162">
            <v>550.54996161149381</v>
          </cell>
          <cell r="AQ162">
            <v>533742.78850186756</v>
          </cell>
          <cell r="AR162">
            <v>0</v>
          </cell>
        </row>
        <row r="163">
          <cell r="D163" t="str">
            <v>Thruput_PL&lt;=2"%</v>
          </cell>
          <cell r="E163">
            <v>264775160.59186363</v>
          </cell>
          <cell r="F163">
            <v>0.45393006931365953</v>
          </cell>
          <cell r="G163">
            <v>0.30722006482091302</v>
          </cell>
          <cell r="H163">
            <v>4.3122137947070163E-2</v>
          </cell>
          <cell r="I163">
            <v>4.1949161602515196E-2</v>
          </cell>
          <cell r="J163">
            <v>2.1122952877536683E-3</v>
          </cell>
          <cell r="K163">
            <v>0.15166627102808838</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N163" t="str">
            <v>SUPPOPERREV%</v>
          </cell>
          <cell r="AO163">
            <v>534293.33846347907</v>
          </cell>
          <cell r="AP163">
            <v>1.0304264005887955E-3</v>
          </cell>
          <cell r="AQ163">
            <v>0.99896957359941119</v>
          </cell>
          <cell r="AR163">
            <v>0</v>
          </cell>
        </row>
        <row r="165">
          <cell r="D165" t="str">
            <v>HP_Mains-Direct</v>
          </cell>
          <cell r="E165" t="str">
            <v>EXT</v>
          </cell>
          <cell r="F165">
            <v>0</v>
          </cell>
          <cell r="G165">
            <v>0</v>
          </cell>
          <cell r="H165">
            <v>0</v>
          </cell>
          <cell r="I165">
            <v>0</v>
          </cell>
          <cell r="J165">
            <v>0</v>
          </cell>
          <cell r="K165">
            <v>1</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N165" t="str">
            <v>SUPPREVREQ</v>
          </cell>
          <cell r="AO165" t="str">
            <v>INT</v>
          </cell>
          <cell r="AP165">
            <v>111570.95204530822</v>
          </cell>
          <cell r="AQ165">
            <v>108164917.28773145</v>
          </cell>
          <cell r="AR165">
            <v>0</v>
          </cell>
        </row>
        <row r="166">
          <cell r="D166" t="str">
            <v>HP_Mains-Direct%</v>
          </cell>
          <cell r="E166">
            <v>1</v>
          </cell>
          <cell r="F166">
            <v>0</v>
          </cell>
          <cell r="G166">
            <v>0</v>
          </cell>
          <cell r="H166">
            <v>0</v>
          </cell>
          <cell r="I166">
            <v>0</v>
          </cell>
          <cell r="J166">
            <v>0</v>
          </cell>
          <cell r="K166">
            <v>1</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N166" t="str">
            <v>SUPPREVREQ%</v>
          </cell>
          <cell r="AO166">
            <v>108276488.23977676</v>
          </cell>
          <cell r="AP166">
            <v>1.0304264005887955E-3</v>
          </cell>
          <cell r="AQ166">
            <v>0.99896957359941119</v>
          </cell>
          <cell r="AR166">
            <v>0</v>
          </cell>
        </row>
        <row r="168">
          <cell r="D168" t="str">
            <v>Mains-Direct</v>
          </cell>
          <cell r="E168" t="str">
            <v>EXT</v>
          </cell>
          <cell r="F168">
            <v>0</v>
          </cell>
          <cell r="G168">
            <v>0</v>
          </cell>
          <cell r="H168">
            <v>0</v>
          </cell>
          <cell r="I168">
            <v>0</v>
          </cell>
          <cell r="J168">
            <v>0</v>
          </cell>
          <cell r="K168">
            <v>0</v>
          </cell>
          <cell r="L168">
            <v>1</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N168" t="str">
            <v>STORREVREQ</v>
          </cell>
          <cell r="AO168" t="str">
            <v>INT</v>
          </cell>
          <cell r="AP168">
            <v>0</v>
          </cell>
          <cell r="AQ168">
            <v>0</v>
          </cell>
          <cell r="AR168">
            <v>0</v>
          </cell>
        </row>
        <row r="169">
          <cell r="D169" t="str">
            <v>Mains-Direct%</v>
          </cell>
          <cell r="E169">
            <v>1</v>
          </cell>
          <cell r="F169">
            <v>0</v>
          </cell>
          <cell r="G169">
            <v>0</v>
          </cell>
          <cell r="H169">
            <v>0</v>
          </cell>
          <cell r="I169">
            <v>0</v>
          </cell>
          <cell r="J169">
            <v>0</v>
          </cell>
          <cell r="K169">
            <v>0</v>
          </cell>
          <cell r="L169">
            <v>1</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N169" t="str">
            <v>STORREVREQ%</v>
          </cell>
          <cell r="AO169">
            <v>0</v>
          </cell>
          <cell r="AP169">
            <v>0</v>
          </cell>
          <cell r="AQ169">
            <v>0</v>
          </cell>
          <cell r="AR169">
            <v>0</v>
          </cell>
        </row>
        <row r="171">
          <cell r="D171" t="str">
            <v>BILLCOM-THRUPUT</v>
          </cell>
          <cell r="E171" t="str">
            <v>EXT</v>
          </cell>
          <cell r="F171">
            <v>120189407</v>
          </cell>
          <cell r="G171">
            <v>81344242</v>
          </cell>
          <cell r="H171">
            <v>11417671</v>
          </cell>
          <cell r="I171">
            <v>11107096</v>
          </cell>
          <cell r="J171">
            <v>3848935.3459285335</v>
          </cell>
          <cell r="K171">
            <v>438603934.83285075</v>
          </cell>
          <cell r="L171">
            <v>286600988</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N171" t="str">
            <v>TRANREVREQ</v>
          </cell>
          <cell r="AO171" t="str">
            <v>INT</v>
          </cell>
          <cell r="AP171">
            <v>579699.69417049515</v>
          </cell>
          <cell r="AQ171">
            <v>1035335.4739946506</v>
          </cell>
          <cell r="AR171">
            <v>0</v>
          </cell>
        </row>
        <row r="172">
          <cell r="D172" t="str">
            <v>BILLCOM-THRUPUT%</v>
          </cell>
          <cell r="E172">
            <v>953112274.17877924</v>
          </cell>
          <cell r="F172">
            <v>0.12610204511693821</v>
          </cell>
          <cell r="G172">
            <v>8.5345918003299076E-2</v>
          </cell>
          <cell r="H172">
            <v>1.1979355747818582E-2</v>
          </cell>
          <cell r="I172">
            <v>1.1653502216798223E-2</v>
          </cell>
          <cell r="J172">
            <v>4.0382811660303651E-3</v>
          </cell>
          <cell r="K172">
            <v>0.46018076433939614</v>
          </cell>
          <cell r="L172">
            <v>0.30070013340971941</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N172" t="str">
            <v>TRANREVREQ%</v>
          </cell>
          <cell r="AO172">
            <v>1615035.1681651459</v>
          </cell>
          <cell r="AP172">
            <v>0.3589393628060103</v>
          </cell>
          <cell r="AQ172">
            <v>0.64106063719398965</v>
          </cell>
          <cell r="AR172">
            <v>0</v>
          </cell>
        </row>
        <row r="174">
          <cell r="D174" t="str">
            <v>Revenues</v>
          </cell>
          <cell r="E174" t="str">
            <v>EXT</v>
          </cell>
          <cell r="F174">
            <v>109247922.01915</v>
          </cell>
          <cell r="G174">
            <v>66969194.382099994</v>
          </cell>
          <cell r="H174">
            <v>7820969.71483</v>
          </cell>
          <cell r="I174">
            <v>7152646.4782490907</v>
          </cell>
          <cell r="J174">
            <v>2087539.2325518094</v>
          </cell>
          <cell r="K174">
            <v>16899197.012163844</v>
          </cell>
          <cell r="L174">
            <v>6104709.8136834996</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N174" t="str">
            <v>DISTREVREQ</v>
          </cell>
          <cell r="AO174" t="str">
            <v>INT</v>
          </cell>
          <cell r="AP174">
            <v>23813171.857790668</v>
          </cell>
          <cell r="AQ174">
            <v>25929189.474400099</v>
          </cell>
          <cell r="AR174">
            <v>63443004.478227243</v>
          </cell>
        </row>
        <row r="175">
          <cell r="D175" t="str">
            <v>Revenues%</v>
          </cell>
          <cell r="E175">
            <v>216282178.65272829</v>
          </cell>
          <cell r="F175">
            <v>0.50511753996413655</v>
          </cell>
          <cell r="G175">
            <v>0.30963806079292616</v>
          </cell>
          <cell r="H175">
            <v>3.6160953082443638E-2</v>
          </cell>
          <cell r="I175">
            <v>3.3070900814873329E-2</v>
          </cell>
          <cell r="J175">
            <v>9.6519243774756385E-3</v>
          </cell>
          <cell r="K175">
            <v>7.813494906252956E-2</v>
          </cell>
          <cell r="L175">
            <v>2.8225671905614917E-2</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N175" t="str">
            <v>DISTREVREQ%</v>
          </cell>
          <cell r="AO175">
            <v>113185365.81041801</v>
          </cell>
          <cell r="AP175">
            <v>0.21039090775813715</v>
          </cell>
          <cell r="AQ175">
            <v>0.22908605974583932</v>
          </cell>
          <cell r="AR175">
            <v>0.56052303249602353</v>
          </cell>
        </row>
        <row r="177">
          <cell r="D177" t="str">
            <v>Margin</v>
          </cell>
          <cell r="E177" t="str">
            <v>EXT</v>
          </cell>
          <cell r="F177">
            <v>45209616.86332</v>
          </cell>
          <cell r="G177">
            <v>23571672.426419999</v>
          </cell>
          <cell r="H177">
            <v>2065869.4918</v>
          </cell>
          <cell r="I177">
            <v>1562706.0749690908</v>
          </cell>
          <cell r="J177">
            <v>214145.28759815486</v>
          </cell>
          <cell r="K177">
            <v>14461764.212163845</v>
          </cell>
          <cell r="L177">
            <v>5811768.1036834996</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N177" t="str">
            <v>BBA_PPREVREQ</v>
          </cell>
          <cell r="AO177" t="str">
            <v>INT</v>
          </cell>
          <cell r="AP177">
            <v>0</v>
          </cell>
          <cell r="AQ177">
            <v>0</v>
          </cell>
          <cell r="AR177">
            <v>0</v>
          </cell>
        </row>
        <row r="178">
          <cell r="D178" t="str">
            <v>Margin%</v>
          </cell>
          <cell r="E178">
            <v>92897542.45995459</v>
          </cell>
          <cell r="F178">
            <v>0.48666106407291176</v>
          </cell>
          <cell r="G178">
            <v>0.25373838534621146</v>
          </cell>
          <cell r="H178">
            <v>2.2238150085515294E-2</v>
          </cell>
          <cell r="I178">
            <v>1.6821823630509145E-2</v>
          </cell>
          <cell r="J178">
            <v>2.3051771007878558E-3</v>
          </cell>
          <cell r="K178">
            <v>0.15567434648120954</v>
          </cell>
          <cell r="L178">
            <v>6.2561053282854953E-2</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N178" t="str">
            <v>BBA_PPREVREQ%</v>
          </cell>
          <cell r="AO178">
            <v>0</v>
          </cell>
          <cell r="AP178">
            <v>0</v>
          </cell>
          <cell r="AQ178">
            <v>0</v>
          </cell>
          <cell r="AR178">
            <v>0</v>
          </cell>
        </row>
        <row r="180">
          <cell r="D180" t="str">
            <v>OtherRevenue</v>
          </cell>
          <cell r="E180" t="str">
            <v>EXT</v>
          </cell>
          <cell r="F180">
            <v>279746.08</v>
          </cell>
          <cell r="G180">
            <v>58948.020000000026</v>
          </cell>
          <cell r="H180">
            <v>14945.880000000001</v>
          </cell>
          <cell r="I180">
            <v>8719.4</v>
          </cell>
          <cell r="J180">
            <v>4793.5199999999995</v>
          </cell>
          <cell r="K180">
            <v>1983884.8800000001</v>
          </cell>
          <cell r="L180">
            <v>267590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N180" t="str">
            <v>Comm_PassRevReq</v>
          </cell>
          <cell r="AO180" t="str">
            <v>INT</v>
          </cell>
          <cell r="AP180">
            <v>0</v>
          </cell>
          <cell r="AQ180">
            <v>0</v>
          </cell>
          <cell r="AR180">
            <v>0</v>
          </cell>
        </row>
        <row r="181">
          <cell r="D181" t="str">
            <v>OtherRevenue%</v>
          </cell>
          <cell r="E181">
            <v>2618627.7800000003</v>
          </cell>
          <cell r="F181">
            <v>0.10682926460056114</v>
          </cell>
          <cell r="G181">
            <v>2.2511034386108904E-2</v>
          </cell>
          <cell r="H181">
            <v>5.7075236557675253E-3</v>
          </cell>
          <cell r="I181">
            <v>3.3297592222137043E-3</v>
          </cell>
          <cell r="J181">
            <v>1.8305465315120117E-3</v>
          </cell>
          <cell r="K181">
            <v>0.75760476351472905</v>
          </cell>
          <cell r="L181">
            <v>0.10218710808910764</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N181" t="str">
            <v>Comm_PassRevReq%</v>
          </cell>
          <cell r="AO181">
            <v>0</v>
          </cell>
          <cell r="AP181">
            <v>0</v>
          </cell>
          <cell r="AQ181">
            <v>0</v>
          </cell>
          <cell r="AR181">
            <v>0</v>
          </cell>
        </row>
        <row r="183">
          <cell r="D183" t="str">
            <v>RevenueTaxes</v>
          </cell>
          <cell r="E183" t="str">
            <v>EXT</v>
          </cell>
          <cell r="F183">
            <v>4461618</v>
          </cell>
          <cell r="G183">
            <v>3291556.879999999</v>
          </cell>
          <cell r="H183">
            <v>275417.37999999989</v>
          </cell>
          <cell r="I183">
            <v>259311.82000000007</v>
          </cell>
          <cell r="J183">
            <v>76441.500000000116</v>
          </cell>
          <cell r="K183">
            <v>2437432.7999999989</v>
          </cell>
          <cell r="L183">
            <v>292941.70999999996</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N183" t="str">
            <v>Comm_PassRevReqXGAS</v>
          </cell>
          <cell r="AO183" t="str">
            <v>INT</v>
          </cell>
          <cell r="AP183">
            <v>0</v>
          </cell>
          <cell r="AQ183">
            <v>0</v>
          </cell>
          <cell r="AR183">
            <v>0</v>
          </cell>
        </row>
        <row r="184">
          <cell r="D184" t="str">
            <v>RevenueTaxes%</v>
          </cell>
          <cell r="E184">
            <v>11094720.09</v>
          </cell>
          <cell r="F184">
            <v>0.40213885197711197</v>
          </cell>
          <cell r="G184">
            <v>0.29667777585184657</v>
          </cell>
          <cell r="H184">
            <v>2.482418463609927E-2</v>
          </cell>
          <cell r="I184">
            <v>2.3372542785800022E-2</v>
          </cell>
          <cell r="J184">
            <v>6.8898989230831613E-3</v>
          </cell>
          <cell r="K184">
            <v>0.21969304139515239</v>
          </cell>
          <cell r="L184">
            <v>2.6403704430906463E-2</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N184" t="str">
            <v>Comm_PassRevReqXGAS%</v>
          </cell>
          <cell r="AO184">
            <v>0</v>
          </cell>
          <cell r="AP184">
            <v>0</v>
          </cell>
          <cell r="AQ184">
            <v>0</v>
          </cell>
          <cell r="AR184">
            <v>0</v>
          </cell>
        </row>
        <row r="186">
          <cell r="D186" t="str">
            <v>Gas_Revenue</v>
          </cell>
          <cell r="E186" t="str">
            <v>EXT</v>
          </cell>
          <cell r="F186">
            <v>59576687.155830003</v>
          </cell>
          <cell r="G186">
            <v>40105965.075679995</v>
          </cell>
          <cell r="H186">
            <v>5479682.8430300001</v>
          </cell>
          <cell r="I186">
            <v>5330628.5832799999</v>
          </cell>
          <cell r="J186">
            <v>1796952.4449536544</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N186" t="str">
            <v>COLLP_REVREQ</v>
          </cell>
          <cell r="AO186" t="str">
            <v>INT</v>
          </cell>
          <cell r="AP186">
            <v>0</v>
          </cell>
          <cell r="AQ186">
            <v>0</v>
          </cell>
          <cell r="AR186">
            <v>0</v>
          </cell>
        </row>
        <row r="187">
          <cell r="D187" t="str">
            <v>Gas_Revenue%</v>
          </cell>
          <cell r="E187">
            <v>112289916.10277365</v>
          </cell>
          <cell r="F187">
            <v>0.53056132931208422</v>
          </cell>
          <cell r="G187">
            <v>0.35716444065175812</v>
          </cell>
          <cell r="H187">
            <v>4.8799420582118037E-2</v>
          </cell>
          <cell r="I187">
            <v>4.7472015015142831E-2</v>
          </cell>
          <cell r="J187">
            <v>1.6002794438896802E-2</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N187" t="str">
            <v>COLLP_REVREQ%</v>
          </cell>
          <cell r="AO187">
            <v>0</v>
          </cell>
          <cell r="AP187">
            <v>0</v>
          </cell>
          <cell r="AQ187">
            <v>0</v>
          </cell>
          <cell r="AR187">
            <v>0</v>
          </cell>
        </row>
        <row r="189">
          <cell r="D189" t="str">
            <v>MREquipment</v>
          </cell>
          <cell r="E189" t="str">
            <v>EXT</v>
          </cell>
          <cell r="F189">
            <v>21525.093920454547</v>
          </cell>
          <cell r="G189">
            <v>1532401.3990514772</v>
          </cell>
          <cell r="H189">
            <v>297807.76942795439</v>
          </cell>
          <cell r="I189">
            <v>90198.296249999999</v>
          </cell>
          <cell r="J189">
            <v>5898.46</v>
          </cell>
          <cell r="K189">
            <v>1150375.5413501144</v>
          </cell>
          <cell r="L189">
            <v>902584.35</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N189" t="str">
            <v>SUPPBASE</v>
          </cell>
          <cell r="AO189" t="str">
            <v>INT</v>
          </cell>
          <cell r="AP189">
            <v>0</v>
          </cell>
          <cell r="AQ189">
            <v>0</v>
          </cell>
          <cell r="AR189">
            <v>0</v>
          </cell>
        </row>
        <row r="190">
          <cell r="D190" t="str">
            <v>MREquipment%</v>
          </cell>
          <cell r="E190">
            <v>4000790.9100000006</v>
          </cell>
          <cell r="F190">
            <v>5.3802096647071578E-3</v>
          </cell>
          <cell r="G190">
            <v>0.38302461526325476</v>
          </cell>
          <cell r="H190">
            <v>7.4437224070766139E-2</v>
          </cell>
          <cell r="I190">
            <v>2.2545116273022123E-2</v>
          </cell>
          <cell r="J190">
            <v>1.4743234857029805E-3</v>
          </cell>
          <cell r="K190">
            <v>0.28753703135916048</v>
          </cell>
          <cell r="L190">
            <v>0.22560147988338633</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N190" t="str">
            <v>SUPPBASE%</v>
          </cell>
          <cell r="AO190">
            <v>0</v>
          </cell>
          <cell r="AP190">
            <v>0</v>
          </cell>
          <cell r="AQ190">
            <v>0</v>
          </cell>
          <cell r="AR190">
            <v>0</v>
          </cell>
        </row>
        <row r="192">
          <cell r="D192" t="str">
            <v>Write-offs</v>
          </cell>
          <cell r="E192" t="str">
            <v>EXT</v>
          </cell>
          <cell r="F192">
            <v>6335220.29</v>
          </cell>
          <cell r="G192">
            <v>998898.33000000007</v>
          </cell>
          <cell r="H192">
            <v>7907.01</v>
          </cell>
          <cell r="I192">
            <v>121018.45</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N192" t="str">
            <v>STORBASE</v>
          </cell>
          <cell r="AO192" t="str">
            <v>INT</v>
          </cell>
          <cell r="AP192">
            <v>0</v>
          </cell>
          <cell r="AQ192">
            <v>0</v>
          </cell>
          <cell r="AR192">
            <v>0</v>
          </cell>
        </row>
        <row r="193">
          <cell r="D193" t="str">
            <v>Write-offs%</v>
          </cell>
          <cell r="E193">
            <v>7463044.0800000001</v>
          </cell>
          <cell r="F193">
            <v>0.84887885185853007</v>
          </cell>
          <cell r="G193">
            <v>0.13384596409887478</v>
          </cell>
          <cell r="H193">
            <v>1.0594885833770931E-3</v>
          </cell>
          <cell r="I193">
            <v>1.621569545921803E-2</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N193" t="str">
            <v>STORBASE%</v>
          </cell>
          <cell r="AO193">
            <v>0</v>
          </cell>
          <cell r="AP193">
            <v>0</v>
          </cell>
          <cell r="AQ193">
            <v>0</v>
          </cell>
          <cell r="AR193">
            <v>0</v>
          </cell>
        </row>
        <row r="195">
          <cell r="D195" t="str">
            <v>AdvConstruction</v>
          </cell>
          <cell r="E195" t="str">
            <v>EXT</v>
          </cell>
          <cell r="F195">
            <v>281212.65000000002</v>
          </cell>
          <cell r="G195">
            <v>218551.64</v>
          </cell>
          <cell r="H195">
            <v>197492.31000000003</v>
          </cell>
          <cell r="I195">
            <v>0</v>
          </cell>
          <cell r="J195">
            <v>0</v>
          </cell>
          <cell r="K195">
            <v>2663250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N195" t="str">
            <v>TRANBASE</v>
          </cell>
          <cell r="AO195" t="str">
            <v>INT</v>
          </cell>
          <cell r="AP195">
            <v>3655873.9847554266</v>
          </cell>
          <cell r="AQ195">
            <v>4105831.0844780672</v>
          </cell>
          <cell r="AR195">
            <v>0</v>
          </cell>
        </row>
        <row r="196">
          <cell r="D196" t="str">
            <v>AdvConstruction%</v>
          </cell>
          <cell r="E196">
            <v>3360506.6</v>
          </cell>
          <cell r="F196">
            <v>8.368162407417977E-2</v>
          </cell>
          <cell r="G196">
            <v>6.5035325328627533E-2</v>
          </cell>
          <cell r="H196">
            <v>5.8768612446706704E-2</v>
          </cell>
          <cell r="I196">
            <v>0</v>
          </cell>
          <cell r="J196">
            <v>0</v>
          </cell>
          <cell r="K196">
            <v>0.79251443815048594</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N196" t="str">
            <v>TRANBASE%</v>
          </cell>
          <cell r="AO196">
            <v>7761705.0692334939</v>
          </cell>
          <cell r="AP196">
            <v>0.47101428773001058</v>
          </cell>
          <cell r="AQ196">
            <v>0.52898571226998936</v>
          </cell>
          <cell r="AR196">
            <v>0</v>
          </cell>
        </row>
        <row r="198">
          <cell r="D198" t="str">
            <v>BILLCUST</v>
          </cell>
          <cell r="E198" t="str">
            <v>EXT</v>
          </cell>
          <cell r="F198">
            <v>2179888</v>
          </cell>
          <cell r="G198">
            <v>305527</v>
          </cell>
          <cell r="H198">
            <v>5408</v>
          </cell>
          <cell r="I198">
            <v>1042</v>
          </cell>
          <cell r="J198">
            <v>120</v>
          </cell>
          <cell r="K198">
            <v>2302</v>
          </cell>
          <cell r="L198">
            <v>134</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N198" t="str">
            <v>DISTBASE</v>
          </cell>
          <cell r="AO198" t="str">
            <v>INT</v>
          </cell>
          <cell r="AP198">
            <v>99765676.409031928</v>
          </cell>
          <cell r="AQ198">
            <v>105018714.93202434</v>
          </cell>
          <cell r="AR198">
            <v>88314629.287351757</v>
          </cell>
        </row>
        <row r="199">
          <cell r="D199" t="str">
            <v>BILLCUST%</v>
          </cell>
          <cell r="E199">
            <v>2494421</v>
          </cell>
          <cell r="F199">
            <v>0.87390540730694621</v>
          </cell>
          <cell r="G199">
            <v>0.12248413559699826</v>
          </cell>
          <cell r="H199">
            <v>2.1680381940338057E-3</v>
          </cell>
          <cell r="I199">
            <v>4.1773221120251953E-4</v>
          </cell>
          <cell r="J199">
            <v>4.8107356376489773E-5</v>
          </cell>
          <cell r="K199">
            <v>9.2285945315566213E-4</v>
          </cell>
          <cell r="L199">
            <v>5.371988128708025E-5</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N199" t="str">
            <v>DISTBASE%</v>
          </cell>
          <cell r="AO199">
            <v>293099020.62840807</v>
          </cell>
          <cell r="AP199">
            <v>0.34038215547473694</v>
          </cell>
          <cell r="AQ199">
            <v>0.35830455764356656</v>
          </cell>
          <cell r="AR199">
            <v>0.30131328688169634</v>
          </cell>
        </row>
        <row r="201">
          <cell r="D201" t="str">
            <v>CollDollars</v>
          </cell>
          <cell r="E201" t="str">
            <v>EXT</v>
          </cell>
          <cell r="F201">
            <v>1093656.8900000001</v>
          </cell>
          <cell r="G201">
            <v>259636.05</v>
          </cell>
          <cell r="H201">
            <v>76651.62</v>
          </cell>
          <cell r="I201">
            <v>51621.7</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N201" t="str">
            <v>BBA_PPBASE</v>
          </cell>
          <cell r="AO201" t="str">
            <v>INT</v>
          </cell>
          <cell r="AP201">
            <v>0</v>
          </cell>
          <cell r="AQ201">
            <v>0</v>
          </cell>
          <cell r="AR201">
            <v>0</v>
          </cell>
        </row>
        <row r="202">
          <cell r="D202" t="str">
            <v>CollDollars%</v>
          </cell>
          <cell r="E202">
            <v>1481566.26</v>
          </cell>
          <cell r="F202">
            <v>0.73817615825025618</v>
          </cell>
          <cell r="G202">
            <v>0.17524430530700663</v>
          </cell>
          <cell r="H202">
            <v>5.1736882831011549E-2</v>
          </cell>
          <cell r="I202">
            <v>3.4842653611725741E-2</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N202" t="str">
            <v>BBA_PPBASE%</v>
          </cell>
          <cell r="AO202">
            <v>0</v>
          </cell>
          <cell r="AP202">
            <v>0</v>
          </cell>
          <cell r="AQ202">
            <v>0</v>
          </cell>
          <cell r="AR202">
            <v>0</v>
          </cell>
        </row>
        <row r="204">
          <cell r="D204" t="str">
            <v>CUST-902</v>
          </cell>
          <cell r="E204" t="str">
            <v>EXT</v>
          </cell>
          <cell r="F204">
            <v>345159.42165312433</v>
          </cell>
          <cell r="G204">
            <v>48376.578346875664</v>
          </cell>
          <cell r="H204">
            <v>13088.909260493008</v>
          </cell>
          <cell r="I204">
            <v>2521.938507661559</v>
          </cell>
          <cell r="J204">
            <v>290.4343770819454</v>
          </cell>
          <cell r="K204">
            <v>5571.4994670219858</v>
          </cell>
          <cell r="L204">
            <v>324.31838774150566</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N204" t="str">
            <v>SUPPGAS</v>
          </cell>
          <cell r="AO204" t="str">
            <v>INT</v>
          </cell>
          <cell r="AP204">
            <v>0</v>
          </cell>
          <cell r="AQ204">
            <v>0</v>
          </cell>
          <cell r="AR204">
            <v>0</v>
          </cell>
        </row>
        <row r="205">
          <cell r="D205" t="str">
            <v>CUST-902%</v>
          </cell>
          <cell r="E205">
            <v>415333.1</v>
          </cell>
          <cell r="F205">
            <v>0.83104241307308357</v>
          </cell>
          <cell r="G205">
            <v>0.11647657830997737</v>
          </cell>
          <cell r="H205">
            <v>3.1514245458628291E-2</v>
          </cell>
          <cell r="I205">
            <v>6.0720864955419139E-3</v>
          </cell>
          <cell r="J205">
            <v>6.9928059449618973E-4</v>
          </cell>
          <cell r="K205">
            <v>1.3414532737751906E-2</v>
          </cell>
          <cell r="L205">
            <v>7.8086333052074513E-4</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N205" t="str">
            <v>SUPPGAS%</v>
          </cell>
          <cell r="AO205">
            <v>0</v>
          </cell>
          <cell r="AP205">
            <v>0</v>
          </cell>
          <cell r="AQ205">
            <v>0</v>
          </cell>
          <cell r="AR205">
            <v>0</v>
          </cell>
        </row>
        <row r="207">
          <cell r="D207" t="str">
            <v>Acct-813_D</v>
          </cell>
          <cell r="E207" t="str">
            <v>EXT</v>
          </cell>
          <cell r="F207">
            <v>48906.78836516937</v>
          </cell>
          <cell r="G207">
            <v>34637.302782625309</v>
          </cell>
          <cell r="H207">
            <v>4954.8351863708858</v>
          </cell>
          <cell r="I207">
            <v>4722.1931089153359</v>
          </cell>
          <cell r="J207">
            <v>1761.935113569087</v>
          </cell>
          <cell r="K207">
            <v>23760.121064918745</v>
          </cell>
          <cell r="L207">
            <v>19156.932743931251</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N207" t="str">
            <v>STORGAS</v>
          </cell>
          <cell r="AO207" t="str">
            <v>INT</v>
          </cell>
          <cell r="AP207">
            <v>0</v>
          </cell>
          <cell r="AQ207">
            <v>0</v>
          </cell>
          <cell r="AR207">
            <v>0</v>
          </cell>
        </row>
        <row r="208">
          <cell r="D208" t="str">
            <v>Acct-813_D%</v>
          </cell>
          <cell r="E208">
            <v>137900.10836549997</v>
          </cell>
          <cell r="F208">
            <v>0.35465373410398954</v>
          </cell>
          <cell r="G208">
            <v>0.25117676260862837</v>
          </cell>
          <cell r="H208">
            <v>3.5930611259842149E-2</v>
          </cell>
          <cell r="I208">
            <v>3.4243577941210239E-2</v>
          </cell>
          <cell r="J208">
            <v>1.2776894336436143E-2</v>
          </cell>
          <cell r="K208">
            <v>0.17229950974326488</v>
          </cell>
          <cell r="L208">
            <v>0.13891891000662882</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N208" t="str">
            <v>STORGAS%</v>
          </cell>
          <cell r="AO208">
            <v>0</v>
          </cell>
          <cell r="AP208">
            <v>0</v>
          </cell>
          <cell r="AQ208">
            <v>0</v>
          </cell>
          <cell r="AR208">
            <v>0</v>
          </cell>
        </row>
        <row r="210">
          <cell r="D210" t="str">
            <v>Acct-813_E</v>
          </cell>
          <cell r="E210" t="str">
            <v>EXT</v>
          </cell>
          <cell r="F210">
            <v>84130.545240089734</v>
          </cell>
          <cell r="G210">
            <v>56939.588957301436</v>
          </cell>
          <cell r="H210">
            <v>7992.1759377842727</v>
          </cell>
          <cell r="I210">
            <v>7774.7787083600451</v>
          </cell>
          <cell r="J210">
            <v>2694.1894242545095</v>
          </cell>
          <cell r="K210">
            <v>62073.490801793734</v>
          </cell>
          <cell r="L210">
            <v>40561.249864716279</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N210" t="str">
            <v>TRANGAS</v>
          </cell>
          <cell r="AO210" t="str">
            <v>INT</v>
          </cell>
          <cell r="AP210">
            <v>0</v>
          </cell>
          <cell r="AQ210">
            <v>0</v>
          </cell>
          <cell r="AR210">
            <v>0</v>
          </cell>
        </row>
        <row r="211">
          <cell r="D211" t="str">
            <v>Acct-813_E%</v>
          </cell>
          <cell r="E211">
            <v>262166.01893429999</v>
          </cell>
          <cell r="F211">
            <v>0.32090560623409103</v>
          </cell>
          <cell r="G211">
            <v>0.21718905138339364</v>
          </cell>
          <cell r="H211">
            <v>3.0485171076985184E-2</v>
          </cell>
          <cell r="I211">
            <v>2.9655936112408375E-2</v>
          </cell>
          <cell r="J211">
            <v>1.0276653836398551E-2</v>
          </cell>
          <cell r="K211">
            <v>0.23677168785688291</v>
          </cell>
          <cell r="L211">
            <v>0.15471589349984033</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N211" t="str">
            <v>TRANGAS%</v>
          </cell>
          <cell r="AO211">
            <v>0</v>
          </cell>
          <cell r="AP211">
            <v>0</v>
          </cell>
          <cell r="AQ211">
            <v>0</v>
          </cell>
          <cell r="AR211">
            <v>0</v>
          </cell>
        </row>
        <row r="213">
          <cell r="D213" t="str">
            <v>Acct-871</v>
          </cell>
          <cell r="E213" t="str">
            <v>EXT</v>
          </cell>
          <cell r="F213">
            <v>84892.624710250631</v>
          </cell>
          <cell r="G213">
            <v>57455.364668250739</v>
          </cell>
          <cell r="H213">
            <v>8064.5714415423663</v>
          </cell>
          <cell r="I213">
            <v>7845.2049634351388</v>
          </cell>
          <cell r="J213">
            <v>2718.5941923811115</v>
          </cell>
          <cell r="K213">
            <v>51257.3528041057</v>
          </cell>
          <cell r="L213">
            <v>33493.56170623433</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N213" t="str">
            <v>DISTGAS</v>
          </cell>
          <cell r="AO213" t="str">
            <v>INT</v>
          </cell>
          <cell r="AP213">
            <v>0</v>
          </cell>
          <cell r="AQ213">
            <v>0</v>
          </cell>
          <cell r="AR213">
            <v>0</v>
          </cell>
        </row>
        <row r="214">
          <cell r="D214" t="str">
            <v>Acct-871%</v>
          </cell>
          <cell r="E214">
            <v>245727.27448619998</v>
          </cell>
          <cell r="F214">
            <v>0.34547497784995856</v>
          </cell>
          <cell r="G214">
            <v>0.23381761258853431</v>
          </cell>
          <cell r="H214">
            <v>3.2819195420633988E-2</v>
          </cell>
          <cell r="I214">
            <v>3.1926472060698027E-2</v>
          </cell>
          <cell r="J214">
            <v>1.1063461303046307E-2</v>
          </cell>
          <cell r="K214">
            <v>0.20859447902672404</v>
          </cell>
          <cell r="L214">
            <v>0.13630380175040491</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N214" t="str">
            <v>DISTGAS%</v>
          </cell>
          <cell r="AO214">
            <v>0</v>
          </cell>
          <cell r="AP214">
            <v>0</v>
          </cell>
          <cell r="AQ214">
            <v>0</v>
          </cell>
          <cell r="AR214">
            <v>0</v>
          </cell>
        </row>
        <row r="216">
          <cell r="D216" t="str">
            <v>Regulator</v>
          </cell>
          <cell r="E216" t="str">
            <v>EXT</v>
          </cell>
          <cell r="F216">
            <v>213657597.7288664</v>
          </cell>
          <cell r="G216">
            <v>42874818.96945364</v>
          </cell>
          <cell r="H216">
            <v>614617.57947783265</v>
          </cell>
          <cell r="I216">
            <v>5079.9921828791194</v>
          </cell>
          <cell r="J216">
            <v>180.66614484161957</v>
          </cell>
          <cell r="K216">
            <v>376.84664245536271</v>
          </cell>
          <cell r="L216">
            <v>101.5818575207166</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N216" t="str">
            <v>Comm_PassGAS</v>
          </cell>
          <cell r="AO216" t="str">
            <v>INT</v>
          </cell>
          <cell r="AP216">
            <v>0</v>
          </cell>
          <cell r="AQ216">
            <v>0</v>
          </cell>
          <cell r="AR216">
            <v>0</v>
          </cell>
        </row>
        <row r="217">
          <cell r="D217" t="str">
            <v>Regulator%</v>
          </cell>
          <cell r="E217">
            <v>257152773.3646256</v>
          </cell>
          <cell r="F217">
            <v>0.83085861736328259</v>
          </cell>
          <cell r="G217">
            <v>0.16672897751975627</v>
          </cell>
          <cell r="H217">
            <v>2.3900873066079889E-3</v>
          </cell>
          <cell r="I217">
            <v>1.9754763351029571E-5</v>
          </cell>
          <cell r="J217">
            <v>7.0256347025838581E-7</v>
          </cell>
          <cell r="K217">
            <v>1.4654582080708075E-6</v>
          </cell>
          <cell r="L217">
            <v>3.9502532363001293E-7</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N217" t="str">
            <v>Comm_PassGAS%</v>
          </cell>
          <cell r="AO217">
            <v>0</v>
          </cell>
          <cell r="AP217">
            <v>0</v>
          </cell>
          <cell r="AQ217">
            <v>0</v>
          </cell>
          <cell r="AR217">
            <v>0</v>
          </cell>
        </row>
        <row r="219">
          <cell r="D219" t="str">
            <v>Misc_charges_taxes</v>
          </cell>
          <cell r="E219" t="str">
            <v>EXT</v>
          </cell>
          <cell r="F219">
            <v>4461618.0000000009</v>
          </cell>
          <cell r="G219">
            <v>3291556.8799999994</v>
          </cell>
          <cell r="H219">
            <v>275417.38</v>
          </cell>
          <cell r="I219">
            <v>259311.82</v>
          </cell>
          <cell r="J219">
            <v>76441.499999999985</v>
          </cell>
          <cell r="K219">
            <v>2437432.7999999998</v>
          </cell>
          <cell r="L219">
            <v>292941.71000000002</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N219" t="str">
            <v>STORCUSTACCT</v>
          </cell>
          <cell r="AO219" t="str">
            <v>INT</v>
          </cell>
          <cell r="AP219">
            <v>0</v>
          </cell>
          <cell r="AQ219">
            <v>0</v>
          </cell>
          <cell r="AR219">
            <v>0</v>
          </cell>
        </row>
        <row r="220">
          <cell r="D220" t="str">
            <v>Misc_charges_taxes%</v>
          </cell>
          <cell r="E220">
            <v>11094720.090000002</v>
          </cell>
          <cell r="F220">
            <v>0.40213885197711197</v>
          </cell>
          <cell r="G220">
            <v>0.29667777585184657</v>
          </cell>
          <cell r="H220">
            <v>2.4824184636099273E-2</v>
          </cell>
          <cell r="I220">
            <v>2.3372542785800011E-2</v>
          </cell>
          <cell r="J220">
            <v>6.8898989230831483E-3</v>
          </cell>
          <cell r="K220">
            <v>0.21969304139515244</v>
          </cell>
          <cell r="L220">
            <v>2.6403704430906467E-2</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N220" t="str">
            <v>STORCUSTACCT%</v>
          </cell>
          <cell r="AO220">
            <v>0</v>
          </cell>
          <cell r="AP220">
            <v>0</v>
          </cell>
          <cell r="AQ220">
            <v>0</v>
          </cell>
          <cell r="AR220">
            <v>0</v>
          </cell>
        </row>
        <row r="221">
          <cell r="D221" t="str">
            <v>START OF INT FACTORS</v>
          </cell>
        </row>
        <row r="222">
          <cell r="D222" t="str">
            <v>SUPPL/P-C</v>
          </cell>
          <cell r="E222" t="str">
            <v>INT</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N222" t="str">
            <v>INTANGPT-SUPP</v>
          </cell>
          <cell r="AO222" t="str">
            <v>INT</v>
          </cell>
          <cell r="AP222">
            <v>0</v>
          </cell>
          <cell r="AQ222">
            <v>0</v>
          </cell>
          <cell r="AR222">
            <v>0</v>
          </cell>
        </row>
        <row r="223">
          <cell r="D223" t="str">
            <v>SUPPL/P-C%</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N223" t="str">
            <v>INTANGPT-SUPP%</v>
          </cell>
          <cell r="AO223">
            <v>0</v>
          </cell>
          <cell r="AP223">
            <v>0</v>
          </cell>
          <cell r="AQ223">
            <v>0</v>
          </cell>
          <cell r="AR223">
            <v>0</v>
          </cell>
        </row>
        <row r="225">
          <cell r="D225" t="str">
            <v>STORL/P-C</v>
          </cell>
          <cell r="E225" t="str">
            <v>INT</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N225" t="str">
            <v>INTANGPT-STOR</v>
          </cell>
          <cell r="AO225" t="str">
            <v>INT</v>
          </cell>
          <cell r="AP225">
            <v>0</v>
          </cell>
          <cell r="AQ225">
            <v>0</v>
          </cell>
          <cell r="AR225">
            <v>0</v>
          </cell>
        </row>
        <row r="226">
          <cell r="D226" t="str">
            <v>STORL/P-C%</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N226" t="str">
            <v>INTANGPT-STOR%</v>
          </cell>
          <cell r="AO226">
            <v>0</v>
          </cell>
          <cell r="AP226">
            <v>0</v>
          </cell>
          <cell r="AQ226">
            <v>0</v>
          </cell>
          <cell r="AR226">
            <v>0</v>
          </cell>
        </row>
        <row r="228">
          <cell r="D228" t="str">
            <v>TRANL/P-C</v>
          </cell>
          <cell r="E228" t="str">
            <v>INT</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N228" t="str">
            <v>INTANGPT-TRANS</v>
          </cell>
          <cell r="AO228" t="str">
            <v>INT</v>
          </cell>
          <cell r="AP228">
            <v>91289.26690163996</v>
          </cell>
          <cell r="AQ228">
            <v>3295064.1094730236</v>
          </cell>
          <cell r="AR228">
            <v>0</v>
          </cell>
        </row>
        <row r="229">
          <cell r="D229" t="str">
            <v>TRANL/P-C%</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N229" t="str">
            <v>INTANGPT-TRANS%</v>
          </cell>
          <cell r="AO229">
            <v>3386353.3763746633</v>
          </cell>
          <cell r="AP229">
            <v>2.6957985997129376E-2</v>
          </cell>
          <cell r="AQ229">
            <v>0.97304201400287071</v>
          </cell>
          <cell r="AR229">
            <v>0</v>
          </cell>
        </row>
        <row r="231">
          <cell r="D231" t="str">
            <v>DISTL/P-C</v>
          </cell>
          <cell r="E231" t="str">
            <v>INT</v>
          </cell>
          <cell r="F231">
            <v>8793514.9885750264</v>
          </cell>
          <cell r="G231">
            <v>1876686.1793351127</v>
          </cell>
          <cell r="H231">
            <v>101125.33702715908</v>
          </cell>
          <cell r="I231">
            <v>44222.248087622087</v>
          </cell>
          <cell r="J231">
            <v>14462.720350276293</v>
          </cell>
          <cell r="K231">
            <v>251373.66699261847</v>
          </cell>
          <cell r="L231">
            <v>74488.509439397429</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N231" t="str">
            <v>Inc_before_Tax_Supp</v>
          </cell>
          <cell r="AO231" t="str">
            <v>INT</v>
          </cell>
          <cell r="AP231">
            <v>-110925.07670791059</v>
          </cell>
          <cell r="AQ231">
            <v>4751156.8890490476</v>
          </cell>
          <cell r="AR231">
            <v>0</v>
          </cell>
        </row>
        <row r="232">
          <cell r="D232" t="str">
            <v>DISTL/P-C%</v>
          </cell>
          <cell r="E232">
            <v>11155873.649807213</v>
          </cell>
          <cell r="F232">
            <v>0.78824081955490677</v>
          </cell>
          <cell r="G232">
            <v>0.16822404396517562</v>
          </cell>
          <cell r="H232">
            <v>9.0647617749692478E-3</v>
          </cell>
          <cell r="I232">
            <v>3.9640327127930764E-3</v>
          </cell>
          <cell r="J232">
            <v>1.2964220288140523E-3</v>
          </cell>
          <cell r="K232">
            <v>2.2532853533794056E-2</v>
          </cell>
          <cell r="L232">
            <v>6.6770664295471545E-3</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N232" t="str">
            <v>Inc_before_Tax_Supp%</v>
          </cell>
          <cell r="AO232">
            <v>4640231.8123411369</v>
          </cell>
          <cell r="AP232">
            <v>-2.3905072245075088E-2</v>
          </cell>
          <cell r="AQ232">
            <v>1.0239050722450751</v>
          </cell>
          <cell r="AR232">
            <v>0</v>
          </cell>
        </row>
        <row r="234">
          <cell r="D234" t="str">
            <v>BBAL/P-C</v>
          </cell>
          <cell r="E234" t="str">
            <v>INT</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N234" t="str">
            <v>Inc_before_Tax_Trans</v>
          </cell>
          <cell r="AO234" t="str">
            <v>INT</v>
          </cell>
          <cell r="AP234">
            <v>270064.17653198412</v>
          </cell>
          <cell r="AQ234">
            <v>292821.42337427801</v>
          </cell>
          <cell r="AR234">
            <v>0</v>
          </cell>
        </row>
        <row r="235">
          <cell r="D235" t="str">
            <v>BBAL/P-C%</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N235" t="str">
            <v>Inc_before_Tax_Trans%</v>
          </cell>
          <cell r="AO235">
            <v>562885.59990626213</v>
          </cell>
          <cell r="AP235">
            <v>0.47978519361120298</v>
          </cell>
          <cell r="AQ235">
            <v>0.52021480638879702</v>
          </cell>
          <cell r="AR235">
            <v>0</v>
          </cell>
        </row>
        <row r="237">
          <cell r="D237" t="str">
            <v>Gather_L/P-D</v>
          </cell>
          <cell r="E237" t="str">
            <v>INT</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N237" t="str">
            <v>Inc_before_Tax_Dist</v>
          </cell>
          <cell r="AO237" t="str">
            <v>INT</v>
          </cell>
          <cell r="AP237">
            <v>7047447.7756485101</v>
          </cell>
          <cell r="AQ237">
            <v>7371421.1961781727</v>
          </cell>
          <cell r="AR237">
            <v>5558330.8085893281</v>
          </cell>
        </row>
        <row r="238">
          <cell r="D238" t="str">
            <v>Gather_L/P-D%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N238" t="str">
            <v>Inc_before_Tax_Dist%</v>
          </cell>
          <cell r="AO238">
            <v>19977199.780416012</v>
          </cell>
          <cell r="AP238">
            <v>0.35277455564904764</v>
          </cell>
          <cell r="AQ238">
            <v>0.36899171441457485</v>
          </cell>
          <cell r="AR238">
            <v>0.27823372993637746</v>
          </cell>
        </row>
        <row r="240">
          <cell r="D240" t="str">
            <v>Gather_L/P-E</v>
          </cell>
          <cell r="E240" t="str">
            <v>INT</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N240" t="str">
            <v>RevDeficiency_Supp</v>
          </cell>
          <cell r="AO240" t="str">
            <v>INT</v>
          </cell>
          <cell r="AP240">
            <v>110954.60283151321</v>
          </cell>
          <cell r="AQ240">
            <v>0</v>
          </cell>
          <cell r="AR240">
            <v>0</v>
          </cell>
        </row>
        <row r="241">
          <cell r="D241" t="str">
            <v>Gather_L/P-E%</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N241" t="str">
            <v>RevDeficiency_Supp%</v>
          </cell>
          <cell r="AO241">
            <v>110954.60283151321</v>
          </cell>
          <cell r="AP241">
            <v>1</v>
          </cell>
          <cell r="AQ241">
            <v>0</v>
          </cell>
          <cell r="AR241">
            <v>0</v>
          </cell>
        </row>
        <row r="243">
          <cell r="D243" t="str">
            <v>COMMCOLLL/P-C</v>
          </cell>
          <cell r="E243" t="str">
            <v>INT</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N243" t="str">
            <v>RevDeficiency_Trans</v>
          </cell>
          <cell r="AO243" t="str">
            <v>INT</v>
          </cell>
          <cell r="AP243">
            <v>56474.633194235037</v>
          </cell>
          <cell r="AQ243">
            <v>101324.01152238867</v>
          </cell>
          <cell r="AR243">
            <v>0</v>
          </cell>
        </row>
        <row r="244">
          <cell r="D244" t="str">
            <v>COMMCOLLL/P-C%</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N244" t="str">
            <v>RevDeficiency_Trans%</v>
          </cell>
          <cell r="AO244">
            <v>157798.6447166237</v>
          </cell>
          <cell r="AP244">
            <v>0.35789048312583871</v>
          </cell>
          <cell r="AQ244">
            <v>0.64210951687416129</v>
          </cell>
          <cell r="AR244">
            <v>0</v>
          </cell>
        </row>
        <row r="246">
          <cell r="D246" t="str">
            <v>FUNC8L/P-C</v>
          </cell>
          <cell r="E246" t="str">
            <v>INT</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N246" t="str">
            <v>RevDeficiency_Dist</v>
          </cell>
          <cell r="AO246" t="str">
            <v>INT</v>
          </cell>
          <cell r="AP246">
            <v>2338440.3564901389</v>
          </cell>
          <cell r="AQ246">
            <v>2548619.8250438385</v>
          </cell>
          <cell r="AR246">
            <v>5451699.3246328831</v>
          </cell>
        </row>
        <row r="247">
          <cell r="D247" t="str">
            <v>FUNC8L/P-C%</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N247" t="str">
            <v>RevDeficiency_Dist%</v>
          </cell>
          <cell r="AO247">
            <v>10338759.50616686</v>
          </cell>
          <cell r="AP247">
            <v>0.22618190848672964</v>
          </cell>
          <cell r="AQ247">
            <v>0.24651118188053783</v>
          </cell>
          <cell r="AR247">
            <v>0.52730690963273252</v>
          </cell>
        </row>
        <row r="249">
          <cell r="D249" t="str">
            <v>MAINSPT-C</v>
          </cell>
          <cell r="E249" t="str">
            <v>INT</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N249" t="str">
            <v>INTANGPT-DIST</v>
          </cell>
          <cell r="AO249" t="str">
            <v>INT</v>
          </cell>
          <cell r="AP249">
            <v>2185930.0051490529</v>
          </cell>
          <cell r="AQ249">
            <v>2178836.3890014011</v>
          </cell>
          <cell r="AR249">
            <v>19071616.706635259</v>
          </cell>
        </row>
        <row r="250">
          <cell r="D250" t="str">
            <v>MAINSPT-C%</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N250" t="str">
            <v>INTANGPT-DIST%</v>
          </cell>
          <cell r="AO250">
            <v>23436383.100785714</v>
          </cell>
          <cell r="AP250">
            <v>9.3270791646846263E-2</v>
          </cell>
          <cell r="AQ250">
            <v>9.2968116267409653E-2</v>
          </cell>
          <cell r="AR250">
            <v>0.8137610920857441</v>
          </cell>
        </row>
        <row r="252">
          <cell r="D252" t="str">
            <v>DISTMAIN-SERVICE-C</v>
          </cell>
          <cell r="E252" t="str">
            <v>INT</v>
          </cell>
          <cell r="F252">
            <v>130140135.40071529</v>
          </cell>
          <cell r="G252">
            <v>28855526.438258994</v>
          </cell>
          <cell r="H252">
            <v>825991.05375804962</v>
          </cell>
          <cell r="I252">
            <v>6522.2864284832249</v>
          </cell>
          <cell r="J252">
            <v>288367.65271656949</v>
          </cell>
          <cell r="K252">
            <v>2885588.2231226261</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row>
        <row r="253">
          <cell r="D253" t="str">
            <v>DISTMAIN-SERVICE-C%</v>
          </cell>
          <cell r="E253">
            <v>163002131.05500004</v>
          </cell>
          <cell r="F253">
            <v>0.79839530046882345</v>
          </cell>
          <cell r="G253">
            <v>0.17702545513667295</v>
          </cell>
          <cell r="H253">
            <v>5.067363527163608E-3</v>
          </cell>
          <cell r="I253">
            <v>4.0013504033775368E-5</v>
          </cell>
          <cell r="J253">
            <v>1.769103574598474E-3</v>
          </cell>
          <cell r="K253">
            <v>1.7702763788707606E-2</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row>
        <row r="255">
          <cell r="D255" t="str">
            <v>DISTMETER-REG-C</v>
          </cell>
          <cell r="E255" t="str">
            <v>INT</v>
          </cell>
          <cell r="F255">
            <v>56484379.56327042</v>
          </cell>
          <cell r="G255">
            <v>12817923.649069332</v>
          </cell>
          <cell r="H255">
            <v>698315.77623742772</v>
          </cell>
          <cell r="I255">
            <v>365003.38321187446</v>
          </cell>
          <cell r="J255">
            <v>51457.72729615961</v>
          </cell>
          <cell r="K255">
            <v>957269.90237046161</v>
          </cell>
          <cell r="L255">
            <v>17856.494896059092</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row>
        <row r="256">
          <cell r="D256" t="str">
            <v>DISTMETER-REG-C%</v>
          </cell>
          <cell r="E256">
            <v>71392206.496351749</v>
          </cell>
          <cell r="F256">
            <v>0.79118411287871959</v>
          </cell>
          <cell r="G256">
            <v>0.17954233771615319</v>
          </cell>
          <cell r="H256">
            <v>9.781400666935721E-3</v>
          </cell>
          <cell r="I256">
            <v>5.11265026148935E-3</v>
          </cell>
          <cell r="J256">
            <v>7.2077513529140156E-4</v>
          </cell>
          <cell r="K256">
            <v>1.3408605075392642E-2</v>
          </cell>
          <cell r="L256">
            <v>2.5011826601789632E-4</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row>
        <row r="258">
          <cell r="D258" t="str">
            <v>RATEBASESALES</v>
          </cell>
          <cell r="E258" t="str">
            <v>INT</v>
          </cell>
          <cell r="F258">
            <v>138951056.93176934</v>
          </cell>
          <cell r="G258">
            <v>63985138.582109958</v>
          </cell>
          <cell r="H258">
            <v>7018899.6033730656</v>
          </cell>
          <cell r="I258">
            <v>5465154.2697260026</v>
          </cell>
          <cell r="J258">
            <v>805206.43054783135</v>
          </cell>
          <cell r="K258">
            <v>63172440.408265606</v>
          </cell>
          <cell r="L258">
            <v>21462829.471849736</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N258" t="str">
            <v>LAST Line of Cfactor and Cfirst Range</v>
          </cell>
        </row>
        <row r="259">
          <cell r="D259" t="str">
            <v>RATEBASESALES%</v>
          </cell>
          <cell r="E259">
            <v>300860725.69764155</v>
          </cell>
          <cell r="F259">
            <v>0.46184511657201849</v>
          </cell>
          <cell r="G259">
            <v>0.21267361645073482</v>
          </cell>
          <cell r="H259">
            <v>2.3329397970098982E-2</v>
          </cell>
          <cell r="I259">
            <v>1.8165063775118201E-2</v>
          </cell>
          <cell r="J259">
            <v>2.6763427784756667E-3</v>
          </cell>
          <cell r="K259">
            <v>0.20997237263780494</v>
          </cell>
          <cell r="L259">
            <v>7.1338089815748865E-2</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row>
        <row r="261">
          <cell r="D261" t="str">
            <v>RATEBASE</v>
          </cell>
          <cell r="E261" t="str">
            <v>INT</v>
          </cell>
          <cell r="F261">
            <v>138951056.93176934</v>
          </cell>
          <cell r="G261">
            <v>63985138.582109958</v>
          </cell>
          <cell r="H261">
            <v>7018899.6033730656</v>
          </cell>
          <cell r="I261">
            <v>5465154.2697260026</v>
          </cell>
          <cell r="J261">
            <v>805206.43054783135</v>
          </cell>
          <cell r="K261">
            <v>63172440.408265606</v>
          </cell>
          <cell r="L261">
            <v>21462829.471849736</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row>
        <row r="262">
          <cell r="D262" t="str">
            <v>RATEBASE%</v>
          </cell>
          <cell r="E262">
            <v>300860725.69764155</v>
          </cell>
          <cell r="F262">
            <v>0.46184511657201849</v>
          </cell>
          <cell r="G262">
            <v>0.21267361645073482</v>
          </cell>
          <cell r="H262">
            <v>2.3329397970098982E-2</v>
          </cell>
          <cell r="I262">
            <v>1.8165063775118201E-2</v>
          </cell>
          <cell r="J262">
            <v>2.6763427784756667E-3</v>
          </cell>
          <cell r="K262">
            <v>0.20997237263780494</v>
          </cell>
          <cell r="L262">
            <v>7.1338089815748865E-2</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row>
        <row r="264">
          <cell r="D264" t="str">
            <v>Service_Internal</v>
          </cell>
          <cell r="E264" t="str">
            <v>INT</v>
          </cell>
          <cell r="F264">
            <v>130140135.40071529</v>
          </cell>
          <cell r="G264">
            <v>28855526.438258994</v>
          </cell>
          <cell r="H264">
            <v>825991.05375804962</v>
          </cell>
          <cell r="I264">
            <v>6522.2864284832249</v>
          </cell>
          <cell r="J264">
            <v>288367.65271656949</v>
          </cell>
          <cell r="K264">
            <v>2885588.2231226261</v>
          </cell>
          <cell r="L264">
            <v>22241.79</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row>
        <row r="265">
          <cell r="D265" t="str">
            <v>Service_Internal%</v>
          </cell>
          <cell r="E265">
            <v>163024372.84500003</v>
          </cell>
          <cell r="F265">
            <v>0.79828637356237309</v>
          </cell>
          <cell r="G265">
            <v>0.17700130314682572</v>
          </cell>
          <cell r="H265">
            <v>5.0666721751071149E-3</v>
          </cell>
          <cell r="I265">
            <v>4.0008044899424152E-5</v>
          </cell>
          <cell r="J265">
            <v>1.7688622117304083E-3</v>
          </cell>
          <cell r="K265">
            <v>1.7700348559943117E-2</v>
          </cell>
          <cell r="L265">
            <v>1.3643229912098484E-4</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row>
        <row r="267">
          <cell r="D267" t="str">
            <v>INTANGPT-SUPP-D</v>
          </cell>
          <cell r="E267" t="str">
            <v>INT</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row>
        <row r="268">
          <cell r="D268" t="str">
            <v>INTANGPT-SUPP-D%</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row>
        <row r="270">
          <cell r="D270" t="str">
            <v>INTANGPT-SUPP-E</v>
          </cell>
          <cell r="E270" t="str">
            <v>INT</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row>
        <row r="271">
          <cell r="D271" t="str">
            <v>INTANGPT-SUPP-E%</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row>
        <row r="273">
          <cell r="D273" t="str">
            <v>INTANGPT-SUPP-C</v>
          </cell>
          <cell r="E273" t="str">
            <v>INT</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row>
        <row r="274">
          <cell r="D274" t="str">
            <v>INTANGPT-SUPP-C%</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row>
        <row r="276">
          <cell r="D276" t="str">
            <v>INTANGPT-STOR-D</v>
          </cell>
          <cell r="E276" t="str">
            <v>INT</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row>
        <row r="277">
          <cell r="D277" t="str">
            <v>INTANGPT-STOR-D%</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row>
        <row r="279">
          <cell r="D279" t="str">
            <v>INTANGPT-STOR-E</v>
          </cell>
          <cell r="E279" t="str">
            <v>INT</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row>
        <row r="280">
          <cell r="D280" t="str">
            <v>INTANGPT-STOR-E%</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row>
        <row r="282">
          <cell r="D282" t="str">
            <v>INTANGPT-STOR-C</v>
          </cell>
          <cell r="E282" t="str">
            <v>INT</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row>
        <row r="283">
          <cell r="D283" t="str">
            <v>INTANGPT-STOR-C%</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row>
        <row r="285">
          <cell r="D285" t="str">
            <v>INTANGPT-TRAN-D</v>
          </cell>
          <cell r="E285" t="str">
            <v>INT</v>
          </cell>
          <cell r="F285">
            <v>23595.932163053651</v>
          </cell>
          <cell r="G285">
            <v>15373.682778540791</v>
          </cell>
          <cell r="H285">
            <v>1906.8638238643384</v>
          </cell>
          <cell r="I285">
            <v>1321.6726118429706</v>
          </cell>
          <cell r="J285">
            <v>349.23366408889581</v>
          </cell>
          <cell r="K285">
            <v>25074.935661405543</v>
          </cell>
          <cell r="L285">
            <v>23666.946198843762</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row>
        <row r="286">
          <cell r="D286" t="str">
            <v>INTANGPT-TRAN-D%</v>
          </cell>
          <cell r="E286">
            <v>91289.26690163996</v>
          </cell>
          <cell r="F286">
            <v>0.25847433070611903</v>
          </cell>
          <cell r="G286">
            <v>0.16840624643316762</v>
          </cell>
          <cell r="H286">
            <v>2.0888149161268844E-2</v>
          </cell>
          <cell r="I286">
            <v>1.4477853275643158E-2</v>
          </cell>
          <cell r="J286">
            <v>3.8255720079905914E-3</v>
          </cell>
          <cell r="K286">
            <v>0.27467561644922234</v>
          </cell>
          <cell r="L286">
            <v>0.25925223196658836</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row>
        <row r="288">
          <cell r="D288" t="str">
            <v>INTANGPT-TRAN-E</v>
          </cell>
          <cell r="E288" t="str">
            <v>INT</v>
          </cell>
          <cell r="F288">
            <v>415080.69208500808</v>
          </cell>
          <cell r="G288">
            <v>280926.78971692058</v>
          </cell>
          <cell r="H288">
            <v>39431.551406846746</v>
          </cell>
          <cell r="I288">
            <v>38358.963654214764</v>
          </cell>
          <cell r="J288">
            <v>13292.508774741404</v>
          </cell>
          <cell r="K288">
            <v>1514742.6829523128</v>
          </cell>
          <cell r="L288">
            <v>993230.92088297941</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row>
        <row r="289">
          <cell r="D289" t="str">
            <v>INTANGPT-TRAN-E%</v>
          </cell>
          <cell r="E289">
            <v>3295064.1094730236</v>
          </cell>
          <cell r="F289">
            <v>0.12597044497303925</v>
          </cell>
          <cell r="G289">
            <v>8.5256850969691433E-2</v>
          </cell>
          <cell r="H289">
            <v>1.1966854087446873E-2</v>
          </cell>
          <cell r="I289">
            <v>1.1641340617299697E-2</v>
          </cell>
          <cell r="J289">
            <v>4.0340668142166318E-3</v>
          </cell>
          <cell r="K289">
            <v>0.45970051951267316</v>
          </cell>
          <cell r="L289">
            <v>0.30142992302563298</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row>
        <row r="291">
          <cell r="D291" t="str">
            <v>INTANGPT-TRAN-C</v>
          </cell>
          <cell r="E291" t="str">
            <v>INT</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row>
        <row r="292">
          <cell r="D292" t="str">
            <v>INTANGPT-TRAN-C%</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row>
        <row r="294">
          <cell r="D294" t="str">
            <v>INTANGPT-DIST-D</v>
          </cell>
          <cell r="E294" t="str">
            <v>INT</v>
          </cell>
          <cell r="F294">
            <v>879749.50799669046</v>
          </cell>
          <cell r="G294">
            <v>573191.58942556172</v>
          </cell>
          <cell r="H294">
            <v>71095.411669645997</v>
          </cell>
          <cell r="I294">
            <v>49277.172945181061</v>
          </cell>
          <cell r="J294">
            <v>5965.8074046683278</v>
          </cell>
          <cell r="K294">
            <v>428694.06417786673</v>
          </cell>
          <cell r="L294">
            <v>177956.45152943803</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row>
        <row r="295">
          <cell r="D295" t="str">
            <v>INTANGPT-DIST-D%</v>
          </cell>
          <cell r="E295">
            <v>2185930.0051490525</v>
          </cell>
          <cell r="F295">
            <v>0.40246005403851109</v>
          </cell>
          <cell r="G295">
            <v>0.26221863832573972</v>
          </cell>
          <cell r="H295">
            <v>3.2524102556887771E-2</v>
          </cell>
          <cell r="I295">
            <v>2.2542886931011766E-2</v>
          </cell>
          <cell r="J295">
            <v>2.7291850107805881E-3</v>
          </cell>
          <cell r="K295">
            <v>0.19611518354570337</v>
          </cell>
          <cell r="L295">
            <v>8.140994959136566E-2</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row>
        <row r="297">
          <cell r="D297" t="str">
            <v>INTANGPT-DIST-E</v>
          </cell>
          <cell r="E297" t="str">
            <v>INT</v>
          </cell>
          <cell r="F297">
            <v>614272.43864736962</v>
          </cell>
          <cell r="G297">
            <v>415739.84888087347</v>
          </cell>
          <cell r="H297">
            <v>58354.232572620575</v>
          </cell>
          <cell r="I297">
            <v>56766.924111793363</v>
          </cell>
          <cell r="J297">
            <v>8256.985352482885</v>
          </cell>
          <cell r="K297">
            <v>835406.60394556669</v>
          </cell>
          <cell r="L297">
            <v>190039.35549069443</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row>
        <row r="298">
          <cell r="D298" t="str">
            <v>INTANGPT-DIST-E%</v>
          </cell>
          <cell r="E298">
            <v>2178836.3890014007</v>
          </cell>
          <cell r="F298">
            <v>0.28192683110497413</v>
          </cell>
          <cell r="G298">
            <v>0.19080819972509014</v>
          </cell>
          <cell r="H298">
            <v>2.6782292083604015E-2</v>
          </cell>
          <cell r="I298">
            <v>2.6053780081124241E-2</v>
          </cell>
          <cell r="J298">
            <v>3.7896307378394792E-3</v>
          </cell>
          <cell r="K298">
            <v>0.38341869456680422</v>
          </cell>
          <cell r="L298">
            <v>8.7220571700563909E-2</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row>
        <row r="300">
          <cell r="D300" t="str">
            <v>INTANGPT-DIST-C</v>
          </cell>
          <cell r="E300" t="str">
            <v>INT</v>
          </cell>
          <cell r="F300">
            <v>16350880.142586693</v>
          </cell>
          <cell r="G300">
            <v>2521456.775071172</v>
          </cell>
          <cell r="H300">
            <v>61566.262009142229</v>
          </cell>
          <cell r="I300">
            <v>13703.120252827204</v>
          </cell>
          <cell r="J300">
            <v>5052.2960774152871</v>
          </cell>
          <cell r="K300">
            <v>92902.111838699304</v>
          </cell>
          <cell r="L300">
            <v>26055.998799312001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row>
        <row r="301">
          <cell r="D301" t="str">
            <v>INTANGPT-DIST-C%</v>
          </cell>
          <cell r="E301">
            <v>19071616.706635267</v>
          </cell>
          <cell r="F301">
            <v>0.85734106311490654</v>
          </cell>
          <cell r="G301">
            <v>0.13220991245036526</v>
          </cell>
          <cell r="H301">
            <v>3.2281616685240176E-3</v>
          </cell>
          <cell r="I301">
            <v>7.1850858076755013E-4</v>
          </cell>
          <cell r="J301">
            <v>2.6491178776980804E-4</v>
          </cell>
          <cell r="K301">
            <v>4.8712237283154627E-3</v>
          </cell>
          <cell r="L301">
            <v>1.3662186693510245E-3</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row>
        <row r="303">
          <cell r="D303" t="str">
            <v>SUPPPT-DEM</v>
          </cell>
          <cell r="E303" t="str">
            <v>INT</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row>
        <row r="304">
          <cell r="D304" t="str">
            <v>SUPPPT-DEM%</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row>
        <row r="306">
          <cell r="D306" t="str">
            <v>STORPT-DEM</v>
          </cell>
          <cell r="E306" t="str">
            <v>INT</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row>
        <row r="307">
          <cell r="D307" t="str">
            <v>STORPT-DEM%</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row>
        <row r="309">
          <cell r="D309" t="str">
            <v>TRANPTXL-DEM</v>
          </cell>
          <cell r="E309" t="str">
            <v>INT</v>
          </cell>
          <cell r="F309">
            <v>2090436.6556026735</v>
          </cell>
          <cell r="G309">
            <v>1362002.1362067752</v>
          </cell>
          <cell r="H309">
            <v>168934.96756573248</v>
          </cell>
          <cell r="I309">
            <v>117091.06702844135</v>
          </cell>
          <cell r="J309">
            <v>30939.691118665251</v>
          </cell>
          <cell r="K309">
            <v>2221466.1527784811</v>
          </cell>
          <cell r="L309">
            <v>2120917.7380355126</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row>
        <row r="310">
          <cell r="D310" t="str">
            <v>TRANPTXL-DEM%</v>
          </cell>
          <cell r="E310">
            <v>8111788.4083362818</v>
          </cell>
          <cell r="F310">
            <v>0.25770354826494046</v>
          </cell>
          <cell r="G310">
            <v>0.16790405119629104</v>
          </cell>
          <cell r="H310">
            <v>2.082585973176054E-2</v>
          </cell>
          <cell r="I310">
            <v>1.4434679645749857E-2</v>
          </cell>
          <cell r="J310">
            <v>3.814163974847927E-3</v>
          </cell>
          <cell r="K310">
            <v>0.27385652102260655</v>
          </cell>
          <cell r="L310">
            <v>0.2614611761638036</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row>
        <row r="312">
          <cell r="D312" t="str">
            <v>DISTPTXL-CUST</v>
          </cell>
          <cell r="E312" t="str">
            <v>INT</v>
          </cell>
          <cell r="F312">
            <v>186995391.98514342</v>
          </cell>
          <cell r="G312">
            <v>45212643.551381052</v>
          </cell>
          <cell r="H312">
            <v>2201001.0614196016</v>
          </cell>
          <cell r="I312">
            <v>576327.98569550598</v>
          </cell>
          <cell r="J312">
            <v>353725.68005643669</v>
          </cell>
          <cell r="K312">
            <v>6453324.8999769511</v>
          </cell>
          <cell r="L312">
            <v>2083473.7770165866</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row>
        <row r="313">
          <cell r="D313" t="str">
            <v>DISTPTXL-CUST%</v>
          </cell>
          <cell r="E313">
            <v>243875888.94068953</v>
          </cell>
          <cell r="F313">
            <v>0.76676457355987571</v>
          </cell>
          <cell r="G313">
            <v>0.18539201947256351</v>
          </cell>
          <cell r="H313">
            <v>9.0250867807390497E-3</v>
          </cell>
          <cell r="I313">
            <v>2.3632019885150212E-3</v>
          </cell>
          <cell r="J313">
            <v>1.4504331756324733E-3</v>
          </cell>
          <cell r="K313">
            <v>2.6461512566936848E-2</v>
          </cell>
          <cell r="L313">
            <v>8.5431724557374598E-3</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row>
        <row r="315">
          <cell r="D315" t="str">
            <v>DISTPTXL-DEM</v>
          </cell>
          <cell r="E315" t="str">
            <v>INT</v>
          </cell>
          <cell r="F315">
            <v>72764770.454298258</v>
          </cell>
          <cell r="G315">
            <v>47409125.042718716</v>
          </cell>
          <cell r="H315">
            <v>5880357.1510665631</v>
          </cell>
          <cell r="I315">
            <v>4075753.5473453705</v>
          </cell>
          <cell r="J315">
            <v>493436.60033837362</v>
          </cell>
          <cell r="K315">
            <v>35457621.620107837</v>
          </cell>
          <cell r="L315">
            <v>14718917.406259835</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row>
        <row r="316">
          <cell r="D316" t="str">
            <v>DISTPTXL-DEM%</v>
          </cell>
          <cell r="E316">
            <v>180799981.82213494</v>
          </cell>
          <cell r="F316">
            <v>0.40246005403851115</v>
          </cell>
          <cell r="G316">
            <v>0.26221863832573972</v>
          </cell>
          <cell r="H316">
            <v>3.2524102556887778E-2</v>
          </cell>
          <cell r="I316">
            <v>2.2542886931011766E-2</v>
          </cell>
          <cell r="J316">
            <v>2.729185010780589E-3</v>
          </cell>
          <cell r="K316">
            <v>0.19611518354570343</v>
          </cell>
          <cell r="L316">
            <v>8.1409949591365674E-2</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row>
        <row r="318">
          <cell r="D318" t="str">
            <v>DIST-MtrHReg-DEM</v>
          </cell>
          <cell r="E318" t="str">
            <v>INT</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row>
        <row r="319">
          <cell r="D319" t="str">
            <v>DIST-MtrHReg-DEM%</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row>
        <row r="321">
          <cell r="D321" t="str">
            <v>DISTPT-DEM_xMSM</v>
          </cell>
          <cell r="E321" t="str">
            <v>INT</v>
          </cell>
          <cell r="F321">
            <v>116698.27453270761</v>
          </cell>
          <cell r="G321">
            <v>76033.540064082481</v>
          </cell>
          <cell r="H321">
            <v>9430.7661369802372</v>
          </cell>
          <cell r="I321">
            <v>6536.5891134707899</v>
          </cell>
          <cell r="J321">
            <v>791.36097717699829</v>
          </cell>
          <cell r="K321">
            <v>56866.025086949026</v>
          </cell>
          <cell r="L321">
            <v>23605.822619598392</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row>
        <row r="322">
          <cell r="D322" t="str">
            <v>DISTPT-DEM_xMSM%</v>
          </cell>
          <cell r="E322">
            <v>289962.37853096554</v>
          </cell>
          <cell r="F322">
            <v>0.40246005403851115</v>
          </cell>
          <cell r="G322">
            <v>0.26221863832573972</v>
          </cell>
          <cell r="H322">
            <v>3.2524102556887778E-2</v>
          </cell>
          <cell r="I322">
            <v>2.2542886931011766E-2</v>
          </cell>
          <cell r="J322">
            <v>2.7291850107805885E-3</v>
          </cell>
          <cell r="K322">
            <v>0.19611518354570337</v>
          </cell>
          <cell r="L322">
            <v>8.140994959136566E-2</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row>
        <row r="324">
          <cell r="D324" t="str">
            <v>DISTPT-E_xMSM</v>
          </cell>
          <cell r="E324" t="str">
            <v>INT</v>
          </cell>
          <cell r="F324">
            <v>81482.89147257607</v>
          </cell>
          <cell r="G324">
            <v>55147.655756425891</v>
          </cell>
          <cell r="H324">
            <v>7740.6559378613047</v>
          </cell>
          <cell r="I324">
            <v>7530.1003685248552</v>
          </cell>
          <cell r="J324">
            <v>1095.2844357603412</v>
          </cell>
          <cell r="K324">
            <v>110816.21339655628</v>
          </cell>
          <cell r="L324">
            <v>25208.612994365318</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row>
        <row r="325">
          <cell r="D325" t="str">
            <v>DISTPT-E_xMSM%</v>
          </cell>
          <cell r="E325">
            <v>289021.41436207009</v>
          </cell>
          <cell r="F325">
            <v>0.28192683110497407</v>
          </cell>
          <cell r="G325">
            <v>0.19080819972509008</v>
          </cell>
          <cell r="H325">
            <v>2.6782292083604012E-2</v>
          </cell>
          <cell r="I325">
            <v>2.6053780081124234E-2</v>
          </cell>
          <cell r="J325">
            <v>3.7896307378394783E-3</v>
          </cell>
          <cell r="K325">
            <v>0.38341869456680411</v>
          </cell>
          <cell r="L325">
            <v>8.7220571700563881E-2</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row>
        <row r="327">
          <cell r="D327" t="str">
            <v>DIST-MtrHReg-C</v>
          </cell>
          <cell r="E327" t="str">
            <v>INT</v>
          </cell>
          <cell r="F327">
            <v>56484379.56327042</v>
          </cell>
          <cell r="G327">
            <v>12817923.649069332</v>
          </cell>
          <cell r="H327">
            <v>698315.77623742772</v>
          </cell>
          <cell r="I327">
            <v>365003.38321187446</v>
          </cell>
          <cell r="J327">
            <v>51457.72729615961</v>
          </cell>
          <cell r="K327">
            <v>957269.90237046161</v>
          </cell>
          <cell r="L327">
            <v>17856.494896059092</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row>
        <row r="328">
          <cell r="D328" t="str">
            <v>DIST-MtrHReg-C%</v>
          </cell>
          <cell r="E328">
            <v>71392206.496351749</v>
          </cell>
          <cell r="F328">
            <v>0.79118411287871959</v>
          </cell>
          <cell r="G328">
            <v>0.17954233771615319</v>
          </cell>
          <cell r="H328">
            <v>9.781400666935721E-3</v>
          </cell>
          <cell r="I328">
            <v>5.11265026148935E-3</v>
          </cell>
          <cell r="J328">
            <v>7.2077513529140156E-4</v>
          </cell>
          <cell r="K328">
            <v>1.3408605075392642E-2</v>
          </cell>
          <cell r="L328">
            <v>2.5011826601789632E-4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row>
        <row r="330">
          <cell r="D330" t="str">
            <v>DISTPT-C_xMSM</v>
          </cell>
          <cell r="E330" t="str">
            <v>INT</v>
          </cell>
          <cell r="F330">
            <v>322225.72843320941</v>
          </cell>
          <cell r="G330">
            <v>75640.212568703661</v>
          </cell>
          <cell r="H330">
            <v>3585.3000711173754</v>
          </cell>
          <cell r="I330">
            <v>934.97264996837339</v>
          </cell>
          <cell r="J330">
            <v>568.52527216680562</v>
          </cell>
          <cell r="K330">
            <v>10373.255163716365</v>
          </cell>
          <cell r="L330">
            <v>3342.7943455823342</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row>
        <row r="331">
          <cell r="D331" t="str">
            <v>DISTPT-C_xMSM%</v>
          </cell>
          <cell r="E331">
            <v>416670.78850446426</v>
          </cell>
          <cell r="F331">
            <v>0.77333409810118481</v>
          </cell>
          <cell r="G331">
            <v>0.18153471434893556</v>
          </cell>
          <cell r="H331">
            <v>8.6046350500977396E-3</v>
          </cell>
          <cell r="I331">
            <v>2.2439121622233808E-3</v>
          </cell>
          <cell r="J331">
            <v>1.3644471555286732E-3</v>
          </cell>
          <cell r="K331">
            <v>2.4895566115754296E-2</v>
          </cell>
          <cell r="L331">
            <v>8.022627066275656E-3</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row>
        <row r="333">
          <cell r="D333" t="str">
            <v>SUPPL/P-D</v>
          </cell>
          <cell r="E333" t="str">
            <v>INT</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row>
        <row r="334">
          <cell r="D334" t="str">
            <v>SUPPL/P-D%</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row>
        <row r="336">
          <cell r="D336" t="str">
            <v>STORL/P-D</v>
          </cell>
          <cell r="E336" t="str">
            <v>INT</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row>
        <row r="337">
          <cell r="D337" t="str">
            <v>STORL/P-D%</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row>
        <row r="339">
          <cell r="D339" t="str">
            <v>TRANL/P-D</v>
          </cell>
          <cell r="E339" t="str">
            <v>INT</v>
          </cell>
          <cell r="F339">
            <v>285.66126202217873</v>
          </cell>
          <cell r="G339">
            <v>186.11960714665207</v>
          </cell>
          <cell r="H339">
            <v>23.085213275974695</v>
          </cell>
          <cell r="I339">
            <v>16.000667558723464</v>
          </cell>
          <cell r="J339">
            <v>4.2279545700877676</v>
          </cell>
          <cell r="K339">
            <v>303.56663668400108</v>
          </cell>
          <cell r="L339">
            <v>286.52098474662591</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row>
        <row r="340">
          <cell r="D340" t="str">
            <v>TRANL/P-D%</v>
          </cell>
          <cell r="E340">
            <v>1105.1823260042438</v>
          </cell>
          <cell r="F340">
            <v>0.25847433070611903</v>
          </cell>
          <cell r="G340">
            <v>0.16840624643316762</v>
          </cell>
          <cell r="H340">
            <v>2.0888149161268844E-2</v>
          </cell>
          <cell r="I340">
            <v>1.4477853275643156E-2</v>
          </cell>
          <cell r="J340">
            <v>3.8255720079905914E-3</v>
          </cell>
          <cell r="K340">
            <v>0.27467561644922234</v>
          </cell>
          <cell r="L340">
            <v>0.25925223196658836</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row>
        <row r="342">
          <cell r="D342" t="str">
            <v>DISTL/P-D</v>
          </cell>
          <cell r="E342" t="str">
            <v>INT</v>
          </cell>
          <cell r="F342">
            <v>781395.78696783248</v>
          </cell>
          <cell r="G342">
            <v>511204.66359709116</v>
          </cell>
          <cell r="H342">
            <v>48942.079556710341</v>
          </cell>
          <cell r="I342">
            <v>33762.098751750156</v>
          </cell>
          <cell r="J342">
            <v>3985.3933555725871</v>
          </cell>
          <cell r="K342">
            <v>287396.8908331662</v>
          </cell>
          <cell r="L342">
            <v>114957.35039238085</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row>
        <row r="343">
          <cell r="D343" t="str">
            <v>DISTL/P-D%</v>
          </cell>
          <cell r="E343">
            <v>1781644.2634545038</v>
          </cell>
          <cell r="F343">
            <v>0.43858126057822105</v>
          </cell>
          <cell r="G343">
            <v>0.28692858281702954</v>
          </cell>
          <cell r="H343">
            <v>2.7470174916857149E-2</v>
          </cell>
          <cell r="I343">
            <v>1.8949966300392328E-2</v>
          </cell>
          <cell r="J343">
            <v>2.2369186920879161E-3</v>
          </cell>
          <cell r="K343">
            <v>0.16130991844349471</v>
          </cell>
          <cell r="L343">
            <v>6.4523178251917293E-2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row>
        <row r="345">
          <cell r="D345" t="str">
            <v>BBAL/P-D</v>
          </cell>
          <cell r="E345" t="str">
            <v>INT</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row>
        <row r="346">
          <cell r="D346" t="str">
            <v>BBAL/P-D%</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row>
        <row r="348">
          <cell r="D348" t="str">
            <v>MAINSPT-E</v>
          </cell>
          <cell r="E348" t="str">
            <v>INT</v>
          </cell>
          <cell r="F348">
            <v>49385509.055228949</v>
          </cell>
          <cell r="G348">
            <v>33424133.625035148</v>
          </cell>
          <cell r="H348">
            <v>4691490.7780527193</v>
          </cell>
          <cell r="I348">
            <v>4563876.3330057627</v>
          </cell>
          <cell r="J348">
            <v>638935.59898256068</v>
          </cell>
          <cell r="K348">
            <v>64096429.978509136</v>
          </cell>
          <cell r="L348">
            <v>12497850.944606975</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row>
        <row r="349">
          <cell r="D349" t="str">
            <v>MAINSPT-E%</v>
          </cell>
          <cell r="E349">
            <v>169298226.31342125</v>
          </cell>
          <cell r="F349">
            <v>0.29170718518811722</v>
          </cell>
          <cell r="G349">
            <v>0.19742754754652397</v>
          </cell>
          <cell r="H349">
            <v>2.7711399464796387E-2</v>
          </cell>
          <cell r="I349">
            <v>2.6957614573921602E-2</v>
          </cell>
          <cell r="J349">
            <v>3.7740241755380315E-3</v>
          </cell>
          <cell r="K349">
            <v>0.37860071764631265</v>
          </cell>
          <cell r="L349">
            <v>7.382151140479018E-2</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row>
        <row r="351">
          <cell r="D351" t="str">
            <v>MAINSPT-D</v>
          </cell>
          <cell r="E351" t="str">
            <v>INT</v>
          </cell>
          <cell r="F351">
            <v>69784354.851315588</v>
          </cell>
          <cell r="G351">
            <v>45467266.432859957</v>
          </cell>
          <cell r="H351">
            <v>5639500.0976500725</v>
          </cell>
          <cell r="I351">
            <v>3908812.3285305649</v>
          </cell>
          <cell r="J351">
            <v>450260.53980288026</v>
          </cell>
          <cell r="K351">
            <v>32357539.193688352</v>
          </cell>
          <cell r="L351">
            <v>12241675.435648018</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row>
        <row r="352">
          <cell r="D352" t="str">
            <v>MAINSPT-D%</v>
          </cell>
          <cell r="E352">
            <v>169849408.87949544</v>
          </cell>
          <cell r="F352">
            <v>0.41086015731044501</v>
          </cell>
          <cell r="G352">
            <v>0.26769163774433868</v>
          </cell>
          <cell r="H352">
            <v>3.3202942152428555E-2</v>
          </cell>
          <cell r="I352">
            <v>2.3013399659835052E-2</v>
          </cell>
          <cell r="J352">
            <v>2.6509396928330233E-3</v>
          </cell>
          <cell r="K352">
            <v>0.1905072228814487</v>
          </cell>
          <cell r="L352">
            <v>7.2073700558670933E-2</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row>
        <row r="354">
          <cell r="D354" t="str">
            <v>DISTMAIN-SERVICE-D</v>
          </cell>
          <cell r="E354" t="str">
            <v>INT</v>
          </cell>
          <cell r="F354">
            <v>69784354.851315588</v>
          </cell>
          <cell r="G354">
            <v>45467266.432859957</v>
          </cell>
          <cell r="H354">
            <v>5639500.0976500725</v>
          </cell>
          <cell r="I354">
            <v>3908812.3285305649</v>
          </cell>
          <cell r="J354">
            <v>450260.53980288026</v>
          </cell>
          <cell r="K354">
            <v>32357539.193688352</v>
          </cell>
          <cell r="L354">
            <v>12241675.435648018</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row>
        <row r="355">
          <cell r="D355" t="str">
            <v>DISTMAIN-SERVICE-D%</v>
          </cell>
          <cell r="E355">
            <v>169849408.87949544</v>
          </cell>
          <cell r="F355">
            <v>0.41086015731044501</v>
          </cell>
          <cell r="G355">
            <v>0.26769163774433868</v>
          </cell>
          <cell r="H355">
            <v>3.3202942152428555E-2</v>
          </cell>
          <cell r="I355">
            <v>2.3013399659835052E-2</v>
          </cell>
          <cell r="J355">
            <v>2.6509396928330233E-3</v>
          </cell>
          <cell r="K355">
            <v>0.1905072228814487</v>
          </cell>
          <cell r="L355">
            <v>7.2073700558670933E-2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row>
        <row r="357">
          <cell r="D357" t="str">
            <v>BBAMAIN-SERVICE-D</v>
          </cell>
          <cell r="E357" t="str">
            <v>INT</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row>
        <row r="358">
          <cell r="D358" t="str">
            <v>BBAMAIN-SERVICE-D%</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row>
        <row r="360">
          <cell r="D360" t="str">
            <v>DISTMETER-REG-D</v>
          </cell>
          <cell r="E360" t="str">
            <v>INT</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row>
        <row r="361">
          <cell r="D361" t="str">
            <v>DISTMETER-REG-D%</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row>
        <row r="363">
          <cell r="D363" t="str">
            <v>BBAMETER-REG-D</v>
          </cell>
          <cell r="E363" t="str">
            <v>INT</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row>
        <row r="364">
          <cell r="D364" t="str">
            <v>BBAMETER-REG-D%</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row>
        <row r="366">
          <cell r="D366" t="str">
            <v>SUPPPT-COM</v>
          </cell>
          <cell r="E366" t="str">
            <v>INT</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row>
        <row r="367">
          <cell r="D367" t="str">
            <v>SUPPPT-COM%</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row>
        <row r="369">
          <cell r="D369" t="str">
            <v>STORPT-COM</v>
          </cell>
          <cell r="E369" t="str">
            <v>INT</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row>
        <row r="370">
          <cell r="D370" t="str">
            <v>STORPT-COM%</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row>
        <row r="372">
          <cell r="D372" t="str">
            <v>SUPPL/P-E</v>
          </cell>
          <cell r="E372" t="str">
            <v>INT</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row>
        <row r="373">
          <cell r="D373" t="str">
            <v>SUPPL/P-E%</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row>
        <row r="375">
          <cell r="D375" t="str">
            <v>STORL/P-E</v>
          </cell>
          <cell r="E375" t="str">
            <v>INT</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row>
        <row r="376">
          <cell r="D376" t="str">
            <v>STORL/P-E%</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row>
        <row r="378">
          <cell r="D378" t="str">
            <v>TRANL/P-E</v>
          </cell>
          <cell r="E378" t="str">
            <v>INT</v>
          </cell>
          <cell r="F378">
            <v>184.29752622696299</v>
          </cell>
          <cell r="G378">
            <v>124.73264447845577</v>
          </cell>
          <cell r="H378">
            <v>17.507770219494759</v>
          </cell>
          <cell r="I378">
            <v>17.031536867183277</v>
          </cell>
          <cell r="J378">
            <v>5.901928302734273</v>
          </cell>
          <cell r="K378">
            <v>672.55195113082209</v>
          </cell>
          <cell r="L378">
            <v>481.1023498249466</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row>
        <row r="379">
          <cell r="D379" t="str">
            <v>TRANL/P-E%</v>
          </cell>
          <cell r="E379">
            <v>1503.1257070505999</v>
          </cell>
          <cell r="F379">
            <v>0.12260952318391755</v>
          </cell>
          <cell r="G379">
            <v>8.2982177667098395E-2</v>
          </cell>
          <cell r="H379">
            <v>1.1647575540337287E-2</v>
          </cell>
          <cell r="I379">
            <v>1.1330746847914791E-2</v>
          </cell>
          <cell r="J379">
            <v>3.9264369407365843E-3</v>
          </cell>
          <cell r="K379">
            <v>0.44743559901619184</v>
          </cell>
          <cell r="L379">
            <v>0.32006794080380346</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row>
        <row r="381">
          <cell r="D381" t="str">
            <v>DISTL/P-E</v>
          </cell>
          <cell r="E381" t="str">
            <v>INT</v>
          </cell>
          <cell r="F381">
            <v>727483.64745162393</v>
          </cell>
          <cell r="G381">
            <v>494448.11143048364</v>
          </cell>
          <cell r="H381">
            <v>52650.994199212946</v>
          </cell>
          <cell r="I381">
            <v>50944.516545876126</v>
          </cell>
          <cell r="J381">
            <v>12540.194859775058</v>
          </cell>
          <cell r="K381">
            <v>798125.15696899267</v>
          </cell>
          <cell r="L381">
            <v>152128.99339227984</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row>
        <row r="382">
          <cell r="D382" t="str">
            <v>DISTL/P-E%</v>
          </cell>
          <cell r="E382">
            <v>2288321.6148482445</v>
          </cell>
          <cell r="F382">
            <v>0.31791145210148652</v>
          </cell>
          <cell r="G382">
            <v>0.21607457108395758</v>
          </cell>
          <cell r="H382">
            <v>2.3008563943798879E-2</v>
          </cell>
          <cell r="I382">
            <v>2.2262830633295677E-2</v>
          </cell>
          <cell r="J382">
            <v>5.4800840836381698E-3</v>
          </cell>
          <cell r="K382">
            <v>0.34878189839670865</v>
          </cell>
          <cell r="L382">
            <v>6.64805997571144E-2</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row>
        <row r="384">
          <cell r="D384" t="str">
            <v>BBAL/P-E</v>
          </cell>
          <cell r="E384" t="str">
            <v>INT</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row>
        <row r="385">
          <cell r="D385" t="str">
            <v>BBAL/P-E%</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row>
        <row r="387">
          <cell r="D387" t="str">
            <v>DISTMAIN-SERVICE-E</v>
          </cell>
          <cell r="E387" t="str">
            <v>INT</v>
          </cell>
          <cell r="F387">
            <v>11780730.514283564</v>
          </cell>
          <cell r="G387">
            <v>7973203.4445487084</v>
          </cell>
          <cell r="H387">
            <v>1119137.7718649576</v>
          </cell>
          <cell r="I387">
            <v>1088695.8180289292</v>
          </cell>
          <cell r="J387">
            <v>377265.11186867603</v>
          </cell>
          <cell r="K387">
            <v>37695696.556430012</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row>
        <row r="388">
          <cell r="D388" t="str">
            <v>DISTMAIN-SERVICE-E%</v>
          </cell>
          <cell r="E388">
            <v>60034729.217024848</v>
          </cell>
          <cell r="F388">
            <v>0.19623192555256408</v>
          </cell>
          <cell r="G388">
            <v>0.13280985104014828</v>
          </cell>
          <cell r="H388">
            <v>1.8641506115889814E-2</v>
          </cell>
          <cell r="I388">
            <v>1.813443372240935E-2</v>
          </cell>
          <cell r="J388">
            <v>6.2841144915448365E-3</v>
          </cell>
          <cell r="K388">
            <v>0.62789816907744367</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row>
        <row r="390">
          <cell r="D390" t="str">
            <v>SUPPGENPTXL-D</v>
          </cell>
          <cell r="E390" t="str">
            <v>INT</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row>
        <row r="391">
          <cell r="D391" t="str">
            <v>SUPPGENPTXL-D%</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row>
        <row r="393">
          <cell r="D393" t="str">
            <v>SUPPGENPTXL-E</v>
          </cell>
          <cell r="E393" t="str">
            <v>INT</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row>
        <row r="394">
          <cell r="D394" t="str">
            <v>SUPPGENPTXL-E%</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row>
        <row r="396">
          <cell r="D396" t="str">
            <v>SUPPGENPTXL-C</v>
          </cell>
          <cell r="E396" t="str">
            <v>INT</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row>
        <row r="397">
          <cell r="D397" t="str">
            <v>SUPPGENPTXL-C%</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row>
        <row r="399">
          <cell r="D399" t="str">
            <v>STORGENPTXL-D</v>
          </cell>
          <cell r="E399" t="str">
            <v>INT</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row>
        <row r="400">
          <cell r="D400" t="str">
            <v>STORGENPTXL-D%</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row>
        <row r="402">
          <cell r="D402" t="str">
            <v>STORGENPTXL-E</v>
          </cell>
          <cell r="E402" t="str">
            <v>INT</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row>
        <row r="403">
          <cell r="D403" t="str">
            <v>STORGENPTXL-E%</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row>
        <row r="405">
          <cell r="D405" t="str">
            <v>STORGENPTXL-C</v>
          </cell>
          <cell r="E405" t="str">
            <v>INT</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row>
        <row r="406">
          <cell r="D406" t="str">
            <v>STORGENPTXL-C%</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row>
        <row r="408">
          <cell r="D408" t="str">
            <v>TRANGENPTXL-D</v>
          </cell>
          <cell r="E408" t="str">
            <v>INT</v>
          </cell>
          <cell r="F408">
            <v>135022.32875862232</v>
          </cell>
          <cell r="G408">
            <v>87972.385918500077</v>
          </cell>
          <cell r="H408">
            <v>10911.592402646324</v>
          </cell>
          <cell r="I408">
            <v>7562.9694421207341</v>
          </cell>
          <cell r="J408">
            <v>1998.4098225211499</v>
          </cell>
          <cell r="K408">
            <v>143485.5882395216</v>
          </cell>
          <cell r="L408">
            <v>135428.690347589</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row>
        <row r="409">
          <cell r="D409" t="str">
            <v>TRANGENPTXL-D%</v>
          </cell>
          <cell r="E409">
            <v>522381.96493152122</v>
          </cell>
          <cell r="F409">
            <v>0.25847433070611908</v>
          </cell>
          <cell r="G409">
            <v>0.16840624643316759</v>
          </cell>
          <cell r="H409">
            <v>2.088814916126884E-2</v>
          </cell>
          <cell r="I409">
            <v>1.4477853275643158E-2</v>
          </cell>
          <cell r="J409">
            <v>3.8255720079905906E-3</v>
          </cell>
          <cell r="K409">
            <v>0.27467561644922228</v>
          </cell>
          <cell r="L409">
            <v>0.25925223196658842</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row>
        <row r="411">
          <cell r="D411" t="str">
            <v>TRANGENPTXL-E</v>
          </cell>
          <cell r="E411" t="str">
            <v>INT</v>
          </cell>
          <cell r="F411">
            <v>87111.150456535455</v>
          </cell>
          <cell r="G411">
            <v>58956.863841044076</v>
          </cell>
          <cell r="H411">
            <v>8275.3254315018112</v>
          </cell>
          <cell r="I411">
            <v>8050.2261800092174</v>
          </cell>
          <cell r="J411">
            <v>2789.6400721625805</v>
          </cell>
          <cell r="K411">
            <v>317892.35267674585</v>
          </cell>
          <cell r="L411">
            <v>227400.66043524724</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row>
        <row r="412">
          <cell r="D412" t="str">
            <v>TRANGENPTXL-E%</v>
          </cell>
          <cell r="E412">
            <v>710476.21909324627</v>
          </cell>
          <cell r="F412">
            <v>0.12260952318391755</v>
          </cell>
          <cell r="G412">
            <v>8.2982177667098381E-2</v>
          </cell>
          <cell r="H412">
            <v>1.1647575540337287E-2</v>
          </cell>
          <cell r="I412">
            <v>1.133074684791479E-2</v>
          </cell>
          <cell r="J412">
            <v>3.9264369407365834E-3</v>
          </cell>
          <cell r="K412">
            <v>0.4474355990161919</v>
          </cell>
          <cell r="L412">
            <v>0.32006794080380346</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row>
        <row r="414">
          <cell r="D414" t="str">
            <v>TRANGENPTXL-C</v>
          </cell>
          <cell r="E414" t="str">
            <v>INT</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row>
        <row r="415">
          <cell r="D415" t="str">
            <v>TRANGENPTXL-C%</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row>
        <row r="417">
          <cell r="D417" t="str">
            <v>DISTGENPTXL-D</v>
          </cell>
          <cell r="E417" t="str">
            <v>INT</v>
          </cell>
          <cell r="F417">
            <v>5034165.4855220933</v>
          </cell>
          <cell r="G417">
            <v>3279957.8628335739</v>
          </cell>
          <cell r="H417">
            <v>406827.24383821187</v>
          </cell>
          <cell r="I417">
            <v>281977.35947545047</v>
          </cell>
          <cell r="J417">
            <v>34137.969338843221</v>
          </cell>
          <cell r="K417">
            <v>2453103.8007020159</v>
          </cell>
          <cell r="L417">
            <v>1018315.1204659181</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row>
        <row r="418">
          <cell r="D418" t="str">
            <v>DISTGENPTXL-D%</v>
          </cell>
          <cell r="E418">
            <v>12508484.842176108</v>
          </cell>
          <cell r="F418">
            <v>0.40246005403851109</v>
          </cell>
          <cell r="G418">
            <v>0.26221863832573972</v>
          </cell>
          <cell r="H418">
            <v>3.2524102556887771E-2</v>
          </cell>
          <cell r="I418">
            <v>2.2542886931011759E-2</v>
          </cell>
          <cell r="J418">
            <v>2.7291850107805881E-3</v>
          </cell>
          <cell r="K418">
            <v>0.19611518354570337</v>
          </cell>
          <cell r="L418">
            <v>8.1409949591365632E-2</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row>
        <row r="420">
          <cell r="D420" t="str">
            <v>DISTGENPTXL-E</v>
          </cell>
          <cell r="E420" t="str">
            <v>INT</v>
          </cell>
          <cell r="F420">
            <v>3515033.6331392499</v>
          </cell>
          <cell r="G420">
            <v>2378976.2644574689</v>
          </cell>
          <cell r="H420">
            <v>333918.75855680578</v>
          </cell>
          <cell r="I420">
            <v>324835.7486821317</v>
          </cell>
          <cell r="J420">
            <v>47248.711477639343</v>
          </cell>
          <cell r="K420">
            <v>4780423.3520251261</v>
          </cell>
          <cell r="L420">
            <v>1087456.7767370846</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row>
        <row r="421">
          <cell r="D421" t="str">
            <v>DISTGENPTXL-E%</v>
          </cell>
          <cell r="E421">
            <v>12467893.245075507</v>
          </cell>
          <cell r="F421">
            <v>0.28192683110497407</v>
          </cell>
          <cell r="G421">
            <v>0.19080819972509008</v>
          </cell>
          <cell r="H421">
            <v>2.6782292083604019E-2</v>
          </cell>
          <cell r="I421">
            <v>2.6053780081124238E-2</v>
          </cell>
          <cell r="J421">
            <v>3.7896307378394783E-3</v>
          </cell>
          <cell r="K421">
            <v>0.38341869456680411</v>
          </cell>
          <cell r="L421">
            <v>8.7220571700563909E-2</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row>
        <row r="423">
          <cell r="D423" t="str">
            <v>DISTGENPTXL-C</v>
          </cell>
          <cell r="E423" t="str">
            <v>INT</v>
          </cell>
          <cell r="F423">
            <v>13900270.994761221</v>
          </cell>
          <cell r="G423">
            <v>3262990.3822973645</v>
          </cell>
          <cell r="H423">
            <v>154663.75955884691</v>
          </cell>
          <cell r="I423">
            <v>40333.13314378709</v>
          </cell>
          <cell r="J423">
            <v>29525.215254892446</v>
          </cell>
          <cell r="K423">
            <v>543401.28738450422</v>
          </cell>
          <cell r="L423">
            <v>149785.80750969728</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row>
        <row r="424">
          <cell r="D424" t="str">
            <v>DISTGENPTXL-C%</v>
          </cell>
          <cell r="E424">
            <v>18080970.579910308</v>
          </cell>
          <cell r="F424">
            <v>0.7687790283894248</v>
          </cell>
          <cell r="G424">
            <v>0.18046544392494393</v>
          </cell>
          <cell r="H424">
            <v>8.55395228233451E-3</v>
          </cell>
          <cell r="I424">
            <v>2.2306951369414356E-3</v>
          </cell>
          <cell r="J424">
            <v>1.6329441566426634E-3</v>
          </cell>
          <cell r="K424">
            <v>3.0053767577514625E-2</v>
          </cell>
          <cell r="L424">
            <v>8.284168532198358E-3</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row>
        <row r="426">
          <cell r="D426" t="str">
            <v>BBAGENPTXL-D</v>
          </cell>
          <cell r="E426" t="str">
            <v>INT</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row>
        <row r="427">
          <cell r="D427" t="str">
            <v>BBAGENPTXL-D%</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row>
        <row r="429">
          <cell r="D429" t="str">
            <v>BBAGENPTXL-E</v>
          </cell>
          <cell r="E429" t="str">
            <v>INT</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row>
        <row r="430">
          <cell r="D430" t="str">
            <v>BBAGENPTXL-E%</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row>
        <row r="432">
          <cell r="D432" t="str">
            <v>BBAGENPTXL-C</v>
          </cell>
          <cell r="E432" t="str">
            <v>INT</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row>
        <row r="433">
          <cell r="D433" t="str">
            <v>BBAGENPTXL-C%</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row>
        <row r="435">
          <cell r="D435" t="str">
            <v>COMMPTGENPTXL-D</v>
          </cell>
          <cell r="E435" t="str">
            <v>INT</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row>
        <row r="436">
          <cell r="D436" t="str">
            <v>COMMPTGENPTXL-D%</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row>
        <row r="438">
          <cell r="D438" t="str">
            <v>COMMPTGENPTXL-E</v>
          </cell>
          <cell r="E438" t="str">
            <v>INT</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row>
        <row r="439">
          <cell r="D439" t="str">
            <v>COMMPTGENPTXL-E%</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row>
        <row r="441">
          <cell r="D441" t="str">
            <v>COMMCOLLGENPTXL-C</v>
          </cell>
          <cell r="E441" t="str">
            <v>INT</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row>
        <row r="442">
          <cell r="D442" t="str">
            <v>COMMCOLLGENPTXL-C%</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row>
        <row r="444">
          <cell r="D444" t="str">
            <v>SUPPLABOR-D</v>
          </cell>
          <cell r="E444" t="str">
            <v>INT</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row>
        <row r="445">
          <cell r="D445" t="str">
            <v>SUPPLABOR-D%</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row>
        <row r="447">
          <cell r="D447" t="str">
            <v>SUPPLABOR-E</v>
          </cell>
          <cell r="E447" t="str">
            <v>INT</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row>
        <row r="448">
          <cell r="D448" t="str">
            <v>SUPPLABOR-E%</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row>
        <row r="450">
          <cell r="D450" t="str">
            <v>SUPPLABOR-C</v>
          </cell>
          <cell r="E450" t="str">
            <v>INT</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row>
        <row r="451">
          <cell r="D451" t="str">
            <v>SUPPLABOR-C%</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row>
        <row r="453">
          <cell r="D453" t="str">
            <v>STORLABOR-D</v>
          </cell>
          <cell r="E453" t="str">
            <v>INT</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row>
        <row r="454">
          <cell r="D454" t="str">
            <v>STORLABOR-D%</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row>
        <row r="456">
          <cell r="D456" t="str">
            <v>STORLABOR-E</v>
          </cell>
          <cell r="E456" t="str">
            <v>INT</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row>
        <row r="457">
          <cell r="D457" t="str">
            <v>STORLABOR-E%</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row>
        <row r="459">
          <cell r="D459" t="str">
            <v>STORLABOR-C</v>
          </cell>
          <cell r="E459" t="str">
            <v>INT</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row>
        <row r="460">
          <cell r="D460" t="str">
            <v>STORLABOR-C%</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row>
        <row r="462">
          <cell r="D462" t="str">
            <v>TRANLABOR-D</v>
          </cell>
          <cell r="E462" t="str">
            <v>INT</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row>
        <row r="463">
          <cell r="D463" t="str">
            <v>TRANLABOR-D%</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row>
        <row r="465">
          <cell r="D465" t="str">
            <v>TRANLABOR-E</v>
          </cell>
          <cell r="E465" t="str">
            <v>INT</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row>
        <row r="466">
          <cell r="D466" t="str">
            <v>TRANLABOR-E%</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row>
        <row r="468">
          <cell r="D468" t="str">
            <v>TRANLABOR-C</v>
          </cell>
          <cell r="E468" t="str">
            <v>INT</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row>
        <row r="469">
          <cell r="D469" t="str">
            <v>TRANLABOR-C%</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row>
        <row r="471">
          <cell r="D471" t="str">
            <v>DISTLABOR-D</v>
          </cell>
          <cell r="E471" t="str">
            <v>INT</v>
          </cell>
          <cell r="F471">
            <v>749733.94723861839</v>
          </cell>
          <cell r="G471">
            <v>490518.62741072814</v>
          </cell>
          <cell r="H471">
            <v>46770.626952331106</v>
          </cell>
          <cell r="I471">
            <v>32261.406238275806</v>
          </cell>
          <cell r="J471">
            <v>3806.4922648921079</v>
          </cell>
          <cell r="K471">
            <v>274513.72392093379</v>
          </cell>
          <cell r="L471">
            <v>109727.82506028729</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row>
        <row r="472">
          <cell r="D472" t="str">
            <v>DISTLABOR-D%</v>
          </cell>
          <cell r="E472">
            <v>1707332.6490860668</v>
          </cell>
          <cell r="F472">
            <v>0.43912587722137814</v>
          </cell>
          <cell r="G472">
            <v>0.28730114642468896</v>
          </cell>
          <cell r="H472">
            <v>2.73939744415755E-2</v>
          </cell>
          <cell r="I472">
            <v>1.8895794123977714E-2</v>
          </cell>
          <cell r="J472">
            <v>2.2294965582305938E-3</v>
          </cell>
          <cell r="K472">
            <v>0.16078514287645157</v>
          </cell>
          <cell r="L472">
            <v>6.4268568353697486E-2</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row>
        <row r="474">
          <cell r="D474" t="str">
            <v>DISTLABOR-E</v>
          </cell>
          <cell r="E474" t="str">
            <v>INT</v>
          </cell>
          <cell r="F474">
            <v>700417.85461281845</v>
          </cell>
          <cell r="G474">
            <v>476073.08123251382</v>
          </cell>
          <cell r="H474">
            <v>50528.477525678805</v>
          </cell>
          <cell r="I474">
            <v>48887.212797805594</v>
          </cell>
          <cell r="J474">
            <v>12101.099898781049</v>
          </cell>
          <cell r="K474">
            <v>766529.45580453612</v>
          </cell>
          <cell r="L474">
            <v>145743.84064966103</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row>
        <row r="475">
          <cell r="D475" t="str">
            <v>DISTLABOR-E%</v>
          </cell>
          <cell r="E475">
            <v>2200281.0225217948</v>
          </cell>
          <cell r="F475">
            <v>0.31833108927606563</v>
          </cell>
          <cell r="G475">
            <v>0.21636921664073394</v>
          </cell>
          <cell r="H475">
            <v>2.2964556349155302E-2</v>
          </cell>
          <cell r="I475">
            <v>2.2218622211164094E-2</v>
          </cell>
          <cell r="J475">
            <v>5.4997974235635088E-3</v>
          </cell>
          <cell r="K475">
            <v>0.34837797897561212</v>
          </cell>
          <cell r="L475">
            <v>6.623873912370544E-2</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row>
        <row r="477">
          <cell r="D477" t="str">
            <v>DISTLABOR-C</v>
          </cell>
          <cell r="E477" t="str">
            <v>INT</v>
          </cell>
          <cell r="F477">
            <v>8525188.7195625864</v>
          </cell>
          <cell r="G477">
            <v>1818810.7146673924</v>
          </cell>
          <cell r="H477">
            <v>98050.266876028196</v>
          </cell>
          <cell r="I477">
            <v>42933.701854619183</v>
          </cell>
          <cell r="J477">
            <v>14017.980087261385</v>
          </cell>
          <cell r="K477">
            <v>243600.06120026851</v>
          </cell>
          <cell r="L477">
            <v>72161.114143981365</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row>
        <row r="478">
          <cell r="D478" t="str">
            <v>DISTLABOR-C%</v>
          </cell>
          <cell r="E478">
            <v>10814762.558392137</v>
          </cell>
          <cell r="F478">
            <v>0.78829180701217827</v>
          </cell>
          <cell r="G478">
            <v>0.16817851569529052</v>
          </cell>
          <cell r="H478">
            <v>9.0663356080751181E-3</v>
          </cell>
          <cell r="I478">
            <v>3.9699162716525013E-3</v>
          </cell>
          <cell r="J478">
            <v>1.296189353356037E-3</v>
          </cell>
          <cell r="K478">
            <v>2.252477203128584E-2</v>
          </cell>
          <cell r="L478">
            <v>6.6724640281616843E-3</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row>
        <row r="480">
          <cell r="D480" t="str">
            <v>BBALABOR-D</v>
          </cell>
          <cell r="E480" t="str">
            <v>INT</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row>
        <row r="481">
          <cell r="D481" t="str">
            <v>BBALABOR-D%</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row>
        <row r="483">
          <cell r="D483" t="str">
            <v>BBALABOR-E</v>
          </cell>
          <cell r="E483" t="str">
            <v>INT</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row>
        <row r="484">
          <cell r="D484" t="str">
            <v>BBALABOR-E%</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row>
        <row r="486">
          <cell r="D486" t="str">
            <v>BBALABOR-C</v>
          </cell>
          <cell r="E486" t="str">
            <v>INT</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row>
        <row r="487">
          <cell r="D487" t="str">
            <v>BBALABOR-C%</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row>
        <row r="489">
          <cell r="D489" t="str">
            <v>GatherPTLABOR-D</v>
          </cell>
          <cell r="E489" t="str">
            <v>INT</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row>
        <row r="490">
          <cell r="D490" t="str">
            <v>GatherPTLABOR-D%</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row>
        <row r="492">
          <cell r="D492" t="str">
            <v>GatherPTLABOR-E</v>
          </cell>
          <cell r="E492" t="str">
            <v>INT</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row>
        <row r="493">
          <cell r="D493" t="str">
            <v>GatherPTLABOR-E%</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row>
        <row r="495">
          <cell r="D495" t="str">
            <v>COMMCOLLLABOR-C</v>
          </cell>
          <cell r="E495" t="str">
            <v>INT</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row>
        <row r="496">
          <cell r="D496" t="str">
            <v>COMMCOLLLABOR-C%</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row>
        <row r="498">
          <cell r="D498" t="str">
            <v>FUNC8LABOR-C</v>
          </cell>
          <cell r="E498" t="str">
            <v>INT</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row>
        <row r="499">
          <cell r="D499" t="str">
            <v>FUNC8LABOR-C%</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row>
        <row r="501">
          <cell r="D501" t="str">
            <v>Income_BeforeTax</v>
          </cell>
          <cell r="E501" t="str">
            <v>INT</v>
          </cell>
          <cell r="F501">
            <v>3585512.9539656863</v>
          </cell>
          <cell r="G501">
            <v>10632303.543703996</v>
          </cell>
          <cell r="H501">
            <v>1129627.5225752573</v>
          </cell>
          <cell r="I501">
            <v>950468.42661790061</v>
          </cell>
          <cell r="J501">
            <v>101535.90440216752</v>
          </cell>
          <cell r="K501">
            <v>5422102.1284934664</v>
          </cell>
          <cell r="L501">
            <v>3358766.7129049618</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row>
        <row r="502">
          <cell r="D502" t="str">
            <v>Income_BeforeTax%</v>
          </cell>
          <cell r="E502">
            <v>25180317.192663431</v>
          </cell>
          <cell r="F502">
            <v>0.14239347846699746</v>
          </cell>
          <cell r="G502">
            <v>0.42224660882357101</v>
          </cell>
          <cell r="H502">
            <v>4.4861528706413079E-2</v>
          </cell>
          <cell r="I502">
            <v>3.7746483467445371E-2</v>
          </cell>
          <cell r="J502">
            <v>4.0323520798122093E-3</v>
          </cell>
          <cell r="K502">
            <v>0.21533097009886981</v>
          </cell>
          <cell r="L502">
            <v>0.13338857835689125</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row>
        <row r="504">
          <cell r="D504" t="str">
            <v>SUPP_PreTax-D</v>
          </cell>
          <cell r="E504" t="str">
            <v>INT</v>
          </cell>
          <cell r="F504">
            <v>-78791.031787981177</v>
          </cell>
          <cell r="G504">
            <v>-55852.761749707941</v>
          </cell>
          <cell r="H504">
            <v>-7996.7665045617832</v>
          </cell>
          <cell r="I504">
            <v>-7623.6946027485346</v>
          </cell>
          <cell r="J504">
            <v>-2846.6552841577927</v>
          </cell>
          <cell r="K504">
            <v>-38324.000662367274</v>
          </cell>
          <cell r="L504">
            <v>-30928.264516721858</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row>
        <row r="505">
          <cell r="D505" t="str">
            <v>SUPP_PreTax-D%</v>
          </cell>
          <cell r="E505">
            <v>-222363.17510824633</v>
          </cell>
          <cell r="F505">
            <v>0.35433489268007495</v>
          </cell>
          <cell r="G505">
            <v>0.25117810861676548</v>
          </cell>
          <cell r="H505">
            <v>3.5962638600878762E-2</v>
          </cell>
          <cell r="I505">
            <v>3.4284879225336309E-2</v>
          </cell>
          <cell r="J505">
            <v>1.2801828732532002E-2</v>
          </cell>
          <cell r="K505">
            <v>0.17234868428061959</v>
          </cell>
          <cell r="L505">
            <v>0.13908896786379304</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row>
        <row r="507">
          <cell r="D507" t="str">
            <v>SUPP_PreTax-E</v>
          </cell>
          <cell r="E507" t="str">
            <v>INT</v>
          </cell>
          <cell r="F507">
            <v>-54640092.170642138</v>
          </cell>
          <cell r="G507">
            <v>-36824097.723435938</v>
          </cell>
          <cell r="H507">
            <v>-5038030.307500313</v>
          </cell>
          <cell r="I507">
            <v>-4903529.4266715469</v>
          </cell>
          <cell r="J507">
            <v>-1654974.8289467169</v>
          </cell>
          <cell r="K507">
            <v>-125557.62250091319</v>
          </cell>
          <cell r="L507">
            <v>-98680.426196515968</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row>
        <row r="508">
          <cell r="D508" t="str">
            <v>SUPP_PreTax-E%</v>
          </cell>
          <cell r="E508">
            <v>-103284962.50589408</v>
          </cell>
          <cell r="F508">
            <v>0.52902272358886737</v>
          </cell>
          <cell r="G508">
            <v>0.35652912902335154</v>
          </cell>
          <cell r="H508">
            <v>4.8777965206821004E-2</v>
          </cell>
          <cell r="I508">
            <v>4.7475734198884192E-2</v>
          </cell>
          <cell r="J508">
            <v>1.6023386065055441E-2</v>
          </cell>
          <cell r="K508">
            <v>1.2156428143520709E-3</v>
          </cell>
          <cell r="L508">
            <v>9.5541910266835461E-4</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row>
        <row r="510">
          <cell r="D510" t="str">
            <v>SUPP_PreTax-C</v>
          </cell>
          <cell r="E510" t="str">
            <v>INT</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row>
        <row r="511">
          <cell r="D511" t="str">
            <v>SUPP_PreTax-C%</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row>
        <row r="513">
          <cell r="D513" t="str">
            <v>STOR_PreTax-D</v>
          </cell>
          <cell r="E513" t="str">
            <v>INT</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row>
        <row r="514">
          <cell r="D514" t="str">
            <v>STOR_PreTax-D%</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row>
        <row r="516">
          <cell r="D516" t="str">
            <v>STOR_PreTax-E</v>
          </cell>
          <cell r="E516" t="str">
            <v>INT</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row>
        <row r="517">
          <cell r="D517" t="str">
            <v>STOR_PreTax-E%</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row>
        <row r="519">
          <cell r="D519" t="str">
            <v>STOR_PreTax-C</v>
          </cell>
          <cell r="E519" t="str">
            <v>INT</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row>
        <row r="520">
          <cell r="D520" t="str">
            <v>STOR_PreTax-C%</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row>
        <row r="522">
          <cell r="D522" t="str">
            <v>TRAN_PreTax-D</v>
          </cell>
          <cell r="E522" t="str">
            <v>INT</v>
          </cell>
          <cell r="F522">
            <v>171667.74126540328</v>
          </cell>
          <cell r="G522">
            <v>81201.917835356959</v>
          </cell>
          <cell r="H522">
            <v>6146.100418933438</v>
          </cell>
          <cell r="I522">
            <v>4720.784670980699</v>
          </cell>
          <cell r="J522">
            <v>226.72612418516928</v>
          </cell>
          <cell r="K522">
            <v>20420.159019639563</v>
          </cell>
          <cell r="L522">
            <v>-14319.252802514919</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row>
        <row r="523">
          <cell r="D523" t="str">
            <v>TRAN_PreTax-D%</v>
          </cell>
          <cell r="E523">
            <v>270064.17653198418</v>
          </cell>
          <cell r="F523">
            <v>0.63565535966252962</v>
          </cell>
          <cell r="G523">
            <v>0.30067637580854811</v>
          </cell>
          <cell r="H523">
            <v>2.2757925534064843E-2</v>
          </cell>
          <cell r="I523">
            <v>1.7480232778750677E-2</v>
          </cell>
          <cell r="J523">
            <v>8.3952683801554742E-4</v>
          </cell>
          <cell r="K523">
            <v>7.5612246251480039E-2</v>
          </cell>
          <cell r="L523">
            <v>-5.3021666873388752E-2</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row>
        <row r="525">
          <cell r="D525" t="str">
            <v>TRAN_PreTax-E</v>
          </cell>
          <cell r="E525" t="str">
            <v>INT</v>
          </cell>
          <cell r="F525">
            <v>323287.53465636162</v>
          </cell>
          <cell r="G525">
            <v>154403.42285113945</v>
          </cell>
          <cell r="H525">
            <v>11485.080729344148</v>
          </cell>
          <cell r="I525">
            <v>7208.8221931909447</v>
          </cell>
          <cell r="J525">
            <v>-368.80849310586473</v>
          </cell>
          <cell r="K525">
            <v>-99092.659162170225</v>
          </cell>
          <cell r="L525">
            <v>-104101.96940048199</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row>
        <row r="526">
          <cell r="D526" t="str">
            <v>TRAN_PreTax-E%</v>
          </cell>
          <cell r="E526">
            <v>292821.42337427801</v>
          </cell>
          <cell r="F526">
            <v>1.1040433139454502</v>
          </cell>
          <cell r="G526">
            <v>0.52729551366801575</v>
          </cell>
          <cell r="H526">
            <v>3.9222132714873688E-2</v>
          </cell>
          <cell r="I526">
            <v>2.4618493107919855E-2</v>
          </cell>
          <cell r="J526">
            <v>-1.2594996938952165E-3</v>
          </cell>
          <cell r="K526">
            <v>-0.33840645271200709</v>
          </cell>
          <cell r="L526">
            <v>-0.355513501030357</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row>
        <row r="528">
          <cell r="D528" t="str">
            <v>TRAN_PreTax-C</v>
          </cell>
          <cell r="E528" t="str">
            <v>INT</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row>
        <row r="529">
          <cell r="D529" t="str">
            <v>TRAN_PreTax-C%</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row>
        <row r="531">
          <cell r="D531" t="str">
            <v>DIST_PreTax-D</v>
          </cell>
          <cell r="E531" t="str">
            <v>INT</v>
          </cell>
          <cell r="F531">
            <v>4288817.3875267673</v>
          </cell>
          <cell r="G531">
            <v>1505852.7519136984</v>
          </cell>
          <cell r="H531">
            <v>65698.972824074503</v>
          </cell>
          <cell r="I531">
            <v>67306.000845681177</v>
          </cell>
          <cell r="J531">
            <v>8367.1712496830733</v>
          </cell>
          <cell r="K531">
            <v>752412.21345906286</v>
          </cell>
          <cell r="L531">
            <v>358993.27782953961</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row>
        <row r="532">
          <cell r="D532" t="str">
            <v>DIST_PreTax-D%</v>
          </cell>
          <cell r="E532">
            <v>7047447.7756485073</v>
          </cell>
          <cell r="F532">
            <v>0.60856320246120721</v>
          </cell>
          <cell r="G532">
            <v>0.2136734885949729</v>
          </cell>
          <cell r="H532">
            <v>9.3223781027634324E-3</v>
          </cell>
          <cell r="I532">
            <v>9.5504078906760922E-3</v>
          </cell>
          <cell r="J532">
            <v>1.1872626113803482E-3</v>
          </cell>
          <cell r="K532">
            <v>0.1067637870349207</v>
          </cell>
          <cell r="L532">
            <v>5.0939473304079219E-2</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row>
        <row r="534">
          <cell r="D534" t="str">
            <v>DIST_PreTax-E</v>
          </cell>
          <cell r="E534" t="str">
            <v>INT</v>
          </cell>
          <cell r="F534">
            <v>5956030.149047981</v>
          </cell>
          <cell r="G534">
            <v>2391621.312299123</v>
          </cell>
          <cell r="H534">
            <v>128228.2148472023</v>
          </cell>
          <cell r="I534">
            <v>30355.191887707508</v>
          </cell>
          <cell r="J534">
            <v>-15816.422579856931</v>
          </cell>
          <cell r="K534">
            <v>-1460843.3304072311</v>
          </cell>
          <cell r="L534">
            <v>341846.08108324767</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row>
        <row r="535">
          <cell r="D535" t="str">
            <v>DIST_PreTax-E%</v>
          </cell>
          <cell r="E535">
            <v>7371421.1961781746</v>
          </cell>
          <cell r="F535">
            <v>0.80798939451946872</v>
          </cell>
          <cell r="G535">
            <v>0.32444507628177527</v>
          </cell>
          <cell r="H535">
            <v>1.7395317868104481E-2</v>
          </cell>
          <cell r="I535">
            <v>4.1179565079588207E-3</v>
          </cell>
          <cell r="J535">
            <v>-2.1456408688269226E-3</v>
          </cell>
          <cell r="K535">
            <v>-0.19817661907104528</v>
          </cell>
          <cell r="L535">
            <v>4.6374514762564781E-2</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row>
        <row r="537">
          <cell r="D537" t="str">
            <v>DIST_PreTax-C</v>
          </cell>
          <cell r="E537" t="str">
            <v>INT</v>
          </cell>
          <cell r="F537">
            <v>-9705881.1033019572</v>
          </cell>
          <cell r="G537">
            <v>4823833.7055227216</v>
          </cell>
          <cell r="H537">
            <v>695752.21190866828</v>
          </cell>
          <cell r="I537">
            <v>627071.39539244119</v>
          </cell>
          <cell r="J537">
            <v>39071.339704880986</v>
          </cell>
          <cell r="K537">
            <v>6253562.544172287</v>
          </cell>
          <cell r="L537">
            <v>2824920.7151902788</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row>
        <row r="538">
          <cell r="D538" t="str">
            <v>DIST_PreTax-C%</v>
          </cell>
          <cell r="E538">
            <v>5558330.8085893206</v>
          </cell>
          <cell r="F538">
            <v>-1.7461862990060619</v>
          </cell>
          <cell r="G538">
            <v>0.86785653312833122</v>
          </cell>
          <cell r="H538">
            <v>0.12517286859456411</v>
          </cell>
          <cell r="I538">
            <v>0.11281649419344097</v>
          </cell>
          <cell r="J538">
            <v>7.0293296765467465E-3</v>
          </cell>
          <cell r="K538">
            <v>1.125079229632864</v>
          </cell>
          <cell r="L538">
            <v>0.50823184378031483</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row>
        <row r="540">
          <cell r="D540" t="str">
            <v>BBA_PreTax-D</v>
          </cell>
          <cell r="E540" t="str">
            <v>INT</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row>
        <row r="541">
          <cell r="D541" t="str">
            <v>BBA_PreTax-D%</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row>
        <row r="543">
          <cell r="D543" t="str">
            <v>BBA_PreTax-E</v>
          </cell>
          <cell r="E543" t="str">
            <v>INT</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row>
        <row r="544">
          <cell r="D544" t="str">
            <v>BBA_PreTax-E%</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row>
        <row r="546">
          <cell r="D546" t="str">
            <v>BBA_PreTax-C</v>
          </cell>
          <cell r="E546" t="str">
            <v>INT</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row>
        <row r="547">
          <cell r="D547" t="str">
            <v>BBA_PreTax-C%</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row>
        <row r="549">
          <cell r="D549" t="str">
            <v>Gather_PreTax-D</v>
          </cell>
          <cell r="E549" t="str">
            <v>INT</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row>
        <row r="550">
          <cell r="D550" t="str">
            <v>Gather_PreTax-D%</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row>
        <row r="552">
          <cell r="D552" t="str">
            <v>Gather_PreTax-E</v>
          </cell>
          <cell r="E552" t="str">
            <v>INT</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row>
        <row r="553">
          <cell r="D553" t="str">
            <v>Gather_PreTax-E%</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row>
        <row r="555">
          <cell r="D555" t="str">
            <v>COLL-PROC_PreTax-C</v>
          </cell>
          <cell r="E555" t="str">
            <v>INT</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row>
        <row r="556">
          <cell r="D556" t="str">
            <v>COLL-PROC_PreTax-C%</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row>
        <row r="558">
          <cell r="D558" t="str">
            <v>COMMCOLL_PreTax-C</v>
          </cell>
          <cell r="E558" t="str">
            <v>INT</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row>
        <row r="559">
          <cell r="D559" t="str">
            <v>COMMCOLL_PreTax-C%</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row>
        <row r="561">
          <cell r="D561" t="str">
            <v>FUNC8_PreTax-C</v>
          </cell>
          <cell r="E561" t="str">
            <v>INT</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row>
        <row r="562">
          <cell r="D562" t="str">
            <v>FUNC8_PreTax-C%</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row>
        <row r="564">
          <cell r="D564" t="str">
            <v>SUPPPT-D</v>
          </cell>
          <cell r="E564" t="str">
            <v>INT</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row>
        <row r="565">
          <cell r="D565" t="str">
            <v>SUPPPT-D%</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row>
        <row r="567">
          <cell r="D567" t="str">
            <v>SUPPPT-E</v>
          </cell>
          <cell r="E567" t="str">
            <v>INT</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row>
        <row r="568">
          <cell r="D568" t="str">
            <v>SUPPPT-E%</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row>
        <row r="570">
          <cell r="D570" t="str">
            <v>SUPPPT-C</v>
          </cell>
          <cell r="E570" t="str">
            <v>INT</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row>
        <row r="571">
          <cell r="D571" t="str">
            <v>SUPPPT-C%</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row>
        <row r="573">
          <cell r="D573" t="str">
            <v>STORPT-D</v>
          </cell>
          <cell r="E573" t="str">
            <v>INT</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row>
        <row r="574">
          <cell r="D574" t="str">
            <v>STORPT-D%</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row>
        <row r="576">
          <cell r="D576" t="str">
            <v>STORPT-E</v>
          </cell>
          <cell r="E576" t="str">
            <v>INT</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row>
        <row r="577">
          <cell r="D577" t="str">
            <v>STORPT-E%</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row>
        <row r="579">
          <cell r="D579" t="str">
            <v>STORPT-C</v>
          </cell>
          <cell r="E579" t="str">
            <v>INT</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row>
        <row r="580">
          <cell r="D580" t="str">
            <v>STORPT-C%</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row>
        <row r="582">
          <cell r="D582" t="str">
            <v>TRANPT-D</v>
          </cell>
          <cell r="E582" t="str">
            <v>INT</v>
          </cell>
          <cell r="F582">
            <v>2279479.4029271835</v>
          </cell>
          <cell r="G582">
            <v>1485170.9607680484</v>
          </cell>
          <cell r="H582">
            <v>184212.12523621734</v>
          </cell>
          <cell r="I582">
            <v>127679.86766915403</v>
          </cell>
          <cell r="J582">
            <v>33737.634885470266</v>
          </cell>
          <cell r="K582">
            <v>2422358.1833904209</v>
          </cell>
          <cell r="L582">
            <v>2286339.6969297128</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row>
        <row r="583">
          <cell r="D583" t="str">
            <v>TRANPT-D%</v>
          </cell>
          <cell r="E583">
            <v>8818977.871806208</v>
          </cell>
          <cell r="F583">
            <v>0.25847433070611903</v>
          </cell>
          <cell r="G583">
            <v>0.16840624643316762</v>
          </cell>
          <cell r="H583">
            <v>2.0888149161268844E-2</v>
          </cell>
          <cell r="I583">
            <v>1.4477853275643158E-2</v>
          </cell>
          <cell r="J583">
            <v>3.8255720079905914E-3</v>
          </cell>
          <cell r="K583">
            <v>0.27467561644922234</v>
          </cell>
          <cell r="L583">
            <v>0.25925223196658836</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row>
        <row r="585">
          <cell r="D585" t="str">
            <v>TRANPT-E</v>
          </cell>
          <cell r="E585" t="str">
            <v>INT</v>
          </cell>
          <cell r="F585">
            <v>1470631.3767254094</v>
          </cell>
          <cell r="G585">
            <v>995323.94399071182</v>
          </cell>
          <cell r="H585">
            <v>139706.03267663831</v>
          </cell>
          <cell r="I585">
            <v>135905.85301665802</v>
          </cell>
          <cell r="J585">
            <v>47095.374109882818</v>
          </cell>
          <cell r="K585">
            <v>5366735.0943866214</v>
          </cell>
          <cell r="L585">
            <v>3839032.5988292019</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row>
        <row r="586">
          <cell r="D586" t="str">
            <v>TRANPT-E%</v>
          </cell>
          <cell r="E586">
            <v>11994430.273735125</v>
          </cell>
          <cell r="F586">
            <v>0.12260952318391756</v>
          </cell>
          <cell r="G586">
            <v>8.2982177667098395E-2</v>
          </cell>
          <cell r="H586">
            <v>1.1647575540337287E-2</v>
          </cell>
          <cell r="I586">
            <v>1.1330746847914791E-2</v>
          </cell>
          <cell r="J586">
            <v>3.9264369407365843E-3</v>
          </cell>
          <cell r="K586">
            <v>0.44743559901619184</v>
          </cell>
          <cell r="L586">
            <v>0.32006794080380346</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row>
        <row r="588">
          <cell r="D588" t="str">
            <v>TRANPT-C</v>
          </cell>
          <cell r="E588" t="str">
            <v>INT</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row>
        <row r="589">
          <cell r="D589" t="str">
            <v>TRANPT-C%</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row>
        <row r="591">
          <cell r="D591" t="str">
            <v>DISTPT-D</v>
          </cell>
          <cell r="E591" t="str">
            <v>INT</v>
          </cell>
          <cell r="F591">
            <v>73907318.843682408</v>
          </cell>
          <cell r="G591">
            <v>48153540.494337454</v>
          </cell>
          <cell r="H591">
            <v>5972690.1928669829</v>
          </cell>
          <cell r="I591">
            <v>4139750.8034622022</v>
          </cell>
          <cell r="J591">
            <v>501184.51446577255</v>
          </cell>
          <cell r="K591">
            <v>36014375.227939129</v>
          </cell>
          <cell r="L591">
            <v>14950033.03090903</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row>
        <row r="592">
          <cell r="D592" t="str">
            <v>DISTPT-D%</v>
          </cell>
          <cell r="E592">
            <v>183638893.10766301</v>
          </cell>
          <cell r="F592">
            <v>0.40246005403851104</v>
          </cell>
          <cell r="G592">
            <v>0.26221863832573966</v>
          </cell>
          <cell r="H592">
            <v>3.2524102556887771E-2</v>
          </cell>
          <cell r="I592">
            <v>2.2542886931011762E-2</v>
          </cell>
          <cell r="J592">
            <v>2.7291850107805881E-3</v>
          </cell>
          <cell r="K592">
            <v>0.19611518354570334</v>
          </cell>
          <cell r="L592">
            <v>8.1409949591365646E-2</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row>
        <row r="594">
          <cell r="D594" t="str">
            <v>DISTPT-E</v>
          </cell>
          <cell r="E594" t="str">
            <v>INT</v>
          </cell>
          <cell r="F594">
            <v>51604722.216188245</v>
          </cell>
          <cell r="G594">
            <v>34926098.040373832</v>
          </cell>
          <cell r="H594">
            <v>4902310.0705607794</v>
          </cell>
          <cell r="I594">
            <v>4768961.07581707</v>
          </cell>
          <cell r="J594">
            <v>693665.23491805536</v>
          </cell>
          <cell r="K594">
            <v>70182093.51718691</v>
          </cell>
          <cell r="L594">
            <v>15965111.786287576</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row>
        <row r="595">
          <cell r="D595" t="str">
            <v>DISTPT-E%</v>
          </cell>
          <cell r="E595">
            <v>183042961.94133249</v>
          </cell>
          <cell r="F595">
            <v>0.28192683110497407</v>
          </cell>
          <cell r="G595">
            <v>0.19080819972509008</v>
          </cell>
          <cell r="H595">
            <v>2.6782292083604012E-2</v>
          </cell>
          <cell r="I595">
            <v>2.6053780081124234E-2</v>
          </cell>
          <cell r="J595">
            <v>3.7896307378394783E-3</v>
          </cell>
          <cell r="K595">
            <v>0.38341869456680411</v>
          </cell>
          <cell r="L595">
            <v>8.7220571700563881E-2</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row>
        <row r="597">
          <cell r="D597" t="str">
            <v>DISTPT-C</v>
          </cell>
          <cell r="E597" t="str">
            <v>INT</v>
          </cell>
          <cell r="F597">
            <v>204071908.91478282</v>
          </cell>
          <cell r="G597">
            <v>47904438.434111163</v>
          </cell>
          <cell r="H597">
            <v>2270641.246131551</v>
          </cell>
          <cell r="I597">
            <v>592136.61922625825</v>
          </cell>
          <cell r="J597">
            <v>360058.26760486315</v>
          </cell>
          <cell r="K597">
            <v>6569587.081742025</v>
          </cell>
          <cell r="L597">
            <v>2117057.5873302082</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row>
        <row r="598">
          <cell r="D598" t="str">
            <v>DISTPT-C%</v>
          </cell>
          <cell r="E598">
            <v>263885828.15092888</v>
          </cell>
          <cell r="F598">
            <v>0.77333409810118481</v>
          </cell>
          <cell r="G598">
            <v>0.18153471434893553</v>
          </cell>
          <cell r="H598">
            <v>8.6046350500977378E-3</v>
          </cell>
          <cell r="I598">
            <v>2.2439121622233804E-3</v>
          </cell>
          <cell r="J598">
            <v>1.364447155528673E-3</v>
          </cell>
          <cell r="K598">
            <v>2.4895566115754292E-2</v>
          </cell>
          <cell r="L598">
            <v>8.0226270662756543E-3</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row>
        <row r="600">
          <cell r="D600" t="str">
            <v>BBAPT-D</v>
          </cell>
          <cell r="E600" t="str">
            <v>INT</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row>
        <row r="601">
          <cell r="D601" t="str">
            <v>BBAPT-D%</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row>
        <row r="603">
          <cell r="D603" t="str">
            <v>BBAPT-E</v>
          </cell>
          <cell r="E603" t="str">
            <v>INT</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row>
        <row r="604">
          <cell r="D604" t="str">
            <v>BBAPT-E%</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row>
        <row r="606">
          <cell r="D606" t="str">
            <v>BBAPT-C</v>
          </cell>
          <cell r="E606" t="str">
            <v>INT</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row>
        <row r="607">
          <cell r="D607" t="str">
            <v>BBAPT-C%</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row>
        <row r="609">
          <cell r="D609" t="str">
            <v>COMMCOLL_PT-C</v>
          </cell>
          <cell r="E609" t="str">
            <v>INT</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row>
        <row r="610">
          <cell r="D610" t="str">
            <v>COMMCOLL_PT-C%</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row>
        <row r="612">
          <cell r="D612" t="str">
            <v>FUNC8PT-C</v>
          </cell>
          <cell r="E612" t="str">
            <v>INT</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row>
        <row r="613">
          <cell r="D613" t="str">
            <v>FUNC8PT-C%</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row>
        <row r="615">
          <cell r="D615" t="str">
            <v>BBACUSTACCT-C</v>
          </cell>
          <cell r="E615" t="str">
            <v>INT</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row>
        <row r="616">
          <cell r="D616" t="str">
            <v>BBACUSTACCT-C%</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row>
        <row r="618">
          <cell r="D618" t="str">
            <v>COMMCOLLCUSTACCT-C</v>
          </cell>
          <cell r="E618" t="str">
            <v>INT</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row>
        <row r="619">
          <cell r="D619" t="str">
            <v>COMMCOLLCUSTACCT-C%</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row>
        <row r="621">
          <cell r="D621" t="str">
            <v>SUPPO&amp;M-D</v>
          </cell>
          <cell r="E621" t="str">
            <v>INT</v>
          </cell>
          <cell r="F621">
            <v>39521.937719126894</v>
          </cell>
          <cell r="G621">
            <v>27990.660787458099</v>
          </cell>
          <cell r="H621">
            <v>4004.0389931585009</v>
          </cell>
          <cell r="I621">
            <v>3816.0392081921532</v>
          </cell>
          <cell r="J621">
            <v>1423.8328083144634</v>
          </cell>
          <cell r="K621">
            <v>19200.72972109956</v>
          </cell>
          <cell r="L621">
            <v>15480.859162986088</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row>
        <row r="622">
          <cell r="D622" t="str">
            <v>SUPPO&amp;M-D%</v>
          </cell>
          <cell r="E622">
            <v>111438.09840033576</v>
          </cell>
          <cell r="F622">
            <v>0.35465373410398948</v>
          </cell>
          <cell r="G622">
            <v>0.25117676260862831</v>
          </cell>
          <cell r="H622">
            <v>3.5930611259842142E-2</v>
          </cell>
          <cell r="I622">
            <v>3.4243577941210232E-2</v>
          </cell>
          <cell r="J622">
            <v>1.2776894336436142E-2</v>
          </cell>
          <cell r="K622">
            <v>0.17229950974326486</v>
          </cell>
          <cell r="L622">
            <v>0.13891891000662879</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row>
        <row r="624">
          <cell r="D624" t="str">
            <v>SUPPO&amp;M-E</v>
          </cell>
          <cell r="E624" t="str">
            <v>INT</v>
          </cell>
          <cell r="F624">
            <v>57230952.509482101</v>
          </cell>
          <cell r="G624">
            <v>38527350.25768014</v>
          </cell>
          <cell r="H624">
            <v>5264339.9768587491</v>
          </cell>
          <cell r="I624">
            <v>5121143.3136940012</v>
          </cell>
          <cell r="J624">
            <v>1726453.5498189414</v>
          </cell>
          <cell r="K624">
            <v>100324.09485405766</v>
          </cell>
          <cell r="L624">
            <v>65555.692555143687</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row>
        <row r="625">
          <cell r="D625" t="str">
            <v>SUPPO&amp;M-E%</v>
          </cell>
          <cell r="E625">
            <v>108036119.39494313</v>
          </cell>
          <cell r="F625">
            <v>0.52973906162128326</v>
          </cell>
          <cell r="G625">
            <v>0.35661545854713012</v>
          </cell>
          <cell r="H625">
            <v>4.8727592275080903E-2</v>
          </cell>
          <cell r="I625">
            <v>4.740214052832508E-2</v>
          </cell>
          <cell r="J625">
            <v>1.5980336571583223E-2</v>
          </cell>
          <cell r="K625">
            <v>9.28616238864588E-4</v>
          </cell>
          <cell r="L625">
            <v>6.067942177328165E-4</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row>
        <row r="627">
          <cell r="D627" t="str">
            <v>SUPPO&amp;M-C</v>
          </cell>
          <cell r="E627" t="str">
            <v>INT</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row>
        <row r="628">
          <cell r="D628" t="str">
            <v>SUPPO&amp;M-C%</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row>
        <row r="630">
          <cell r="D630" t="str">
            <v>STORO&amp;M-D</v>
          </cell>
          <cell r="E630" t="str">
            <v>INT</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row>
        <row r="631">
          <cell r="D631" t="str">
            <v>STORO&amp;M-D%</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row>
        <row r="633">
          <cell r="D633" t="str">
            <v>STORO&amp;M-E</v>
          </cell>
          <cell r="E633" t="str">
            <v>INT</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row>
        <row r="634">
          <cell r="D634" t="str">
            <v>STORO&amp;M-E%</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row>
        <row r="636">
          <cell r="D636" t="str">
            <v>STORO&amp;M-C</v>
          </cell>
          <cell r="E636" t="str">
            <v>INT</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row>
        <row r="637">
          <cell r="D637" t="str">
            <v>STORO&amp;M-C%</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row>
        <row r="639">
          <cell r="D639" t="str">
            <v>TRANO&amp;M-D</v>
          </cell>
          <cell r="E639" t="str">
            <v>INT</v>
          </cell>
          <cell r="F639">
            <v>4146.8947777142739</v>
          </cell>
          <cell r="G639">
            <v>2701.8659143456412</v>
          </cell>
          <cell r="H639">
            <v>335.12401961287651</v>
          </cell>
          <cell r="I639">
            <v>232.27890358497712</v>
          </cell>
          <cell r="J639">
            <v>61.376479971403711</v>
          </cell>
          <cell r="K639">
            <v>4406.8239825091605</v>
          </cell>
          <cell r="L639">
            <v>4159.3752227387567</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row>
        <row r="640">
          <cell r="D640" t="str">
            <v>TRANO&amp;M-D%</v>
          </cell>
          <cell r="E640">
            <v>16043.739300477089</v>
          </cell>
          <cell r="F640">
            <v>0.25847433070611903</v>
          </cell>
          <cell r="G640">
            <v>0.16840624643316762</v>
          </cell>
          <cell r="H640">
            <v>2.0888149161268844E-2</v>
          </cell>
          <cell r="I640">
            <v>1.447785327564316E-2</v>
          </cell>
          <cell r="J640">
            <v>3.8255720079905919E-3</v>
          </cell>
          <cell r="K640">
            <v>0.27467561644922239</v>
          </cell>
          <cell r="L640">
            <v>0.25925223196658836</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row>
        <row r="642">
          <cell r="D642" t="str">
            <v>TRANO&amp;M-E</v>
          </cell>
          <cell r="E642" t="str">
            <v>INT</v>
          </cell>
          <cell r="F642">
            <v>2675.4150830465596</v>
          </cell>
          <cell r="G642">
            <v>1810.7220710872582</v>
          </cell>
          <cell r="H642">
            <v>254.15725036952125</v>
          </cell>
          <cell r="I642">
            <v>247.24385375531563</v>
          </cell>
          <cell r="J642">
            <v>85.677265036911479</v>
          </cell>
          <cell r="K642">
            <v>9763.3195139683085</v>
          </cell>
          <cell r="L642">
            <v>6984.0790029144337</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row>
        <row r="643">
          <cell r="D643" t="str">
            <v>TRANO&amp;M-E%</v>
          </cell>
          <cell r="E643">
            <v>21820.614040178309</v>
          </cell>
          <cell r="F643">
            <v>0.12260952318391757</v>
          </cell>
          <cell r="G643">
            <v>8.2982177667098395E-2</v>
          </cell>
          <cell r="H643">
            <v>1.1647575540337287E-2</v>
          </cell>
          <cell r="I643">
            <v>1.1330746847914791E-2</v>
          </cell>
          <cell r="J643">
            <v>3.9264369407365843E-3</v>
          </cell>
          <cell r="K643">
            <v>0.4474355990161919</v>
          </cell>
          <cell r="L643">
            <v>0.32006794080380346</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row>
        <row r="645">
          <cell r="D645" t="str">
            <v>TRANO&amp;M-C</v>
          </cell>
          <cell r="E645" t="str">
            <v>INT</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row>
        <row r="646">
          <cell r="D646" t="str">
            <v>TRANO&amp;M-C%</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row>
        <row r="648">
          <cell r="D648" t="str">
            <v>DISTO&amp;M-D</v>
          </cell>
          <cell r="E648" t="str">
            <v>INT</v>
          </cell>
          <cell r="F648">
            <v>2403806.1441656849</v>
          </cell>
          <cell r="G648">
            <v>1603405.248740063</v>
          </cell>
          <cell r="H648">
            <v>159870.00684982861</v>
          </cell>
          <cell r="I648">
            <v>107958.40865833145</v>
          </cell>
          <cell r="J648">
            <v>12825.78904962016</v>
          </cell>
          <cell r="K648">
            <v>939469.52410604712</v>
          </cell>
          <cell r="L648">
            <v>394125.18777322664</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row>
        <row r="649">
          <cell r="D649" t="str">
            <v>DISTO&amp;M-D%</v>
          </cell>
          <cell r="E649">
            <v>5621460.3093428016</v>
          </cell>
          <cell r="F649">
            <v>0.42761240174027149</v>
          </cell>
          <cell r="G649">
            <v>0.28522931062507412</v>
          </cell>
          <cell r="H649">
            <v>2.8439230742966649E-2</v>
          </cell>
          <cell r="I649">
            <v>1.9204691079808184E-2</v>
          </cell>
          <cell r="J649">
            <v>2.2815760218574963E-3</v>
          </cell>
          <cell r="K649">
            <v>0.16712197052154931</v>
          </cell>
          <cell r="L649">
            <v>7.0110819268472846E-2</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row>
        <row r="651">
          <cell r="D651" t="str">
            <v>DISTO&amp;M-E</v>
          </cell>
          <cell r="E651" t="str">
            <v>INT</v>
          </cell>
          <cell r="F651">
            <v>2100030.8047865168</v>
          </cell>
          <cell r="G651">
            <v>1458398.1390881161</v>
          </cell>
          <cell r="H651">
            <v>158660.86880279618</v>
          </cell>
          <cell r="I651">
            <v>149469.02821515879</v>
          </cell>
          <cell r="J651">
            <v>33767.658006734026</v>
          </cell>
          <cell r="K651">
            <v>2375068.7799616866</v>
          </cell>
          <cell r="L651">
            <v>476243.7955369039</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row>
        <row r="652">
          <cell r="D652" t="str">
            <v>DISTO&amp;M-E%</v>
          </cell>
          <cell r="E652">
            <v>6751639.0743979122</v>
          </cell>
          <cell r="F652">
            <v>0.31104014619943088</v>
          </cell>
          <cell r="G652">
            <v>0.21600653160183492</v>
          </cell>
          <cell r="H652">
            <v>2.3499607584835984E-2</v>
          </cell>
          <cell r="I652">
            <v>2.2138184012522606E-2</v>
          </cell>
          <cell r="J652">
            <v>5.0014015314859385E-3</v>
          </cell>
          <cell r="K652">
            <v>0.35177662102346413</v>
          </cell>
          <cell r="L652">
            <v>7.0537508046425557E-2</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row>
        <row r="654">
          <cell r="D654" t="str">
            <v>DISTO&amp;M-C</v>
          </cell>
          <cell r="E654" t="str">
            <v>INT</v>
          </cell>
          <cell r="F654">
            <v>23660126.388721213</v>
          </cell>
          <cell r="G654">
            <v>4965957.1317594945</v>
          </cell>
          <cell r="H654">
            <v>257447.63597404625</v>
          </cell>
          <cell r="I654">
            <v>124276.01577651073</v>
          </cell>
          <cell r="J654">
            <v>37752.070579423686</v>
          </cell>
          <cell r="K654">
            <v>659336.91535377689</v>
          </cell>
          <cell r="L654">
            <v>202994.81598903547</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row>
        <row r="655">
          <cell r="D655" t="str">
            <v>DISTO&amp;M-C%</v>
          </cell>
          <cell r="E655">
            <v>29907890.9741535</v>
          </cell>
          <cell r="F655">
            <v>0.79109979400314034</v>
          </cell>
          <cell r="G655">
            <v>0.16604170237383475</v>
          </cell>
          <cell r="H655">
            <v>8.6080170680217262E-3</v>
          </cell>
          <cell r="I655">
            <v>4.1552918553805912E-3</v>
          </cell>
          <cell r="J655">
            <v>1.2622779256500952E-3</v>
          </cell>
          <cell r="K655">
            <v>2.2045583753250206E-2</v>
          </cell>
          <cell r="L655">
            <v>6.7873330207223331E-3</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row>
        <row r="657">
          <cell r="D657" t="str">
            <v>BBAO&amp;M-D</v>
          </cell>
          <cell r="E657" t="str">
            <v>INT</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row>
        <row r="658">
          <cell r="D658" t="str">
            <v>BBAO&amp;M-D%</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row>
        <row r="660">
          <cell r="D660" t="str">
            <v>BBAO&amp;M-E</v>
          </cell>
          <cell r="E660" t="str">
            <v>INT</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row>
        <row r="661">
          <cell r="D661" t="str">
            <v>BBAO&amp;M-E%</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row>
        <row r="663">
          <cell r="D663" t="str">
            <v>BBAO&amp;M-C</v>
          </cell>
          <cell r="E663" t="str">
            <v>INT</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row>
        <row r="664">
          <cell r="D664" t="str">
            <v>BBAO&amp;M-C%</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row>
        <row r="666">
          <cell r="D666" t="str">
            <v>Gather_O&amp;M-D</v>
          </cell>
          <cell r="E666" t="str">
            <v>INT</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row>
        <row r="667">
          <cell r="D667" t="str">
            <v>Gather_O&amp;M-D%</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row>
        <row r="669">
          <cell r="D669" t="str">
            <v>Gather_O&amp;M-E</v>
          </cell>
          <cell r="E669" t="str">
            <v>INT</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row>
        <row r="670">
          <cell r="D670" t="str">
            <v>Gather_O&amp;M-E%</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row>
        <row r="672">
          <cell r="D672" t="str">
            <v>COLL-PROCO&amp;M-C</v>
          </cell>
          <cell r="E672" t="str">
            <v>INT</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row>
        <row r="673">
          <cell r="D673" t="str">
            <v>COLL-PROCO&amp;M-C%</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row>
        <row r="675">
          <cell r="D675" t="str">
            <v>BBAREVRATE-C</v>
          </cell>
          <cell r="E675" t="str">
            <v>INT</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row>
        <row r="676">
          <cell r="D676" t="str">
            <v>BBAREVRATE-C%</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row>
        <row r="678">
          <cell r="D678" t="str">
            <v>COMMCOLLREVRATE-C</v>
          </cell>
          <cell r="E678" t="str">
            <v>INT</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row>
        <row r="679">
          <cell r="D679" t="str">
            <v>COMMCOLLREVRATE-C%</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row>
        <row r="681">
          <cell r="D681" t="str">
            <v>DISTBASE-C</v>
          </cell>
          <cell r="E681" t="str">
            <v>INT</v>
          </cell>
          <cell r="F681">
            <v>67514471.84843117</v>
          </cell>
          <cell r="G681">
            <v>16709819.081155509</v>
          </cell>
          <cell r="H681">
            <v>931920.07361377263</v>
          </cell>
          <cell r="I681">
            <v>367972.40701265744</v>
          </cell>
          <cell r="J681">
            <v>99588.832563221164</v>
          </cell>
          <cell r="K681">
            <v>1458514.6878745481</v>
          </cell>
          <cell r="L681">
            <v>1232342.3567008716</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row>
        <row r="682">
          <cell r="D682" t="str">
            <v>DISTBASE-C%</v>
          </cell>
          <cell r="E682">
            <v>88314629.287351757</v>
          </cell>
          <cell r="F682">
            <v>0.76447664892254108</v>
          </cell>
          <cell r="G682">
            <v>0.18920782678922093</v>
          </cell>
          <cell r="H682">
            <v>1.0552272948817555E-2</v>
          </cell>
          <cell r="I682">
            <v>4.1666076162237562E-3</v>
          </cell>
          <cell r="J682">
            <v>1.1276595210425015E-3</v>
          </cell>
          <cell r="K682">
            <v>1.6514983979935401E-2</v>
          </cell>
          <cell r="L682">
            <v>1.3954000222218734E-2</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row>
        <row r="684">
          <cell r="D684" t="str">
            <v>STORBASE-D</v>
          </cell>
          <cell r="E684" t="str">
            <v>INT</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row>
        <row r="685">
          <cell r="D685" t="str">
            <v>STORBASE-D%</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row>
        <row r="687">
          <cell r="D687" t="str">
            <v>DISTBASE-D</v>
          </cell>
          <cell r="E687" t="str">
            <v>INT</v>
          </cell>
          <cell r="F687">
            <v>40745173.030748986</v>
          </cell>
          <cell r="G687">
            <v>26536034.206140961</v>
          </cell>
          <cell r="H687">
            <v>3238054.4301289725</v>
          </cell>
          <cell r="I687">
            <v>2287178.0414688019</v>
          </cell>
          <cell r="J687">
            <v>272744.10566980066</v>
          </cell>
          <cell r="K687">
            <v>18765942.183340944</v>
          </cell>
          <cell r="L687">
            <v>7920550.4115334554</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row>
        <row r="688">
          <cell r="D688" t="str">
            <v>DISTBASE-D%</v>
          </cell>
          <cell r="E688">
            <v>99765676.409031913</v>
          </cell>
          <cell r="F688">
            <v>0.40840872830548236</v>
          </cell>
          <cell r="G688">
            <v>0.26598360439461344</v>
          </cell>
          <cell r="H688">
            <v>3.2456597766682686E-2</v>
          </cell>
          <cell r="I688">
            <v>2.2925500270168476E-2</v>
          </cell>
          <cell r="J688">
            <v>2.7338471054069733E-3</v>
          </cell>
          <cell r="K688">
            <v>0.1881001849413817</v>
          </cell>
          <cell r="L688">
            <v>7.9391537216264477E-2</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row>
        <row r="690">
          <cell r="D690" t="str">
            <v>SUPPGAS-D</v>
          </cell>
          <cell r="E690" t="str">
            <v>INT</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row>
        <row r="691">
          <cell r="D691" t="str">
            <v>SUPPGAS-D%</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row>
        <row r="693">
          <cell r="D693" t="str">
            <v>STORGAS-D</v>
          </cell>
          <cell r="E693" t="str">
            <v>INT</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row>
        <row r="694">
          <cell r="D694" t="str">
            <v>STORGAS-D%</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row>
        <row r="696">
          <cell r="D696" t="str">
            <v>TRANGAS-D</v>
          </cell>
          <cell r="E696" t="str">
            <v>INT</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row>
        <row r="697">
          <cell r="D697" t="str">
            <v>TRANGAS-D%</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row>
        <row r="699">
          <cell r="D699" t="str">
            <v>DISTGAS-D</v>
          </cell>
          <cell r="E699" t="str">
            <v>INT</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row>
        <row r="700">
          <cell r="D700" t="str">
            <v>DISTGAS-D%</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row>
        <row r="702">
          <cell r="D702" t="str">
            <v>BBAGAS-D</v>
          </cell>
          <cell r="E702" t="str">
            <v>INT</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row>
        <row r="703">
          <cell r="D703" t="str">
            <v>BBAGAS-D%</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row>
        <row r="705">
          <cell r="D705" t="str">
            <v>Gather_GAS-D</v>
          </cell>
          <cell r="E705" t="str">
            <v>INT</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row>
        <row r="706">
          <cell r="D706" t="str">
            <v>Gather_GAS-D%</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row>
        <row r="708">
          <cell r="D708" t="str">
            <v>SUPPGAS-C</v>
          </cell>
          <cell r="E708" t="str">
            <v>INT</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row>
        <row r="709">
          <cell r="D709" t="str">
            <v>SUPPGAS-C%</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row>
        <row r="711">
          <cell r="D711" t="str">
            <v>STORGAS-C</v>
          </cell>
          <cell r="E711" t="str">
            <v>INT</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row>
        <row r="712">
          <cell r="D712" t="str">
            <v>STORGAS-C%</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row>
        <row r="714">
          <cell r="D714" t="str">
            <v>TRANGAS-C</v>
          </cell>
          <cell r="E714" t="str">
            <v>INT</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row>
        <row r="715">
          <cell r="D715" t="str">
            <v>TRANGAS-C%</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row>
        <row r="717">
          <cell r="D717" t="str">
            <v>DISTGAS-C</v>
          </cell>
          <cell r="E717" t="str">
            <v>INT</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row>
        <row r="718">
          <cell r="D718" t="str">
            <v>DISTGAS-C%</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row>
        <row r="720">
          <cell r="D720" t="str">
            <v>BBAGAS-C</v>
          </cell>
          <cell r="E720" t="str">
            <v>INT</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row>
        <row r="721">
          <cell r="D721" t="str">
            <v>BBAGAS-C%</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row>
        <row r="723">
          <cell r="D723" t="str">
            <v>COMMCOLLGAS-C</v>
          </cell>
          <cell r="E723" t="str">
            <v>INT</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row>
        <row r="724">
          <cell r="D724" t="str">
            <v>COMMCOLLGAS-C%</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row>
        <row r="726">
          <cell r="D726" t="str">
            <v>SUPPGAS-E</v>
          </cell>
          <cell r="E726" t="str">
            <v>INT</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row>
        <row r="727">
          <cell r="D727" t="str">
            <v>SUPPGAS-E%</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row>
        <row r="729">
          <cell r="D729" t="str">
            <v>STORGAS-E</v>
          </cell>
          <cell r="E729" t="str">
            <v>INT</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row>
        <row r="730">
          <cell r="D730" t="str">
            <v>STORGAS-E%</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row>
        <row r="732">
          <cell r="D732" t="str">
            <v>DISTGAS-E</v>
          </cell>
          <cell r="E732" t="str">
            <v>INT</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row>
        <row r="733">
          <cell r="D733" t="str">
            <v>DISTGAS-E%</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row>
        <row r="735">
          <cell r="D735" t="str">
            <v>BBAGAS-E</v>
          </cell>
          <cell r="E735" t="str">
            <v>INT</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row>
        <row r="736">
          <cell r="D736" t="str">
            <v>BBAGAS-E%</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row>
        <row r="738">
          <cell r="D738" t="str">
            <v>Gather_GAS-E</v>
          </cell>
          <cell r="E738" t="str">
            <v>INT</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row>
        <row r="739">
          <cell r="D739" t="str">
            <v>Gather_GAS-E%</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row>
        <row r="741">
          <cell r="D741" t="str">
            <v>GRT_T-F</v>
          </cell>
          <cell r="E741" t="str">
            <v>INT</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row>
        <row r="742">
          <cell r="D742" t="str">
            <v>GRT_T-F%</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row>
        <row r="744">
          <cell r="D744" t="str">
            <v>Rev_GRT</v>
          </cell>
          <cell r="E744" t="str">
            <v>INT</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row>
        <row r="745">
          <cell r="D745" t="str">
            <v>Rev_GRT%</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row>
        <row r="747">
          <cell r="D747" t="str">
            <v>MuniTax_T-F</v>
          </cell>
          <cell r="E747" t="str">
            <v>INT</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row>
        <row r="748">
          <cell r="D748" t="str">
            <v>MuniTax_T-F%</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row>
        <row r="750">
          <cell r="D750" t="str">
            <v>Rev_MuniTax</v>
          </cell>
          <cell r="E750" t="str">
            <v>INT</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row>
        <row r="751">
          <cell r="D751" t="str">
            <v>Rev_MuniTax%</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row>
        <row r="753">
          <cell r="D753" t="str">
            <v>RevDeficiency</v>
          </cell>
          <cell r="E753" t="str">
            <v>INT</v>
          </cell>
          <cell r="F753">
            <v>12643693.119678274</v>
          </cell>
          <cell r="G753">
            <v>0</v>
          </cell>
          <cell r="H753">
            <v>0</v>
          </cell>
          <cell r="I753">
            <v>0</v>
          </cell>
          <cell r="J753">
            <v>0</v>
          </cell>
          <cell r="K753">
            <v>283310.14514898136</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row>
        <row r="754">
          <cell r="D754" t="str">
            <v>RevDeficiency%</v>
          </cell>
          <cell r="E754">
            <v>12927003.264827255</v>
          </cell>
          <cell r="F754">
            <v>0.97808384980300633</v>
          </cell>
          <cell r="G754">
            <v>0</v>
          </cell>
          <cell r="H754">
            <v>0</v>
          </cell>
          <cell r="I754">
            <v>0</v>
          </cell>
          <cell r="J754">
            <v>0</v>
          </cell>
          <cell r="K754">
            <v>2.1916150196993646E-2</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row>
        <row r="756">
          <cell r="D756" t="str">
            <v>SUPPREVREQ-D</v>
          </cell>
          <cell r="E756" t="str">
            <v>INT</v>
          </cell>
          <cell r="F756">
            <v>39532.409269116179</v>
          </cell>
          <cell r="G756">
            <v>27998.077063596986</v>
          </cell>
          <cell r="H756">
            <v>4005.0998848276772</v>
          </cell>
          <cell r="I756">
            <v>3817.0502883070412</v>
          </cell>
          <cell r="J756">
            <v>1424.2100604758987</v>
          </cell>
          <cell r="K756">
            <v>19205.817057720913</v>
          </cell>
          <cell r="L756">
            <v>15484.960899893686</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row>
        <row r="757">
          <cell r="D757" t="str">
            <v>SUPPREVREQ-D%</v>
          </cell>
          <cell r="E757">
            <v>111467.62452393839</v>
          </cell>
          <cell r="F757">
            <v>0.35465373410398948</v>
          </cell>
          <cell r="G757">
            <v>0.25117676260862831</v>
          </cell>
          <cell r="H757">
            <v>3.5930611259842149E-2</v>
          </cell>
          <cell r="I757">
            <v>3.4243577941210232E-2</v>
          </cell>
          <cell r="J757">
            <v>1.2776894336436142E-2</v>
          </cell>
          <cell r="K757">
            <v>0.17229950974326488</v>
          </cell>
          <cell r="L757">
            <v>0.13891891000662879</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row>
        <row r="759">
          <cell r="D759" t="str">
            <v>SUPPREVREQ-E</v>
          </cell>
          <cell r="E759" t="str">
            <v>INT</v>
          </cell>
          <cell r="F759">
            <v>57246116.15819782</v>
          </cell>
          <cell r="G759">
            <v>38537558.286371581</v>
          </cell>
          <cell r="H759">
            <v>5265734.7920527831</v>
          </cell>
          <cell r="I759">
            <v>5122500.1881618667</v>
          </cell>
          <cell r="J759">
            <v>1726910.9829736515</v>
          </cell>
          <cell r="K759">
            <v>100350.67626263789</v>
          </cell>
          <cell r="L759">
            <v>65573.061888513723</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row>
        <row r="760">
          <cell r="D760" t="str">
            <v>SUPPREVREQ-E%</v>
          </cell>
          <cell r="E760">
            <v>108064744.14590885</v>
          </cell>
          <cell r="F760">
            <v>0.52973906162128326</v>
          </cell>
          <cell r="G760">
            <v>0.35661545854713012</v>
          </cell>
          <cell r="H760">
            <v>4.872759227508091E-2</v>
          </cell>
          <cell r="I760">
            <v>4.7402140528325087E-2</v>
          </cell>
          <cell r="J760">
            <v>1.5980336571583226E-2</v>
          </cell>
          <cell r="K760">
            <v>9.286162388645881E-4</v>
          </cell>
          <cell r="L760">
            <v>6.067942177328165E-4</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row>
        <row r="762">
          <cell r="D762" t="str">
            <v>SUPPREVREQ-C</v>
          </cell>
          <cell r="E762" t="str">
            <v>INT</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row>
        <row r="763">
          <cell r="D763" t="str">
            <v>SUPPREVREQ-C%</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row>
        <row r="765">
          <cell r="D765" t="str">
            <v>STORREVREQ-D</v>
          </cell>
          <cell r="E765" t="str">
            <v>INT</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row>
        <row r="766">
          <cell r="D766" t="str">
            <v>STORREVREQ-D%</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row>
        <row r="768">
          <cell r="D768" t="str">
            <v>STORREVREQ-E</v>
          </cell>
          <cell r="E768" t="str">
            <v>INT</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row>
        <row r="769">
          <cell r="D769" t="str">
            <v>STORREVREQ-E%</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row>
        <row r="771">
          <cell r="D771" t="str">
            <v>STORREVREQ-C</v>
          </cell>
          <cell r="E771" t="str">
            <v>INT</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row>
        <row r="772">
          <cell r="D772" t="str">
            <v>STORREVREQ-C%</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row>
        <row r="774">
          <cell r="D774" t="str">
            <v>TRANREVREQ-D</v>
          </cell>
          <cell r="E774" t="str">
            <v>INT</v>
          </cell>
          <cell r="F774">
            <v>136305.29129926406</v>
          </cell>
          <cell r="G774">
            <v>80755.707667965311</v>
          </cell>
          <cell r="H774">
            <v>10016.476841681204</v>
          </cell>
          <cell r="I774">
            <v>6942.552972650692</v>
          </cell>
          <cell r="J774">
            <v>1834.4733718807838</v>
          </cell>
          <cell r="K774">
            <v>131991.90843142339</v>
          </cell>
          <cell r="L774">
            <v>124319.00775883556</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row>
        <row r="775">
          <cell r="D775" t="str">
            <v>TRANREVREQ-D%</v>
          </cell>
          <cell r="E775">
            <v>492165.41834370105</v>
          </cell>
          <cell r="F775">
            <v>0.27695015988318789</v>
          </cell>
          <cell r="G775">
            <v>0.16408245004237579</v>
          </cell>
          <cell r="H775">
            <v>2.0351850147029737E-2</v>
          </cell>
          <cell r="I775">
            <v>1.4106137314593684E-2</v>
          </cell>
          <cell r="J775">
            <v>3.727351218731279E-3</v>
          </cell>
          <cell r="K775">
            <v>0.26818606816305723</v>
          </cell>
          <cell r="L775">
            <v>0.25259598323102428</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row>
        <row r="777">
          <cell r="D777" t="str">
            <v>TRANREVREQ-E</v>
          </cell>
          <cell r="E777" t="str">
            <v>INT</v>
          </cell>
          <cell r="F777">
            <v>126926.35229347972</v>
          </cell>
          <cell r="G777">
            <v>70896.121106810009</v>
          </cell>
          <cell r="H777">
            <v>9951.1479371055248</v>
          </cell>
          <cell r="I777">
            <v>9680.4642074231269</v>
          </cell>
          <cell r="J777">
            <v>3354.565482547996</v>
          </cell>
          <cell r="K777">
            <v>382765.07713312609</v>
          </cell>
          <cell r="L777">
            <v>275426.76435104251</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row>
        <row r="778">
          <cell r="D778" t="str">
            <v>TRANREVREQ-E%</v>
          </cell>
          <cell r="E778">
            <v>879000.49251153506</v>
          </cell>
          <cell r="F778">
            <v>0.1443984996308908</v>
          </cell>
          <cell r="G778">
            <v>8.0655382688400085E-2</v>
          </cell>
          <cell r="H778">
            <v>1.1320981070980386E-2</v>
          </cell>
          <cell r="I778">
            <v>1.1013036158561754E-2</v>
          </cell>
          <cell r="J778">
            <v>3.816340845228792E-3</v>
          </cell>
          <cell r="K778">
            <v>0.43545490633283473</v>
          </cell>
          <cell r="L778">
            <v>0.3133408532731034</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row>
        <row r="780">
          <cell r="D780" t="str">
            <v>DISTREVREQ-D</v>
          </cell>
          <cell r="E780" t="str">
            <v>INT</v>
          </cell>
          <cell r="F780">
            <v>8655316.3176801074</v>
          </cell>
          <cell r="G780">
            <v>5336121.0118775824</v>
          </cell>
          <cell r="H780">
            <v>615257.67857872811</v>
          </cell>
          <cell r="I780">
            <v>426881.97090494109</v>
          </cell>
          <cell r="J780">
            <v>50956.23828906141</v>
          </cell>
          <cell r="K780">
            <v>3624221.8454155698</v>
          </cell>
          <cell r="L780">
            <v>1508643.3718873523</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row>
        <row r="781">
          <cell r="D781" t="str">
            <v>DISTREVREQ-D%</v>
          </cell>
          <cell r="E781">
            <v>20217398.434633344</v>
          </cell>
          <cell r="F781">
            <v>0.42811226902731203</v>
          </cell>
          <cell r="G781">
            <v>0.26393707524389282</v>
          </cell>
          <cell r="H781">
            <v>3.0432089497962462E-2</v>
          </cell>
          <cell r="I781">
            <v>2.1114584662568277E-2</v>
          </cell>
          <cell r="J781">
            <v>2.5204151985139195E-3</v>
          </cell>
          <cell r="K781">
            <v>0.17926252267982754</v>
          </cell>
          <cell r="L781">
            <v>7.4621043689922839E-2</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row>
        <row r="783">
          <cell r="D783" t="str">
            <v>DISTREVREQ-E</v>
          </cell>
          <cell r="E783" t="str">
            <v>INT</v>
          </cell>
          <cell r="F783">
            <v>6808736.0091161765</v>
          </cell>
          <cell r="G783">
            <v>4258016.1553192139</v>
          </cell>
          <cell r="H783">
            <v>543278.35380737018</v>
          </cell>
          <cell r="I783">
            <v>528149.68292911327</v>
          </cell>
          <cell r="J783">
            <v>90482.712793416606</v>
          </cell>
          <cell r="K783">
            <v>7978799.1074715983</v>
          </cell>
          <cell r="L783">
            <v>1806436.7494462975</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row>
        <row r="784">
          <cell r="D784" t="str">
            <v>DISTREVREQ-E%</v>
          </cell>
          <cell r="E784">
            <v>22013898.770883191</v>
          </cell>
          <cell r="F784">
            <v>0.30929260100540618</v>
          </cell>
          <cell r="G784">
            <v>0.19342399089029624</v>
          </cell>
          <cell r="H784">
            <v>2.467887944165258E-2</v>
          </cell>
          <cell r="I784">
            <v>2.3991646751263956E-2</v>
          </cell>
          <cell r="J784">
            <v>4.110253878022465E-3</v>
          </cell>
          <cell r="K784">
            <v>0.36244370842773216</v>
          </cell>
          <cell r="L784">
            <v>8.205891960562621E-2</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row>
        <row r="786">
          <cell r="D786" t="str">
            <v>DISTREVREQ-C</v>
          </cell>
          <cell r="E786" t="str">
            <v>INT</v>
          </cell>
          <cell r="F786">
            <v>42628971.409539446</v>
          </cell>
          <cell r="G786">
            <v>9002588.9169392399</v>
          </cell>
          <cell r="H786">
            <v>450542.37025714351</v>
          </cell>
          <cell r="I786">
            <v>188839.53056773776</v>
          </cell>
          <cell r="J786">
            <v>66164.565148898429</v>
          </cell>
          <cell r="K786">
            <v>1132309.2553852089</v>
          </cell>
          <cell r="L786">
            <v>393736.12216262566</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row>
        <row r="787">
          <cell r="D787" t="str">
            <v>DISTREVREQ-C%</v>
          </cell>
          <cell r="E787">
            <v>53863152.1700003</v>
          </cell>
          <cell r="F787">
            <v>0.79143105615126141</v>
          </cell>
          <cell r="G787">
            <v>0.1671381743223215</v>
          </cell>
          <cell r="H787">
            <v>8.3645748922224848E-3</v>
          </cell>
          <cell r="I787">
            <v>3.5059130956861099E-3</v>
          </cell>
          <cell r="J787">
            <v>1.2283827158884612E-3</v>
          </cell>
          <cell r="K787">
            <v>2.1021964177132979E-2</v>
          </cell>
          <cell r="L787">
            <v>7.3099346454870403E-3</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row>
        <row r="789">
          <cell r="D789" t="str">
            <v>BBAREVREQ-D</v>
          </cell>
          <cell r="E789" t="str">
            <v>INT</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row>
        <row r="790">
          <cell r="D790" t="str">
            <v>BBAREVREQ-D%</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row>
        <row r="792">
          <cell r="D792" t="str">
            <v>BBAREVREQ-E</v>
          </cell>
          <cell r="E792" t="str">
            <v>INT</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row>
        <row r="793">
          <cell r="D793" t="str">
            <v>BBAREVREQ-E%</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row>
        <row r="795">
          <cell r="D795" t="str">
            <v>COMMCOLLREVREQ-C</v>
          </cell>
          <cell r="E795" t="str">
            <v>INT</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row>
        <row r="796">
          <cell r="D796" t="str">
            <v>COMMCOLLREVREQ-C%</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row>
        <row r="798">
          <cell r="D798" t="str">
            <v>BBAREVREQ-C</v>
          </cell>
          <cell r="E798" t="str">
            <v>INT</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row>
        <row r="799">
          <cell r="D799" t="str">
            <v>BBAREVREQ-C%</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row>
        <row r="804">
          <cell r="D804" t="str">
            <v>LAST Line of Afactor and Afirst Range</v>
          </cell>
          <cell r="E804" t="str">
            <v>END</v>
          </cell>
        </row>
      </sheetData>
      <sheetData sheetId="95" refreshError="1"/>
      <sheetData sheetId="96">
        <row r="77">
          <cell r="E77">
            <v>1</v>
          </cell>
        </row>
        <row r="81">
          <cell r="E81">
            <v>2</v>
          </cell>
        </row>
        <row r="89">
          <cell r="E89">
            <v>1</v>
          </cell>
        </row>
        <row r="95">
          <cell r="E95" t="str">
            <v>HISTORIC YEAR ENDING DEC 31, 2016</v>
          </cell>
        </row>
        <row r="117">
          <cell r="E117" t="b">
            <v>1</v>
          </cell>
        </row>
        <row r="119">
          <cell r="E119">
            <v>0.5</v>
          </cell>
        </row>
        <row r="134">
          <cell r="E134" t="str">
            <v>$E:$I</v>
          </cell>
        </row>
        <row r="135">
          <cell r="E135" t="str">
            <v>$K:$O</v>
          </cell>
        </row>
        <row r="136">
          <cell r="E136" t="str">
            <v>$Q:$U</v>
          </cell>
        </row>
        <row r="137">
          <cell r="E137" t="str">
            <v>$W:$AA</v>
          </cell>
        </row>
        <row r="138">
          <cell r="E138" t="str">
            <v>$AC:$AG</v>
          </cell>
        </row>
        <row r="139">
          <cell r="E139" t="str">
            <v>$AI:$AM</v>
          </cell>
        </row>
        <row r="140">
          <cell r="E140" t="str">
            <v>$AO:$AS</v>
          </cell>
        </row>
        <row r="141">
          <cell r="E141" t="str">
            <v>$AU:$AY</v>
          </cell>
        </row>
      </sheetData>
      <sheetData sheetId="97" refreshError="1"/>
      <sheetData sheetId="98" refreshError="1"/>
      <sheetData sheetId="99" refreshError="1"/>
      <sheetData sheetId="100">
        <row r="61">
          <cell r="D61">
            <v>6.3829096908015401E-2</v>
          </cell>
          <cell r="E61">
            <v>7.5980000000000006E-2</v>
          </cell>
        </row>
        <row r="63">
          <cell r="E63">
            <v>0</v>
          </cell>
        </row>
        <row r="64">
          <cell r="E64">
            <v>0</v>
          </cell>
        </row>
        <row r="66">
          <cell r="E66">
            <v>0.43215512</v>
          </cell>
        </row>
        <row r="70">
          <cell r="E70">
            <v>9.7891000000000006E-2</v>
          </cell>
        </row>
        <row r="71">
          <cell r="E71">
            <v>9.7891000000000006E-2</v>
          </cell>
        </row>
        <row r="72">
          <cell r="E72">
            <v>9.7891000000000006E-2</v>
          </cell>
        </row>
        <row r="73">
          <cell r="E73">
            <v>9.7891000000000006E-2</v>
          </cell>
        </row>
        <row r="74">
          <cell r="E74">
            <v>9.7891000000000006E-2</v>
          </cell>
        </row>
        <row r="75">
          <cell r="E75">
            <v>9.7891000000000006E-2</v>
          </cell>
        </row>
        <row r="76">
          <cell r="E76">
            <v>9.7891000000000006E-2</v>
          </cell>
        </row>
        <row r="77">
          <cell r="E77">
            <v>9.7891000000000006E-2</v>
          </cell>
        </row>
        <row r="83">
          <cell r="E83" t="str">
            <v>Using Target for System</v>
          </cell>
        </row>
      </sheetData>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ment"/>
      <sheetName val="#REF"/>
    </sheetNames>
    <sheetDataSet>
      <sheetData sheetId="0" refreshError="1">
        <row r="3">
          <cell r="C3" t="str">
            <v>Base Assumptions</v>
          </cell>
        </row>
        <row r="16">
          <cell r="B16" t="str">
            <v>Other Consultants</v>
          </cell>
          <cell r="E16">
            <v>40296.682871109319</v>
          </cell>
          <cell r="F16">
            <v>0</v>
          </cell>
          <cell r="G16">
            <v>0</v>
          </cell>
          <cell r="H16">
            <v>40296.682871109319</v>
          </cell>
          <cell r="I16">
            <v>0</v>
          </cell>
          <cell r="J16">
            <v>0</v>
          </cell>
          <cell r="K16">
            <v>0</v>
          </cell>
          <cell r="L16">
            <v>0</v>
          </cell>
          <cell r="M16">
            <v>0</v>
          </cell>
          <cell r="N16">
            <v>0</v>
          </cell>
          <cell r="O16">
            <v>0</v>
          </cell>
          <cell r="P16">
            <v>0</v>
          </cell>
          <cell r="R16">
            <v>0</v>
          </cell>
          <cell r="S16">
            <v>40296.682871109319</v>
          </cell>
          <cell r="U16">
            <v>0</v>
          </cell>
          <cell r="V16">
            <v>0</v>
          </cell>
          <cell r="W16">
            <v>0</v>
          </cell>
          <cell r="X16">
            <v>0</v>
          </cell>
          <cell r="Y16">
            <v>0</v>
          </cell>
          <cell r="Z16">
            <v>0</v>
          </cell>
          <cell r="AA16">
            <v>0</v>
          </cell>
          <cell r="AB16">
            <v>0</v>
          </cell>
          <cell r="AC16">
            <v>40296.682871109319</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row>
        <row r="21">
          <cell r="B21" t="str">
            <v>Insurance (% direct construction)</v>
          </cell>
          <cell r="D21">
            <v>8.9999999999999993E-3</v>
          </cell>
          <cell r="E21">
            <v>85383.376030864485</v>
          </cell>
          <cell r="F21">
            <v>0</v>
          </cell>
          <cell r="G21">
            <v>16506</v>
          </cell>
          <cell r="H21">
            <v>68877.376030864485</v>
          </cell>
          <cell r="I21">
            <v>0</v>
          </cell>
          <cell r="J21">
            <v>0</v>
          </cell>
          <cell r="K21">
            <v>0</v>
          </cell>
          <cell r="L21">
            <v>0</v>
          </cell>
          <cell r="M21">
            <v>0</v>
          </cell>
          <cell r="N21">
            <v>0</v>
          </cell>
          <cell r="O21">
            <v>0</v>
          </cell>
          <cell r="P21">
            <v>0</v>
          </cell>
          <cell r="R21">
            <v>0</v>
          </cell>
          <cell r="S21">
            <v>85383.376030864485</v>
          </cell>
          <cell r="U21">
            <v>0</v>
          </cell>
          <cell r="V21">
            <v>0</v>
          </cell>
          <cell r="W21">
            <v>0</v>
          </cell>
          <cell r="X21">
            <v>0</v>
          </cell>
          <cell r="Y21">
            <v>0</v>
          </cell>
          <cell r="Z21">
            <v>0</v>
          </cell>
          <cell r="AA21">
            <v>8253</v>
          </cell>
          <cell r="AB21">
            <v>8253</v>
          </cell>
          <cell r="AC21">
            <v>18248.426186763256</v>
          </cell>
          <cell r="AD21">
            <v>16751.760417341211</v>
          </cell>
          <cell r="AE21">
            <v>16876.009426760018</v>
          </cell>
          <cell r="AF21">
            <v>17001.179999999989</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row>
        <row r="36">
          <cell r="B36" t="str">
            <v>Other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R36">
            <v>0</v>
          </cell>
          <cell r="S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row>
        <row r="46">
          <cell r="B46" t="str">
            <v>Spa and Fitness</v>
          </cell>
          <cell r="C46">
            <v>5100</v>
          </cell>
          <cell r="D46">
            <v>45</v>
          </cell>
          <cell r="E46">
            <v>238138.28451217926</v>
          </cell>
          <cell r="F46">
            <v>0</v>
          </cell>
          <cell r="G46">
            <v>0</v>
          </cell>
          <cell r="H46">
            <v>0</v>
          </cell>
          <cell r="I46">
            <v>238138.28451217926</v>
          </cell>
          <cell r="J46">
            <v>0</v>
          </cell>
          <cell r="K46">
            <v>0</v>
          </cell>
          <cell r="L46">
            <v>0</v>
          </cell>
          <cell r="M46">
            <v>0</v>
          </cell>
          <cell r="N46">
            <v>0</v>
          </cell>
          <cell r="O46">
            <v>0</v>
          </cell>
          <cell r="P46">
            <v>0</v>
          </cell>
          <cell r="R46">
            <v>0</v>
          </cell>
          <cell r="S46">
            <v>238138.28451217926</v>
          </cell>
          <cell r="U46">
            <v>0</v>
          </cell>
          <cell r="V46">
            <v>0</v>
          </cell>
          <cell r="W46">
            <v>0</v>
          </cell>
          <cell r="X46">
            <v>0</v>
          </cell>
          <cell r="Y46">
            <v>0</v>
          </cell>
          <cell r="Z46">
            <v>0</v>
          </cell>
          <cell r="AA46">
            <v>0</v>
          </cell>
          <cell r="AB46">
            <v>0</v>
          </cell>
          <cell r="AC46">
            <v>0</v>
          </cell>
          <cell r="AD46">
            <v>0</v>
          </cell>
          <cell r="AE46">
            <v>0</v>
          </cell>
          <cell r="AF46">
            <v>0</v>
          </cell>
          <cell r="AG46">
            <v>238138.28451217926</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row>
        <row r="85">
          <cell r="B85" t="str">
            <v>Hotel Development Cost</v>
          </cell>
          <cell r="E85">
            <v>-16878685.151613597</v>
          </cell>
          <cell r="F85">
            <v>-179400</v>
          </cell>
          <cell r="G85">
            <v>-3680748.3397686705</v>
          </cell>
          <cell r="H85">
            <v>-10268133.01329181</v>
          </cell>
          <cell r="I85">
            <v>-2750403.7985531162</v>
          </cell>
          <cell r="J85">
            <v>0</v>
          </cell>
          <cell r="K85">
            <v>0</v>
          </cell>
          <cell r="L85">
            <v>0</v>
          </cell>
          <cell r="M85">
            <v>0</v>
          </cell>
          <cell r="N85">
            <v>0</v>
          </cell>
          <cell r="O85">
            <v>0</v>
          </cell>
          <cell r="P85">
            <v>0</v>
          </cell>
          <cell r="R85">
            <v>0</v>
          </cell>
          <cell r="S85">
            <v>-16878685.151613597</v>
          </cell>
          <cell r="U85">
            <v>0</v>
          </cell>
          <cell r="V85">
            <v>-35880</v>
          </cell>
          <cell r="W85">
            <v>-71760</v>
          </cell>
          <cell r="X85">
            <v>-71760</v>
          </cell>
          <cell r="Y85">
            <v>-71760</v>
          </cell>
          <cell r="Z85">
            <v>-71760</v>
          </cell>
          <cell r="AA85">
            <v>-1211264.6078000001</v>
          </cell>
          <cell r="AB85">
            <v>-2325963.7319686706</v>
          </cell>
          <cell r="AC85">
            <v>-3277714.7933725528</v>
          </cell>
          <cell r="AD85">
            <v>-2312941.7387162838</v>
          </cell>
          <cell r="AE85">
            <v>-2330096.9927229751</v>
          </cell>
          <cell r="AF85">
            <v>-2347379.4884799989</v>
          </cell>
          <cell r="AG85">
            <v>-2750403.7985531162</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row>
        <row r="89">
          <cell r="B89" t="str">
            <v>Selling Costs</v>
          </cell>
          <cell r="C89">
            <v>2.5000000000000001E-2</v>
          </cell>
          <cell r="E89">
            <v>-376100.18403468747</v>
          </cell>
          <cell r="F89">
            <v>0</v>
          </cell>
          <cell r="G89">
            <v>0</v>
          </cell>
          <cell r="H89">
            <v>0</v>
          </cell>
          <cell r="I89">
            <v>0</v>
          </cell>
          <cell r="J89">
            <v>0</v>
          </cell>
          <cell r="K89">
            <v>0</v>
          </cell>
          <cell r="L89">
            <v>0</v>
          </cell>
          <cell r="M89">
            <v>0</v>
          </cell>
          <cell r="N89">
            <v>0</v>
          </cell>
          <cell r="O89">
            <v>0</v>
          </cell>
          <cell r="P89">
            <v>-376100.18403468747</v>
          </cell>
          <cell r="R89">
            <v>0</v>
          </cell>
          <cell r="S89">
            <v>-376100.18403468747</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-376100.18403468747</v>
          </cell>
        </row>
        <row r="91">
          <cell r="A91" t="str">
            <v>Cumulative Cash Flow</v>
          </cell>
          <cell r="F91">
            <v>-179400</v>
          </cell>
          <cell r="G91">
            <v>-3860148.3397686705</v>
          </cell>
          <cell r="H91">
            <v>-14128281.35306048</v>
          </cell>
          <cell r="I91">
            <v>-16523543.829363404</v>
          </cell>
          <cell r="J91">
            <v>-15468369.525907626</v>
          </cell>
          <cell r="K91">
            <v>-14241253.574376589</v>
          </cell>
          <cell r="L91">
            <v>-12930255.245524464</v>
          </cell>
          <cell r="M91">
            <v>-11573371.975162519</v>
          </cell>
          <cell r="N91">
            <v>-10158300.642819315</v>
          </cell>
          <cell r="O91">
            <v>-8704773.3615258411</v>
          </cell>
          <cell r="P91">
            <v>7467534.55196572</v>
          </cell>
          <cell r="U91">
            <v>0</v>
          </cell>
          <cell r="V91">
            <v>-35880</v>
          </cell>
          <cell r="W91">
            <v>-107640</v>
          </cell>
          <cell r="X91">
            <v>-179400</v>
          </cell>
          <cell r="Y91">
            <v>-251160</v>
          </cell>
          <cell r="Z91">
            <v>-322920</v>
          </cell>
          <cell r="AA91">
            <v>-1534184.6078000001</v>
          </cell>
          <cell r="AB91">
            <v>-3860148.3397686705</v>
          </cell>
          <cell r="AC91">
            <v>-7137863.1331412233</v>
          </cell>
          <cell r="AD91">
            <v>-9450804.8718575072</v>
          </cell>
          <cell r="AE91">
            <v>-11780901.864580482</v>
          </cell>
          <cell r="AF91">
            <v>-14128281.35306048</v>
          </cell>
          <cell r="AG91">
            <v>-16789899.82105105</v>
          </cell>
          <cell r="AH91">
            <v>-16701114.490488501</v>
          </cell>
          <cell r="AI91">
            <v>-16612329.159925953</v>
          </cell>
          <cell r="AJ91">
            <v>-16523543.829363404</v>
          </cell>
          <cell r="AK91">
            <v>-16259750.253499459</v>
          </cell>
          <cell r="AL91">
            <v>-15995956.677635515</v>
          </cell>
          <cell r="AM91">
            <v>-15732163.101771571</v>
          </cell>
          <cell r="AN91">
            <v>-15468369.525907626</v>
          </cell>
          <cell r="AO91">
            <v>-15161590.538024867</v>
          </cell>
          <cell r="AP91">
            <v>-14854811.550142108</v>
          </cell>
          <cell r="AQ91">
            <v>-14548032.562259348</v>
          </cell>
          <cell r="AR91">
            <v>-14241253.574376589</v>
          </cell>
          <cell r="AS91">
            <v>-13913503.992163558</v>
          </cell>
          <cell r="AT91">
            <v>-13585754.409950526</v>
          </cell>
          <cell r="AU91">
            <v>-13258004.827737495</v>
          </cell>
          <cell r="AV91">
            <v>-12930255.245524464</v>
          </cell>
          <cell r="AW91">
            <v>-12591034.427933978</v>
          </cell>
          <cell r="AX91">
            <v>-12251813.610343492</v>
          </cell>
          <cell r="AY91">
            <v>-11912592.792753005</v>
          </cell>
          <cell r="AZ91">
            <v>-11573371.975162519</v>
          </cell>
          <cell r="BA91">
            <v>-11219604.14207672</v>
          </cell>
          <cell r="BB91">
            <v>-10865836.308990918</v>
          </cell>
          <cell r="BC91">
            <v>-10512068.475905117</v>
          </cell>
          <cell r="BD91">
            <v>-10158300.642819315</v>
          </cell>
          <cell r="BE91">
            <v>-9794918.8224959467</v>
          </cell>
          <cell r="BF91">
            <v>-9431537.0021725781</v>
          </cell>
          <cell r="BG91">
            <v>-9068155.1818492096</v>
          </cell>
          <cell r="BH91">
            <v>-8704773.3615258411</v>
          </cell>
          <cell r="BI91">
            <v>-8328673.1774911536</v>
          </cell>
          <cell r="BJ91">
            <v>-7952572.9934564661</v>
          </cell>
          <cell r="BK91">
            <v>-7576472.8094217787</v>
          </cell>
          <cell r="BL91">
            <v>7467534.55196572</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
      <sheetName val="Module1"/>
      <sheetName val="Module2"/>
      <sheetName val="Module3"/>
      <sheetName val="Module4"/>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XXXX, pg 2"/>
      <sheetName val="Staff XXXX, pg 3"/>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Misc. Labor"/>
      <sheetName val="PUC 3-year W&amp;S "/>
      <sheetName val="PUC 3-year Incentives"/>
      <sheetName val="PUC 3-year OT"/>
      <sheetName val="PUC FTE"/>
      <sheetName val="PUC Depreciation"/>
      <sheetName val="PUC Payroll Tax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Title"/>
      <sheetName val="Summary of Request"/>
      <sheetName val="Summary Bill Impacts"/>
      <sheetName val="Schedule"/>
      <sheetName val="Proof ---&gt;"/>
      <sheetName val="Exh 301, Proof of Revenue"/>
      <sheetName val="Exh 302, Margin Baseline"/>
      <sheetName val="Proof WPs ---&gt;"/>
      <sheetName val="1501 Summary"/>
      <sheetName val="Revenue Recon"/>
      <sheetName val="Allocation Summary"/>
      <sheetName val="Forecast"/>
      <sheetName val="163"/>
      <sheetName val="902-905"/>
      <sheetName val="163 3 Day Peak"/>
      <sheetName val="Rev Req ---&gt;"/>
      <sheetName val="Exh 401, RR Summary"/>
      <sheetName val="Exh 402, RR Calc"/>
      <sheetName val="Exh 403, Conversion Factor"/>
      <sheetName val="Exh 404, Summary of Adj"/>
      <sheetName val="Exh 405, Plant Additions"/>
      <sheetName val="Exh 406, Envi Rem"/>
      <sheetName val="RR WPs ---&gt;"/>
      <sheetName val="Uncollectibles"/>
      <sheetName val="Removal 50% Membership Fees"/>
      <sheetName val="Promotional Advertising Adj"/>
      <sheetName val="Interest Coord. Adj."/>
      <sheetName val="PGA Commodity Sharing Adj"/>
      <sheetName val="Annul Wage Rate Adj"/>
      <sheetName val="Revenue Adjustment"/>
      <sheetName val="2020 Wage Adjustment"/>
      <sheetName val="Incentive Comp. Adj"/>
      <sheetName val="2020 Plant Additions  "/>
      <sheetName val="Inflation Factor"/>
      <sheetName val="DR 58a Summary"/>
      <sheetName val="DR 58b Summary"/>
      <sheetName val="Depreciation Expense Adj"/>
      <sheetName val="UM 2073 DEPN"/>
      <sheetName val="A&amp;G Adj."/>
      <sheetName val="Rate Case Costs"/>
      <sheetName val="D&amp;O Insurance Prem."/>
      <sheetName val="Capital Structure Calculation"/>
      <sheetName val="Long-Term Debt"/>
      <sheetName val="State Alloc. Formulas"/>
      <sheetName val="Meals-Entertainment"/>
      <sheetName val="Cat A"/>
      <sheetName val="WOs-271"/>
      <sheetName val="PUC Misc. Labor"/>
      <sheetName val="PUC 3-year W&amp;S "/>
      <sheetName val="PUC 3-year Incentives"/>
      <sheetName val="PUC 3-year OT"/>
      <sheetName val="PUC FTE"/>
      <sheetName val="PUC Depreciation"/>
      <sheetName val="PUC Payroll Taxes"/>
      <sheetName val="Cost of Service ---&gt;"/>
      <sheetName val="Sch 1, Summary"/>
      <sheetName val="Sch 2, Functionalization"/>
      <sheetName val="Sch 3, Plant Carrying Costs"/>
      <sheetName val="Sch 4, O&amp;M Costs"/>
      <sheetName val="Sch 5a, ECC-Mains"/>
      <sheetName val="Sch 5b, ECC-Service"/>
      <sheetName val="Sch 5c, ECC-Meters"/>
      <sheetName val="COS WPs ---&gt;"/>
      <sheetName val="Dec19_O&amp;M"/>
      <sheetName val="DEC19_RB"/>
      <sheetName val="OR2019 13-MO PLT-RESERV"/>
      <sheetName val="RWIP"/>
      <sheetName val="PJA-1"/>
      <sheetName val="HWIndex"/>
      <sheetName val="JDE_Additions_Activity"/>
      <sheetName val="PowerPlanData"/>
      <sheetName val="Combined 12-31-2019"/>
      <sheetName val="Service Activity PP 2018-19"/>
      <sheetName val="Service Activity PP 2016-17"/>
      <sheetName val="Service Activity PP 2014-15"/>
      <sheetName val="2013 Services -  Additions Only"/>
      <sheetName val="Service Activity PowerPlan 2013"/>
      <sheetName val="Activity Type Description"/>
      <sheetName val="PJA-2"/>
      <sheetName val="MeterCount"/>
      <sheetName val="382 Summary"/>
      <sheetName val="382 2014-2019 1012 Activity"/>
      <sheetName val="Pre-Cap Assets"/>
      <sheetName val="Ind Meter Cost"/>
      <sheetName val="385 Summary"/>
      <sheetName val="385 Thru 12-2019 1012 Activity"/>
      <sheetName val="385 Thru 12-17 1012 Activity"/>
      <sheetName val="PJA-3A Investment"/>
      <sheetName val="PJA-3B Mains Unit Cost"/>
      <sheetName val="PJA-3C Regression"/>
      <sheetName val="PJA-3D 105 Sample"/>
      <sheetName val="HandyWhitman"/>
      <sheetName val="BASE"/>
      <sheetName val="Pivot"/>
      <sheetName val="MainsbyWOIDlength"/>
      <sheetName val="CR WO Query"/>
      <sheetName val="Combined 12-31-2019 (2)"/>
      <sheetName val="Combined 12-31-2017"/>
      <sheetName val="GIS Request"/>
      <sheetName val="Ext WO Lookup"/>
      <sheetName val="2018 &amp; 2019 Main Activity"/>
      <sheetName val="2016 &amp; 2017 Main Activity"/>
      <sheetName val="2014-15 Main Activity"/>
      <sheetName val="Activity Type Description (2)"/>
      <sheetName val="PP OR Main WO's V-2"/>
      <sheetName val="2009-2013 Summary"/>
      <sheetName val="Raw Data 2002-2009"/>
      <sheetName val="2002-2009 Pivot"/>
      <sheetName val="GIS 2016-17 OR Growth Mains"/>
      <sheetName val="WP-4A"/>
      <sheetName val="WP-4B"/>
      <sheetName val="WP-4C"/>
      <sheetName val="WP-4D"/>
      <sheetName val="WP-4E"/>
      <sheetName val="WP-4F"/>
      <sheetName val="PJA-5"/>
      <sheetName val="Large Volume Summary"/>
      <sheetName val="New Customers 2017"/>
      <sheetName val="GIS info"/>
      <sheetName val="Dana list"/>
      <sheetName val="Equipment cost tabulation"/>
      <sheetName val="Meters"/>
      <sheetName val="Ind Regs"/>
      <sheetName val="Mini-Max Temp Correctors"/>
      <sheetName val="Rate Design ---&gt;"/>
      <sheetName val="PJA-505"/>
      <sheetName val="PJA-506"/>
      <sheetName val="PJA-507 RES Monthly Impact"/>
      <sheetName val="PJA-508 Bill Impact"/>
      <sheetName val="RD WPs ---&gt;"/>
      <sheetName val="Sch 111-170 Bill Impact"/>
      <sheetName val="Sch 163 Bill Impact"/>
      <sheetName val="Sch 111 Customer Impact"/>
      <sheetName val="Sch 163 Customer Impact"/>
      <sheetName val="Sch 170 Customer Impact"/>
      <sheetName val="Revenue Spread"/>
      <sheetName val="163_Customer_ID"/>
    </sheetNames>
    <sheetDataSet>
      <sheetData sheetId="0"/>
      <sheetData sheetId="1"/>
      <sheetData sheetId="2">
        <row r="2">
          <cell r="A2" t="str">
            <v>Cascade Natural Gas Corp.</v>
          </cell>
        </row>
        <row r="3">
          <cell r="A3" t="str">
            <v>Oregon Jurisdiction</v>
          </cell>
        </row>
        <row r="4">
          <cell r="A4" t="str">
            <v>Twelve-Months ended December 31, 2020</v>
          </cell>
        </row>
      </sheetData>
      <sheetData sheetId="3"/>
      <sheetData sheetId="4"/>
      <sheetData sheetId="5">
        <row r="3">
          <cell r="G3">
            <v>43696</v>
          </cell>
        </row>
      </sheetData>
      <sheetData sheetId="6"/>
      <sheetData sheetId="7"/>
      <sheetData sheetId="8"/>
      <sheetData sheetId="9"/>
      <sheetData sheetId="10"/>
      <sheetData sheetId="11"/>
      <sheetData sheetId="12"/>
      <sheetData sheetId="13"/>
      <sheetData sheetId="14"/>
      <sheetData sheetId="15"/>
      <sheetData sheetId="16"/>
      <sheetData sheetId="17"/>
      <sheetData sheetId="18">
        <row r="16">
          <cell r="I16">
            <v>3230498.1551638227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ow r="9">
          <cell r="A9" t="str">
            <v>Year</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Set>
  </externalBook>
</externalLink>
</file>

<file path=xl/persons/person.xml><?xml version="1.0" encoding="utf-8"?>
<personList xmlns="http://schemas.microsoft.com/office/spreadsheetml/2018/threadedcomments" xmlns:x="http://schemas.openxmlformats.org/spreadsheetml/2006/main">
  <person displayName="Mickelson, Christopher" id="{69B874FE-6D93-4004-92F3-027476B557BD}" userId="Mickelson, Christopher" providerId="None"/>
  <person displayName="Myhrum, Isaac" id="{2607184A-91D3-4E24-BDEC-492CBAD15DDA}" userId="S::Isaac.Myhrum@cngc.com::e363f7e5-b5ec-4eac-9ee7-dc4b3bd0779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S313" dT="2019-03-07T23:12:42.13" personId="{2607184A-91D3-4E24-BDEC-492CBAD15DDA}" id="{16B61CCE-73A8-4707-8C64-7D187BF1C70E}">
    <text>Needs to include 916</text>
  </threadedComment>
</ThreadedComments>
</file>

<file path=xl/threadedComments/threadedComment2.xml><?xml version="1.0" encoding="utf-8"?>
<ThreadedComments xmlns="http://schemas.microsoft.com/office/spreadsheetml/2018/threadedcomments" xmlns:x="http://schemas.openxmlformats.org/spreadsheetml/2006/main">
  <threadedComment ref="AA10" dT="2020-03-11T20:37:44.83" personId="{2607184A-91D3-4E24-BDEC-492CBAD15DDA}" id="{0F6CF6E9-B4F1-4D40-A2A1-7E4DAFC1313D}">
    <text>Low income bill assistance liability</text>
  </threadedComment>
  <threadedComment ref="I430" dT="2020-05-05T20:33:49.14" personId="{2607184A-91D3-4E24-BDEC-492CBAD15DDA}" id="{AFC22D1B-C89B-4869-8E8D-7B543DC6AA30}">
    <text>WA502-Adjusted in Revenue Reconciliation, cell F19.</text>
  </threadedComment>
</ThreadedComments>
</file>

<file path=xl/threadedComments/threadedComment3.xml><?xml version="1.0" encoding="utf-8"?>
<ThreadedComments xmlns="http://schemas.microsoft.com/office/spreadsheetml/2018/threadedcomments" xmlns:x="http://schemas.openxmlformats.org/spreadsheetml/2006/main">
  <threadedComment ref="E19" dT="2020-05-01T15:42:47.66" personId="{2607184A-91D3-4E24-BDEC-492CBAD15DDA}" id="{5316388D-9D55-4A67-AF8A-5C3148E66F87}">
    <text>502(R) ADJUSTMENT</text>
  </threadedComment>
  <threadedComment ref="F19" dT="2020-05-01T15:42:32.12" personId="{2607184A-91D3-4E24-BDEC-492CBAD15DDA}" id="{83560EEB-ED2D-4F8D-9F09-E5D40201EADA}">
    <text>502(R) ADJUSTMENT</text>
  </threadedComment>
  <threadedComment ref="H19" dT="2020-05-01T15:47:22.03" personId="{2607184A-91D3-4E24-BDEC-492CBAD15DDA}" id="{FDEB6750-CFD0-40C7-9A24-BBB64E0D8DE6}">
    <text>502(R) ADJUSTMENT</text>
  </threadedComment>
  <threadedComment ref="O19" dT="2020-05-01T16:30:12.19" personId="{2607184A-91D3-4E24-BDEC-492CBAD15DDA}" id="{F8F55C9B-AF4D-4083-BA1D-644B7D2BCDCA}">
    <text>502R ADJUSTMENT</text>
  </threadedComment>
  <threadedComment ref="N159" dT="2020-05-01T16:28:28.60" personId="{2607184A-91D3-4E24-BDEC-492CBAD15DDA}" id="{B9F9BFD2-C533-4E85-9AF8-7956B200ECBE}">
    <text>05LV(4809)</text>
  </threadedComment>
  <threadedComment ref="P399" dT="2020-05-01T21:39:21.33" personId="{2607184A-91D3-4E24-BDEC-492CBAD15DDA}" id="{98B62C50-B9DD-4A98-A28C-E7CFDC2AB039}">
    <text>This value is a reverse value of the difference from CNGCWA908.</text>
  </threadedComment>
  <threadedComment ref="P419" dT="2020-05-01T22:00:24.90" personId="{2607184A-91D3-4E24-BDEC-492CBAD15DDA}" id="{266E56CC-EA47-4ACB-9FFE-114DA4206F63}">
    <text>Mirror adjustment with WA903</text>
  </threadedComment>
</ThreadedComments>
</file>

<file path=xl/threadedComments/threadedComment4.xml><?xml version="1.0" encoding="utf-8"?>
<ThreadedComments xmlns="http://schemas.microsoft.com/office/spreadsheetml/2018/threadedcomments" xmlns:x="http://schemas.openxmlformats.org/spreadsheetml/2006/main">
  <threadedComment ref="B19" dT="2020-09-25T17:10:31.24" personId="{69B874FE-6D93-4004-92F3-027476B557BD}" id="{5F543D96-E48D-43DD-8D13-BD2270702666}">
    <text>Missing $1.7M of resources group from MDU.</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hyperlink" Target="https://www.ferc.gov/enforcement/acct-matts/interest-rates.asp" TargetMode="External"/><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7.bin"/><Relationship Id="rId4" Type="http://schemas.microsoft.com/office/2017/10/relationships/threadedComment" Target="../threadedComments/threadedComment4.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C0820-5FC2-41B2-B094-130364AAABE1}">
  <sheetPr codeName="Sheet38">
    <tabColor theme="2"/>
  </sheetPr>
  <dimension ref="A1:B5"/>
  <sheetViews>
    <sheetView showGridLines="0" zoomScale="80" zoomScaleNormal="80" workbookViewId="0">
      <selection activeCell="F27" sqref="F27"/>
    </sheetView>
  </sheetViews>
  <sheetFormatPr defaultColWidth="8.88671875" defaultRowHeight="14.4"/>
  <cols>
    <col min="1" max="1" width="6" style="613" bestFit="1" customWidth="1"/>
    <col min="2" max="2" width="37.88671875" style="613" bestFit="1" customWidth="1"/>
    <col min="3" max="16384" width="8.88671875" style="613"/>
  </cols>
  <sheetData>
    <row r="1" spans="1:2">
      <c r="A1" s="873" t="str">
        <f ca="1">MID(CELL("filename",A1),FIND("]",CELL("filename",A1))+1,255)</f>
        <v>Cover</v>
      </c>
      <c r="B1" s="873"/>
    </row>
    <row r="2" spans="1:2">
      <c r="B2" s="613" t="str">
        <f>CompanyD</f>
        <v>Cascade Natural Gas Corp.</v>
      </c>
    </row>
    <row r="3" spans="1:2">
      <c r="B3" s="613" t="s">
        <v>3241</v>
      </c>
    </row>
    <row r="4" spans="1:2">
      <c r="B4" s="613" t="str">
        <f>Title6</f>
        <v>Embedded Cost of Service (ECOS) Study</v>
      </c>
    </row>
    <row r="5" spans="1:2">
      <c r="B5" s="613" t="str">
        <f>Title3</f>
        <v>General Rate Case Model</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81784-1ADC-4A1B-97E5-7C451682FECF}">
  <sheetPr codeName="Sheet51">
    <tabColor theme="8" tint="0.79998168889431442"/>
    <pageSetUpPr fitToPage="1"/>
  </sheetPr>
  <dimension ref="A1:AO493"/>
  <sheetViews>
    <sheetView zoomScale="80" zoomScaleNormal="80" workbookViewId="0">
      <pane xSplit="2" ySplit="4" topLeftCell="AE23" activePane="bottomRight" state="frozen"/>
      <selection activeCell="F27" sqref="F27"/>
      <selection pane="topRight" activeCell="F27" sqref="F27"/>
      <selection pane="bottomLeft" activeCell="F27" sqref="F27"/>
      <selection pane="bottomRight" activeCell="F27" sqref="F27"/>
    </sheetView>
  </sheetViews>
  <sheetFormatPr defaultColWidth="9.109375" defaultRowHeight="14.4"/>
  <cols>
    <col min="1" max="1" width="5.5546875" style="910" customWidth="1"/>
    <col min="2" max="2" width="56.33203125" style="910" customWidth="1"/>
    <col min="3" max="3" width="22" style="910" customWidth="1"/>
    <col min="4" max="4" width="0.88671875" style="910" customWidth="1"/>
    <col min="5" max="5" width="14.33203125" style="910" customWidth="1"/>
    <col min="6" max="6" width="13" style="899" customWidth="1"/>
    <col min="7" max="7" width="17.6640625" style="898" bestFit="1" customWidth="1"/>
    <col min="8" max="8" width="13" style="899" bestFit="1" customWidth="1"/>
    <col min="9" max="9" width="17.6640625" style="898" bestFit="1" customWidth="1"/>
    <col min="10" max="10" width="13" style="899" bestFit="1" customWidth="1"/>
    <col min="11" max="11" width="17.6640625" style="898" bestFit="1" customWidth="1"/>
    <col min="12" max="12" width="13.6640625" style="899" bestFit="1" customWidth="1"/>
    <col min="13" max="13" width="17.6640625" style="898" bestFit="1" customWidth="1"/>
    <col min="14" max="14" width="13.6640625" style="899" bestFit="1" customWidth="1"/>
    <col min="15" max="15" width="17.6640625" style="898" bestFit="1" customWidth="1"/>
    <col min="16" max="16" width="13.6640625" style="899" bestFit="1" customWidth="1"/>
    <col min="17" max="17" width="17.6640625" style="898" bestFit="1" customWidth="1"/>
    <col min="18" max="18" width="13.6640625" style="899" bestFit="1" customWidth="1"/>
    <col min="19" max="19" width="17.6640625" style="898" bestFit="1" customWidth="1"/>
    <col min="20" max="20" width="13.6640625" style="899" bestFit="1" customWidth="1"/>
    <col min="21" max="21" width="17.6640625" style="898" bestFit="1" customWidth="1"/>
    <col min="22" max="22" width="13.6640625" style="899" bestFit="1" customWidth="1"/>
    <col min="23" max="23" width="17.6640625" style="898" bestFit="1" customWidth="1"/>
    <col min="24" max="24" width="13.6640625" style="899" bestFit="1" customWidth="1"/>
    <col min="25" max="25" width="17.6640625" style="898" bestFit="1" customWidth="1"/>
    <col min="26" max="26" width="13.6640625" style="899" bestFit="1" customWidth="1"/>
    <col min="27" max="27" width="17.6640625" style="898" bestFit="1" customWidth="1"/>
    <col min="28" max="28" width="13.6640625" style="899" bestFit="1" customWidth="1"/>
    <col min="29" max="29" width="17.6640625" style="898" bestFit="1" customWidth="1"/>
    <col min="30" max="30" width="18.6640625" style="898" bestFit="1" customWidth="1"/>
    <col min="31" max="31" width="7.33203125" style="898" customWidth="1"/>
    <col min="32" max="32" width="15.5546875" style="898" customWidth="1"/>
    <col min="33" max="33" width="33.6640625" style="898" bestFit="1" customWidth="1"/>
    <col min="34" max="34" width="11.44140625" style="898" bestFit="1" customWidth="1"/>
    <col min="35" max="35" width="18.44140625" style="898" customWidth="1"/>
    <col min="36" max="36" width="41" style="898" customWidth="1"/>
    <col min="37" max="37" width="38.33203125" style="898" bestFit="1" customWidth="1"/>
    <col min="38" max="38" width="25.6640625" style="898" bestFit="1" customWidth="1"/>
    <col min="39" max="39" width="22.5546875" style="898" customWidth="1"/>
    <col min="40" max="40" width="20" style="898" customWidth="1"/>
    <col min="41" max="41" width="28.5546875" style="898" customWidth="1"/>
    <col min="42" max="42" width="20.109375" style="910" customWidth="1"/>
    <col min="43" max="16384" width="9.109375" style="910"/>
  </cols>
  <sheetData>
    <row r="1" spans="1:38" ht="15.6">
      <c r="B1" s="911" t="s">
        <v>2877</v>
      </c>
      <c r="AI1" s="898">
        <v>221481599.95999998</v>
      </c>
      <c r="AJ1" s="33" t="s">
        <v>23</v>
      </c>
      <c r="AK1" s="898">
        <f>AK24-AK2</f>
        <v>221481599.96000001</v>
      </c>
      <c r="AL1" s="898">
        <f>AK1-AI1</f>
        <v>0</v>
      </c>
    </row>
    <row r="2" spans="1:38" ht="15.6">
      <c r="B2" s="911" t="s">
        <v>2878</v>
      </c>
      <c r="AI2" s="898">
        <v>24094627.940000001</v>
      </c>
      <c r="AJ2" s="33" t="s">
        <v>24</v>
      </c>
      <c r="AK2" s="898">
        <f>'Allocation Report Summary 2019'!P13</f>
        <v>24094627.939999998</v>
      </c>
      <c r="AL2" s="898">
        <f>AK2-AI2</f>
        <v>0</v>
      </c>
    </row>
    <row r="3" spans="1:38" ht="15.6">
      <c r="B3" s="911" t="s">
        <v>2879</v>
      </c>
      <c r="AI3" s="898">
        <v>1748761.5300000012</v>
      </c>
      <c r="AJ3" s="33" t="s">
        <v>25</v>
      </c>
      <c r="AK3" s="898">
        <f>SUM('Allocation Report Summary 2019'!P12,'Allocation Report Summary 2019'!P15:P18)</f>
        <v>1748761.5299999998</v>
      </c>
      <c r="AL3" s="898">
        <f>AK3-AI3</f>
        <v>0</v>
      </c>
    </row>
    <row r="4" spans="1:38" ht="57" customHeight="1">
      <c r="C4" s="912" t="s">
        <v>2880</v>
      </c>
      <c r="D4" s="912"/>
      <c r="E4" s="912"/>
      <c r="F4" s="913" t="s">
        <v>2881</v>
      </c>
      <c r="G4" s="914">
        <v>43466</v>
      </c>
      <c r="H4" s="915" t="s">
        <v>2881</v>
      </c>
      <c r="I4" s="914">
        <v>43497</v>
      </c>
      <c r="J4" s="915" t="s">
        <v>2881</v>
      </c>
      <c r="K4" s="914">
        <v>43525</v>
      </c>
      <c r="L4" s="915" t="s">
        <v>2881</v>
      </c>
      <c r="M4" s="914">
        <v>43556</v>
      </c>
      <c r="N4" s="915" t="s">
        <v>2881</v>
      </c>
      <c r="O4" s="914">
        <v>43586</v>
      </c>
      <c r="P4" s="915" t="s">
        <v>2881</v>
      </c>
      <c r="Q4" s="916">
        <v>43617</v>
      </c>
      <c r="R4" s="915" t="s">
        <v>2881</v>
      </c>
      <c r="S4" s="914">
        <v>43647</v>
      </c>
      <c r="T4" s="915" t="s">
        <v>2881</v>
      </c>
      <c r="U4" s="914">
        <v>43678</v>
      </c>
      <c r="V4" s="915" t="s">
        <v>2881</v>
      </c>
      <c r="W4" s="914">
        <v>43709</v>
      </c>
      <c r="X4" s="915" t="s">
        <v>2881</v>
      </c>
      <c r="Y4" s="914">
        <v>43739</v>
      </c>
      <c r="Z4" s="915" t="s">
        <v>2881</v>
      </c>
      <c r="AA4" s="914">
        <v>43770</v>
      </c>
      <c r="AB4" s="915" t="s">
        <v>2881</v>
      </c>
      <c r="AC4" s="914">
        <v>43800</v>
      </c>
      <c r="AD4" s="917" t="s">
        <v>2882</v>
      </c>
      <c r="AF4" s="746">
        <v>125165839.18000001</v>
      </c>
      <c r="AG4" s="746" t="s">
        <v>3242</v>
      </c>
    </row>
    <row r="5" spans="1:38">
      <c r="A5" s="910">
        <v>1</v>
      </c>
      <c r="B5" s="918" t="s">
        <v>2883</v>
      </c>
      <c r="F5" s="919"/>
      <c r="G5" s="920"/>
      <c r="H5" s="919"/>
      <c r="I5" s="920"/>
      <c r="J5" s="919"/>
      <c r="K5" s="920"/>
      <c r="L5" s="919"/>
      <c r="M5" s="920"/>
      <c r="AF5" s="746"/>
      <c r="AG5" s="746"/>
      <c r="AI5" s="898">
        <f>SUMIF($B$5:$B$429, AJ5, $AD$5:$AD$429)</f>
        <v>17677281.299999997</v>
      </c>
      <c r="AJ5" s="830" t="s">
        <v>2462</v>
      </c>
    </row>
    <row r="6" spans="1:38">
      <c r="A6" s="910">
        <v>2</v>
      </c>
      <c r="B6" s="830" t="s">
        <v>2462</v>
      </c>
      <c r="C6" s="898">
        <v>5</v>
      </c>
      <c r="D6" s="898"/>
      <c r="E6" s="898"/>
      <c r="F6" s="919">
        <f>G6/$C$6</f>
        <v>192137.1</v>
      </c>
      <c r="G6" s="921">
        <v>960685.5</v>
      </c>
      <c r="H6" s="919">
        <f>I6/$C$6</f>
        <v>192402.6</v>
      </c>
      <c r="I6" s="922">
        <v>962013</v>
      </c>
      <c r="J6" s="919">
        <f>K6/$C$6</f>
        <v>193096</v>
      </c>
      <c r="K6" s="922">
        <v>965480</v>
      </c>
      <c r="L6" s="919">
        <f>M6/$C$6</f>
        <v>193332.2</v>
      </c>
      <c r="M6" s="922">
        <v>966661</v>
      </c>
      <c r="N6" s="899">
        <f>O6/$C$6</f>
        <v>193496.7</v>
      </c>
      <c r="O6" s="922">
        <v>967483.5</v>
      </c>
      <c r="P6" s="899">
        <f>Q6/$C$6</f>
        <v>193475.86000000002</v>
      </c>
      <c r="Q6" s="922">
        <v>967379.3</v>
      </c>
      <c r="R6" s="899">
        <f>S6/$C$6</f>
        <v>193607</v>
      </c>
      <c r="S6" s="922">
        <v>968035</v>
      </c>
      <c r="T6" s="899">
        <f>U6/$C$6</f>
        <v>193243.46000000002</v>
      </c>
      <c r="U6" s="922">
        <v>966217.3</v>
      </c>
      <c r="V6" s="899">
        <f>W6/$C$6</f>
        <v>192895</v>
      </c>
      <c r="W6" s="923">
        <v>964475</v>
      </c>
      <c r="X6" s="899">
        <f>Y6/$C$6</f>
        <v>194064</v>
      </c>
      <c r="Y6" s="922">
        <v>970320</v>
      </c>
      <c r="Z6" s="899">
        <f>AA6/$C$6</f>
        <v>194622.2</v>
      </c>
      <c r="AA6" s="922">
        <v>973111</v>
      </c>
      <c r="AB6" s="899">
        <f>AC6/$C$6</f>
        <v>195359</v>
      </c>
      <c r="AC6" s="922">
        <v>976795</v>
      </c>
      <c r="AD6" s="898">
        <f>SUM(G6,I6,K6,M6,O6,Q6,S6,U6,W6,Y6,AA6,AC6)</f>
        <v>11608655.6</v>
      </c>
      <c r="AF6" s="746">
        <f t="shared" ref="AF6:AF12" si="0">SUMIF($B$5:$B$429, AG6, $AD$5:$AD$429)</f>
        <v>112015877.84000006</v>
      </c>
      <c r="AG6" s="727" t="s">
        <v>2650</v>
      </c>
      <c r="AI6" s="898">
        <f>SUMIF($B$5:$B$429, AJ6, $AD$5:$AD$429)</f>
        <v>57435312.179999985</v>
      </c>
      <c r="AJ6" s="830" t="s">
        <v>2696</v>
      </c>
    </row>
    <row r="7" spans="1:38">
      <c r="A7" s="910">
        <v>3</v>
      </c>
      <c r="B7" s="830" t="s">
        <v>2696</v>
      </c>
      <c r="F7" s="919"/>
      <c r="G7" s="921">
        <v>5284738.49</v>
      </c>
      <c r="H7" s="924"/>
      <c r="I7" s="922">
        <v>5665855.4100000001</v>
      </c>
      <c r="J7" s="924"/>
      <c r="K7" s="922">
        <v>6095743.0599999996</v>
      </c>
      <c r="L7" s="924"/>
      <c r="M7" s="922">
        <v>3335957.1</v>
      </c>
      <c r="N7" s="924"/>
      <c r="O7" s="922">
        <v>2015767.5</v>
      </c>
      <c r="P7" s="924"/>
      <c r="Q7" s="922">
        <v>1100880.3799999999</v>
      </c>
      <c r="R7" s="924"/>
      <c r="S7" s="922">
        <v>875303.46000000008</v>
      </c>
      <c r="T7" s="924"/>
      <c r="U7" s="922">
        <v>754930.51000000443</v>
      </c>
      <c r="V7" s="924"/>
      <c r="W7" s="923">
        <v>732277.02000000386</v>
      </c>
      <c r="X7" s="925"/>
      <c r="Y7" s="922">
        <v>1732073.4400000023</v>
      </c>
      <c r="Z7" s="924"/>
      <c r="AA7" s="922">
        <v>3163652.9399999841</v>
      </c>
      <c r="AB7" s="924"/>
      <c r="AC7" s="922">
        <v>4801832.7199999914</v>
      </c>
      <c r="AD7" s="898">
        <f t="shared" ref="AD7:AD27" si="1">SUM(G7:AC7)</f>
        <v>35559012.029999986</v>
      </c>
      <c r="AF7" s="746">
        <f t="shared" si="0"/>
        <v>11825930.41</v>
      </c>
      <c r="AG7" s="727" t="s">
        <v>2652</v>
      </c>
      <c r="AI7" s="898">
        <f t="shared" ref="AI7:AI23" si="2">SUMIF($B$5:$B$429, AJ7, $AD$5:$AD$429)</f>
        <v>112015877.84000006</v>
      </c>
      <c r="AJ7" s="830" t="s">
        <v>2650</v>
      </c>
    </row>
    <row r="8" spans="1:38">
      <c r="A8" s="910">
        <v>4</v>
      </c>
      <c r="B8" s="830" t="s">
        <v>2650</v>
      </c>
      <c r="F8" s="919"/>
      <c r="G8" s="921">
        <v>8467434.1400000006</v>
      </c>
      <c r="H8" s="924"/>
      <c r="I8" s="922">
        <v>9078065.6099999994</v>
      </c>
      <c r="J8" s="924"/>
      <c r="K8" s="922">
        <v>9766852.3100000005</v>
      </c>
      <c r="L8" s="924"/>
      <c r="M8" s="922">
        <v>5345038.21</v>
      </c>
      <c r="N8" s="924"/>
      <c r="O8" s="922">
        <v>3229770.01</v>
      </c>
      <c r="P8" s="924"/>
      <c r="Q8" s="922">
        <v>1763912.6300000004</v>
      </c>
      <c r="R8" s="924"/>
      <c r="S8" s="922">
        <v>1402483.2600000002</v>
      </c>
      <c r="T8" s="924"/>
      <c r="U8" s="922">
        <v>1209632.4000000004</v>
      </c>
      <c r="V8" s="924"/>
      <c r="W8" s="923">
        <v>1173346.4000000015</v>
      </c>
      <c r="X8" s="925"/>
      <c r="Y8" s="922">
        <v>2775201.5199999977</v>
      </c>
      <c r="Z8" s="924"/>
      <c r="AA8" s="922">
        <v>5078352.850000049</v>
      </c>
      <c r="AB8" s="924"/>
      <c r="AC8" s="922">
        <v>7735997.6800000295</v>
      </c>
      <c r="AD8" s="898">
        <f t="shared" si="1"/>
        <v>57026087.02000007</v>
      </c>
      <c r="AF8" s="746">
        <f t="shared" si="0"/>
        <v>1681893.11</v>
      </c>
      <c r="AG8" s="727" t="s">
        <v>2656</v>
      </c>
      <c r="AI8" s="898">
        <f t="shared" si="2"/>
        <v>11825930.41</v>
      </c>
      <c r="AJ8" s="830" t="s">
        <v>2652</v>
      </c>
    </row>
    <row r="9" spans="1:38">
      <c r="A9" s="910">
        <v>5</v>
      </c>
      <c r="B9" s="830" t="s">
        <v>2652</v>
      </c>
      <c r="F9" s="919"/>
      <c r="G9" s="921"/>
      <c r="H9" s="924"/>
      <c r="I9" s="922"/>
      <c r="J9" s="924"/>
      <c r="K9" s="922"/>
      <c r="L9" s="924"/>
      <c r="M9" s="922">
        <v>255227.54</v>
      </c>
      <c r="N9" s="924"/>
      <c r="O9" s="922">
        <v>554960.1</v>
      </c>
      <c r="P9" s="924"/>
      <c r="Q9" s="922">
        <v>308169.32000000007</v>
      </c>
      <c r="R9" s="924"/>
      <c r="S9" s="922">
        <v>245033.45999999996</v>
      </c>
      <c r="T9" s="924"/>
      <c r="U9" s="922">
        <v>211353.62999999971</v>
      </c>
      <c r="V9" s="924"/>
      <c r="W9" s="923">
        <v>205005.51999999987</v>
      </c>
      <c r="X9" s="925"/>
      <c r="Y9" s="922">
        <v>484855.83999999985</v>
      </c>
      <c r="Z9" s="924"/>
      <c r="AA9" s="922">
        <v>1122775.28</v>
      </c>
      <c r="AB9" s="924"/>
      <c r="AC9" s="922">
        <v>2372072.1300000022</v>
      </c>
      <c r="AD9" s="898">
        <f t="shared" si="1"/>
        <v>5759452.8200000022</v>
      </c>
      <c r="AF9" s="746">
        <f t="shared" si="0"/>
        <v>0</v>
      </c>
      <c r="AG9" s="727"/>
      <c r="AI9" s="898">
        <f t="shared" si="2"/>
        <v>931920.4500000003</v>
      </c>
      <c r="AJ9" s="830" t="s">
        <v>2653</v>
      </c>
    </row>
    <row r="10" spans="1:38">
      <c r="A10" s="910">
        <v>6</v>
      </c>
      <c r="B10" s="830" t="s">
        <v>2653</v>
      </c>
      <c r="F10" s="919"/>
      <c r="G10" s="921">
        <v>65749.87</v>
      </c>
      <c r="H10" s="924"/>
      <c r="I10" s="922">
        <v>70592.62</v>
      </c>
      <c r="J10" s="924"/>
      <c r="K10" s="922">
        <v>75950.17</v>
      </c>
      <c r="L10" s="924"/>
      <c r="M10" s="922">
        <v>41473.65</v>
      </c>
      <c r="N10" s="924"/>
      <c r="O10" s="922">
        <v>25103.15</v>
      </c>
      <c r="P10" s="924"/>
      <c r="Q10" s="922">
        <v>13626.939999999999</v>
      </c>
      <c r="R10" s="924"/>
      <c r="S10" s="922">
        <v>10801.74</v>
      </c>
      <c r="T10" s="924"/>
      <c r="U10" s="922">
        <v>9300.3800000000574</v>
      </c>
      <c r="V10" s="924"/>
      <c r="W10" s="923">
        <v>9012.3500000000568</v>
      </c>
      <c r="X10" s="925"/>
      <c r="Y10" s="922">
        <v>21542.869999999966</v>
      </c>
      <c r="Z10" s="924"/>
      <c r="AA10" s="922">
        <v>39179.300000000156</v>
      </c>
      <c r="AB10" s="924"/>
      <c r="AC10" s="922">
        <v>58836.480000000069</v>
      </c>
      <c r="AD10" s="898">
        <f t="shared" si="1"/>
        <v>441169.52000000025</v>
      </c>
      <c r="AF10" s="746">
        <f t="shared" si="0"/>
        <v>0</v>
      </c>
      <c r="AG10" s="727"/>
      <c r="AI10" s="898">
        <f t="shared" si="2"/>
        <v>3879096.7900000024</v>
      </c>
      <c r="AJ10" s="830" t="s">
        <v>2654</v>
      </c>
    </row>
    <row r="11" spans="1:38">
      <c r="A11" s="910">
        <v>7</v>
      </c>
      <c r="B11" s="830" t="s">
        <v>2654</v>
      </c>
      <c r="F11" s="919"/>
      <c r="G11" s="921">
        <v>260496.75</v>
      </c>
      <c r="H11" s="924"/>
      <c r="I11" s="922">
        <v>279285.98</v>
      </c>
      <c r="J11" s="924"/>
      <c r="K11" s="922">
        <v>300472.10000000003</v>
      </c>
      <c r="L11" s="924"/>
      <c r="M11" s="922">
        <v>164421.34</v>
      </c>
      <c r="N11" s="924"/>
      <c r="O11" s="922">
        <v>99366.31</v>
      </c>
      <c r="P11" s="924"/>
      <c r="Q11" s="922">
        <v>54238.939999999995</v>
      </c>
      <c r="R11" s="924"/>
      <c r="S11" s="922">
        <v>43085.749999999993</v>
      </c>
      <c r="T11" s="924"/>
      <c r="U11" s="922">
        <v>37147.089999999902</v>
      </c>
      <c r="V11" s="924"/>
      <c r="W11" s="923">
        <v>36023.059999999896</v>
      </c>
      <c r="X11" s="925"/>
      <c r="Y11" s="922">
        <v>85376.89000000013</v>
      </c>
      <c r="Z11" s="924"/>
      <c r="AA11" s="922">
        <v>164763.37</v>
      </c>
      <c r="AB11" s="924"/>
      <c r="AC11" s="922">
        <v>274743.24000000232</v>
      </c>
      <c r="AD11" s="898">
        <f t="shared" si="1"/>
        <v>1799420.8200000019</v>
      </c>
      <c r="AF11" s="746">
        <f t="shared" si="0"/>
        <v>0</v>
      </c>
      <c r="AG11" s="727"/>
      <c r="AI11" s="898">
        <f t="shared" si="2"/>
        <v>-5710515.6999999983</v>
      </c>
      <c r="AJ11" s="830" t="s">
        <v>2655</v>
      </c>
    </row>
    <row r="12" spans="1:38">
      <c r="A12" s="910">
        <v>8</v>
      </c>
      <c r="B12" s="830" t="s">
        <v>2655</v>
      </c>
      <c r="F12" s="919"/>
      <c r="G12" s="921">
        <v>-502156.72</v>
      </c>
      <c r="H12" s="924"/>
      <c r="I12" s="922">
        <v>-538378.4</v>
      </c>
      <c r="J12" s="924"/>
      <c r="K12" s="922">
        <v>-579222.6</v>
      </c>
      <c r="L12" s="924"/>
      <c r="M12" s="922">
        <v>-317048.08</v>
      </c>
      <c r="N12" s="924"/>
      <c r="O12" s="922">
        <v>-191555.88</v>
      </c>
      <c r="P12" s="924"/>
      <c r="Q12" s="922">
        <v>-104629.59</v>
      </c>
      <c r="R12" s="924"/>
      <c r="S12" s="922">
        <v>-83208.389999999985</v>
      </c>
      <c r="T12" s="924"/>
      <c r="U12" s="922">
        <v>-71775.449999999575</v>
      </c>
      <c r="V12" s="924"/>
      <c r="W12" s="923">
        <v>-69625.289999999601</v>
      </c>
      <c r="X12" s="925"/>
      <c r="Y12" s="922">
        <v>-164594.83000000034</v>
      </c>
      <c r="Z12" s="924"/>
      <c r="AA12" s="922">
        <v>-141379.54000000004</v>
      </c>
      <c r="AB12" s="924"/>
      <c r="AC12" s="922">
        <v>234549.39000000109</v>
      </c>
      <c r="AD12" s="898">
        <f t="shared" si="1"/>
        <v>-2529025.379999999</v>
      </c>
      <c r="AF12" s="746">
        <f t="shared" si="0"/>
        <v>0</v>
      </c>
      <c r="AG12" s="746"/>
      <c r="AI12" s="898">
        <f t="shared" si="2"/>
        <v>1681893.11</v>
      </c>
      <c r="AJ12" s="830" t="s">
        <v>2656</v>
      </c>
    </row>
    <row r="13" spans="1:38">
      <c r="A13" s="910">
        <v>9</v>
      </c>
      <c r="B13" s="830" t="s">
        <v>2656</v>
      </c>
      <c r="F13" s="919"/>
      <c r="G13" s="921">
        <v>150363.18</v>
      </c>
      <c r="H13" s="924"/>
      <c r="I13" s="922">
        <v>161200.32000000001</v>
      </c>
      <c r="J13" s="924"/>
      <c r="K13" s="922">
        <v>173427.29</v>
      </c>
      <c r="L13" s="924"/>
      <c r="M13" s="922">
        <v>94888.52</v>
      </c>
      <c r="N13" s="924"/>
      <c r="O13" s="922">
        <v>57386.93</v>
      </c>
      <c r="P13" s="924"/>
      <c r="Q13" s="922">
        <v>31336.27</v>
      </c>
      <c r="R13" s="924"/>
      <c r="S13" s="922">
        <v>24929.890000000003</v>
      </c>
      <c r="T13" s="924"/>
      <c r="U13" s="922">
        <v>21514.669999999962</v>
      </c>
      <c r="V13" s="924"/>
      <c r="W13" s="923">
        <v>20877.509999999947</v>
      </c>
      <c r="X13" s="925"/>
      <c r="Y13" s="922">
        <v>49293.549999999974</v>
      </c>
      <c r="Z13" s="924"/>
      <c r="AA13" s="922">
        <v>59022.970000000052</v>
      </c>
      <c r="AB13" s="924"/>
      <c r="AC13" s="922">
        <v>2106.0300000000038</v>
      </c>
      <c r="AD13" s="898">
        <f t="shared" si="1"/>
        <v>846347.13</v>
      </c>
      <c r="AF13" s="746">
        <f>SUM(AF6:AF12)</f>
        <v>125523701.36000006</v>
      </c>
      <c r="AG13" s="727" t="s">
        <v>3243</v>
      </c>
      <c r="AI13" s="898">
        <f t="shared" si="2"/>
        <v>7073582.0199999977</v>
      </c>
      <c r="AJ13" s="830" t="s">
        <v>2657</v>
      </c>
    </row>
    <row r="14" spans="1:38">
      <c r="A14" s="910">
        <v>10</v>
      </c>
      <c r="B14" s="830" t="s">
        <v>2657</v>
      </c>
      <c r="F14" s="919"/>
      <c r="G14" s="921">
        <v>534993.67000000004</v>
      </c>
      <c r="H14" s="924"/>
      <c r="I14" s="922">
        <v>573574.09</v>
      </c>
      <c r="J14" s="924"/>
      <c r="K14" s="922">
        <v>617087.46</v>
      </c>
      <c r="L14" s="924"/>
      <c r="M14" s="922">
        <v>337842.75</v>
      </c>
      <c r="N14" s="924"/>
      <c r="O14" s="922">
        <v>204119.38</v>
      </c>
      <c r="P14" s="924"/>
      <c r="Q14" s="922">
        <v>111538.57999999999</v>
      </c>
      <c r="R14" s="924"/>
      <c r="S14" s="922">
        <v>88726.22</v>
      </c>
      <c r="T14" s="924"/>
      <c r="U14" s="922">
        <v>76538.619999999923</v>
      </c>
      <c r="V14" s="924"/>
      <c r="W14" s="923">
        <v>74250.129999999961</v>
      </c>
      <c r="X14" s="925"/>
      <c r="Y14" s="922">
        <v>175382.53999999998</v>
      </c>
      <c r="Z14" s="924"/>
      <c r="AA14" s="922">
        <v>315379.34999999951</v>
      </c>
      <c r="AB14" s="924"/>
      <c r="AC14" s="922">
        <v>464586.02999999875</v>
      </c>
      <c r="AD14" s="898">
        <f t="shared" si="1"/>
        <v>3574018.8199999989</v>
      </c>
      <c r="AF14" s="746">
        <f>AF13-AF4</f>
        <v>357862.18000005186</v>
      </c>
      <c r="AG14" s="727" t="s">
        <v>1807</v>
      </c>
      <c r="AI14" s="746">
        <f t="shared" si="2"/>
        <v>-1965916.9300000009</v>
      </c>
      <c r="AJ14" s="1456" t="s">
        <v>2658</v>
      </c>
    </row>
    <row r="15" spans="1:38">
      <c r="A15" s="910">
        <v>11</v>
      </c>
      <c r="B15" s="895" t="s">
        <v>2658</v>
      </c>
      <c r="F15" s="919"/>
      <c r="G15" s="921">
        <v>-139277.07999999999</v>
      </c>
      <c r="H15" s="924"/>
      <c r="I15" s="922">
        <v>-149321.51</v>
      </c>
      <c r="J15" s="924"/>
      <c r="K15" s="922">
        <v>-160645.72</v>
      </c>
      <c r="L15" s="924"/>
      <c r="M15" s="922">
        <v>-87900.17</v>
      </c>
      <c r="N15" s="924"/>
      <c r="O15" s="922">
        <v>-53115.56</v>
      </c>
      <c r="P15" s="924"/>
      <c r="Q15" s="922">
        <v>-28982.67</v>
      </c>
      <c r="R15" s="924"/>
      <c r="S15" s="922">
        <v>-23027.41</v>
      </c>
      <c r="T15" s="924"/>
      <c r="U15" s="922">
        <v>-19861.46999999995</v>
      </c>
      <c r="V15" s="924"/>
      <c r="W15" s="923">
        <v>-19269.969999999943</v>
      </c>
      <c r="X15" s="925"/>
      <c r="Y15" s="922">
        <v>-45638.790000000045</v>
      </c>
      <c r="Z15" s="924"/>
      <c r="AA15" s="922">
        <v>-86962.85</v>
      </c>
      <c r="AB15" s="924"/>
      <c r="AC15" s="922">
        <v>-142018.98000000106</v>
      </c>
      <c r="AD15" s="898">
        <f t="shared" si="1"/>
        <v>-956022.1800000011</v>
      </c>
      <c r="AF15" s="1674">
        <f>AF14/AF13</f>
        <v>2.8509530560583821E-3</v>
      </c>
      <c r="AG15" s="727" t="s">
        <v>3245</v>
      </c>
      <c r="AI15" s="746">
        <f t="shared" si="2"/>
        <v>-883177.45000000019</v>
      </c>
      <c r="AJ15" s="1456" t="s">
        <v>2659</v>
      </c>
    </row>
    <row r="16" spans="1:38">
      <c r="A16" s="910">
        <v>12</v>
      </c>
      <c r="B16" s="895" t="s">
        <v>2659</v>
      </c>
      <c r="F16" s="919"/>
      <c r="G16" s="926">
        <v>-64759.08</v>
      </c>
      <c r="H16" s="924"/>
      <c r="I16" s="922">
        <v>-69435.16</v>
      </c>
      <c r="J16" s="924"/>
      <c r="K16" s="922">
        <v>-74702.460000000006</v>
      </c>
      <c r="L16" s="924"/>
      <c r="M16" s="922">
        <v>-40874.629999999997</v>
      </c>
      <c r="N16" s="924"/>
      <c r="O16" s="922">
        <v>-24701.53</v>
      </c>
      <c r="P16" s="924"/>
      <c r="Q16" s="922">
        <v>-13475.820000000002</v>
      </c>
      <c r="R16" s="924"/>
      <c r="S16" s="922">
        <v>-10712.03</v>
      </c>
      <c r="T16" s="924"/>
      <c r="U16" s="922">
        <v>-9239.3200000000525</v>
      </c>
      <c r="V16" s="924"/>
      <c r="W16" s="923">
        <v>-8960.5900000000529</v>
      </c>
      <c r="X16" s="925"/>
      <c r="Y16" s="922">
        <v>-21217.219999999987</v>
      </c>
      <c r="Z16" s="924"/>
      <c r="AA16" s="922">
        <v>-37519.840000000193</v>
      </c>
      <c r="AB16" s="924"/>
      <c r="AC16" s="922">
        <v>-53147.17000000018</v>
      </c>
      <c r="AD16" s="898">
        <f t="shared" si="1"/>
        <v>-428744.85000000044</v>
      </c>
      <c r="AF16" s="746"/>
      <c r="AG16" s="727"/>
      <c r="AI16" s="746">
        <f t="shared" si="2"/>
        <v>-1407933.5499999998</v>
      </c>
      <c r="AJ16" s="1456" t="s">
        <v>2660</v>
      </c>
    </row>
    <row r="17" spans="1:37">
      <c r="A17" s="910">
        <v>13</v>
      </c>
      <c r="B17" s="895" t="s">
        <v>2660</v>
      </c>
      <c r="F17" s="919"/>
      <c r="G17" s="921">
        <v>-118658.05</v>
      </c>
      <c r="H17" s="924"/>
      <c r="I17" s="922">
        <v>-127220.94</v>
      </c>
      <c r="J17" s="924"/>
      <c r="K17" s="922">
        <v>-136878.6</v>
      </c>
      <c r="L17" s="924"/>
      <c r="M17" s="922">
        <v>-74853.320000000007</v>
      </c>
      <c r="N17" s="924"/>
      <c r="O17" s="922">
        <v>-45224.77</v>
      </c>
      <c r="P17" s="924"/>
      <c r="Q17" s="922">
        <v>-24684.59</v>
      </c>
      <c r="R17" s="924"/>
      <c r="S17" s="922">
        <v>-19625.54</v>
      </c>
      <c r="T17" s="924"/>
      <c r="U17" s="922">
        <v>-16914.649999999972</v>
      </c>
      <c r="V17" s="924"/>
      <c r="W17" s="923">
        <v>-16398.499999999964</v>
      </c>
      <c r="X17" s="925"/>
      <c r="Y17" s="922">
        <v>-38854.949999999968</v>
      </c>
      <c r="Z17" s="924"/>
      <c r="AA17" s="922">
        <v>-46544.749999999898</v>
      </c>
      <c r="AB17" s="924"/>
      <c r="AC17" s="922">
        <v>-1643.2900000000043</v>
      </c>
      <c r="AD17" s="898">
        <f t="shared" si="1"/>
        <v>-667501.94999999995</v>
      </c>
      <c r="AF17" s="746"/>
      <c r="AG17" s="727"/>
      <c r="AI17" s="746">
        <f t="shared" si="2"/>
        <v>10761199.149999997</v>
      </c>
      <c r="AJ17" s="727" t="s">
        <v>2661</v>
      </c>
    </row>
    <row r="18" spans="1:37">
      <c r="A18" s="910">
        <v>14</v>
      </c>
      <c r="B18" s="830" t="s">
        <v>2661</v>
      </c>
      <c r="F18" s="919"/>
      <c r="G18" s="921">
        <v>731771.17</v>
      </c>
      <c r="H18" s="924"/>
      <c r="I18" s="922">
        <v>785548.47</v>
      </c>
      <c r="J18" s="924"/>
      <c r="K18" s="922">
        <v>856306.87</v>
      </c>
      <c r="L18" s="924"/>
      <c r="M18" s="922">
        <v>498969.66</v>
      </c>
      <c r="N18" s="924"/>
      <c r="O18" s="922">
        <v>323529.15000000002</v>
      </c>
      <c r="P18" s="924"/>
      <c r="Q18" s="922">
        <v>199519.88</v>
      </c>
      <c r="R18" s="924"/>
      <c r="S18" s="922">
        <v>168225.07</v>
      </c>
      <c r="T18" s="924"/>
      <c r="U18" s="922">
        <v>154753.43000000037</v>
      </c>
      <c r="V18" s="924"/>
      <c r="W18" s="923">
        <v>149535.53000000041</v>
      </c>
      <c r="X18" s="925"/>
      <c r="Y18" s="922">
        <v>283745.92999999959</v>
      </c>
      <c r="Z18" s="924"/>
      <c r="AA18" s="922">
        <v>513950.299999999</v>
      </c>
      <c r="AB18" s="924"/>
      <c r="AC18" s="922">
        <v>840306.26999999722</v>
      </c>
      <c r="AD18" s="898">
        <f t="shared" si="1"/>
        <v>5506161.7299999967</v>
      </c>
      <c r="AF18" s="746"/>
      <c r="AG18" s="727"/>
      <c r="AI18" s="898">
        <f t="shared" si="2"/>
        <v>83355</v>
      </c>
      <c r="AJ18" s="830" t="s">
        <v>2662</v>
      </c>
    </row>
    <row r="19" spans="1:37">
      <c r="A19" s="910">
        <v>15</v>
      </c>
      <c r="B19" s="830" t="s">
        <v>2662</v>
      </c>
      <c r="F19" s="919"/>
      <c r="G19" s="921">
        <v>2794.62</v>
      </c>
      <c r="H19" s="924"/>
      <c r="I19" s="922">
        <v>2949.31</v>
      </c>
      <c r="J19" s="924"/>
      <c r="K19" s="922">
        <v>3589.15</v>
      </c>
      <c r="L19" s="924"/>
      <c r="M19" s="922">
        <v>2050.19</v>
      </c>
      <c r="N19" s="924"/>
      <c r="O19" s="922">
        <v>1091.04</v>
      </c>
      <c r="P19" s="924"/>
      <c r="Q19" s="922">
        <v>689.89</v>
      </c>
      <c r="R19" s="924"/>
      <c r="S19" s="922">
        <v>603.13</v>
      </c>
      <c r="T19" s="924"/>
      <c r="U19" s="922"/>
      <c r="V19" s="924"/>
      <c r="W19" s="923"/>
      <c r="X19" s="925"/>
      <c r="Y19" s="922"/>
      <c r="Z19" s="924"/>
      <c r="AA19" s="922"/>
      <c r="AB19" s="924"/>
      <c r="AC19" s="922"/>
      <c r="AD19" s="898">
        <f t="shared" si="1"/>
        <v>13767.33</v>
      </c>
      <c r="AF19" s="746">
        <f>SUMIF($B$5:$B$429, AG19, $AD$5:$AD$429)</f>
        <v>-5710515.6999999983</v>
      </c>
      <c r="AG19" s="727" t="s">
        <v>2655</v>
      </c>
      <c r="AI19" s="898">
        <f t="shared" si="2"/>
        <v>3309.6800000000003</v>
      </c>
      <c r="AJ19" s="830" t="s">
        <v>2663</v>
      </c>
    </row>
    <row r="20" spans="1:37">
      <c r="A20" s="910">
        <v>16</v>
      </c>
      <c r="B20" s="830" t="s">
        <v>2663</v>
      </c>
      <c r="F20" s="919"/>
      <c r="G20" s="921">
        <v>284.5</v>
      </c>
      <c r="H20" s="924"/>
      <c r="I20" s="922">
        <v>270.78000000000003</v>
      </c>
      <c r="J20" s="924"/>
      <c r="K20" s="922">
        <v>336.81</v>
      </c>
      <c r="L20" s="924"/>
      <c r="M20" s="922">
        <v>171.04</v>
      </c>
      <c r="N20" s="924"/>
      <c r="O20" s="922">
        <v>149.83000000000001</v>
      </c>
      <c r="P20" s="924"/>
      <c r="Q20" s="922">
        <v>76.77</v>
      </c>
      <c r="R20" s="924"/>
      <c r="S20" s="922"/>
      <c r="T20" s="924"/>
      <c r="U20" s="922"/>
      <c r="V20" s="924"/>
      <c r="W20" s="923"/>
      <c r="X20" s="925"/>
      <c r="Y20" s="922"/>
      <c r="Z20" s="924"/>
      <c r="AA20" s="922"/>
      <c r="AB20" s="924"/>
      <c r="AC20" s="922"/>
      <c r="AD20" s="898">
        <f t="shared" si="1"/>
        <v>1289.7299999999998</v>
      </c>
      <c r="AF20" s="746">
        <f>SUMIF($B$5:$B$429, AG20, $AD$5:$AD$429)</f>
        <v>931920.4500000003</v>
      </c>
      <c r="AG20" s="727" t="s">
        <v>2653</v>
      </c>
      <c r="AI20" s="898">
        <f t="shared" si="2"/>
        <v>-24356.350000000002</v>
      </c>
      <c r="AJ20" s="830" t="s">
        <v>2664</v>
      </c>
    </row>
    <row r="21" spans="1:37">
      <c r="A21" s="910">
        <v>17</v>
      </c>
      <c r="B21" s="830" t="s">
        <v>2664</v>
      </c>
      <c r="C21" s="927"/>
      <c r="D21" s="927"/>
      <c r="E21" s="927"/>
      <c r="F21" s="919"/>
      <c r="G21" s="921">
        <v>-91.34</v>
      </c>
      <c r="H21" s="924"/>
      <c r="I21" s="922">
        <v>-85.84</v>
      </c>
      <c r="J21" s="924"/>
      <c r="K21" s="922">
        <v>-118.35</v>
      </c>
      <c r="L21" s="924"/>
      <c r="M21" s="922">
        <v>-65.84</v>
      </c>
      <c r="N21" s="924"/>
      <c r="O21" s="922">
        <v>-47.96</v>
      </c>
      <c r="P21" s="924"/>
      <c r="Q21" s="922">
        <v>-27.770000000000003</v>
      </c>
      <c r="R21" s="924"/>
      <c r="S21" s="922">
        <v>46.779999999999994</v>
      </c>
      <c r="T21" s="924"/>
      <c r="U21" s="922">
        <v>-19.919999999999998</v>
      </c>
      <c r="V21" s="924"/>
      <c r="W21" s="923">
        <v>-18.73</v>
      </c>
      <c r="X21" s="925"/>
      <c r="Y21" s="922">
        <v>-116.73000000000002</v>
      </c>
      <c r="Z21" s="924"/>
      <c r="AA21" s="922">
        <v>-63.14</v>
      </c>
      <c r="AB21" s="924"/>
      <c r="AC21" s="922">
        <v>-101.1</v>
      </c>
      <c r="AD21" s="898">
        <f t="shared" si="1"/>
        <v>-709.94</v>
      </c>
      <c r="AF21" s="746">
        <f>SUMIF($B$5:$B$429, AG21, $AD$5:$AD$429)</f>
        <v>0</v>
      </c>
      <c r="AG21" s="727"/>
      <c r="AI21" s="898">
        <f t="shared" si="2"/>
        <v>83357.700000000012</v>
      </c>
      <c r="AJ21" s="910" t="s">
        <v>2665</v>
      </c>
    </row>
    <row r="22" spans="1:37">
      <c r="A22" s="910">
        <v>18</v>
      </c>
      <c r="B22" s="910" t="s">
        <v>2665</v>
      </c>
      <c r="F22" s="919"/>
      <c r="G22" s="921">
        <v>2909.03</v>
      </c>
      <c r="H22" s="924"/>
      <c r="I22" s="922">
        <v>3282.99</v>
      </c>
      <c r="J22" s="924"/>
      <c r="K22" s="922">
        <v>3375.39</v>
      </c>
      <c r="L22" s="924"/>
      <c r="M22" s="922">
        <v>1578.75</v>
      </c>
      <c r="N22" s="924"/>
      <c r="O22" s="922">
        <v>840.65</v>
      </c>
      <c r="P22" s="924"/>
      <c r="Q22" s="922">
        <v>501.37</v>
      </c>
      <c r="R22" s="924"/>
      <c r="S22" s="922">
        <v>529.22</v>
      </c>
      <c r="T22" s="924"/>
      <c r="U22" s="922">
        <v>477.24</v>
      </c>
      <c r="V22" s="924"/>
      <c r="W22" s="923">
        <v>507.70999999999975</v>
      </c>
      <c r="X22" s="925"/>
      <c r="Y22" s="922">
        <v>1107.7100000000003</v>
      </c>
      <c r="Z22" s="924"/>
      <c r="AA22" s="922">
        <v>2233.9499999999998</v>
      </c>
      <c r="AB22" s="924"/>
      <c r="AC22" s="922">
        <v>3312.719999999998</v>
      </c>
      <c r="AD22" s="898">
        <f t="shared" si="1"/>
        <v>20656.729999999996</v>
      </c>
      <c r="AF22" s="746">
        <f>'Revenue Reconcilliation'!T17</f>
        <v>4818520.51</v>
      </c>
      <c r="AG22" s="1457" t="str">
        <f>'Revenue Reconcilliation'!U17</f>
        <v>DEFWA revenues</v>
      </c>
      <c r="AI22" s="898">
        <f t="shared" si="2"/>
        <v>-239912.88000000003</v>
      </c>
      <c r="AJ22" s="830" t="s">
        <v>2677</v>
      </c>
    </row>
    <row r="23" spans="1:37">
      <c r="A23" s="910">
        <v>19</v>
      </c>
      <c r="B23" s="830" t="s">
        <v>2677</v>
      </c>
      <c r="F23" s="919"/>
      <c r="G23" s="921">
        <v>-10.64</v>
      </c>
      <c r="H23" s="924"/>
      <c r="I23" s="922">
        <v>-10.64</v>
      </c>
      <c r="J23" s="924"/>
      <c r="K23" s="922">
        <v>-33.08</v>
      </c>
      <c r="L23" s="924"/>
      <c r="M23" s="922">
        <v>-55.39</v>
      </c>
      <c r="N23" s="924"/>
      <c r="O23" s="922">
        <v>-14.61</v>
      </c>
      <c r="P23" s="924"/>
      <c r="Q23" s="922">
        <v>-10.620000000000001</v>
      </c>
      <c r="R23" s="924"/>
      <c r="S23" s="922">
        <v>-15.3</v>
      </c>
      <c r="T23" s="924"/>
      <c r="U23" s="922"/>
      <c r="V23" s="924"/>
      <c r="W23" s="923"/>
      <c r="X23" s="925"/>
      <c r="Y23" s="922">
        <v>-221.14000000000001</v>
      </c>
      <c r="Z23" s="924"/>
      <c r="AA23" s="922">
        <v>-5.43</v>
      </c>
      <c r="AB23" s="924"/>
      <c r="AC23" s="922">
        <v>-5</v>
      </c>
      <c r="AD23" s="898">
        <f t="shared" si="1"/>
        <v>-381.85</v>
      </c>
      <c r="AF23" s="746">
        <f>SUM(AF19:AF22)</f>
        <v>39925.260000001639</v>
      </c>
      <c r="AG23" s="727" t="s">
        <v>3244</v>
      </c>
      <c r="AI23" s="898">
        <f t="shared" si="2"/>
        <v>239128323.77000001</v>
      </c>
      <c r="AJ23" s="830" t="s">
        <v>2884</v>
      </c>
      <c r="AK23" s="898">
        <f>SUM('Revenue Reconcilliation'!T14:T21)</f>
        <v>6447904.1299999952</v>
      </c>
    </row>
    <row r="24" spans="1:37">
      <c r="A24" s="910">
        <v>20</v>
      </c>
      <c r="B24" s="830" t="s">
        <v>2884</v>
      </c>
      <c r="F24" s="919"/>
      <c r="G24" s="922">
        <f>SUM(G6:G23)</f>
        <v>15637268.009999996</v>
      </c>
      <c r="H24" s="922"/>
      <c r="I24" s="922">
        <f>SUM(I6:I23)</f>
        <v>16698186.09</v>
      </c>
      <c r="J24" s="922"/>
      <c r="K24" s="922">
        <f>SUM(K6:K23)</f>
        <v>17907019.800000004</v>
      </c>
      <c r="L24" s="922"/>
      <c r="M24" s="922">
        <f>SUM(M6:M23)</f>
        <v>10523482.319999995</v>
      </c>
      <c r="N24" s="922"/>
      <c r="O24" s="922">
        <f>SUM(O6:O23)</f>
        <v>7164907.2400000002</v>
      </c>
      <c r="P24" s="922"/>
      <c r="Q24" s="922">
        <f>SUM(Q6:Q23)</f>
        <v>4380059.21</v>
      </c>
      <c r="R24" s="922"/>
      <c r="S24" s="922">
        <f>SUM(S6:S23)</f>
        <v>3691214.3100000005</v>
      </c>
      <c r="T24" s="922"/>
      <c r="U24" s="922">
        <f>SUM(U6:U23)</f>
        <v>3324054.4600000056</v>
      </c>
      <c r="V24" s="922"/>
      <c r="W24" s="922">
        <f>SUM(W6:W23)</f>
        <v>3251037.1500000064</v>
      </c>
      <c r="X24" s="922"/>
      <c r="Y24" s="922">
        <f>SUM(Y6:Y23)</f>
        <v>6308256.6299999999</v>
      </c>
      <c r="Z24" s="922"/>
      <c r="AA24" s="922">
        <f>SUM(AA6:AA23)</f>
        <v>11119945.760000031</v>
      </c>
      <c r="AB24" s="922"/>
      <c r="AC24" s="922">
        <f>SUM(AC6:AC23)</f>
        <v>17568222.150000021</v>
      </c>
      <c r="AD24" s="898">
        <f t="shared" si="1"/>
        <v>117573653.13000005</v>
      </c>
      <c r="AF24" s="836">
        <f>AF23/AF22</f>
        <v>8.2857922711221665E-3</v>
      </c>
      <c r="AG24" s="830"/>
      <c r="AI24" s="928"/>
      <c r="AJ24" s="830"/>
      <c r="AK24" s="898">
        <f>AK23+AI23</f>
        <v>245576227.90000001</v>
      </c>
    </row>
    <row r="25" spans="1:37">
      <c r="A25" s="910">
        <v>21</v>
      </c>
      <c r="B25" s="830" t="s">
        <v>2514</v>
      </c>
      <c r="E25" s="928"/>
      <c r="F25" s="929"/>
      <c r="G25" s="924">
        <v>19425579</v>
      </c>
      <c r="H25" s="924"/>
      <c r="I25" s="924">
        <v>20826493</v>
      </c>
      <c r="J25" s="924"/>
      <c r="K25" s="924">
        <v>22406682</v>
      </c>
      <c r="L25" s="924"/>
      <c r="M25" s="919">
        <v>12262419</v>
      </c>
      <c r="O25" s="924">
        <v>7409574</v>
      </c>
      <c r="P25" s="924"/>
      <c r="Q25" s="924">
        <v>5484878</v>
      </c>
      <c r="R25" s="924"/>
      <c r="S25" s="924">
        <v>3217527</v>
      </c>
      <c r="T25" s="926"/>
      <c r="U25" s="924">
        <v>2775098</v>
      </c>
      <c r="V25" s="926"/>
      <c r="W25" s="930">
        <v>2691847</v>
      </c>
      <c r="X25" s="931"/>
      <c r="Y25" s="924">
        <v>6366761</v>
      </c>
      <c r="Z25" s="926"/>
      <c r="AA25" s="924">
        <v>11628968</v>
      </c>
      <c r="AB25" s="926"/>
      <c r="AC25" s="924">
        <v>17650518</v>
      </c>
      <c r="AD25" s="928">
        <f t="shared" si="1"/>
        <v>132146344</v>
      </c>
      <c r="AG25" s="830"/>
      <c r="AI25" s="928"/>
      <c r="AJ25" s="910"/>
    </row>
    <row r="26" spans="1:37">
      <c r="A26" s="910">
        <v>22</v>
      </c>
      <c r="B26" s="910" t="s">
        <v>2885</v>
      </c>
      <c r="E26" s="928"/>
      <c r="F26" s="929"/>
      <c r="G26" s="924">
        <v>0</v>
      </c>
      <c r="H26" s="924"/>
      <c r="I26" s="924"/>
      <c r="J26" s="924"/>
      <c r="K26" s="924">
        <v>-6</v>
      </c>
      <c r="L26" s="924"/>
      <c r="M26" s="924">
        <v>-61</v>
      </c>
      <c r="N26" s="924"/>
      <c r="O26" s="924">
        <v>-5</v>
      </c>
      <c r="P26" s="924"/>
      <c r="Q26" s="924"/>
      <c r="R26" s="924"/>
      <c r="S26" s="924"/>
      <c r="T26" s="926"/>
      <c r="U26" s="899"/>
      <c r="V26" s="928"/>
      <c r="W26" s="930"/>
      <c r="X26" s="931"/>
      <c r="Y26" s="899">
        <v>-294</v>
      </c>
      <c r="Z26" s="928"/>
      <c r="AA26" s="924"/>
      <c r="AB26" s="926"/>
      <c r="AC26" s="899"/>
      <c r="AD26" s="928">
        <f t="shared" si="1"/>
        <v>-366</v>
      </c>
      <c r="AI26" s="928"/>
      <c r="AJ26" s="910"/>
    </row>
    <row r="27" spans="1:37">
      <c r="A27" s="910">
        <v>23</v>
      </c>
      <c r="B27" s="910" t="s">
        <v>2886</v>
      </c>
      <c r="C27" s="911"/>
      <c r="D27" s="911"/>
      <c r="E27" s="932"/>
      <c r="F27" s="929"/>
      <c r="G27" s="924">
        <f t="shared" ref="G27:O27" si="3">SUM(G25:G26)</f>
        <v>19425579</v>
      </c>
      <c r="H27" s="924">
        <f t="shared" si="3"/>
        <v>0</v>
      </c>
      <c r="I27" s="924">
        <f t="shared" si="3"/>
        <v>20826493</v>
      </c>
      <c r="J27" s="924">
        <f t="shared" si="3"/>
        <v>0</v>
      </c>
      <c r="K27" s="924">
        <f t="shared" si="3"/>
        <v>22406676</v>
      </c>
      <c r="L27" s="924">
        <f t="shared" si="3"/>
        <v>0</v>
      </c>
      <c r="M27" s="924">
        <f t="shared" si="3"/>
        <v>12262358</v>
      </c>
      <c r="N27" s="924">
        <f t="shared" si="3"/>
        <v>0</v>
      </c>
      <c r="O27" s="924">
        <f t="shared" si="3"/>
        <v>7409569</v>
      </c>
      <c r="P27" s="924"/>
      <c r="Q27" s="924">
        <f>SUM(Q25:Q26)</f>
        <v>5484878</v>
      </c>
      <c r="R27" s="924"/>
      <c r="S27" s="924">
        <f>SUM(S25:S26)</f>
        <v>3217527</v>
      </c>
      <c r="T27" s="926"/>
      <c r="U27" s="924">
        <f>SUM(U25:U26)</f>
        <v>2775098</v>
      </c>
      <c r="V27" s="926"/>
      <c r="W27" s="924">
        <f>SUM(W25:W26)</f>
        <v>2691847</v>
      </c>
      <c r="X27" s="926"/>
      <c r="Y27" s="924">
        <f>SUM(Y25:Y26)</f>
        <v>6366467</v>
      </c>
      <c r="Z27" s="926"/>
      <c r="AA27" s="924">
        <f>SUM(AA25:AA26)</f>
        <v>11628968</v>
      </c>
      <c r="AB27" s="926"/>
      <c r="AC27" s="924">
        <f>SUM(AC25:AC26)</f>
        <v>17650518</v>
      </c>
      <c r="AD27" s="928">
        <f t="shared" si="1"/>
        <v>132145978</v>
      </c>
    </row>
    <row r="28" spans="1:37">
      <c r="A28" s="910">
        <v>24</v>
      </c>
      <c r="C28" s="911"/>
      <c r="D28" s="911"/>
      <c r="E28" s="911"/>
      <c r="F28" s="919"/>
      <c r="G28" s="920"/>
      <c r="H28" s="919"/>
      <c r="I28" s="920"/>
      <c r="J28" s="919"/>
      <c r="K28" s="920"/>
      <c r="L28" s="919"/>
      <c r="M28" s="920"/>
    </row>
    <row r="29" spans="1:37">
      <c r="A29" s="910">
        <v>25</v>
      </c>
      <c r="B29" s="918" t="s">
        <v>2694</v>
      </c>
    </row>
    <row r="30" spans="1:37">
      <c r="A30" s="910">
        <v>26</v>
      </c>
      <c r="B30" s="830" t="s">
        <v>2462</v>
      </c>
      <c r="C30" s="898">
        <v>13</v>
      </c>
      <c r="D30" s="898"/>
      <c r="E30" s="898"/>
      <c r="F30" s="899">
        <f>G30/$C$30</f>
        <v>1</v>
      </c>
      <c r="G30" s="898">
        <v>13</v>
      </c>
      <c r="H30" s="899">
        <f>I30/$C$30</f>
        <v>1</v>
      </c>
      <c r="I30" s="922">
        <v>13</v>
      </c>
      <c r="J30" s="899">
        <f>K30/$C$30</f>
        <v>1</v>
      </c>
      <c r="K30" s="922">
        <v>13</v>
      </c>
      <c r="L30" s="899">
        <f>M30/$C$30</f>
        <v>1</v>
      </c>
      <c r="M30" s="922">
        <v>13</v>
      </c>
      <c r="N30" s="899">
        <f>O30/$C$30</f>
        <v>1</v>
      </c>
      <c r="O30" s="922">
        <v>13</v>
      </c>
      <c r="P30" s="899">
        <f>Q30/$C$30</f>
        <v>1</v>
      </c>
      <c r="Q30" s="922">
        <v>13</v>
      </c>
      <c r="R30" s="899">
        <f>S30/$C$30</f>
        <v>1</v>
      </c>
      <c r="S30" s="922">
        <v>13</v>
      </c>
      <c r="T30" s="899">
        <f>U30/$C$30</f>
        <v>1</v>
      </c>
      <c r="U30" s="922">
        <v>13</v>
      </c>
      <c r="V30" s="899">
        <f>W30/$C$30</f>
        <v>1</v>
      </c>
      <c r="W30" s="923">
        <v>13</v>
      </c>
      <c r="X30" s="899">
        <f>Y30/$C$30</f>
        <v>1</v>
      </c>
      <c r="Y30" s="922">
        <v>13</v>
      </c>
      <c r="Z30" s="899">
        <f>AA30/$C$30</f>
        <v>1</v>
      </c>
      <c r="AA30" s="922">
        <v>13</v>
      </c>
      <c r="AB30" s="899">
        <f>AC30/$C$30</f>
        <v>1</v>
      </c>
      <c r="AC30" s="922">
        <v>13</v>
      </c>
      <c r="AD30" s="898">
        <f>SUM(G30,I30,K30,M30,O30,Q30,S30,U30,W30,Y30,AA30,AC30)</f>
        <v>156</v>
      </c>
    </row>
    <row r="31" spans="1:37">
      <c r="A31" s="910">
        <v>27</v>
      </c>
      <c r="B31" s="830" t="s">
        <v>2696</v>
      </c>
      <c r="G31" s="898">
        <v>1137.43</v>
      </c>
      <c r="I31" s="922">
        <v>1070.55</v>
      </c>
      <c r="J31" s="924"/>
      <c r="K31" s="922">
        <v>1269.57</v>
      </c>
      <c r="L31" s="924"/>
      <c r="M31" s="922">
        <v>816.22</v>
      </c>
      <c r="N31" s="924"/>
      <c r="O31" s="922">
        <v>522.54999999999995</v>
      </c>
      <c r="P31" s="924"/>
      <c r="Q31" s="922">
        <v>149.27000000000001</v>
      </c>
      <c r="R31" s="924"/>
      <c r="S31" s="922">
        <v>84.93</v>
      </c>
      <c r="T31" s="924"/>
      <c r="U31" s="922">
        <v>35.869999999999997</v>
      </c>
      <c r="V31" s="924"/>
      <c r="W31" s="923">
        <v>31.94</v>
      </c>
      <c r="X31" s="925"/>
      <c r="Y31" s="922">
        <v>143.25</v>
      </c>
      <c r="Z31" s="924"/>
      <c r="AA31" s="922">
        <v>683.85</v>
      </c>
      <c r="AB31" s="924"/>
      <c r="AC31" s="922">
        <v>915.96</v>
      </c>
      <c r="AD31" s="898">
        <f t="shared" ref="AD31:AD46" si="4">SUM(G31:AC31)</f>
        <v>6861.3900000000012</v>
      </c>
    </row>
    <row r="32" spans="1:37">
      <c r="A32" s="910">
        <v>28</v>
      </c>
      <c r="B32" s="830" t="s">
        <v>2650</v>
      </c>
      <c r="G32" s="898">
        <v>2128.88</v>
      </c>
      <c r="I32" s="922">
        <v>2003.71</v>
      </c>
      <c r="J32" s="924"/>
      <c r="K32" s="922">
        <v>2376.21</v>
      </c>
      <c r="L32" s="924"/>
      <c r="M32" s="922">
        <v>1527.68</v>
      </c>
      <c r="N32" s="924"/>
      <c r="O32" s="922">
        <v>978.03</v>
      </c>
      <c r="P32" s="924"/>
      <c r="Q32" s="922">
        <v>279.38</v>
      </c>
      <c r="R32" s="924"/>
      <c r="S32" s="922">
        <v>158.96</v>
      </c>
      <c r="T32" s="924"/>
      <c r="U32" s="922">
        <v>67.14</v>
      </c>
      <c r="V32" s="924"/>
      <c r="W32" s="923">
        <v>59.77</v>
      </c>
      <c r="X32" s="925"/>
      <c r="Y32" s="922">
        <v>268.11</v>
      </c>
      <c r="Z32" s="924"/>
      <c r="AA32" s="922">
        <v>1279.93</v>
      </c>
      <c r="AB32" s="924"/>
      <c r="AC32" s="922">
        <v>1724.03</v>
      </c>
      <c r="AD32" s="898">
        <f t="shared" si="4"/>
        <v>12851.83</v>
      </c>
    </row>
    <row r="33" spans="1:34">
      <c r="A33" s="910">
        <v>29</v>
      </c>
      <c r="B33" s="830" t="s">
        <v>2652</v>
      </c>
      <c r="I33" s="922"/>
      <c r="J33" s="924"/>
      <c r="K33" s="922"/>
      <c r="L33" s="924"/>
      <c r="M33" s="922"/>
      <c r="N33" s="924"/>
      <c r="O33" s="922">
        <v>171.95</v>
      </c>
      <c r="P33" s="924"/>
      <c r="Q33" s="922">
        <v>49.12</v>
      </c>
      <c r="R33" s="924"/>
      <c r="S33" s="922">
        <v>27.95</v>
      </c>
      <c r="T33" s="924"/>
      <c r="U33" s="922">
        <v>11.8</v>
      </c>
      <c r="V33" s="924"/>
      <c r="W33" s="923">
        <v>10.51</v>
      </c>
      <c r="X33" s="925"/>
      <c r="Y33" s="922">
        <v>47.14</v>
      </c>
      <c r="Z33" s="924"/>
      <c r="AA33" s="922">
        <v>225.02</v>
      </c>
      <c r="AB33" s="924"/>
      <c r="AC33" s="922">
        <v>535.52</v>
      </c>
      <c r="AD33" s="898">
        <f t="shared" si="4"/>
        <v>1079.01</v>
      </c>
    </row>
    <row r="34" spans="1:34">
      <c r="A34" s="910">
        <v>30</v>
      </c>
      <c r="B34" s="830" t="s">
        <v>2653</v>
      </c>
      <c r="G34" s="898">
        <v>13.47</v>
      </c>
      <c r="I34" s="922">
        <v>12.68</v>
      </c>
      <c r="J34" s="924"/>
      <c r="K34" s="922">
        <v>15.03</v>
      </c>
      <c r="L34" s="924"/>
      <c r="M34" s="922">
        <v>9.66</v>
      </c>
      <c r="N34" s="924"/>
      <c r="O34" s="922">
        <v>6.19</v>
      </c>
      <c r="P34" s="924"/>
      <c r="Q34" s="922">
        <v>1.77</v>
      </c>
      <c r="R34" s="924"/>
      <c r="S34" s="922">
        <v>1.01</v>
      </c>
      <c r="T34" s="924"/>
      <c r="U34" s="922">
        <v>0.42</v>
      </c>
      <c r="V34" s="924"/>
      <c r="W34" s="923">
        <v>0.38</v>
      </c>
      <c r="X34" s="925"/>
      <c r="Y34" s="922">
        <v>1.7</v>
      </c>
      <c r="Z34" s="924"/>
      <c r="AA34" s="922">
        <v>8.1</v>
      </c>
      <c r="AB34" s="924"/>
      <c r="AC34" s="922">
        <v>10.65</v>
      </c>
      <c r="AD34" s="898">
        <f t="shared" si="4"/>
        <v>81.060000000000016</v>
      </c>
      <c r="AF34" s="746">
        <f>SUMIF($B$5:$B$429, AG34, $AD$5:$AD$429)</f>
        <v>112015877.84000006</v>
      </c>
      <c r="AG34" s="727" t="s">
        <v>2650</v>
      </c>
      <c r="AH34" s="898" t="s">
        <v>3248</v>
      </c>
    </row>
    <row r="35" spans="1:34">
      <c r="A35" s="910">
        <v>31</v>
      </c>
      <c r="B35" s="830" t="s">
        <v>2654</v>
      </c>
      <c r="G35" s="898">
        <v>44.68</v>
      </c>
      <c r="I35" s="922">
        <v>42.05</v>
      </c>
      <c r="J35" s="924"/>
      <c r="K35" s="922">
        <v>49.87</v>
      </c>
      <c r="L35" s="924"/>
      <c r="M35" s="922">
        <v>32.06</v>
      </c>
      <c r="N35" s="924"/>
      <c r="O35" s="922">
        <v>20.53</v>
      </c>
      <c r="P35" s="924"/>
      <c r="Q35" s="922">
        <v>5.86</v>
      </c>
      <c r="R35" s="924"/>
      <c r="S35" s="922">
        <v>3.34</v>
      </c>
      <c r="T35" s="924"/>
      <c r="U35" s="922">
        <v>1.41</v>
      </c>
      <c r="V35" s="924"/>
      <c r="W35" s="923">
        <v>1.25</v>
      </c>
      <c r="X35" s="925"/>
      <c r="Y35" s="922">
        <v>5.63</v>
      </c>
      <c r="Z35" s="924"/>
      <c r="AA35" s="922">
        <v>26.86</v>
      </c>
      <c r="AB35" s="924"/>
      <c r="AC35" s="922">
        <v>40.25</v>
      </c>
      <c r="AD35" s="898">
        <f t="shared" si="4"/>
        <v>273.79000000000002</v>
      </c>
      <c r="AF35" s="746">
        <f>SUMIF($B$5:$B$429, AG35, $AD$5:$AD$429)</f>
        <v>11825930.41</v>
      </c>
      <c r="AG35" s="727" t="s">
        <v>2652</v>
      </c>
      <c r="AH35" s="898" t="s">
        <v>3248</v>
      </c>
    </row>
    <row r="36" spans="1:34">
      <c r="A36" s="910">
        <v>32</v>
      </c>
      <c r="B36" s="830" t="s">
        <v>2655</v>
      </c>
      <c r="G36" s="898">
        <v>-149.66</v>
      </c>
      <c r="I36" s="922">
        <v>-140.86000000000001</v>
      </c>
      <c r="J36" s="924"/>
      <c r="K36" s="922">
        <v>-167.05</v>
      </c>
      <c r="L36" s="924"/>
      <c r="M36" s="922">
        <v>-107.4</v>
      </c>
      <c r="N36" s="924"/>
      <c r="O36" s="922">
        <v>-68.760000000000005</v>
      </c>
      <c r="P36" s="924"/>
      <c r="Q36" s="922">
        <v>-19.64</v>
      </c>
      <c r="R36" s="924"/>
      <c r="S36" s="922">
        <v>-11.18</v>
      </c>
      <c r="T36" s="924"/>
      <c r="U36" s="922">
        <v>-4.72</v>
      </c>
      <c r="V36" s="924"/>
      <c r="W36" s="923">
        <v>-4.2</v>
      </c>
      <c r="X36" s="925"/>
      <c r="Y36" s="922">
        <v>-18.850000000000001</v>
      </c>
      <c r="Z36" s="924"/>
      <c r="AA36" s="922">
        <v>-89.98</v>
      </c>
      <c r="AB36" s="924"/>
      <c r="AC36" s="922">
        <v>3.21</v>
      </c>
      <c r="AD36" s="898">
        <f t="shared" si="4"/>
        <v>-779.09</v>
      </c>
      <c r="AF36" s="1675">
        <f>SUMIF($B$5:$B$429, AG36, $AD$5:$AD$429)</f>
        <v>1681893.11</v>
      </c>
      <c r="AG36" s="1676" t="s">
        <v>2656</v>
      </c>
      <c r="AH36" s="898" t="s">
        <v>3248</v>
      </c>
    </row>
    <row r="37" spans="1:34">
      <c r="A37" s="910">
        <v>33</v>
      </c>
      <c r="B37" s="830" t="s">
        <v>2656</v>
      </c>
      <c r="G37" s="898">
        <v>38.04</v>
      </c>
      <c r="I37" s="922">
        <v>35.81</v>
      </c>
      <c r="J37" s="924"/>
      <c r="K37" s="922">
        <v>42.46</v>
      </c>
      <c r="L37" s="924"/>
      <c r="M37" s="922">
        <v>27.3</v>
      </c>
      <c r="N37" s="924"/>
      <c r="O37" s="922">
        <v>17.48</v>
      </c>
      <c r="P37" s="924"/>
      <c r="Q37" s="922">
        <v>4.99</v>
      </c>
      <c r="R37" s="924"/>
      <c r="S37" s="922">
        <v>2.84</v>
      </c>
      <c r="T37" s="924"/>
      <c r="U37" s="922">
        <v>1.2</v>
      </c>
      <c r="V37" s="924"/>
      <c r="W37" s="923">
        <v>1.07</v>
      </c>
      <c r="X37" s="925"/>
      <c r="Y37" s="922">
        <v>4.79</v>
      </c>
      <c r="Z37" s="924"/>
      <c r="AA37" s="922">
        <v>22.87</v>
      </c>
      <c r="AB37" s="924"/>
      <c r="AC37" s="922"/>
      <c r="AD37" s="898">
        <f t="shared" si="4"/>
        <v>198.85</v>
      </c>
      <c r="AF37" s="898">
        <f>SUM(AF34:AF36)</f>
        <v>125523701.36000006</v>
      </c>
      <c r="AG37" s="898" t="s">
        <v>3246</v>
      </c>
    </row>
    <row r="38" spans="1:34">
      <c r="A38" s="910">
        <v>34</v>
      </c>
      <c r="B38" s="830" t="s">
        <v>2657</v>
      </c>
      <c r="G38" s="898">
        <v>135.36000000000001</v>
      </c>
      <c r="I38" s="922">
        <v>127.4</v>
      </c>
      <c r="J38" s="924"/>
      <c r="K38" s="922">
        <v>151.08000000000001</v>
      </c>
      <c r="L38" s="924"/>
      <c r="M38" s="922">
        <v>97.13</v>
      </c>
      <c r="N38" s="924"/>
      <c r="O38" s="922">
        <v>62.190000000000012</v>
      </c>
      <c r="P38" s="924"/>
      <c r="Q38" s="922">
        <v>17.760000000000002</v>
      </c>
      <c r="R38" s="924"/>
      <c r="S38" s="922">
        <v>10.11</v>
      </c>
      <c r="T38" s="924"/>
      <c r="U38" s="922">
        <v>4.2699999999999996</v>
      </c>
      <c r="V38" s="924"/>
      <c r="W38" s="923">
        <v>3.8</v>
      </c>
      <c r="X38" s="925"/>
      <c r="Y38" s="922">
        <v>17.05</v>
      </c>
      <c r="Z38" s="924"/>
      <c r="AA38" s="922">
        <v>81.38</v>
      </c>
      <c r="AB38" s="924"/>
      <c r="AC38" s="922">
        <v>104.1</v>
      </c>
      <c r="AD38" s="898">
        <f t="shared" si="4"/>
        <v>811.63</v>
      </c>
    </row>
    <row r="39" spans="1:34">
      <c r="A39" s="910">
        <v>35</v>
      </c>
      <c r="B39" s="830" t="s">
        <v>2658</v>
      </c>
      <c r="G39" s="898">
        <v>-27.08</v>
      </c>
      <c r="I39" s="922">
        <v>-25.49</v>
      </c>
      <c r="J39" s="924"/>
      <c r="K39" s="922">
        <v>-30.23</v>
      </c>
      <c r="L39" s="924"/>
      <c r="M39" s="922">
        <v>-19.43</v>
      </c>
      <c r="N39" s="924"/>
      <c r="O39" s="922">
        <v>-12.44</v>
      </c>
      <c r="P39" s="924"/>
      <c r="Q39" s="922">
        <v>-3.55</v>
      </c>
      <c r="R39" s="924"/>
      <c r="S39" s="922">
        <v>-2.02</v>
      </c>
      <c r="T39" s="924"/>
      <c r="U39" s="922">
        <v>-0.85</v>
      </c>
      <c r="V39" s="924"/>
      <c r="W39" s="923">
        <v>-0.76</v>
      </c>
      <c r="X39" s="925"/>
      <c r="Y39" s="922">
        <v>-3.41</v>
      </c>
      <c r="Z39" s="924"/>
      <c r="AA39" s="922">
        <v>-16.28</v>
      </c>
      <c r="AB39" s="924"/>
      <c r="AC39" s="922">
        <v>-24.5</v>
      </c>
      <c r="AD39" s="898">
        <f t="shared" si="4"/>
        <v>-166.03999999999996</v>
      </c>
      <c r="AF39" s="746">
        <v>125165839.18000001</v>
      </c>
      <c r="AG39" s="746" t="s">
        <v>3247</v>
      </c>
      <c r="AH39" s="898" t="s">
        <v>3249</v>
      </c>
    </row>
    <row r="40" spans="1:34">
      <c r="A40" s="910">
        <v>36</v>
      </c>
      <c r="B40" s="830" t="s">
        <v>2659</v>
      </c>
      <c r="G40" s="898">
        <v>-12.58</v>
      </c>
      <c r="I40" s="922">
        <v>-11.84</v>
      </c>
      <c r="J40" s="924"/>
      <c r="K40" s="922">
        <v>-14.04</v>
      </c>
      <c r="L40" s="924"/>
      <c r="M40" s="922">
        <v>-9.0299999999999994</v>
      </c>
      <c r="N40" s="924"/>
      <c r="O40" s="922">
        <v>-5.78</v>
      </c>
      <c r="P40" s="924"/>
      <c r="Q40" s="922">
        <v>-1.65</v>
      </c>
      <c r="R40" s="924"/>
      <c r="S40" s="922">
        <v>-0.94</v>
      </c>
      <c r="T40" s="924"/>
      <c r="U40" s="922">
        <v>-0.4</v>
      </c>
      <c r="V40" s="924"/>
      <c r="W40" s="923">
        <v>-0.35</v>
      </c>
      <c r="X40" s="925"/>
      <c r="Y40" s="922">
        <v>-1.58</v>
      </c>
      <c r="Z40" s="924"/>
      <c r="AA40" s="922">
        <v>-7.56</v>
      </c>
      <c r="AB40" s="924"/>
      <c r="AC40" s="922">
        <v>-9.1199999999999992</v>
      </c>
      <c r="AD40" s="898">
        <f t="shared" si="4"/>
        <v>-74.87</v>
      </c>
    </row>
    <row r="41" spans="1:34">
      <c r="A41" s="910">
        <v>37</v>
      </c>
      <c r="B41" s="830" t="s">
        <v>2660</v>
      </c>
      <c r="G41" s="898">
        <v>-23.05</v>
      </c>
      <c r="I41" s="922">
        <v>-21.7</v>
      </c>
      <c r="J41" s="924"/>
      <c r="K41" s="922">
        <v>-25.73</v>
      </c>
      <c r="L41" s="924"/>
      <c r="M41" s="922">
        <v>-16.54</v>
      </c>
      <c r="N41" s="924"/>
      <c r="O41" s="922">
        <v>-10.59</v>
      </c>
      <c r="P41" s="924"/>
      <c r="Q41" s="922">
        <v>-3.03</v>
      </c>
      <c r="R41" s="924"/>
      <c r="S41" s="922">
        <v>-1.72</v>
      </c>
      <c r="T41" s="924"/>
      <c r="U41" s="922">
        <v>-0.73</v>
      </c>
      <c r="V41" s="924"/>
      <c r="W41" s="923">
        <v>-0.65</v>
      </c>
      <c r="X41" s="925"/>
      <c r="Y41" s="922">
        <v>-2.9</v>
      </c>
      <c r="Z41" s="924"/>
      <c r="AA41" s="922">
        <v>-13.86</v>
      </c>
      <c r="AB41" s="924"/>
      <c r="AC41" s="922"/>
      <c r="AD41" s="898">
        <f t="shared" si="4"/>
        <v>-120.50000000000003</v>
      </c>
      <c r="AF41" s="898">
        <f>AF37-AF39</f>
        <v>357862.18000005186</v>
      </c>
      <c r="AG41" s="898" t="s">
        <v>3250</v>
      </c>
    </row>
    <row r="42" spans="1:34">
      <c r="A42" s="910">
        <v>38</v>
      </c>
      <c r="B42" s="830" t="s">
        <v>2661</v>
      </c>
      <c r="G42" s="898">
        <v>197.91</v>
      </c>
      <c r="I42" s="922">
        <v>186.32</v>
      </c>
      <c r="J42" s="924"/>
      <c r="K42" s="922">
        <v>220.81</v>
      </c>
      <c r="L42" s="924"/>
      <c r="M42" s="922">
        <v>142.24</v>
      </c>
      <c r="N42" s="924"/>
      <c r="O42" s="898">
        <v>101.66</v>
      </c>
      <c r="P42" s="924"/>
      <c r="Q42" s="922">
        <v>29.6</v>
      </c>
      <c r="R42" s="924"/>
      <c r="S42" s="922">
        <v>17.18</v>
      </c>
      <c r="T42" s="924"/>
      <c r="U42" s="922">
        <v>7.7</v>
      </c>
      <c r="V42" s="924"/>
      <c r="W42" s="923">
        <v>6.95</v>
      </c>
      <c r="X42" s="925"/>
      <c r="Y42" s="922">
        <v>28.44</v>
      </c>
      <c r="Z42" s="924"/>
      <c r="AA42" s="922">
        <v>132.80000000000001</v>
      </c>
      <c r="AB42" s="924"/>
      <c r="AC42" s="922">
        <v>198.79</v>
      </c>
      <c r="AD42" s="898">
        <f t="shared" si="4"/>
        <v>1270.4000000000001</v>
      </c>
    </row>
    <row r="43" spans="1:34">
      <c r="A43" s="910">
        <v>39</v>
      </c>
      <c r="B43" s="830" t="s">
        <v>2884</v>
      </c>
      <c r="C43" s="927"/>
      <c r="D43" s="927"/>
      <c r="E43" s="927"/>
      <c r="G43" s="898">
        <f>SUM(G30:G42)</f>
        <v>3496.4</v>
      </c>
      <c r="H43" s="898"/>
      <c r="I43" s="898">
        <f>SUM(I30:I42)</f>
        <v>3291.6300000000006</v>
      </c>
      <c r="J43" s="898"/>
      <c r="K43" s="898">
        <f>SUM(K30:K42)</f>
        <v>3900.9799999999996</v>
      </c>
      <c r="L43" s="898"/>
      <c r="M43" s="898">
        <f>SUM(M30:M42)</f>
        <v>2512.8900000000003</v>
      </c>
      <c r="N43" s="898"/>
      <c r="O43" s="898">
        <f>SUM(O30:O42)</f>
        <v>1796.0100000000002</v>
      </c>
      <c r="P43" s="898"/>
      <c r="Q43" s="898">
        <f>SUM(Q30:Q42)</f>
        <v>522.88</v>
      </c>
      <c r="R43" s="898"/>
      <c r="S43" s="898">
        <f>SUM(S30:S42)</f>
        <v>303.45999999999992</v>
      </c>
      <c r="T43" s="898"/>
      <c r="U43" s="898">
        <f>SUM(U30:U42)</f>
        <v>136.10999999999999</v>
      </c>
      <c r="V43" s="898"/>
      <c r="W43" s="898">
        <f>SUM(W30:W42)</f>
        <v>122.71</v>
      </c>
      <c r="X43" s="898"/>
      <c r="Y43" s="898">
        <f>SUM(Y30:Y42)</f>
        <v>502.37</v>
      </c>
      <c r="Z43" s="898"/>
      <c r="AA43" s="898">
        <f>SUM(AA30:AA42)</f>
        <v>2346.13</v>
      </c>
      <c r="AB43" s="898"/>
      <c r="AC43" s="898">
        <f>SUM(AC30:AC42)</f>
        <v>3511.89</v>
      </c>
      <c r="AD43" s="898">
        <f t="shared" si="4"/>
        <v>22443.46</v>
      </c>
    </row>
    <row r="44" spans="1:34">
      <c r="A44" s="910">
        <v>40</v>
      </c>
      <c r="B44" s="830" t="s">
        <v>2514</v>
      </c>
      <c r="C44" s="928"/>
      <c r="D44" s="928"/>
      <c r="E44" s="928"/>
      <c r="G44" s="924">
        <v>4915</v>
      </c>
      <c r="H44" s="924"/>
      <c r="I44" s="924">
        <v>4626</v>
      </c>
      <c r="J44" s="924"/>
      <c r="K44" s="924">
        <v>5486</v>
      </c>
      <c r="L44" s="924"/>
      <c r="M44" s="924">
        <v>3527</v>
      </c>
      <c r="N44" s="924"/>
      <c r="O44" s="899">
        <v>2258</v>
      </c>
      <c r="P44" s="924"/>
      <c r="Q44" s="899">
        <v>645</v>
      </c>
      <c r="S44" s="924">
        <v>367</v>
      </c>
      <c r="T44" s="924"/>
      <c r="U44" s="924">
        <v>155</v>
      </c>
      <c r="V44" s="924"/>
      <c r="W44" s="899">
        <v>138</v>
      </c>
      <c r="Y44" s="924">
        <v>619</v>
      </c>
      <c r="Z44" s="924"/>
      <c r="AA44" s="924">
        <v>2955</v>
      </c>
      <c r="AB44" s="924"/>
      <c r="AC44" s="924">
        <v>3958</v>
      </c>
      <c r="AD44" s="928">
        <f t="shared" si="4"/>
        <v>29649</v>
      </c>
      <c r="AE44" s="928"/>
    </row>
    <row r="45" spans="1:34">
      <c r="A45" s="910">
        <v>41</v>
      </c>
      <c r="B45" s="910" t="s">
        <v>2885</v>
      </c>
      <c r="C45" s="928"/>
      <c r="D45" s="928"/>
      <c r="E45" s="928"/>
      <c r="G45" s="899">
        <v>0</v>
      </c>
      <c r="I45" s="899"/>
      <c r="K45" s="899"/>
      <c r="M45" s="899"/>
      <c r="O45" s="899"/>
      <c r="Q45" s="899"/>
      <c r="S45" s="899"/>
      <c r="U45" s="899"/>
      <c r="W45" s="899"/>
      <c r="Y45" s="899"/>
      <c r="AA45" s="899"/>
      <c r="AC45" s="899"/>
      <c r="AD45" s="928">
        <f t="shared" si="4"/>
        <v>0</v>
      </c>
      <c r="AE45" s="928"/>
    </row>
    <row r="46" spans="1:34">
      <c r="A46" s="910">
        <v>42</v>
      </c>
      <c r="B46" s="910" t="s">
        <v>2886</v>
      </c>
      <c r="C46" s="928"/>
      <c r="D46" s="928"/>
      <c r="E46" s="928"/>
      <c r="G46" s="924">
        <f>SUM(G44:G45)</f>
        <v>4915</v>
      </c>
      <c r="H46" s="924"/>
      <c r="I46" s="924">
        <f>SUM(I44:I45)</f>
        <v>4626</v>
      </c>
      <c r="J46" s="924"/>
      <c r="K46" s="924">
        <f>SUM(K44:K45)</f>
        <v>5486</v>
      </c>
      <c r="L46" s="924"/>
      <c r="M46" s="924">
        <f>SUM(M44:M45)</f>
        <v>3527</v>
      </c>
      <c r="N46" s="924"/>
      <c r="O46" s="924">
        <f>SUM(O44:O45)</f>
        <v>2258</v>
      </c>
      <c r="P46" s="924"/>
      <c r="Q46" s="924">
        <f>SUM(Q44:Q45)</f>
        <v>645</v>
      </c>
      <c r="R46" s="924"/>
      <c r="S46" s="924">
        <f>SUM(S44:S45)</f>
        <v>367</v>
      </c>
      <c r="T46" s="924"/>
      <c r="U46" s="924">
        <f>SUM(U44:U45)</f>
        <v>155</v>
      </c>
      <c r="V46" s="924"/>
      <c r="W46" s="924">
        <f>SUM(W44:W45)</f>
        <v>138</v>
      </c>
      <c r="X46" s="924"/>
      <c r="Y46" s="924">
        <f>SUM(Y44:Y45)</f>
        <v>619</v>
      </c>
      <c r="Z46" s="924"/>
      <c r="AA46" s="924">
        <f>SUM(AA44:AA45)</f>
        <v>2955</v>
      </c>
      <c r="AB46" s="924"/>
      <c r="AC46" s="924">
        <f>SUM(AC44:AC45)</f>
        <v>3958</v>
      </c>
      <c r="AD46" s="928">
        <f t="shared" si="4"/>
        <v>29649</v>
      </c>
      <c r="AE46" s="928"/>
    </row>
    <row r="47" spans="1:34">
      <c r="A47" s="910">
        <v>43</v>
      </c>
      <c r="B47" s="849"/>
    </row>
    <row r="48" spans="1:34">
      <c r="A48" s="910">
        <v>44</v>
      </c>
      <c r="B48" s="918" t="s">
        <v>2887</v>
      </c>
      <c r="C48" s="911"/>
      <c r="D48" s="911"/>
      <c r="E48" s="911"/>
    </row>
    <row r="49" spans="1:30">
      <c r="A49" s="910">
        <v>45</v>
      </c>
      <c r="B49" s="910" t="s">
        <v>2462</v>
      </c>
      <c r="C49" s="898">
        <v>13</v>
      </c>
      <c r="D49" s="898"/>
      <c r="E49" s="898"/>
      <c r="F49" s="899">
        <f>G49/$C$49</f>
        <v>26645.346153846152</v>
      </c>
      <c r="G49" s="922">
        <v>346389.5</v>
      </c>
      <c r="H49" s="899">
        <f>I49/$C$49</f>
        <v>26686.23076923077</v>
      </c>
      <c r="I49" s="922">
        <v>346921</v>
      </c>
      <c r="J49" s="899">
        <f>K49/$C$49</f>
        <v>26758</v>
      </c>
      <c r="K49" s="922">
        <v>347854</v>
      </c>
      <c r="L49" s="899">
        <f>M49/$C$49</f>
        <v>26748</v>
      </c>
      <c r="M49" s="922">
        <v>347724</v>
      </c>
      <c r="N49" s="899">
        <f>O49/$C$49</f>
        <v>26667</v>
      </c>
      <c r="O49" s="922">
        <v>346671</v>
      </c>
      <c r="P49" s="899">
        <f>Q49/$C$49</f>
        <v>26544.684615384616</v>
      </c>
      <c r="Q49" s="922">
        <v>345080.9</v>
      </c>
      <c r="R49" s="899">
        <f>S49/$C$49</f>
        <v>26486</v>
      </c>
      <c r="S49" s="922">
        <v>344318</v>
      </c>
      <c r="T49" s="899">
        <f>U49/$C$49</f>
        <v>26349.484615384616</v>
      </c>
      <c r="U49" s="922">
        <v>342543.3</v>
      </c>
      <c r="V49" s="899">
        <f>W49/$C$49</f>
        <v>26416.76923076923</v>
      </c>
      <c r="W49" s="923">
        <v>343418</v>
      </c>
      <c r="X49" s="899">
        <f>Y49/$C$49</f>
        <v>26506</v>
      </c>
      <c r="Y49" s="922">
        <v>344578</v>
      </c>
      <c r="Z49" s="899">
        <f>AA49/$C$49</f>
        <v>26674</v>
      </c>
      <c r="AA49" s="922">
        <v>346762</v>
      </c>
      <c r="AB49" s="899">
        <f>AC49/$C$49</f>
        <v>26842</v>
      </c>
      <c r="AC49" s="922">
        <v>348946</v>
      </c>
      <c r="AD49" s="898">
        <f>SUM(G49,I49,K49,M49,O49,Q49,S49,U49,W49,Y49,AA49,AC49)</f>
        <v>4151205.6999999997</v>
      </c>
    </row>
    <row r="50" spans="1:30">
      <c r="A50" s="910">
        <v>46</v>
      </c>
      <c r="B50" s="910" t="s">
        <v>2696</v>
      </c>
      <c r="C50" s="911"/>
      <c r="D50" s="911"/>
      <c r="E50" s="911"/>
      <c r="G50" s="922">
        <v>3043133.11</v>
      </c>
      <c r="H50" s="924"/>
      <c r="I50" s="922">
        <v>3244574.11</v>
      </c>
      <c r="J50" s="924"/>
      <c r="K50" s="922">
        <v>3697205.87</v>
      </c>
      <c r="L50" s="924"/>
      <c r="M50" s="922">
        <v>2113981.9</v>
      </c>
      <c r="N50" s="924"/>
      <c r="O50" s="922">
        <v>1248101.71</v>
      </c>
      <c r="P50" s="924"/>
      <c r="Q50" s="922">
        <v>805125.81</v>
      </c>
      <c r="R50" s="924"/>
      <c r="S50" s="922">
        <v>709410.36999999988</v>
      </c>
      <c r="T50" s="924"/>
      <c r="U50" s="922">
        <v>648655.99999999977</v>
      </c>
      <c r="V50" s="924"/>
      <c r="W50" s="923">
        <v>620869.32999999984</v>
      </c>
      <c r="X50" s="925"/>
      <c r="Y50" s="922">
        <v>1126102.9199999995</v>
      </c>
      <c r="Z50" s="924"/>
      <c r="AA50" s="922">
        <v>1834162.29</v>
      </c>
      <c r="AB50" s="924"/>
      <c r="AC50" s="922">
        <v>2778115.3400000008</v>
      </c>
      <c r="AD50" s="898">
        <f t="shared" ref="AD50:AD71" si="5">SUM(G50:AC50)</f>
        <v>21869438.759999998</v>
      </c>
    </row>
    <row r="51" spans="1:30">
      <c r="A51" s="910">
        <v>47</v>
      </c>
      <c r="B51" s="910" t="s">
        <v>2650</v>
      </c>
      <c r="C51" s="911"/>
      <c r="D51" s="911"/>
      <c r="E51" s="911"/>
      <c r="G51" s="922">
        <v>5695732.8799999999</v>
      </c>
      <c r="H51" s="924"/>
      <c r="I51" s="922">
        <v>6072667.0999999996</v>
      </c>
      <c r="J51" s="924"/>
      <c r="K51" s="922">
        <v>6919920.0599999996</v>
      </c>
      <c r="L51" s="924"/>
      <c r="M51" s="922">
        <v>3956663.83</v>
      </c>
      <c r="N51" s="924"/>
      <c r="O51" s="922">
        <v>2336042.31</v>
      </c>
      <c r="P51" s="924"/>
      <c r="Q51" s="922">
        <v>1506927.76</v>
      </c>
      <c r="R51" s="924"/>
      <c r="S51" s="922">
        <v>1327779.3800000004</v>
      </c>
      <c r="T51" s="924"/>
      <c r="U51" s="922">
        <v>1214029.4399999997</v>
      </c>
      <c r="V51" s="924"/>
      <c r="W51" s="923">
        <v>1162037.7099999997</v>
      </c>
      <c r="X51" s="925"/>
      <c r="Y51" s="922">
        <v>2107687.9400000004</v>
      </c>
      <c r="Z51" s="924"/>
      <c r="AA51" s="922">
        <v>3439252.3499999996</v>
      </c>
      <c r="AB51" s="924"/>
      <c r="AC51" s="922">
        <v>5228298.07</v>
      </c>
      <c r="AD51" s="898">
        <f t="shared" si="5"/>
        <v>40967038.829999998</v>
      </c>
    </row>
    <row r="52" spans="1:30">
      <c r="A52" s="910">
        <v>48</v>
      </c>
      <c r="B52" s="910" t="s">
        <v>2652</v>
      </c>
      <c r="C52" s="911"/>
      <c r="D52" s="911"/>
      <c r="E52" s="911"/>
      <c r="H52" s="924"/>
      <c r="J52" s="924"/>
      <c r="L52" s="924"/>
      <c r="M52" s="922">
        <v>169287.6</v>
      </c>
      <c r="N52" s="924"/>
      <c r="O52" s="922">
        <v>399777.48</v>
      </c>
      <c r="P52" s="924"/>
      <c r="Q52" s="922">
        <v>264933.54000000004</v>
      </c>
      <c r="R52" s="924"/>
      <c r="S52" s="922">
        <v>233440.89</v>
      </c>
      <c r="T52" s="924"/>
      <c r="U52" s="922">
        <v>211826.21000000008</v>
      </c>
      <c r="V52" s="924"/>
      <c r="W52" s="923">
        <v>204391.63000000006</v>
      </c>
      <c r="X52" s="925"/>
      <c r="Y52" s="922">
        <v>370487.53999999992</v>
      </c>
      <c r="Z52" s="924"/>
      <c r="AA52" s="922">
        <v>756718.7</v>
      </c>
      <c r="AB52" s="924"/>
      <c r="AC52" s="922">
        <v>1607536.5399999998</v>
      </c>
      <c r="AD52" s="898">
        <f t="shared" si="5"/>
        <v>4218400.13</v>
      </c>
    </row>
    <row r="53" spans="1:30">
      <c r="A53" s="910">
        <v>49</v>
      </c>
      <c r="B53" s="910" t="s">
        <v>2653</v>
      </c>
      <c r="C53" s="911"/>
      <c r="D53" s="911"/>
      <c r="E53" s="911"/>
      <c r="G53" s="922">
        <v>35947.120000000003</v>
      </c>
      <c r="H53" s="924"/>
      <c r="I53" s="922">
        <v>38418.400000000001</v>
      </c>
      <c r="J53" s="924"/>
      <c r="K53" s="922">
        <v>43772.91</v>
      </c>
      <c r="L53" s="924"/>
      <c r="M53" s="922">
        <v>25027.25</v>
      </c>
      <c r="N53" s="924"/>
      <c r="O53" s="922">
        <v>14776.33</v>
      </c>
      <c r="P53" s="924"/>
      <c r="Q53" s="922">
        <v>9531.93</v>
      </c>
      <c r="R53" s="924"/>
      <c r="S53" s="922">
        <v>8397.619999999999</v>
      </c>
      <c r="T53" s="924"/>
      <c r="U53" s="922">
        <v>7678.4000000000033</v>
      </c>
      <c r="V53" s="924"/>
      <c r="W53" s="923">
        <v>7350.1100000000024</v>
      </c>
      <c r="X53" s="925"/>
      <c r="Y53" s="922">
        <v>13332.320000000003</v>
      </c>
      <c r="Z53" s="924"/>
      <c r="AA53" s="922">
        <v>21586.01999999999</v>
      </c>
      <c r="AB53" s="924"/>
      <c r="AC53" s="922">
        <v>32306.319999999985</v>
      </c>
      <c r="AD53" s="898">
        <f t="shared" si="5"/>
        <v>258124.72999999995</v>
      </c>
    </row>
    <row r="54" spans="1:30">
      <c r="A54" s="910">
        <v>50</v>
      </c>
      <c r="B54" s="910" t="s">
        <v>2654</v>
      </c>
      <c r="C54" s="911"/>
      <c r="D54" s="911"/>
      <c r="E54" s="911"/>
      <c r="G54" s="922">
        <v>119531.57</v>
      </c>
      <c r="H54" s="924"/>
      <c r="I54" s="922">
        <v>127465.11</v>
      </c>
      <c r="J54" s="924"/>
      <c r="K54" s="922">
        <v>145225.26999999999</v>
      </c>
      <c r="L54" s="924"/>
      <c r="M54" s="922">
        <v>83040.78</v>
      </c>
      <c r="N54" s="924"/>
      <c r="O54" s="922">
        <v>49025.94</v>
      </c>
      <c r="P54" s="924"/>
      <c r="Q54" s="922">
        <v>31627.169999999995</v>
      </c>
      <c r="R54" s="924"/>
      <c r="S54" s="922">
        <v>27868.83</v>
      </c>
      <c r="T54" s="924"/>
      <c r="U54" s="922">
        <v>25485.169999999991</v>
      </c>
      <c r="V54" s="924"/>
      <c r="W54" s="923">
        <v>24396.319999999992</v>
      </c>
      <c r="X54" s="925"/>
      <c r="Y54" s="922">
        <v>44235.089999999975</v>
      </c>
      <c r="Z54" s="924"/>
      <c r="AA54" s="922">
        <v>74834.229999999981</v>
      </c>
      <c r="AB54" s="924"/>
      <c r="AC54" s="922">
        <v>121781.20000000004</v>
      </c>
      <c r="AD54" s="898">
        <f t="shared" si="5"/>
        <v>874516.67999999993</v>
      </c>
    </row>
    <row r="55" spans="1:30">
      <c r="A55" s="910">
        <v>51</v>
      </c>
      <c r="B55" s="910" t="s">
        <v>2655</v>
      </c>
      <c r="C55" s="911"/>
      <c r="D55" s="911"/>
      <c r="E55" s="911"/>
      <c r="G55" s="922">
        <v>-400392.57</v>
      </c>
      <c r="H55" s="924"/>
      <c r="I55" s="922">
        <v>-427018.91</v>
      </c>
      <c r="J55" s="924"/>
      <c r="K55" s="922">
        <v>-486473.95</v>
      </c>
      <c r="L55" s="924"/>
      <c r="M55" s="922">
        <v>-278139.68</v>
      </c>
      <c r="N55" s="924"/>
      <c r="O55" s="922">
        <v>-164195.39000000001</v>
      </c>
      <c r="P55" s="924"/>
      <c r="Q55" s="922">
        <v>-105928.81999999999</v>
      </c>
      <c r="R55" s="924"/>
      <c r="S55" s="922">
        <v>-93334.520000000019</v>
      </c>
      <c r="T55" s="924"/>
      <c r="U55" s="922">
        <v>-85359.949999999953</v>
      </c>
      <c r="V55" s="924"/>
      <c r="W55" s="923">
        <v>-81715.559999999939</v>
      </c>
      <c r="X55" s="925"/>
      <c r="Y55" s="922">
        <v>-148163.54999999996</v>
      </c>
      <c r="Z55" s="924"/>
      <c r="AA55" s="922">
        <v>-160388.16999999998</v>
      </c>
      <c r="AB55" s="924"/>
      <c r="AC55" s="922">
        <v>903.59999999999809</v>
      </c>
      <c r="AD55" s="898">
        <f t="shared" si="5"/>
        <v>-2430207.4699999997</v>
      </c>
    </row>
    <row r="56" spans="1:30">
      <c r="A56" s="910">
        <v>52</v>
      </c>
      <c r="B56" s="910" t="s">
        <v>2656</v>
      </c>
      <c r="C56" s="911"/>
      <c r="D56" s="911"/>
      <c r="E56" s="911"/>
      <c r="G56" s="922">
        <v>101809.68</v>
      </c>
      <c r="H56" s="924"/>
      <c r="I56" s="922">
        <v>108365.08</v>
      </c>
      <c r="J56" s="924"/>
      <c r="K56" s="922">
        <v>123656.18</v>
      </c>
      <c r="L56" s="924"/>
      <c r="M56" s="922">
        <v>70716.63</v>
      </c>
      <c r="N56" s="924"/>
      <c r="O56" s="922">
        <v>41777.57</v>
      </c>
      <c r="P56" s="924"/>
      <c r="Q56" s="922">
        <v>26932.63</v>
      </c>
      <c r="R56" s="924"/>
      <c r="S56" s="922">
        <v>23731.69</v>
      </c>
      <c r="T56" s="924"/>
      <c r="U56" s="922">
        <v>21705.099999999995</v>
      </c>
      <c r="V56" s="924"/>
      <c r="W56" s="923">
        <v>20722.989999999994</v>
      </c>
      <c r="X56" s="925"/>
      <c r="Y56" s="922">
        <v>37667.489999999991</v>
      </c>
      <c r="Z56" s="924"/>
      <c r="AA56" s="922">
        <v>41304.189999999988</v>
      </c>
      <c r="AB56" s="924"/>
      <c r="AC56" s="922">
        <v>2186.3700000000003</v>
      </c>
      <c r="AD56" s="898">
        <f t="shared" si="5"/>
        <v>620575.6</v>
      </c>
    </row>
    <row r="57" spans="1:30">
      <c r="A57" s="910">
        <v>53</v>
      </c>
      <c r="B57" s="910" t="s">
        <v>2657</v>
      </c>
      <c r="C57" s="911"/>
      <c r="D57" s="911"/>
      <c r="E57" s="911"/>
      <c r="G57" s="922">
        <v>362138.87</v>
      </c>
      <c r="H57" s="924"/>
      <c r="I57" s="922">
        <v>386164.47999999998</v>
      </c>
      <c r="J57" s="924"/>
      <c r="K57" s="922">
        <v>439985.22</v>
      </c>
      <c r="L57" s="924"/>
      <c r="M57" s="922">
        <v>251584.73</v>
      </c>
      <c r="N57" s="924"/>
      <c r="O57" s="922">
        <v>148533.14000000001</v>
      </c>
      <c r="P57" s="924"/>
      <c r="Q57" s="922">
        <v>95825.010000000009</v>
      </c>
      <c r="R57" s="924"/>
      <c r="S57" s="922">
        <v>84432.98</v>
      </c>
      <c r="T57" s="924"/>
      <c r="U57" s="922">
        <v>77214.429999999978</v>
      </c>
      <c r="V57" s="924"/>
      <c r="W57" s="923">
        <v>73909.429999999978</v>
      </c>
      <c r="X57" s="925"/>
      <c r="Y57" s="922">
        <v>134020.01999999999</v>
      </c>
      <c r="Z57" s="924"/>
      <c r="AA57" s="922">
        <v>215070.60000000003</v>
      </c>
      <c r="AB57" s="924"/>
      <c r="AC57" s="922">
        <v>316077.83000000013</v>
      </c>
      <c r="AD57" s="898">
        <f t="shared" si="5"/>
        <v>2584956.7399999998</v>
      </c>
    </row>
    <row r="58" spans="1:30">
      <c r="A58" s="910">
        <v>54</v>
      </c>
      <c r="B58" s="895" t="s">
        <v>2658</v>
      </c>
      <c r="C58" s="911"/>
      <c r="D58" s="911"/>
      <c r="E58" s="911"/>
      <c r="G58" s="922">
        <v>-72457.02</v>
      </c>
      <c r="H58" s="924"/>
      <c r="I58" s="922">
        <v>-77254.61</v>
      </c>
      <c r="J58" s="924"/>
      <c r="K58" s="922">
        <v>-88029.26</v>
      </c>
      <c r="L58" s="924"/>
      <c r="M58" s="922">
        <v>-50339.95</v>
      </c>
      <c r="N58" s="924"/>
      <c r="O58" s="922">
        <v>-29723.7</v>
      </c>
      <c r="P58" s="924"/>
      <c r="Q58" s="922">
        <v>-19175.649999999998</v>
      </c>
      <c r="R58" s="924"/>
      <c r="S58" s="922">
        <v>-16898.310000000001</v>
      </c>
      <c r="T58" s="924"/>
      <c r="U58" s="922">
        <v>-15453.979999999996</v>
      </c>
      <c r="V58" s="924"/>
      <c r="W58" s="923">
        <v>-14789.809999999998</v>
      </c>
      <c r="X58" s="925"/>
      <c r="Y58" s="922">
        <v>-26817.559999999983</v>
      </c>
      <c r="Z58" s="924"/>
      <c r="AA58" s="922">
        <v>-45433.739999999983</v>
      </c>
      <c r="AB58" s="924"/>
      <c r="AC58" s="922">
        <v>-74120.73000000001</v>
      </c>
      <c r="AD58" s="898">
        <f t="shared" si="5"/>
        <v>-530494.32000000007</v>
      </c>
    </row>
    <row r="59" spans="1:30">
      <c r="A59" s="910">
        <v>55</v>
      </c>
      <c r="B59" s="895" t="s">
        <v>2659</v>
      </c>
      <c r="C59" s="911"/>
      <c r="D59" s="911"/>
      <c r="E59" s="911"/>
      <c r="G59" s="922">
        <v>-33663.89</v>
      </c>
      <c r="H59" s="924"/>
      <c r="I59" s="922">
        <v>-35892.94</v>
      </c>
      <c r="J59" s="924"/>
      <c r="K59" s="922">
        <v>-40899.730000000003</v>
      </c>
      <c r="L59" s="924"/>
      <c r="M59" s="922">
        <v>-23390.41</v>
      </c>
      <c r="N59" s="924"/>
      <c r="O59" s="922">
        <v>-13811.68</v>
      </c>
      <c r="P59" s="924"/>
      <c r="Q59" s="922">
        <v>-8911.5300000000007</v>
      </c>
      <c r="R59" s="924"/>
      <c r="S59" s="922">
        <v>-7851.45</v>
      </c>
      <c r="T59" s="924"/>
      <c r="U59" s="922">
        <v>-7180.2700000000023</v>
      </c>
      <c r="V59" s="924"/>
      <c r="W59" s="923">
        <v>-6871.5700000000033</v>
      </c>
      <c r="X59" s="925"/>
      <c r="Y59" s="922">
        <v>-12461.680000000002</v>
      </c>
      <c r="Z59" s="924"/>
      <c r="AA59" s="922">
        <v>-19624.76999999999</v>
      </c>
      <c r="AB59" s="924"/>
      <c r="AC59" s="922">
        <v>-27721.739999999991</v>
      </c>
      <c r="AD59" s="898">
        <f t="shared" si="5"/>
        <v>-238281.65999999997</v>
      </c>
    </row>
    <row r="60" spans="1:30">
      <c r="A60" s="910">
        <v>56</v>
      </c>
      <c r="B60" s="895" t="s">
        <v>2660</v>
      </c>
      <c r="C60" s="911"/>
      <c r="D60" s="911"/>
      <c r="E60" s="911"/>
      <c r="G60" s="922">
        <v>-61672.34</v>
      </c>
      <c r="H60" s="924"/>
      <c r="I60" s="922">
        <v>-65754.990000000005</v>
      </c>
      <c r="J60" s="924"/>
      <c r="K60" s="922">
        <v>-74928.210000000006</v>
      </c>
      <c r="L60" s="924"/>
      <c r="M60" s="922">
        <v>-42837.9</v>
      </c>
      <c r="N60" s="924"/>
      <c r="O60" s="922">
        <v>-25287.45</v>
      </c>
      <c r="P60" s="924"/>
      <c r="Q60" s="922">
        <v>-16310.159999999998</v>
      </c>
      <c r="R60" s="924"/>
      <c r="S60" s="922">
        <v>-14370.519999999999</v>
      </c>
      <c r="T60" s="924"/>
      <c r="U60" s="922">
        <v>-13142.660000000003</v>
      </c>
      <c r="V60" s="924"/>
      <c r="W60" s="923">
        <v>-12575.130000000001</v>
      </c>
      <c r="X60" s="925"/>
      <c r="Y60" s="922">
        <v>-22817.559999999994</v>
      </c>
      <c r="Z60" s="924"/>
      <c r="AA60" s="922">
        <v>-25025.549999999996</v>
      </c>
      <c r="AB60" s="924"/>
      <c r="AC60" s="922">
        <v>-1322.44</v>
      </c>
      <c r="AD60" s="898">
        <f t="shared" si="5"/>
        <v>-376044.91</v>
      </c>
    </row>
    <row r="61" spans="1:30">
      <c r="A61" s="910">
        <v>57</v>
      </c>
      <c r="B61" s="910" t="s">
        <v>2661</v>
      </c>
      <c r="C61" s="911"/>
      <c r="D61" s="911"/>
      <c r="E61" s="911"/>
      <c r="G61" s="922">
        <v>508749.79</v>
      </c>
      <c r="H61" s="924"/>
      <c r="I61" s="922">
        <v>539085.73</v>
      </c>
      <c r="J61" s="924"/>
      <c r="K61" s="922">
        <v>618758.54</v>
      </c>
      <c r="L61" s="924"/>
      <c r="M61" s="922">
        <v>370794.55</v>
      </c>
      <c r="N61" s="924"/>
      <c r="O61" s="922">
        <v>236251.01</v>
      </c>
      <c r="P61" s="924"/>
      <c r="Q61" s="922">
        <v>162696.03000000003</v>
      </c>
      <c r="R61" s="924"/>
      <c r="S61" s="922">
        <v>146219.82</v>
      </c>
      <c r="T61" s="924"/>
      <c r="U61" s="922">
        <v>138579.78999999998</v>
      </c>
      <c r="V61" s="924"/>
      <c r="W61" s="923">
        <v>132201.38999999993</v>
      </c>
      <c r="X61" s="925"/>
      <c r="Y61" s="922">
        <v>213050.90000000002</v>
      </c>
      <c r="Z61" s="924"/>
      <c r="AA61" s="922">
        <v>359652.6999999999</v>
      </c>
      <c r="AB61" s="924"/>
      <c r="AC61" s="922">
        <v>590707.9500000003</v>
      </c>
      <c r="AD61" s="898">
        <f t="shared" si="5"/>
        <v>4016748.2</v>
      </c>
    </row>
    <row r="62" spans="1:30">
      <c r="A62" s="910">
        <v>58</v>
      </c>
      <c r="B62" s="910" t="s">
        <v>2676</v>
      </c>
      <c r="C62" s="911"/>
      <c r="D62" s="911"/>
      <c r="E62" s="911"/>
      <c r="G62" s="922">
        <v>230.49</v>
      </c>
      <c r="H62" s="924"/>
      <c r="I62" s="922">
        <v>490.65</v>
      </c>
      <c r="J62" s="924"/>
      <c r="K62" s="922">
        <v>679.51</v>
      </c>
      <c r="L62" s="924"/>
      <c r="M62" s="922">
        <v>256.18</v>
      </c>
      <c r="N62" s="924"/>
      <c r="O62" s="922">
        <v>383.94</v>
      </c>
      <c r="P62" s="924"/>
      <c r="Q62" s="898">
        <v>276.02</v>
      </c>
      <c r="S62" s="898">
        <v>206.44</v>
      </c>
      <c r="U62" s="922"/>
      <c r="V62" s="924"/>
      <c r="AA62" s="922"/>
      <c r="AB62" s="924"/>
      <c r="AC62" s="922"/>
      <c r="AD62" s="898">
        <f t="shared" si="5"/>
        <v>2523.23</v>
      </c>
    </row>
    <row r="63" spans="1:30">
      <c r="A63" s="910">
        <v>59</v>
      </c>
      <c r="B63" s="910" t="s">
        <v>2662</v>
      </c>
      <c r="C63" s="911"/>
      <c r="D63" s="911"/>
      <c r="E63" s="911"/>
      <c r="G63" s="922">
        <v>10275.44</v>
      </c>
      <c r="H63" s="924"/>
      <c r="I63" s="922">
        <v>10756.13</v>
      </c>
      <c r="J63" s="924"/>
      <c r="K63" s="922">
        <v>13913.13</v>
      </c>
      <c r="L63" s="924"/>
      <c r="M63" s="922">
        <v>8102.33</v>
      </c>
      <c r="N63" s="924"/>
      <c r="O63" s="922">
        <v>4542.17</v>
      </c>
      <c r="P63" s="924"/>
      <c r="Q63" s="922">
        <v>4080.56</v>
      </c>
      <c r="R63" s="924"/>
      <c r="S63" s="922">
        <v>3306.29</v>
      </c>
      <c r="T63" s="924"/>
      <c r="U63" s="922"/>
      <c r="V63" s="924"/>
      <c r="W63" s="923"/>
      <c r="X63" s="925"/>
      <c r="Y63" s="922"/>
      <c r="Z63" s="924"/>
      <c r="AA63" s="922"/>
      <c r="AB63" s="924"/>
      <c r="AC63" s="922"/>
      <c r="AD63" s="898">
        <f t="shared" si="5"/>
        <v>54976.049999999996</v>
      </c>
    </row>
    <row r="64" spans="1:30">
      <c r="A64" s="910">
        <v>60</v>
      </c>
      <c r="B64" s="910" t="s">
        <v>2663</v>
      </c>
      <c r="C64" s="911"/>
      <c r="D64" s="911"/>
      <c r="E64" s="911"/>
      <c r="G64" s="922">
        <v>120.71</v>
      </c>
      <c r="H64" s="924"/>
      <c r="I64" s="922">
        <v>115.52</v>
      </c>
      <c r="J64" s="924"/>
      <c r="K64" s="922">
        <v>154.36000000000001</v>
      </c>
      <c r="L64" s="924"/>
      <c r="M64" s="922">
        <v>89.62</v>
      </c>
      <c r="N64" s="924"/>
      <c r="O64" s="922">
        <v>65.64</v>
      </c>
      <c r="P64" s="924"/>
      <c r="Q64" s="922">
        <v>40.32</v>
      </c>
      <c r="R64" s="924"/>
      <c r="S64" s="922">
        <v>31.98</v>
      </c>
      <c r="T64" s="924"/>
      <c r="U64" s="922"/>
      <c r="V64" s="924"/>
      <c r="Y64" s="922"/>
      <c r="Z64" s="924"/>
      <c r="AA64" s="922"/>
      <c r="AB64" s="924"/>
      <c r="AC64" s="922"/>
      <c r="AD64" s="898">
        <f t="shared" si="5"/>
        <v>618.15000000000009</v>
      </c>
    </row>
    <row r="65" spans="1:32">
      <c r="A65" s="910">
        <v>61</v>
      </c>
      <c r="B65" s="910" t="s">
        <v>2664</v>
      </c>
      <c r="C65" s="911"/>
      <c r="D65" s="911"/>
      <c r="E65" s="911"/>
      <c r="G65" s="922">
        <v>-582.53</v>
      </c>
      <c r="H65" s="924"/>
      <c r="I65" s="922">
        <v>-556.05000000000007</v>
      </c>
      <c r="J65" s="924"/>
      <c r="K65" s="922">
        <v>-580.69000000000005</v>
      </c>
      <c r="L65" s="924"/>
      <c r="M65" s="922">
        <v>-477.2</v>
      </c>
      <c r="N65" s="924"/>
      <c r="O65" s="922">
        <v>-337.71</v>
      </c>
      <c r="P65" s="924"/>
      <c r="Q65" s="922">
        <v>-249.10000000000002</v>
      </c>
      <c r="R65" s="924"/>
      <c r="S65" s="922">
        <v>-275.26000000000005</v>
      </c>
      <c r="T65" s="924"/>
      <c r="U65" s="922">
        <v>-243.63</v>
      </c>
      <c r="V65" s="924"/>
      <c r="W65" s="898">
        <v>-235.66000000000003</v>
      </c>
      <c r="Y65" s="922">
        <v>-380.81</v>
      </c>
      <c r="Z65" s="924"/>
      <c r="AA65" s="922">
        <v>-477.34</v>
      </c>
      <c r="AB65" s="924"/>
      <c r="AC65" s="922">
        <v>-599.15000000000009</v>
      </c>
      <c r="AD65" s="898">
        <f t="shared" si="5"/>
        <v>-4995.1299999999992</v>
      </c>
    </row>
    <row r="66" spans="1:32">
      <c r="A66" s="910">
        <v>62</v>
      </c>
      <c r="B66" s="910" t="s">
        <v>2665</v>
      </c>
      <c r="C66" s="911"/>
      <c r="D66" s="911"/>
      <c r="E66" s="911"/>
      <c r="G66" s="922">
        <v>4778.21</v>
      </c>
      <c r="H66" s="924"/>
      <c r="I66" s="922">
        <v>5460.31</v>
      </c>
      <c r="J66" s="924"/>
      <c r="K66" s="922">
        <v>5836.23</v>
      </c>
      <c r="L66" s="924"/>
      <c r="M66" s="922">
        <v>2656.94</v>
      </c>
      <c r="N66" s="924"/>
      <c r="O66" s="922">
        <v>1619.56</v>
      </c>
      <c r="P66" s="924"/>
      <c r="Q66" s="922">
        <v>1010.86</v>
      </c>
      <c r="R66" s="924"/>
      <c r="S66" s="922">
        <v>1131.05</v>
      </c>
      <c r="T66" s="924"/>
      <c r="U66" s="922">
        <v>988.67000000000007</v>
      </c>
      <c r="V66" s="924"/>
      <c r="W66" s="898">
        <v>1034.55</v>
      </c>
      <c r="Y66" s="922">
        <v>2005.58</v>
      </c>
      <c r="Z66" s="924"/>
      <c r="AA66" s="922">
        <v>3652.5499999999997</v>
      </c>
      <c r="AB66" s="924"/>
      <c r="AC66" s="922">
        <v>5462.85</v>
      </c>
      <c r="AD66" s="898">
        <f t="shared" si="5"/>
        <v>35637.360000000001</v>
      </c>
    </row>
    <row r="67" spans="1:32">
      <c r="A67" s="910">
        <v>63</v>
      </c>
      <c r="B67" s="910" t="s">
        <v>2677</v>
      </c>
      <c r="C67" s="911"/>
      <c r="D67" s="911"/>
      <c r="E67" s="911"/>
      <c r="G67" s="922">
        <v>-22688.880000000001</v>
      </c>
      <c r="H67" s="924"/>
      <c r="I67" s="922">
        <v>-22517.51</v>
      </c>
      <c r="J67" s="924"/>
      <c r="K67" s="922">
        <v>-24248</v>
      </c>
      <c r="L67" s="924"/>
      <c r="M67" s="922">
        <v>-28012.93</v>
      </c>
      <c r="N67" s="924"/>
      <c r="O67" s="922">
        <v>-17757.850000000002</v>
      </c>
      <c r="P67" s="924"/>
      <c r="Q67" s="922">
        <v>-10623.69</v>
      </c>
      <c r="R67" s="924"/>
      <c r="S67" s="922">
        <v>-8597.8799999999992</v>
      </c>
      <c r="T67" s="924"/>
      <c r="U67" s="922">
        <v>-8834.2100000000009</v>
      </c>
      <c r="V67" s="924"/>
      <c r="W67" s="898">
        <v>-8016.5599999999995</v>
      </c>
      <c r="Y67" s="922">
        <v>-9779.85</v>
      </c>
      <c r="Z67" s="924"/>
      <c r="AA67" s="922">
        <v>-13851.45</v>
      </c>
      <c r="AB67" s="924"/>
      <c r="AC67" s="922">
        <v>-24364.500000000004</v>
      </c>
      <c r="AD67" s="898">
        <f t="shared" si="5"/>
        <v>-199293.31000000003</v>
      </c>
    </row>
    <row r="68" spans="1:32">
      <c r="A68" s="910">
        <v>64</v>
      </c>
      <c r="B68" s="830" t="s">
        <v>2884</v>
      </c>
      <c r="C68" s="911"/>
      <c r="D68" s="911"/>
      <c r="E68" s="911"/>
      <c r="G68" s="922">
        <f>SUM(G49:G67)</f>
        <v>9637380.1399999987</v>
      </c>
      <c r="H68" s="922"/>
      <c r="I68" s="922">
        <f>SUM(I49:I67)</f>
        <v>10251488.610000001</v>
      </c>
      <c r="J68" s="922"/>
      <c r="K68" s="922">
        <f>SUM(K49:K67)</f>
        <v>11641801.439999999</v>
      </c>
      <c r="L68" s="922"/>
      <c r="M68" s="922">
        <f>SUM(M49:M67)</f>
        <v>6976728.2700000005</v>
      </c>
      <c r="N68" s="922"/>
      <c r="O68" s="922">
        <f>SUM(O49:O67)</f>
        <v>4576454.0200000005</v>
      </c>
      <c r="P68" s="922"/>
      <c r="Q68" s="922">
        <f>SUM(Q49:Q67)</f>
        <v>3092889.59</v>
      </c>
      <c r="R68" s="922"/>
      <c r="S68" s="922">
        <f>SUM(S49:S67)</f>
        <v>2768947.4</v>
      </c>
      <c r="T68" s="922"/>
      <c r="U68" s="922">
        <f>SUM(U49:U67)</f>
        <v>2558491.8099999996</v>
      </c>
      <c r="V68" s="922"/>
      <c r="W68" s="922">
        <f>SUM(W49:W67)</f>
        <v>2466127.1699999995</v>
      </c>
      <c r="X68" s="922"/>
      <c r="Y68" s="922">
        <f>SUM(Y49:Y67)</f>
        <v>4172746.7899999996</v>
      </c>
      <c r="Z68" s="922"/>
      <c r="AA68" s="922">
        <f>SUM(AA49:AA67)</f>
        <v>6828194.6100000003</v>
      </c>
      <c r="AB68" s="922"/>
      <c r="AC68" s="922">
        <f>SUM(AC49:AC67)</f>
        <v>10904193.51</v>
      </c>
      <c r="AD68" s="898">
        <f t="shared" si="5"/>
        <v>75875443.360000014</v>
      </c>
    </row>
    <row r="69" spans="1:32">
      <c r="A69" s="910">
        <v>65</v>
      </c>
      <c r="B69" s="830" t="s">
        <v>2514</v>
      </c>
      <c r="C69" s="911"/>
      <c r="D69" s="911"/>
      <c r="E69" s="932"/>
      <c r="F69" s="928"/>
      <c r="G69" s="926">
        <v>13149828</v>
      </c>
      <c r="H69" s="926"/>
      <c r="I69" s="926">
        <v>14020283</v>
      </c>
      <c r="J69" s="926"/>
      <c r="K69" s="926">
        <v>15976171</v>
      </c>
      <c r="L69" s="926"/>
      <c r="M69" s="926">
        <v>9134821</v>
      </c>
      <c r="N69" s="926"/>
      <c r="O69" s="926">
        <v>5393236</v>
      </c>
      <c r="P69" s="926"/>
      <c r="Q69" s="926">
        <v>4959622</v>
      </c>
      <c r="R69" s="926"/>
      <c r="S69" s="926">
        <v>3065477</v>
      </c>
      <c r="T69" s="926"/>
      <c r="U69" s="926">
        <v>2802979</v>
      </c>
      <c r="V69" s="926"/>
      <c r="W69" s="930">
        <v>2682876</v>
      </c>
      <c r="X69" s="931"/>
      <c r="Y69" s="924">
        <v>4866062</v>
      </c>
      <c r="Z69" s="926"/>
      <c r="AA69" s="926">
        <v>7925684</v>
      </c>
      <c r="AB69" s="926"/>
      <c r="AC69" s="926">
        <v>12004649</v>
      </c>
      <c r="AD69" s="928">
        <f t="shared" si="5"/>
        <v>95981688</v>
      </c>
    </row>
    <row r="70" spans="1:32">
      <c r="A70" s="910">
        <v>66</v>
      </c>
      <c r="B70" s="910" t="s">
        <v>2885</v>
      </c>
      <c r="C70" s="911"/>
      <c r="D70" s="911"/>
      <c r="E70" s="932"/>
      <c r="F70" s="928"/>
      <c r="G70" s="926">
        <v>-31861</v>
      </c>
      <c r="H70" s="926"/>
      <c r="I70" s="926">
        <v>-32056</v>
      </c>
      <c r="J70" s="926"/>
      <c r="K70" s="931">
        <v>-34346</v>
      </c>
      <c r="L70" s="928"/>
      <c r="M70" s="931">
        <v>-38274</v>
      </c>
      <c r="N70" s="928"/>
      <c r="O70" s="926">
        <v>-22706</v>
      </c>
      <c r="P70" s="926"/>
      <c r="Q70" s="926">
        <v>-13595</v>
      </c>
      <c r="R70" s="926"/>
      <c r="S70" s="926">
        <v>-10949</v>
      </c>
      <c r="T70" s="926"/>
      <c r="U70" s="926">
        <v>-11209</v>
      </c>
      <c r="V70" s="926"/>
      <c r="W70" s="899">
        <v>-10187</v>
      </c>
      <c r="X70" s="928"/>
      <c r="Y70" s="924">
        <v>-12610</v>
      </c>
      <c r="Z70" s="926"/>
      <c r="AA70" s="926">
        <v>-17014</v>
      </c>
      <c r="AB70" s="926"/>
      <c r="AC70" s="926">
        <v>-27943</v>
      </c>
      <c r="AD70" s="928">
        <f t="shared" si="5"/>
        <v>-262750</v>
      </c>
    </row>
    <row r="71" spans="1:32">
      <c r="A71" s="910">
        <v>67</v>
      </c>
      <c r="B71" s="910" t="s">
        <v>2886</v>
      </c>
      <c r="C71" s="911"/>
      <c r="D71" s="911"/>
      <c r="E71" s="932"/>
      <c r="F71" s="928"/>
      <c r="G71" s="926">
        <f>SUM(G69:G70)</f>
        <v>13117967</v>
      </c>
      <c r="H71" s="926"/>
      <c r="I71" s="926">
        <f>SUM(I69:I70)</f>
        <v>13988227</v>
      </c>
      <c r="J71" s="926"/>
      <c r="K71" s="926">
        <f>SUM(K69:K70)</f>
        <v>15941825</v>
      </c>
      <c r="L71" s="926"/>
      <c r="M71" s="926">
        <f>SUM(M69:M70)</f>
        <v>9096547</v>
      </c>
      <c r="N71" s="926"/>
      <c r="O71" s="926">
        <f>SUM(O69:O70)</f>
        <v>5370530</v>
      </c>
      <c r="P71" s="926"/>
      <c r="Q71" s="926">
        <f>SUM(Q69:Q70)</f>
        <v>4946027</v>
      </c>
      <c r="R71" s="926"/>
      <c r="S71" s="926">
        <f>SUM(S69:S70)</f>
        <v>3054528</v>
      </c>
      <c r="T71" s="926"/>
      <c r="U71" s="926">
        <f>SUM(U69:U70)</f>
        <v>2791770</v>
      </c>
      <c r="V71" s="926"/>
      <c r="W71" s="924">
        <f>SUM(W69:W70)</f>
        <v>2672689</v>
      </c>
      <c r="X71" s="926"/>
      <c r="Y71" s="924">
        <f>SUM(Y69:Y70)</f>
        <v>4853452</v>
      </c>
      <c r="Z71" s="926"/>
      <c r="AA71" s="926">
        <f>SUM(AA69:AA70)</f>
        <v>7908670</v>
      </c>
      <c r="AB71" s="926"/>
      <c r="AC71" s="926">
        <f>SUM(AC69:AC70)</f>
        <v>11976706</v>
      </c>
      <c r="AD71" s="928">
        <f t="shared" si="5"/>
        <v>95718938</v>
      </c>
    </row>
    <row r="72" spans="1:32">
      <c r="A72" s="910">
        <v>68</v>
      </c>
      <c r="C72" s="911"/>
      <c r="D72" s="911"/>
      <c r="E72" s="932"/>
      <c r="F72" s="928"/>
      <c r="G72" s="928"/>
      <c r="H72" s="928"/>
      <c r="I72" s="928"/>
      <c r="J72" s="928"/>
      <c r="K72" s="928"/>
      <c r="L72" s="928"/>
      <c r="M72" s="928"/>
      <c r="N72" s="928"/>
      <c r="O72" s="928"/>
      <c r="P72" s="928"/>
      <c r="Q72" s="928"/>
      <c r="R72" s="928"/>
      <c r="S72" s="928"/>
      <c r="T72" s="928"/>
      <c r="U72" s="928"/>
      <c r="V72" s="928"/>
      <c r="W72" s="928"/>
      <c r="X72" s="928"/>
      <c r="Y72" s="928"/>
      <c r="Z72" s="928"/>
      <c r="AA72" s="928"/>
      <c r="AB72" s="928"/>
      <c r="AC72" s="928"/>
      <c r="AD72" s="928"/>
    </row>
    <row r="73" spans="1:32">
      <c r="A73" s="910">
        <v>69</v>
      </c>
      <c r="B73" s="849" t="s">
        <v>2888</v>
      </c>
      <c r="C73" s="911"/>
      <c r="D73" s="911"/>
      <c r="E73" s="911"/>
    </row>
    <row r="74" spans="1:32">
      <c r="A74" s="910">
        <v>70</v>
      </c>
      <c r="B74" s="910" t="s">
        <v>2462</v>
      </c>
      <c r="C74" s="898">
        <v>125</v>
      </c>
      <c r="D74" s="898"/>
      <c r="E74" s="898"/>
      <c r="F74" s="899">
        <f>G74/$C$74</f>
        <v>0</v>
      </c>
      <c r="G74" s="922"/>
      <c r="H74" s="899">
        <f>I74/$C$74</f>
        <v>0</v>
      </c>
      <c r="I74" s="922"/>
      <c r="J74" s="899">
        <f>K74/$C$74</f>
        <v>0</v>
      </c>
      <c r="K74" s="922"/>
      <c r="L74" s="899">
        <f>M74/$C$74</f>
        <v>0</v>
      </c>
      <c r="M74" s="922"/>
      <c r="N74" s="899">
        <f>O74/$C$74</f>
        <v>0</v>
      </c>
      <c r="O74" s="922"/>
      <c r="P74" s="899">
        <f>Q74/$C$74</f>
        <v>0</v>
      </c>
      <c r="Q74" s="922"/>
      <c r="R74" s="899">
        <f>S74/$C$74</f>
        <v>0</v>
      </c>
      <c r="S74" s="922"/>
      <c r="T74" s="899">
        <f>U74/$C$74</f>
        <v>0</v>
      </c>
      <c r="U74" s="922"/>
      <c r="V74" s="899">
        <f>W74/$C$74</f>
        <v>0</v>
      </c>
      <c r="W74" s="923"/>
      <c r="X74" s="899">
        <f>Y74/$C$74</f>
        <v>0</v>
      </c>
      <c r="Y74" s="922"/>
      <c r="Z74" s="899">
        <f>AA74/$C$74</f>
        <v>7</v>
      </c>
      <c r="AA74" s="922">
        <v>875</v>
      </c>
      <c r="AB74" s="933">
        <f>AC74/$C$74</f>
        <v>7</v>
      </c>
      <c r="AC74" s="922">
        <v>875</v>
      </c>
      <c r="AD74" s="898">
        <f>SUM(G74,I74,K74,M74,O74,Q74,S74,U74,W74,Y74,AA74,AC74)</f>
        <v>1750</v>
      </c>
      <c r="AF74" s="925">
        <f>(AB74+Z74+X74+V74+T74+R74+F74+H74+P74+N74+J74+L74)/12</f>
        <v>1.1666666666666667</v>
      </c>
    </row>
    <row r="75" spans="1:32">
      <c r="A75" s="910">
        <v>71</v>
      </c>
      <c r="B75" s="830" t="s">
        <v>2688</v>
      </c>
      <c r="C75" s="934">
        <v>0.14330000000000001</v>
      </c>
      <c r="D75" s="898"/>
      <c r="E75" s="898"/>
      <c r="F75" s="899">
        <f>G75/$C$75</f>
        <v>0</v>
      </c>
      <c r="G75" s="922"/>
      <c r="H75" s="899">
        <f>I75/$C$75</f>
        <v>0</v>
      </c>
      <c r="I75" s="922"/>
      <c r="J75" s="899">
        <f>K75/$C$75</f>
        <v>0</v>
      </c>
      <c r="K75" s="922"/>
      <c r="L75" s="899">
        <f>M75/$C$75</f>
        <v>0</v>
      </c>
      <c r="M75" s="922"/>
      <c r="N75" s="899">
        <f>O75/$C$75</f>
        <v>0</v>
      </c>
      <c r="O75" s="922"/>
      <c r="P75" s="899">
        <f>Q75/$C$75</f>
        <v>0</v>
      </c>
      <c r="Q75" s="922"/>
      <c r="R75" s="899">
        <f>S75/$C$75</f>
        <v>0</v>
      </c>
      <c r="S75" s="922"/>
      <c r="T75" s="899">
        <f>U75/$C$75</f>
        <v>0</v>
      </c>
      <c r="U75" s="922"/>
      <c r="V75" s="899">
        <f>W75/$C$75</f>
        <v>0</v>
      </c>
      <c r="W75" s="923"/>
      <c r="X75" s="899">
        <f>Y75/$C$75</f>
        <v>0</v>
      </c>
      <c r="Y75" s="922"/>
      <c r="Z75" s="899">
        <f>AA75/$C$75</f>
        <v>130279.97208653174</v>
      </c>
      <c r="AA75" s="922">
        <v>18669.12</v>
      </c>
      <c r="AB75" s="899">
        <f>AC75/$C$75</f>
        <v>137081.99581297973</v>
      </c>
      <c r="AC75" s="922">
        <v>19643.849999999999</v>
      </c>
      <c r="AD75" s="898">
        <f>SUM(G75,I75,K75,M75,O75,Q75,S75,U75,W75,Y75,AA75,AC75)</f>
        <v>38312.97</v>
      </c>
    </row>
    <row r="76" spans="1:32">
      <c r="A76" s="910">
        <v>72</v>
      </c>
      <c r="B76" s="910" t="s">
        <v>2689</v>
      </c>
      <c r="C76" s="934">
        <v>0.10983999999999999</v>
      </c>
      <c r="D76" s="898"/>
      <c r="E76" s="898"/>
      <c r="F76" s="899">
        <f>G76/$C$76</f>
        <v>0</v>
      </c>
      <c r="G76" s="922"/>
      <c r="H76" s="899">
        <f>I76/$C$76</f>
        <v>0</v>
      </c>
      <c r="I76" s="922"/>
      <c r="J76" s="899">
        <f>K76/$C$76</f>
        <v>0</v>
      </c>
      <c r="K76" s="922"/>
      <c r="L76" s="899">
        <f>M76/$C$76</f>
        <v>0</v>
      </c>
      <c r="M76" s="922"/>
      <c r="N76" s="899">
        <f>O76/$C$76</f>
        <v>0</v>
      </c>
      <c r="O76" s="922"/>
      <c r="P76" s="899">
        <f>Q76/$C$76</f>
        <v>0</v>
      </c>
      <c r="Q76" s="922"/>
      <c r="R76" s="899">
        <f>S76/$C$76</f>
        <v>0</v>
      </c>
      <c r="S76" s="922"/>
      <c r="T76" s="899">
        <f>U76/$C$76</f>
        <v>0</v>
      </c>
      <c r="U76" s="922"/>
      <c r="V76" s="899">
        <f>W76/$C$76</f>
        <v>0</v>
      </c>
      <c r="W76" s="923"/>
      <c r="X76" s="899">
        <f>Y76/$C$76</f>
        <v>0</v>
      </c>
      <c r="Y76" s="922"/>
      <c r="Z76" s="899">
        <f>AA76/$C$76</f>
        <v>320076.01966496726</v>
      </c>
      <c r="AA76" s="922">
        <v>35157.15</v>
      </c>
      <c r="AB76" s="899">
        <f>AC76/$C$76</f>
        <v>361024.94537509111</v>
      </c>
      <c r="AC76" s="922">
        <v>39654.980000000003</v>
      </c>
      <c r="AD76" s="898">
        <f>SUM(G76,I76,K76,M76,O76,Q76,S76,U76,W76,Y76,AA76,AC76)</f>
        <v>74812.13</v>
      </c>
    </row>
    <row r="77" spans="1:32">
      <c r="A77" s="910">
        <v>73</v>
      </c>
      <c r="B77" s="830" t="s">
        <v>2889</v>
      </c>
      <c r="C77" s="934">
        <v>2.7089999999999999E-2</v>
      </c>
      <c r="D77" s="911"/>
      <c r="E77" s="911"/>
      <c r="F77" s="899">
        <f>G77/$C$77</f>
        <v>0</v>
      </c>
      <c r="G77" s="922"/>
      <c r="H77" s="899">
        <f>I77/$C$77</f>
        <v>0</v>
      </c>
      <c r="I77" s="922"/>
      <c r="J77" s="899">
        <f>K77/$C$77</f>
        <v>0</v>
      </c>
      <c r="K77" s="922"/>
      <c r="L77" s="899">
        <f>M77/$C$77</f>
        <v>0</v>
      </c>
      <c r="M77" s="922"/>
      <c r="N77" s="899">
        <f>O77/$C$77</f>
        <v>0</v>
      </c>
      <c r="O77" s="922"/>
      <c r="P77" s="899">
        <f>Q77/$C$77</f>
        <v>0</v>
      </c>
      <c r="Q77" s="922"/>
      <c r="R77" s="899">
        <f>S77/$C$77</f>
        <v>0</v>
      </c>
      <c r="S77" s="922"/>
      <c r="T77" s="899">
        <f>U77/$C$77</f>
        <v>0</v>
      </c>
      <c r="U77" s="922"/>
      <c r="V77" s="899">
        <f>W77/$C$77</f>
        <v>0</v>
      </c>
      <c r="W77" s="923"/>
      <c r="X77" s="899">
        <f>Y77/$C$77</f>
        <v>0</v>
      </c>
      <c r="Y77" s="922"/>
      <c r="Z77" s="899">
        <f>AA77/$C$77</f>
        <v>897005.16795865633</v>
      </c>
      <c r="AA77" s="922">
        <v>24299.87</v>
      </c>
      <c r="AB77" s="899">
        <f>AC77/$C$77</f>
        <v>1000636.3971945368</v>
      </c>
      <c r="AC77" s="922">
        <v>27107.24</v>
      </c>
      <c r="AD77" s="898">
        <f>SUM(G77,I77,K77,M77,O77,Q77,S77,U77,W77,Y77,AA77,AC77)</f>
        <v>51407.11</v>
      </c>
    </row>
    <row r="78" spans="1:32">
      <c r="A78" s="910">
        <v>74</v>
      </c>
      <c r="B78" s="910" t="s">
        <v>2650</v>
      </c>
      <c r="C78" s="911"/>
      <c r="D78" s="911"/>
      <c r="E78" s="911"/>
      <c r="G78" s="922"/>
      <c r="H78" s="924"/>
      <c r="I78" s="922"/>
      <c r="J78" s="924"/>
      <c r="K78" s="922"/>
      <c r="L78" s="924"/>
      <c r="M78" s="922"/>
      <c r="N78" s="924"/>
      <c r="O78" s="922"/>
      <c r="P78" s="924"/>
      <c r="Q78" s="922"/>
      <c r="R78" s="924"/>
      <c r="S78" s="922"/>
      <c r="T78" s="924"/>
      <c r="U78" s="922"/>
      <c r="V78" s="924"/>
      <c r="W78" s="923"/>
      <c r="X78" s="925"/>
      <c r="Y78" s="922"/>
      <c r="Z78" s="924"/>
      <c r="AA78" s="922">
        <v>565217.92999999993</v>
      </c>
      <c r="AB78" s="924"/>
      <c r="AC78" s="922">
        <v>632424.59</v>
      </c>
      <c r="AD78" s="898">
        <f>SUM(G78,I78,K78,M78,O78,Q78,S78,U78,W78,Y78,AA78,AC78)</f>
        <v>1197642.52</v>
      </c>
    </row>
    <row r="79" spans="1:32">
      <c r="A79" s="910">
        <v>75</v>
      </c>
      <c r="B79" s="910" t="s">
        <v>2652</v>
      </c>
      <c r="C79" s="911"/>
      <c r="D79" s="911"/>
      <c r="E79" s="911"/>
      <c r="G79" s="922"/>
      <c r="H79" s="924"/>
      <c r="I79" s="922"/>
      <c r="J79" s="924"/>
      <c r="K79" s="922"/>
      <c r="L79" s="924"/>
      <c r="M79" s="922"/>
      <c r="N79" s="924"/>
      <c r="O79" s="922"/>
      <c r="P79" s="924"/>
      <c r="Q79" s="922"/>
      <c r="R79" s="924"/>
      <c r="S79" s="922"/>
      <c r="T79" s="924"/>
      <c r="U79" s="922"/>
      <c r="V79" s="924"/>
      <c r="W79" s="923"/>
      <c r="X79" s="925"/>
      <c r="Y79" s="922"/>
      <c r="Z79" s="924"/>
      <c r="AA79" s="922">
        <v>102601.54</v>
      </c>
      <c r="AB79" s="924"/>
      <c r="AC79" s="922">
        <v>202779.91999999998</v>
      </c>
      <c r="AD79" s="898">
        <f t="shared" ref="AD79:AD98" si="6">SUM(G79:AC79)</f>
        <v>305381.45999999996</v>
      </c>
    </row>
    <row r="80" spans="1:32">
      <c r="A80" s="910">
        <v>76</v>
      </c>
      <c r="B80" s="910" t="s">
        <v>2653</v>
      </c>
      <c r="C80" s="911"/>
      <c r="D80" s="911"/>
      <c r="E80" s="911"/>
      <c r="G80" s="922"/>
      <c r="H80" s="924"/>
      <c r="I80" s="922"/>
      <c r="J80" s="924"/>
      <c r="K80" s="922"/>
      <c r="L80" s="924"/>
      <c r="M80" s="922"/>
      <c r="N80" s="924"/>
      <c r="O80" s="922"/>
      <c r="P80" s="924"/>
      <c r="Q80" s="922"/>
      <c r="R80" s="924"/>
      <c r="S80" s="922"/>
      <c r="T80" s="924"/>
      <c r="U80" s="922"/>
      <c r="V80" s="924"/>
      <c r="W80" s="923"/>
      <c r="X80" s="925"/>
      <c r="Y80" s="922"/>
      <c r="Z80" s="924"/>
      <c r="AA80" s="830">
        <v>1940.21</v>
      </c>
      <c r="AB80" s="924"/>
      <c r="AC80" s="922">
        <v>2113.2399999999998</v>
      </c>
      <c r="AD80" s="898">
        <f t="shared" si="6"/>
        <v>4053.45</v>
      </c>
    </row>
    <row r="81" spans="1:30">
      <c r="A81" s="910">
        <v>77</v>
      </c>
      <c r="B81" s="910" t="s">
        <v>2654</v>
      </c>
      <c r="C81" s="911"/>
      <c r="D81" s="911"/>
      <c r="E81" s="911"/>
      <c r="G81" s="922"/>
      <c r="H81" s="924"/>
      <c r="I81" s="922"/>
      <c r="J81" s="924"/>
      <c r="K81" s="922"/>
      <c r="L81" s="924"/>
      <c r="M81" s="922"/>
      <c r="N81" s="924"/>
      <c r="O81" s="922"/>
      <c r="P81" s="924"/>
      <c r="Q81" s="922"/>
      <c r="R81" s="924"/>
      <c r="S81" s="922"/>
      <c r="T81" s="924"/>
      <c r="U81" s="922"/>
      <c r="V81" s="924"/>
      <c r="W81" s="923"/>
      <c r="X81" s="925"/>
      <c r="Y81" s="922"/>
      <c r="Z81" s="924"/>
      <c r="AA81" s="922">
        <v>6373.0199999999995</v>
      </c>
      <c r="AB81" s="924"/>
      <c r="AC81" s="922">
        <v>8512.869999999999</v>
      </c>
      <c r="AD81" s="898">
        <f t="shared" si="6"/>
        <v>14885.89</v>
      </c>
    </row>
    <row r="82" spans="1:30">
      <c r="A82" s="910">
        <v>78</v>
      </c>
      <c r="B82" s="910" t="s">
        <v>2655</v>
      </c>
      <c r="C82" s="911"/>
      <c r="D82" s="911"/>
      <c r="E82" s="911"/>
      <c r="G82" s="922"/>
      <c r="H82" s="924"/>
      <c r="I82" s="922"/>
      <c r="J82" s="924"/>
      <c r="K82" s="922"/>
      <c r="L82" s="924"/>
      <c r="M82" s="922"/>
      <c r="N82" s="924"/>
      <c r="O82" s="922"/>
      <c r="P82" s="924"/>
      <c r="Q82" s="922"/>
      <c r="R82" s="924"/>
      <c r="S82" s="922"/>
      <c r="T82" s="924"/>
      <c r="U82" s="922"/>
      <c r="V82" s="924"/>
      <c r="W82" s="923"/>
      <c r="X82" s="925"/>
      <c r="Y82" s="922"/>
      <c r="Z82" s="924"/>
      <c r="AA82" s="922">
        <v>-68284.259999999995</v>
      </c>
      <c r="AB82" s="924"/>
      <c r="AC82" s="922">
        <v>-29285.439999999999</v>
      </c>
      <c r="AD82" s="898">
        <f t="shared" si="6"/>
        <v>-97569.7</v>
      </c>
    </row>
    <row r="83" spans="1:30">
      <c r="A83" s="910">
        <v>79</v>
      </c>
      <c r="B83" s="910" t="s">
        <v>2656</v>
      </c>
      <c r="C83" s="911"/>
      <c r="D83" s="911"/>
      <c r="E83" s="911"/>
      <c r="G83" s="922"/>
      <c r="H83" s="924"/>
      <c r="I83" s="922"/>
      <c r="J83" s="924"/>
      <c r="K83" s="922"/>
      <c r="L83" s="924"/>
      <c r="M83" s="922"/>
      <c r="N83" s="924"/>
      <c r="O83" s="922"/>
      <c r="P83" s="924"/>
      <c r="Q83" s="922"/>
      <c r="R83" s="924"/>
      <c r="S83" s="922"/>
      <c r="T83" s="924"/>
      <c r="U83" s="922"/>
      <c r="V83" s="924"/>
      <c r="W83" s="923"/>
      <c r="X83" s="925"/>
      <c r="Y83" s="922"/>
      <c r="Z83" s="924"/>
      <c r="AA83" s="922">
        <v>10428.570000000002</v>
      </c>
      <c r="AB83" s="924"/>
      <c r="AC83" s="922"/>
      <c r="AD83" s="898">
        <f t="shared" si="6"/>
        <v>10428.570000000002</v>
      </c>
    </row>
    <row r="84" spans="1:30">
      <c r="A84" s="910">
        <v>80</v>
      </c>
      <c r="B84" s="910" t="s">
        <v>2657</v>
      </c>
      <c r="C84" s="911"/>
      <c r="D84" s="911"/>
      <c r="E84" s="911"/>
      <c r="G84" s="922"/>
      <c r="H84" s="924"/>
      <c r="I84" s="922"/>
      <c r="J84" s="924"/>
      <c r="K84" s="922"/>
      <c r="L84" s="924"/>
      <c r="M84" s="922"/>
      <c r="N84" s="924"/>
      <c r="O84" s="922"/>
      <c r="P84" s="924"/>
      <c r="Q84" s="922"/>
      <c r="R84" s="924"/>
      <c r="S84" s="922"/>
      <c r="T84" s="924"/>
      <c r="U84" s="922"/>
      <c r="V84" s="924"/>
      <c r="W84" s="923"/>
      <c r="X84" s="925"/>
      <c r="Y84" s="922"/>
      <c r="Z84" s="924"/>
      <c r="AA84" s="922">
        <v>37106.33</v>
      </c>
      <c r="AB84" s="924"/>
      <c r="AC84" s="922">
        <v>39416.93</v>
      </c>
      <c r="AD84" s="898">
        <f t="shared" si="6"/>
        <v>76523.260000000009</v>
      </c>
    </row>
    <row r="85" spans="1:30">
      <c r="A85" s="910">
        <v>81</v>
      </c>
      <c r="B85" s="895" t="s">
        <v>2658</v>
      </c>
      <c r="C85" s="911"/>
      <c r="D85" s="911"/>
      <c r="E85" s="911"/>
      <c r="G85" s="922"/>
      <c r="H85" s="924"/>
      <c r="I85" s="922"/>
      <c r="J85" s="924"/>
      <c r="K85" s="922"/>
      <c r="L85" s="924"/>
      <c r="M85" s="922"/>
      <c r="N85" s="924"/>
      <c r="O85" s="922"/>
      <c r="P85" s="924"/>
      <c r="Q85" s="922"/>
      <c r="R85" s="924"/>
      <c r="S85" s="922"/>
      <c r="T85" s="924"/>
      <c r="U85" s="922"/>
      <c r="V85" s="924"/>
      <c r="W85" s="923"/>
      <c r="X85" s="925"/>
      <c r="Y85" s="922"/>
      <c r="Z85" s="924"/>
      <c r="AA85" s="922">
        <v>-3853.45</v>
      </c>
      <c r="AB85" s="924"/>
      <c r="AC85" s="922">
        <v>-4810.96</v>
      </c>
      <c r="AD85" s="898">
        <f t="shared" si="6"/>
        <v>-8664.41</v>
      </c>
    </row>
    <row r="86" spans="1:30">
      <c r="A86" s="910">
        <v>82</v>
      </c>
      <c r="B86" s="895" t="s">
        <v>2659</v>
      </c>
      <c r="C86" s="911"/>
      <c r="D86" s="911"/>
      <c r="E86" s="911"/>
      <c r="G86" s="922"/>
      <c r="H86" s="924"/>
      <c r="I86" s="922"/>
      <c r="J86" s="924"/>
      <c r="K86" s="922"/>
      <c r="L86" s="924"/>
      <c r="M86" s="922"/>
      <c r="N86" s="924"/>
      <c r="O86" s="922"/>
      <c r="P86" s="924"/>
      <c r="Q86" s="922"/>
      <c r="R86" s="924"/>
      <c r="S86" s="922"/>
      <c r="T86" s="924"/>
      <c r="U86" s="922"/>
      <c r="V86" s="924"/>
      <c r="W86" s="923"/>
      <c r="X86" s="925"/>
      <c r="Y86" s="922"/>
      <c r="Z86" s="924"/>
      <c r="AA86" s="922">
        <v>-1791.9799999999998</v>
      </c>
      <c r="AB86" s="924"/>
      <c r="AC86" s="922">
        <v>-1794</v>
      </c>
      <c r="AD86" s="898">
        <f t="shared" si="6"/>
        <v>-3585.9799999999996</v>
      </c>
    </row>
    <row r="87" spans="1:30">
      <c r="A87" s="910">
        <v>83</v>
      </c>
      <c r="B87" s="895" t="s">
        <v>2660</v>
      </c>
      <c r="C87" s="911"/>
      <c r="D87" s="911"/>
      <c r="E87" s="911"/>
      <c r="G87" s="922"/>
      <c r="H87" s="924"/>
      <c r="I87" s="922"/>
      <c r="J87" s="924"/>
      <c r="K87" s="922"/>
      <c r="L87" s="924"/>
      <c r="M87" s="922"/>
      <c r="N87" s="924"/>
      <c r="O87" s="922"/>
      <c r="P87" s="924"/>
      <c r="Q87" s="922"/>
      <c r="R87" s="924"/>
      <c r="S87" s="922"/>
      <c r="T87" s="924"/>
      <c r="U87" s="922"/>
      <c r="V87" s="924"/>
      <c r="W87" s="923"/>
      <c r="X87" s="925"/>
      <c r="Y87" s="922"/>
      <c r="Z87" s="924"/>
      <c r="AA87" s="922">
        <v>-3274.0999999999995</v>
      </c>
      <c r="AB87" s="924"/>
      <c r="AC87" s="922"/>
      <c r="AD87" s="898">
        <f t="shared" si="6"/>
        <v>-3274.0999999999995</v>
      </c>
    </row>
    <row r="88" spans="1:30">
      <c r="A88" s="910">
        <v>84</v>
      </c>
      <c r="B88" s="910" t="s">
        <v>2661</v>
      </c>
      <c r="C88" s="911"/>
      <c r="D88" s="911"/>
      <c r="E88" s="911"/>
      <c r="G88" s="922"/>
      <c r="H88" s="924"/>
      <c r="I88" s="922"/>
      <c r="J88" s="924"/>
      <c r="K88" s="922"/>
      <c r="L88" s="924"/>
      <c r="M88" s="922"/>
      <c r="N88" s="924"/>
      <c r="O88" s="922"/>
      <c r="P88" s="924"/>
      <c r="Q88" s="922"/>
      <c r="R88" s="924"/>
      <c r="S88" s="922"/>
      <c r="T88" s="924"/>
      <c r="U88" s="922"/>
      <c r="V88" s="924"/>
      <c r="W88" s="923"/>
      <c r="X88" s="925"/>
      <c r="Y88" s="922"/>
      <c r="Z88" s="924"/>
      <c r="AA88" s="922">
        <v>28314.41</v>
      </c>
      <c r="AB88" s="924"/>
      <c r="AC88" s="922">
        <v>36523.379999999997</v>
      </c>
      <c r="AD88" s="898">
        <f t="shared" si="6"/>
        <v>64837.789999999994</v>
      </c>
    </row>
    <row r="89" spans="1:30">
      <c r="A89" s="910">
        <v>85</v>
      </c>
      <c r="B89" s="910" t="s">
        <v>2676</v>
      </c>
      <c r="C89" s="911"/>
      <c r="D89" s="911"/>
      <c r="E89" s="911"/>
      <c r="G89" s="922"/>
      <c r="H89" s="924"/>
      <c r="I89" s="922"/>
      <c r="J89" s="924"/>
      <c r="K89" s="922"/>
      <c r="L89" s="924"/>
      <c r="M89" s="922"/>
      <c r="N89" s="924"/>
      <c r="O89" s="922"/>
      <c r="P89" s="924"/>
      <c r="U89" s="922"/>
      <c r="V89" s="924"/>
      <c r="AA89" s="922"/>
      <c r="AB89" s="924"/>
      <c r="AC89" s="922"/>
      <c r="AD89" s="898">
        <f t="shared" si="6"/>
        <v>0</v>
      </c>
    </row>
    <row r="90" spans="1:30">
      <c r="A90" s="910">
        <v>86</v>
      </c>
      <c r="B90" s="910" t="s">
        <v>2662</v>
      </c>
      <c r="C90" s="911"/>
      <c r="D90" s="911"/>
      <c r="E90" s="911"/>
      <c r="G90" s="922"/>
      <c r="H90" s="924"/>
      <c r="I90" s="922"/>
      <c r="J90" s="924"/>
      <c r="K90" s="922"/>
      <c r="L90" s="924"/>
      <c r="M90" s="922"/>
      <c r="N90" s="924"/>
      <c r="O90" s="922"/>
      <c r="P90" s="924"/>
      <c r="Q90" s="922"/>
      <c r="R90" s="924"/>
      <c r="S90" s="922"/>
      <c r="T90" s="924"/>
      <c r="U90" s="922"/>
      <c r="V90" s="924"/>
      <c r="W90" s="923"/>
      <c r="X90" s="925"/>
      <c r="Y90" s="922"/>
      <c r="Z90" s="924"/>
      <c r="AA90" s="922"/>
      <c r="AB90" s="924"/>
      <c r="AC90" s="922"/>
      <c r="AD90" s="898">
        <f t="shared" si="6"/>
        <v>0</v>
      </c>
    </row>
    <row r="91" spans="1:30">
      <c r="A91" s="910">
        <v>87</v>
      </c>
      <c r="B91" s="910" t="s">
        <v>2663</v>
      </c>
      <c r="C91" s="911"/>
      <c r="D91" s="911"/>
      <c r="E91" s="911"/>
      <c r="G91" s="922"/>
      <c r="H91" s="924"/>
      <c r="I91" s="922"/>
      <c r="J91" s="924"/>
      <c r="K91" s="922"/>
      <c r="L91" s="924"/>
      <c r="M91" s="922"/>
      <c r="N91" s="924"/>
      <c r="O91" s="922"/>
      <c r="P91" s="924"/>
      <c r="Q91" s="922"/>
      <c r="R91" s="924"/>
      <c r="S91" s="922"/>
      <c r="T91" s="924"/>
      <c r="U91" s="922"/>
      <c r="V91" s="924"/>
      <c r="Y91" s="922"/>
      <c r="Z91" s="924"/>
      <c r="AA91" s="922"/>
      <c r="AB91" s="924"/>
      <c r="AC91" s="922"/>
      <c r="AD91" s="898">
        <f t="shared" si="6"/>
        <v>0</v>
      </c>
    </row>
    <row r="92" spans="1:30">
      <c r="A92" s="910">
        <v>88</v>
      </c>
      <c r="B92" s="910" t="s">
        <v>2664</v>
      </c>
      <c r="C92" s="911"/>
      <c r="D92" s="911"/>
      <c r="E92" s="911"/>
      <c r="G92" s="922"/>
      <c r="H92" s="924"/>
      <c r="I92" s="922"/>
      <c r="J92" s="924"/>
      <c r="K92" s="922"/>
      <c r="L92" s="924"/>
      <c r="M92" s="922"/>
      <c r="N92" s="924"/>
      <c r="O92" s="922"/>
      <c r="P92" s="924"/>
      <c r="Q92" s="922"/>
      <c r="R92" s="924"/>
      <c r="S92" s="922"/>
      <c r="T92" s="924"/>
      <c r="U92" s="922"/>
      <c r="V92" s="924"/>
      <c r="Y92" s="922"/>
      <c r="Z92" s="924"/>
      <c r="AA92" s="922"/>
      <c r="AB92" s="924"/>
      <c r="AC92" s="922"/>
      <c r="AD92" s="898">
        <f t="shared" si="6"/>
        <v>0</v>
      </c>
    </row>
    <row r="93" spans="1:30">
      <c r="A93" s="910">
        <v>89</v>
      </c>
      <c r="B93" s="910" t="s">
        <v>2665</v>
      </c>
      <c r="C93" s="911"/>
      <c r="D93" s="911"/>
      <c r="E93" s="911"/>
      <c r="G93" s="922"/>
      <c r="H93" s="924"/>
      <c r="I93" s="922"/>
      <c r="J93" s="924"/>
      <c r="K93" s="922"/>
      <c r="L93" s="924"/>
      <c r="M93" s="922"/>
      <c r="N93" s="924"/>
      <c r="O93" s="922"/>
      <c r="P93" s="924"/>
      <c r="Q93" s="922"/>
      <c r="R93" s="924"/>
      <c r="S93" s="922"/>
      <c r="T93" s="924"/>
      <c r="U93" s="922"/>
      <c r="V93" s="924"/>
      <c r="Y93" s="922"/>
      <c r="Z93" s="924"/>
      <c r="AA93" s="922"/>
      <c r="AB93" s="924"/>
      <c r="AC93" s="922"/>
      <c r="AD93" s="898">
        <f t="shared" si="6"/>
        <v>0</v>
      </c>
    </row>
    <row r="94" spans="1:30">
      <c r="A94" s="910">
        <v>90</v>
      </c>
      <c r="B94" s="910" t="s">
        <v>2677</v>
      </c>
      <c r="C94" s="911"/>
      <c r="D94" s="911"/>
      <c r="E94" s="911"/>
      <c r="G94" s="922"/>
      <c r="H94" s="924"/>
      <c r="I94" s="922"/>
      <c r="J94" s="924"/>
      <c r="K94" s="922"/>
      <c r="L94" s="924"/>
      <c r="M94" s="922"/>
      <c r="N94" s="924"/>
      <c r="O94" s="922"/>
      <c r="P94" s="924"/>
      <c r="Q94" s="922"/>
      <c r="R94" s="924"/>
      <c r="S94" s="922"/>
      <c r="T94" s="924"/>
      <c r="U94" s="922"/>
      <c r="V94" s="924"/>
      <c r="Y94" s="922"/>
      <c r="Z94" s="924"/>
      <c r="AA94" s="922"/>
      <c r="AB94" s="924"/>
      <c r="AC94" s="922"/>
      <c r="AD94" s="898">
        <f t="shared" si="6"/>
        <v>0</v>
      </c>
    </row>
    <row r="95" spans="1:30">
      <c r="A95" s="910">
        <v>91</v>
      </c>
      <c r="B95" s="830" t="s">
        <v>2884</v>
      </c>
      <c r="C95" s="911"/>
      <c r="D95" s="911"/>
      <c r="E95" s="911"/>
      <c r="G95" s="922"/>
      <c r="H95" s="922"/>
      <c r="I95" s="922"/>
      <c r="J95" s="922"/>
      <c r="K95" s="922"/>
      <c r="L95" s="922"/>
      <c r="M95" s="922"/>
      <c r="N95" s="922"/>
      <c r="O95" s="922"/>
      <c r="P95" s="922"/>
      <c r="Q95" s="922"/>
      <c r="R95" s="922"/>
      <c r="S95" s="922"/>
      <c r="T95" s="922"/>
      <c r="U95" s="922"/>
      <c r="V95" s="922"/>
      <c r="W95" s="922"/>
      <c r="X95" s="922"/>
      <c r="Y95" s="922"/>
      <c r="Z95" s="922"/>
      <c r="AA95" s="922">
        <f>SUM(AA74:AA94)</f>
        <v>753779.36</v>
      </c>
      <c r="AB95" s="922"/>
      <c r="AC95" s="922">
        <f>SUM(AC74:AC94)</f>
        <v>973161.6</v>
      </c>
      <c r="AD95" s="898">
        <f t="shared" si="6"/>
        <v>1726940.96</v>
      </c>
    </row>
    <row r="96" spans="1:30">
      <c r="A96" s="910">
        <v>92</v>
      </c>
      <c r="B96" s="830" t="s">
        <v>2514</v>
      </c>
      <c r="C96" s="911"/>
      <c r="D96" s="911"/>
      <c r="E96" s="932"/>
      <c r="F96" s="928"/>
      <c r="G96" s="926"/>
      <c r="H96" s="926"/>
      <c r="I96" s="926"/>
      <c r="J96" s="926"/>
      <c r="K96" s="926"/>
      <c r="L96" s="926"/>
      <c r="M96" s="926"/>
      <c r="N96" s="926"/>
      <c r="O96" s="926"/>
      <c r="P96" s="926"/>
      <c r="Q96" s="926"/>
      <c r="R96" s="926"/>
      <c r="S96" s="926"/>
      <c r="T96" s="926"/>
      <c r="U96" s="926"/>
      <c r="V96" s="926"/>
      <c r="W96" s="931"/>
      <c r="X96" s="931"/>
      <c r="Y96" s="926"/>
      <c r="Z96" s="926"/>
      <c r="AA96" s="924">
        <v>1347361</v>
      </c>
      <c r="AB96" s="926"/>
      <c r="AC96" s="924">
        <v>1498743</v>
      </c>
      <c r="AD96" s="935">
        <f t="shared" si="6"/>
        <v>2846104</v>
      </c>
    </row>
    <row r="97" spans="1:32">
      <c r="A97" s="910">
        <v>93</v>
      </c>
      <c r="B97" s="910" t="s">
        <v>2885</v>
      </c>
      <c r="C97" s="911"/>
      <c r="D97" s="911"/>
      <c r="E97" s="932"/>
      <c r="F97" s="928"/>
      <c r="G97" s="926"/>
      <c r="H97" s="926"/>
      <c r="I97" s="926"/>
      <c r="J97" s="926"/>
      <c r="K97" s="928"/>
      <c r="L97" s="928"/>
      <c r="M97" s="928"/>
      <c r="N97" s="928"/>
      <c r="O97" s="926"/>
      <c r="P97" s="926"/>
      <c r="Q97" s="926"/>
      <c r="R97" s="926"/>
      <c r="S97" s="926"/>
      <c r="T97" s="926"/>
      <c r="U97" s="926"/>
      <c r="V97" s="926"/>
      <c r="W97" s="928"/>
      <c r="X97" s="928"/>
      <c r="Y97" s="926"/>
      <c r="Z97" s="926"/>
      <c r="AA97" s="924"/>
      <c r="AB97" s="926"/>
      <c r="AC97" s="924"/>
      <c r="AD97" s="935">
        <f t="shared" si="6"/>
        <v>0</v>
      </c>
    </row>
    <row r="98" spans="1:32">
      <c r="A98" s="910">
        <v>94</v>
      </c>
      <c r="B98" s="910" t="s">
        <v>2886</v>
      </c>
      <c r="C98" s="911"/>
      <c r="D98" s="911"/>
      <c r="E98" s="932"/>
      <c r="F98" s="928"/>
      <c r="G98" s="926"/>
      <c r="H98" s="926"/>
      <c r="I98" s="926">
        <f>SUM(I96:I97)</f>
        <v>0</v>
      </c>
      <c r="J98" s="926"/>
      <c r="K98" s="926">
        <f>SUM(K96:K97)</f>
        <v>0</v>
      </c>
      <c r="L98" s="926"/>
      <c r="M98" s="926">
        <f>SUM(M96:M97)</f>
        <v>0</v>
      </c>
      <c r="N98" s="926"/>
      <c r="O98" s="926">
        <f>SUM(O96:O97)</f>
        <v>0</v>
      </c>
      <c r="P98" s="926"/>
      <c r="Q98" s="926">
        <f>SUM(Q96:Q97)</f>
        <v>0</v>
      </c>
      <c r="R98" s="926"/>
      <c r="S98" s="926">
        <f>SUM(S96:S97)</f>
        <v>0</v>
      </c>
      <c r="T98" s="926"/>
      <c r="U98" s="926">
        <f>SUM(U96:U97)</f>
        <v>0</v>
      </c>
      <c r="V98" s="926"/>
      <c r="W98" s="926">
        <f>SUM(W96:W97)</f>
        <v>0</v>
      </c>
      <c r="X98" s="926"/>
      <c r="Y98" s="926">
        <f>SUM(Y96:Y97)</f>
        <v>0</v>
      </c>
      <c r="Z98" s="926"/>
      <c r="AA98" s="924">
        <f>SUM(AA96:AA97)</f>
        <v>1347361</v>
      </c>
      <c r="AB98" s="926"/>
      <c r="AC98" s="924">
        <f>SUM(AC96:AC97)</f>
        <v>1498743</v>
      </c>
      <c r="AD98" s="935">
        <f t="shared" si="6"/>
        <v>2846104</v>
      </c>
    </row>
    <row r="99" spans="1:32">
      <c r="A99" s="910">
        <v>95</v>
      </c>
      <c r="C99" s="911"/>
      <c r="D99" s="911"/>
      <c r="E99" s="932"/>
      <c r="F99" s="928"/>
      <c r="G99" s="928"/>
      <c r="H99" s="928"/>
      <c r="I99" s="928"/>
      <c r="J99" s="928"/>
      <c r="K99" s="928"/>
      <c r="L99" s="928"/>
      <c r="M99" s="928"/>
      <c r="N99" s="928"/>
      <c r="O99" s="928"/>
      <c r="P99" s="928"/>
      <c r="Q99" s="928"/>
      <c r="R99" s="928"/>
      <c r="S99" s="928"/>
      <c r="T99" s="928"/>
      <c r="U99" s="928"/>
      <c r="V99" s="928"/>
      <c r="W99" s="928"/>
      <c r="X99" s="928"/>
      <c r="Y99" s="928"/>
      <c r="Z99" s="928"/>
      <c r="AA99" s="928"/>
      <c r="AB99" s="928"/>
      <c r="AC99" s="928"/>
      <c r="AD99" s="928"/>
    </row>
    <row r="100" spans="1:32">
      <c r="A100" s="910">
        <v>96</v>
      </c>
      <c r="B100" s="918" t="s">
        <v>2890</v>
      </c>
    </row>
    <row r="101" spans="1:32">
      <c r="A101" s="910">
        <v>97</v>
      </c>
      <c r="B101" s="830" t="s">
        <v>2462</v>
      </c>
      <c r="C101" s="898">
        <v>60</v>
      </c>
      <c r="D101" s="898"/>
      <c r="E101" s="898"/>
      <c r="F101" s="899">
        <f>G101/$C$101</f>
        <v>480</v>
      </c>
      <c r="G101" s="921">
        <v>28800</v>
      </c>
      <c r="H101" s="899">
        <f>I101/$C$101</f>
        <v>478</v>
      </c>
      <c r="I101" s="922">
        <v>28680</v>
      </c>
      <c r="J101" s="899">
        <f>K101/$C$101</f>
        <v>488</v>
      </c>
      <c r="K101" s="922">
        <v>29280</v>
      </c>
      <c r="L101" s="899">
        <f>M101/$C$101</f>
        <v>480</v>
      </c>
      <c r="M101" s="922">
        <v>28800</v>
      </c>
      <c r="N101" s="899">
        <f>O101/$C$101</f>
        <v>474</v>
      </c>
      <c r="O101" s="922">
        <v>28440</v>
      </c>
      <c r="P101" s="899">
        <f>Q101/$C$101</f>
        <v>482</v>
      </c>
      <c r="Q101" s="922">
        <v>28920</v>
      </c>
      <c r="R101" s="899">
        <f>S101/$C$101</f>
        <v>477</v>
      </c>
      <c r="S101" s="922">
        <v>28620</v>
      </c>
      <c r="T101" s="899">
        <f>U101/$C$101</f>
        <v>488</v>
      </c>
      <c r="U101" s="922">
        <v>29280</v>
      </c>
      <c r="V101" s="899">
        <f>W101/$C$101</f>
        <v>479</v>
      </c>
      <c r="W101" s="923">
        <v>28740</v>
      </c>
      <c r="X101" s="899">
        <f>Y101/$C$101</f>
        <v>476</v>
      </c>
      <c r="Y101" s="922">
        <v>28560</v>
      </c>
      <c r="Z101" s="899">
        <f>AA101/$C$101</f>
        <v>482</v>
      </c>
      <c r="AA101" s="922">
        <v>28920</v>
      </c>
      <c r="AB101" s="899">
        <f>AC101/$C$101</f>
        <v>487</v>
      </c>
      <c r="AC101" s="922">
        <v>29220</v>
      </c>
      <c r="AD101" s="898">
        <f>SUM(G101,I101,K101,M101,O101,Q101,S101,U101,W101,Y101,AA101,AC101)</f>
        <v>346260</v>
      </c>
    </row>
    <row r="102" spans="1:32">
      <c r="A102" s="910">
        <v>98</v>
      </c>
      <c r="B102" s="830" t="s">
        <v>2681</v>
      </c>
      <c r="C102" s="910">
        <v>0.17851</v>
      </c>
      <c r="F102" s="899">
        <f>G102/$C$102</f>
        <v>191473.41885608647</v>
      </c>
      <c r="G102" s="921">
        <v>34179.919999999998</v>
      </c>
      <c r="H102" s="899">
        <f>I102/$C$102</f>
        <v>194768.36031594867</v>
      </c>
      <c r="I102" s="922">
        <v>34768.1</v>
      </c>
      <c r="J102" s="899">
        <f>K102/$C$102</f>
        <v>206171.19489104254</v>
      </c>
      <c r="K102" s="922">
        <v>36803.620000000003</v>
      </c>
      <c r="L102" s="899">
        <f>M102/$C$102</f>
        <v>180644.66976639963</v>
      </c>
      <c r="M102" s="922">
        <v>32246.880000000001</v>
      </c>
      <c r="N102" s="899">
        <f>O102/$C$102</f>
        <v>137895.52406027674</v>
      </c>
      <c r="O102" s="922">
        <v>24615.73</v>
      </c>
      <c r="P102" s="899">
        <f>Q102/$C$102</f>
        <v>105357.51498515491</v>
      </c>
      <c r="Q102" s="922">
        <v>18807.370000000003</v>
      </c>
      <c r="R102" s="899">
        <f>S102/$C$102</f>
        <v>88550.221276118988</v>
      </c>
      <c r="S102" s="922">
        <v>15807.1</v>
      </c>
      <c r="T102" s="899">
        <f>U102/$C$102</f>
        <v>84408.100386532969</v>
      </c>
      <c r="U102" s="922">
        <v>15067.69</v>
      </c>
      <c r="V102" s="899">
        <f>W102/$C$102</f>
        <v>90582.432356730715</v>
      </c>
      <c r="W102" s="923">
        <v>16169.87</v>
      </c>
      <c r="X102" s="899">
        <f>Y102/$C$102</f>
        <v>129677.44103971767</v>
      </c>
      <c r="Y102" s="922">
        <v>23148.720000000001</v>
      </c>
      <c r="Z102" s="899">
        <f>AA102/$C$102</f>
        <v>172551.95787350848</v>
      </c>
      <c r="AA102" s="922">
        <v>30802.25</v>
      </c>
      <c r="AB102" s="899">
        <f>AC102/$C$102</f>
        <v>190723.32082236288</v>
      </c>
      <c r="AC102" s="922">
        <v>34046.019999999997</v>
      </c>
      <c r="AD102" s="898">
        <f>SUM(G102,I102,K102,M102,O102,Q102,S102,U102,W102,Y102,AA102,AC102)</f>
        <v>316463.27</v>
      </c>
      <c r="AF102" s="902"/>
    </row>
    <row r="103" spans="1:32">
      <c r="A103" s="910">
        <v>99</v>
      </c>
      <c r="B103" s="830" t="s">
        <v>2682</v>
      </c>
      <c r="C103" s="910">
        <v>0.14457</v>
      </c>
      <c r="F103" s="899">
        <f>G103/$C$103</f>
        <v>688140.62391920865</v>
      </c>
      <c r="G103" s="921">
        <v>99484.49</v>
      </c>
      <c r="H103" s="899">
        <f>I103/$C$103</f>
        <v>709661.68638030009</v>
      </c>
      <c r="I103" s="922">
        <v>102595.79</v>
      </c>
      <c r="J103" s="899">
        <f>K103/$C$103</f>
        <v>770116.48336446017</v>
      </c>
      <c r="K103" s="922">
        <v>111335.74</v>
      </c>
      <c r="L103" s="899">
        <f>M103/$C$103</f>
        <v>577002.69765511516</v>
      </c>
      <c r="M103" s="922">
        <v>83417.279999999999</v>
      </c>
      <c r="N103" s="899">
        <f>O103/$C$103</f>
        <v>401254.8246524175</v>
      </c>
      <c r="O103" s="922">
        <v>58009.41</v>
      </c>
      <c r="P103" s="899">
        <f>Q103/$C$103</f>
        <v>300279.44940167386</v>
      </c>
      <c r="Q103" s="922">
        <v>43411.399999999994</v>
      </c>
      <c r="R103" s="899">
        <f>S103/$C$103</f>
        <v>273632.56553918513</v>
      </c>
      <c r="S103" s="922">
        <v>39559.06</v>
      </c>
      <c r="T103" s="899">
        <f>U103/$C$103</f>
        <v>272914.15923082241</v>
      </c>
      <c r="U103" s="922">
        <v>39455.199999999997</v>
      </c>
      <c r="V103" s="899">
        <f>W103/$C$103</f>
        <v>293937.8847617071</v>
      </c>
      <c r="W103" s="923">
        <v>42494.6</v>
      </c>
      <c r="X103" s="899">
        <f>Y103/$C$103</f>
        <v>398691.08390399109</v>
      </c>
      <c r="Y103" s="922">
        <v>57638.77</v>
      </c>
      <c r="Z103" s="899">
        <f>AA103/$C$103</f>
        <v>536978.55710036657</v>
      </c>
      <c r="AA103" s="922">
        <v>77630.990000000005</v>
      </c>
      <c r="AB103" s="899">
        <f>AC103/$C$103</f>
        <v>663264.02434806665</v>
      </c>
      <c r="AC103" s="922">
        <v>95888.08</v>
      </c>
      <c r="AD103" s="898">
        <f>SUM(G103,I103,K103,M103,O103,Q103,S103,U103,W103,Y103,AA103,AC103)</f>
        <v>850920.81</v>
      </c>
      <c r="AF103" s="902"/>
    </row>
    <row r="104" spans="1:32">
      <c r="A104" s="910">
        <v>100</v>
      </c>
      <c r="B104" s="830" t="s">
        <v>2683</v>
      </c>
      <c r="C104" s="910">
        <v>0.13944000000000001</v>
      </c>
      <c r="F104" s="899">
        <f>G104/$C$104</f>
        <v>554113.81239242689</v>
      </c>
      <c r="G104" s="921">
        <v>77265.63</v>
      </c>
      <c r="H104" s="899">
        <f>I104/$C$104</f>
        <v>711733.00344234076</v>
      </c>
      <c r="I104" s="922">
        <v>99244.05</v>
      </c>
      <c r="J104" s="899">
        <f>K104/$C$104</f>
        <v>818456.18187033839</v>
      </c>
      <c r="K104" s="922">
        <v>114125.53</v>
      </c>
      <c r="L104" s="899">
        <f>M104/$C$104</f>
        <v>573665.80608146871</v>
      </c>
      <c r="M104" s="922">
        <v>79991.960000000006</v>
      </c>
      <c r="N104" s="899">
        <f>O104/$C$104</f>
        <v>250735.08318990245</v>
      </c>
      <c r="O104" s="922">
        <v>34962.5</v>
      </c>
      <c r="P104" s="899">
        <f>Q104/$C$104</f>
        <v>173406.7699368904</v>
      </c>
      <c r="Q104" s="922">
        <v>24179.84</v>
      </c>
      <c r="R104" s="899">
        <f>S104/$C$104</f>
        <v>174990.89213998851</v>
      </c>
      <c r="S104" s="922">
        <v>24400.73</v>
      </c>
      <c r="T104" s="899">
        <f>U104/$C$104</f>
        <v>207087.06253585772</v>
      </c>
      <c r="U104" s="922">
        <v>28876.22</v>
      </c>
      <c r="V104" s="899">
        <f>W104/$C$104</f>
        <v>267470.09466437175</v>
      </c>
      <c r="W104" s="923">
        <v>37296.03</v>
      </c>
      <c r="X104" s="899">
        <f>Y104/$C$104</f>
        <v>745993.83247274812</v>
      </c>
      <c r="Y104" s="922">
        <v>104021.38</v>
      </c>
      <c r="Z104" s="899">
        <f>AA104/$C$104</f>
        <v>449103.98737808369</v>
      </c>
      <c r="AA104" s="922">
        <v>62623.06</v>
      </c>
      <c r="AB104" s="899">
        <f>AC104/$C$104</f>
        <v>568661.79001721169</v>
      </c>
      <c r="AC104" s="922">
        <v>79294.2</v>
      </c>
      <c r="AD104" s="898">
        <f>SUM(G104,I104,K104,M104,O104,Q104,S104,U104,W104,Y104,AA104,AC104)</f>
        <v>766281.12999999989</v>
      </c>
      <c r="AF104" s="902"/>
    </row>
    <row r="105" spans="1:32">
      <c r="A105" s="910">
        <v>101</v>
      </c>
      <c r="B105" s="830" t="s">
        <v>2650</v>
      </c>
      <c r="G105" s="921">
        <v>601443.54</v>
      </c>
      <c r="I105" s="922">
        <v>677974.58</v>
      </c>
      <c r="K105" s="922">
        <v>752891.57</v>
      </c>
      <c r="M105" s="922">
        <v>558484.69999999995</v>
      </c>
      <c r="O105" s="922">
        <v>331354.37</v>
      </c>
      <c r="Q105" s="922">
        <v>242906.7</v>
      </c>
      <c r="S105" s="922">
        <v>225342.18</v>
      </c>
      <c r="U105" s="922">
        <v>236767.61</v>
      </c>
      <c r="W105" s="923">
        <v>273507.42000000004</v>
      </c>
      <c r="Y105" s="922">
        <v>534591.62000000023</v>
      </c>
      <c r="AA105" s="922">
        <v>486912.31999999989</v>
      </c>
      <c r="AC105" s="922">
        <v>600205.27999999991</v>
      </c>
      <c r="AD105" s="898">
        <f t="shared" ref="AD105:AD125" si="7">SUM(G105:AC105)</f>
        <v>5522381.8900000006</v>
      </c>
      <c r="AF105" s="936"/>
    </row>
    <row r="106" spans="1:32">
      <c r="A106" s="910">
        <v>102</v>
      </c>
      <c r="B106" s="910" t="s">
        <v>2652</v>
      </c>
      <c r="G106" s="921">
        <v>0</v>
      </c>
      <c r="I106" s="922">
        <v>0</v>
      </c>
      <c r="K106" s="922"/>
      <c r="M106" s="922">
        <v>24582.84</v>
      </c>
      <c r="O106" s="922">
        <v>58691.88</v>
      </c>
      <c r="Q106" s="922">
        <v>44093.799999999996</v>
      </c>
      <c r="S106" s="922">
        <v>40905.33</v>
      </c>
      <c r="U106" s="922">
        <v>42978.03</v>
      </c>
      <c r="W106" s="923">
        <v>49648.66</v>
      </c>
      <c r="Y106" s="922">
        <v>97042.14999999998</v>
      </c>
      <c r="AA106" s="922">
        <v>109060.06</v>
      </c>
      <c r="AC106" s="922">
        <v>189981.33000000002</v>
      </c>
      <c r="AD106" s="898">
        <f t="shared" si="7"/>
        <v>656984.07999999996</v>
      </c>
    </row>
    <row r="107" spans="1:32">
      <c r="A107" s="910">
        <v>103</v>
      </c>
      <c r="B107" s="830" t="s">
        <v>2653</v>
      </c>
      <c r="C107" s="911"/>
      <c r="D107" s="911"/>
      <c r="E107" s="911"/>
      <c r="G107" s="921">
        <v>2432.42</v>
      </c>
      <c r="H107" s="924"/>
      <c r="I107" s="922">
        <v>2747.35</v>
      </c>
      <c r="J107" s="924"/>
      <c r="K107" s="922">
        <v>3050.81</v>
      </c>
      <c r="L107" s="924"/>
      <c r="M107" s="922">
        <v>2263.2400000000002</v>
      </c>
      <c r="N107" s="924"/>
      <c r="O107" s="922">
        <v>1342.73</v>
      </c>
      <c r="P107" s="924"/>
      <c r="Q107" s="922">
        <v>984.41</v>
      </c>
      <c r="R107" s="924"/>
      <c r="S107" s="922">
        <v>913.29</v>
      </c>
      <c r="T107" s="924"/>
      <c r="U107" s="922">
        <v>959.59999999999991</v>
      </c>
      <c r="V107" s="924"/>
      <c r="W107" s="923">
        <v>1108.3800000000001</v>
      </c>
      <c r="X107" s="925"/>
      <c r="Y107" s="922">
        <v>2166.39</v>
      </c>
      <c r="Z107" s="924"/>
      <c r="AA107" s="922">
        <v>1959.16</v>
      </c>
      <c r="AB107" s="924"/>
      <c r="AC107" s="922">
        <v>2377.1499999999996</v>
      </c>
      <c r="AD107" s="898">
        <f t="shared" si="7"/>
        <v>22304.93</v>
      </c>
    </row>
    <row r="108" spans="1:32">
      <c r="A108" s="910">
        <v>104</v>
      </c>
      <c r="B108" s="830" t="s">
        <v>2654</v>
      </c>
      <c r="G108" s="921">
        <v>9806.5400000000009</v>
      </c>
      <c r="H108" s="924"/>
      <c r="I108" s="922">
        <v>11054.43</v>
      </c>
      <c r="J108" s="924"/>
      <c r="K108" s="922">
        <v>12275.6</v>
      </c>
      <c r="L108" s="924"/>
      <c r="M108" s="922">
        <v>9106.31</v>
      </c>
      <c r="N108" s="924"/>
      <c r="O108" s="922">
        <v>5402.92</v>
      </c>
      <c r="P108" s="924"/>
      <c r="Q108" s="922">
        <v>3960.65</v>
      </c>
      <c r="R108" s="924"/>
      <c r="S108" s="922">
        <v>3674.27</v>
      </c>
      <c r="T108" s="924"/>
      <c r="U108" s="922">
        <v>3860.54</v>
      </c>
      <c r="V108" s="924"/>
      <c r="W108" s="923">
        <v>4459.51</v>
      </c>
      <c r="X108" s="925"/>
      <c r="Y108" s="922">
        <v>8716.64</v>
      </c>
      <c r="Z108" s="924"/>
      <c r="AA108" s="922">
        <v>8523.77</v>
      </c>
      <c r="AB108" s="924"/>
      <c r="AC108" s="922">
        <v>12077.42</v>
      </c>
      <c r="AD108" s="898">
        <f t="shared" si="7"/>
        <v>92918.6</v>
      </c>
    </row>
    <row r="109" spans="1:32">
      <c r="A109" s="910">
        <v>105</v>
      </c>
      <c r="B109" s="830" t="s">
        <v>2655</v>
      </c>
      <c r="G109" s="921">
        <v>4602.1400000000003</v>
      </c>
      <c r="H109" s="924"/>
      <c r="I109" s="922">
        <v>5187.8</v>
      </c>
      <c r="J109" s="924"/>
      <c r="K109" s="922">
        <v>5761.59</v>
      </c>
      <c r="L109" s="924"/>
      <c r="M109" s="922">
        <v>4273.4800000000005</v>
      </c>
      <c r="N109" s="924"/>
      <c r="O109" s="922">
        <v>2535.5500000000002</v>
      </c>
      <c r="P109" s="924"/>
      <c r="Q109" s="922">
        <v>1858.73</v>
      </c>
      <c r="R109" s="924"/>
      <c r="S109" s="922">
        <v>1724.1600000000003</v>
      </c>
      <c r="T109" s="924"/>
      <c r="U109" s="922">
        <v>1811.77</v>
      </c>
      <c r="V109" s="924"/>
      <c r="W109" s="923">
        <v>2092.7599999999998</v>
      </c>
      <c r="X109" s="925"/>
      <c r="Y109" s="922">
        <v>4090.6800000000003</v>
      </c>
      <c r="Z109" s="924"/>
      <c r="AA109" s="922">
        <v>528.36</v>
      </c>
      <c r="AB109" s="924"/>
      <c r="AC109" s="922">
        <v>-7939.2400000000007</v>
      </c>
      <c r="AD109" s="898">
        <f t="shared" si="7"/>
        <v>26527.780000000002</v>
      </c>
    </row>
    <row r="110" spans="1:32">
      <c r="A110" s="910">
        <v>106</v>
      </c>
      <c r="B110" s="830" t="s">
        <v>2656</v>
      </c>
      <c r="G110" s="921">
        <v>11097.09</v>
      </c>
      <c r="H110" s="924"/>
      <c r="I110" s="922">
        <v>12509.01</v>
      </c>
      <c r="J110" s="924"/>
      <c r="K110" s="922">
        <v>13896.08</v>
      </c>
      <c r="L110" s="924"/>
      <c r="M110" s="922">
        <v>10304.44</v>
      </c>
      <c r="N110" s="924"/>
      <c r="O110" s="922">
        <v>6113.83</v>
      </c>
      <c r="P110" s="924"/>
      <c r="Q110" s="922">
        <v>4481.7800000000007</v>
      </c>
      <c r="R110" s="924"/>
      <c r="S110" s="922">
        <v>4157.6899999999996</v>
      </c>
      <c r="T110" s="924"/>
      <c r="U110" s="922">
        <v>4368.6400000000003</v>
      </c>
      <c r="V110" s="924"/>
      <c r="W110" s="923">
        <v>5046.45</v>
      </c>
      <c r="X110" s="925"/>
      <c r="Y110" s="922">
        <v>9863.4600000000009</v>
      </c>
      <c r="Z110" s="924"/>
      <c r="AA110" s="922">
        <v>6241.96</v>
      </c>
      <c r="AB110" s="924"/>
      <c r="AC110" s="922">
        <v>327.35000000000002</v>
      </c>
      <c r="AD110" s="898">
        <f t="shared" si="7"/>
        <v>88407.780000000028</v>
      </c>
    </row>
    <row r="111" spans="1:32">
      <c r="A111" s="910">
        <v>107</v>
      </c>
      <c r="B111" s="830" t="s">
        <v>2657</v>
      </c>
      <c r="G111" s="921">
        <v>39484.480000000003</v>
      </c>
      <c r="H111" s="924"/>
      <c r="I111" s="922">
        <v>44508.81</v>
      </c>
      <c r="J111" s="924"/>
      <c r="K111" s="922">
        <v>49425.47</v>
      </c>
      <c r="L111" s="924"/>
      <c r="M111" s="922">
        <v>36664.18</v>
      </c>
      <c r="N111" s="924"/>
      <c r="O111" s="922">
        <v>21753.43</v>
      </c>
      <c r="P111" s="924"/>
      <c r="Q111" s="922">
        <v>15946.84</v>
      </c>
      <c r="R111" s="924"/>
      <c r="S111" s="922">
        <v>14793.689999999999</v>
      </c>
      <c r="T111" s="924"/>
      <c r="U111" s="922">
        <v>15543.800000000001</v>
      </c>
      <c r="V111" s="924"/>
      <c r="W111" s="923">
        <v>17955.849999999999</v>
      </c>
      <c r="X111" s="925"/>
      <c r="Y111" s="922">
        <v>35095.83</v>
      </c>
      <c r="Z111" s="924"/>
      <c r="AA111" s="922">
        <v>31471.769999999997</v>
      </c>
      <c r="AB111" s="924"/>
      <c r="AC111" s="922">
        <v>37467.89</v>
      </c>
      <c r="AD111" s="898">
        <f t="shared" si="7"/>
        <v>360112.04000000004</v>
      </c>
    </row>
    <row r="112" spans="1:32">
      <c r="A112" s="910">
        <v>108</v>
      </c>
      <c r="B112" s="895" t="s">
        <v>2658</v>
      </c>
      <c r="G112" s="921">
        <v>-5003.67</v>
      </c>
      <c r="H112" s="924"/>
      <c r="I112" s="922">
        <v>-5640.33</v>
      </c>
      <c r="J112" s="924"/>
      <c r="K112" s="922">
        <v>-6263.66</v>
      </c>
      <c r="L112" s="924"/>
      <c r="M112" s="922">
        <v>-4646.1400000000003</v>
      </c>
      <c r="N112" s="924"/>
      <c r="O112" s="922">
        <v>-2756.57</v>
      </c>
      <c r="P112" s="924"/>
      <c r="Q112" s="922">
        <v>-2020.7399999999998</v>
      </c>
      <c r="R112" s="924"/>
      <c r="S112" s="922">
        <v>-1874.58</v>
      </c>
      <c r="T112" s="924"/>
      <c r="U112" s="922">
        <v>-1969.6800000000003</v>
      </c>
      <c r="V112" s="924"/>
      <c r="W112" s="923">
        <v>-2275.35</v>
      </c>
      <c r="X112" s="925"/>
      <c r="Y112" s="922">
        <v>-4447.4500000000007</v>
      </c>
      <c r="Z112" s="924"/>
      <c r="AA112" s="922">
        <v>-4195.0200000000004</v>
      </c>
      <c r="AB112" s="924"/>
      <c r="AC112" s="922">
        <v>-5558.53</v>
      </c>
      <c r="AD112" s="898">
        <f t="shared" si="7"/>
        <v>-46651.72</v>
      </c>
    </row>
    <row r="113" spans="1:33">
      <c r="A113" s="910">
        <v>109</v>
      </c>
      <c r="B113" s="895" t="s">
        <v>2659</v>
      </c>
      <c r="G113" s="921">
        <v>-2322.67</v>
      </c>
      <c r="H113" s="924"/>
      <c r="I113" s="922">
        <v>-2618.2600000000002</v>
      </c>
      <c r="J113" s="924"/>
      <c r="K113" s="922">
        <v>-2907.45</v>
      </c>
      <c r="L113" s="924"/>
      <c r="M113" s="922">
        <v>-2156.62</v>
      </c>
      <c r="N113" s="924"/>
      <c r="O113" s="922">
        <v>-1279.5</v>
      </c>
      <c r="P113" s="924"/>
      <c r="Q113" s="922">
        <v>-938</v>
      </c>
      <c r="R113" s="924"/>
      <c r="S113" s="922">
        <v>-870.09999999999991</v>
      </c>
      <c r="T113" s="924"/>
      <c r="U113" s="922">
        <v>-914.29</v>
      </c>
      <c r="V113" s="924"/>
      <c r="W113" s="923">
        <v>-1056.1600000000001</v>
      </c>
      <c r="X113" s="925"/>
      <c r="Y113" s="922">
        <v>-2064.39</v>
      </c>
      <c r="Z113" s="924"/>
      <c r="AA113" s="922">
        <v>-1819.9099999999999</v>
      </c>
      <c r="AB113" s="924"/>
      <c r="AC113" s="922">
        <v>-2081.1099999999997</v>
      </c>
      <c r="AD113" s="898">
        <f t="shared" si="7"/>
        <v>-21028.46</v>
      </c>
    </row>
    <row r="114" spans="1:33">
      <c r="A114" s="910">
        <v>110</v>
      </c>
      <c r="B114" s="895" t="s">
        <v>2660</v>
      </c>
      <c r="G114" s="921">
        <v>-4258.0600000000004</v>
      </c>
      <c r="H114" s="924"/>
      <c r="I114" s="922">
        <v>-4799.99</v>
      </c>
      <c r="J114" s="924"/>
      <c r="K114" s="922">
        <v>-5330.42</v>
      </c>
      <c r="L114" s="924"/>
      <c r="M114" s="922">
        <v>-3953.94</v>
      </c>
      <c r="N114" s="924"/>
      <c r="O114" s="922">
        <v>-2345.96</v>
      </c>
      <c r="P114" s="924"/>
      <c r="Q114" s="922">
        <v>-1719.6799999999998</v>
      </c>
      <c r="R114" s="924"/>
      <c r="S114" s="922">
        <v>-1595.35</v>
      </c>
      <c r="T114" s="924"/>
      <c r="U114" s="922">
        <v>-1676.2200000000003</v>
      </c>
      <c r="V114" s="924"/>
      <c r="W114" s="923">
        <v>-1936.36</v>
      </c>
      <c r="X114" s="925"/>
      <c r="Y114" s="922">
        <v>-3784.8500000000004</v>
      </c>
      <c r="Z114" s="924"/>
      <c r="AA114" s="922">
        <v>-2395.1200000000003</v>
      </c>
      <c r="AB114" s="924"/>
      <c r="AC114" s="922">
        <v>-125.62</v>
      </c>
      <c r="AD114" s="898">
        <f t="shared" si="7"/>
        <v>-33921.570000000007</v>
      </c>
    </row>
    <row r="115" spans="1:33">
      <c r="A115" s="910">
        <v>111</v>
      </c>
      <c r="B115" s="830" t="s">
        <v>2661</v>
      </c>
      <c r="G115" s="921">
        <v>37590.300000000003</v>
      </c>
      <c r="H115" s="924"/>
      <c r="I115" s="922">
        <v>40785.26</v>
      </c>
      <c r="J115" s="924"/>
      <c r="K115" s="922">
        <v>45969.41</v>
      </c>
      <c r="L115" s="924"/>
      <c r="M115" s="922">
        <v>35246.53</v>
      </c>
      <c r="N115" s="924"/>
      <c r="O115" s="922">
        <v>24006.959999999999</v>
      </c>
      <c r="P115" s="924"/>
      <c r="Q115" s="922">
        <v>17917.07</v>
      </c>
      <c r="R115" s="924"/>
      <c r="S115" s="922">
        <v>15695.86</v>
      </c>
      <c r="T115" s="924"/>
      <c r="U115" s="922">
        <v>16031.109999999999</v>
      </c>
      <c r="V115" s="924"/>
      <c r="W115" s="923">
        <v>14916.25</v>
      </c>
      <c r="X115" s="925"/>
      <c r="Y115" s="922">
        <v>22245.35</v>
      </c>
      <c r="Z115" s="924"/>
      <c r="AA115" s="922">
        <v>31874.27</v>
      </c>
      <c r="AB115" s="924"/>
      <c r="AC115" s="922">
        <v>44716.34</v>
      </c>
      <c r="AD115" s="898">
        <f t="shared" si="7"/>
        <v>346994.70999999996</v>
      </c>
    </row>
    <row r="116" spans="1:33">
      <c r="A116" s="910">
        <v>112</v>
      </c>
      <c r="B116" s="830" t="s">
        <v>2676</v>
      </c>
      <c r="G116" s="921">
        <v>142.76</v>
      </c>
      <c r="H116" s="924"/>
      <c r="I116" s="922">
        <v>66.83</v>
      </c>
      <c r="J116" s="924"/>
      <c r="K116" s="922">
        <v>176.72</v>
      </c>
      <c r="L116" s="924"/>
      <c r="M116" s="922">
        <v>215.7</v>
      </c>
      <c r="N116" s="924"/>
      <c r="O116" s="922">
        <v>70.31</v>
      </c>
      <c r="P116" s="924"/>
      <c r="Q116" s="922">
        <v>77.86</v>
      </c>
      <c r="R116" s="924"/>
      <c r="S116" s="922">
        <v>58.29</v>
      </c>
      <c r="T116" s="924"/>
      <c r="U116" s="922"/>
      <c r="V116" s="924"/>
      <c r="Y116" s="922"/>
      <c r="Z116" s="924"/>
      <c r="AA116" s="922"/>
      <c r="AB116" s="924"/>
      <c r="AC116" s="922"/>
      <c r="AD116" s="898">
        <f t="shared" si="7"/>
        <v>808.46999999999991</v>
      </c>
    </row>
    <row r="117" spans="1:33">
      <c r="A117" s="910">
        <v>113</v>
      </c>
      <c r="B117" s="830" t="s">
        <v>2684</v>
      </c>
      <c r="G117" s="921">
        <v>240</v>
      </c>
      <c r="H117" s="924"/>
      <c r="I117" s="922">
        <v>240</v>
      </c>
      <c r="J117" s="924"/>
      <c r="K117" s="922">
        <v>240</v>
      </c>
      <c r="L117" s="924"/>
      <c r="M117" s="922">
        <v>60</v>
      </c>
      <c r="N117" s="924"/>
      <c r="O117" s="910"/>
      <c r="AC117" s="922"/>
      <c r="AD117" s="898">
        <f t="shared" si="7"/>
        <v>780</v>
      </c>
    </row>
    <row r="118" spans="1:33">
      <c r="A118" s="910">
        <v>114</v>
      </c>
      <c r="B118" s="830" t="s">
        <v>2662</v>
      </c>
      <c r="C118" s="927"/>
      <c r="D118" s="927"/>
      <c r="E118" s="927"/>
      <c r="G118" s="921">
        <v>173.11</v>
      </c>
      <c r="H118" s="924"/>
      <c r="I118" s="922">
        <v>174.14</v>
      </c>
      <c r="J118" s="924"/>
      <c r="K118" s="922">
        <v>168.07</v>
      </c>
      <c r="L118" s="924"/>
      <c r="M118" s="922">
        <v>167.48</v>
      </c>
      <c r="N118" s="924"/>
      <c r="O118" s="898">
        <v>122.4</v>
      </c>
      <c r="P118" s="924"/>
      <c r="Q118" s="922">
        <v>46.66</v>
      </c>
      <c r="R118" s="924"/>
      <c r="S118" s="922">
        <v>42.11</v>
      </c>
      <c r="T118" s="924"/>
      <c r="U118" s="922"/>
      <c r="V118" s="924"/>
      <c r="Y118" s="922"/>
      <c r="Z118" s="924"/>
      <c r="AA118" s="922"/>
      <c r="AB118" s="924"/>
      <c r="AC118" s="922"/>
      <c r="AD118" s="898">
        <f t="shared" si="7"/>
        <v>893.96999999999991</v>
      </c>
    </row>
    <row r="119" spans="1:33">
      <c r="A119" s="910">
        <v>115</v>
      </c>
      <c r="B119" s="830" t="s">
        <v>2663</v>
      </c>
      <c r="G119" s="921">
        <v>165.64</v>
      </c>
      <c r="H119" s="924"/>
      <c r="I119" s="922">
        <v>1.2</v>
      </c>
      <c r="J119" s="924"/>
      <c r="K119" s="922">
        <v>369.29</v>
      </c>
      <c r="L119" s="924"/>
      <c r="M119" s="922">
        <v>831.45</v>
      </c>
      <c r="N119" s="924"/>
      <c r="O119" s="922">
        <v>1.2</v>
      </c>
      <c r="P119" s="924"/>
      <c r="Q119" s="922">
        <v>1.69</v>
      </c>
      <c r="R119" s="924"/>
      <c r="S119" s="922">
        <v>1.2</v>
      </c>
      <c r="T119" s="924"/>
      <c r="U119" s="922"/>
      <c r="V119" s="924"/>
      <c r="Y119" s="922"/>
      <c r="Z119" s="924"/>
      <c r="AA119" s="922"/>
      <c r="AB119" s="924"/>
      <c r="AC119" s="922"/>
      <c r="AD119" s="898">
        <f t="shared" si="7"/>
        <v>1371.67</v>
      </c>
    </row>
    <row r="120" spans="1:33">
      <c r="A120" s="910">
        <v>116</v>
      </c>
      <c r="B120" s="830" t="s">
        <v>2665</v>
      </c>
      <c r="C120" s="927"/>
      <c r="D120" s="927"/>
      <c r="E120" s="927"/>
      <c r="G120" s="921">
        <v>1565</v>
      </c>
      <c r="H120" s="924"/>
      <c r="I120" s="922">
        <v>1913.37</v>
      </c>
      <c r="J120" s="924"/>
      <c r="K120" s="922">
        <v>2917.96</v>
      </c>
      <c r="L120" s="924"/>
      <c r="M120" s="922">
        <v>983.91</v>
      </c>
      <c r="N120" s="924"/>
      <c r="O120" s="922">
        <v>665.58</v>
      </c>
      <c r="P120" s="924"/>
      <c r="Q120" s="922">
        <v>324.17</v>
      </c>
      <c r="R120" s="924"/>
      <c r="S120" s="922">
        <v>310.14999999999998</v>
      </c>
      <c r="T120" s="924"/>
      <c r="U120" s="922">
        <v>795.43</v>
      </c>
      <c r="V120" s="924"/>
      <c r="W120" s="898">
        <v>486.85</v>
      </c>
      <c r="Y120" s="922">
        <v>1835.21</v>
      </c>
      <c r="Z120" s="924"/>
      <c r="AA120" s="922">
        <v>1740.86</v>
      </c>
      <c r="AB120" s="924"/>
      <c r="AC120" s="922">
        <v>1987.5500000000002</v>
      </c>
      <c r="AD120" s="898">
        <f t="shared" si="7"/>
        <v>15526.04</v>
      </c>
    </row>
    <row r="121" spans="1:33">
      <c r="A121" s="910">
        <v>117</v>
      </c>
      <c r="B121" s="830" t="s">
        <v>2677</v>
      </c>
      <c r="H121" s="924"/>
      <c r="M121" s="910"/>
      <c r="N121" s="924"/>
      <c r="Q121" s="922"/>
      <c r="R121" s="924"/>
      <c r="U121" s="922"/>
      <c r="V121" s="924"/>
      <c r="AC121" s="898">
        <v>-63.6</v>
      </c>
      <c r="AD121" s="898">
        <f t="shared" si="7"/>
        <v>-63.6</v>
      </c>
    </row>
    <row r="122" spans="1:33">
      <c r="A122" s="910">
        <v>118</v>
      </c>
      <c r="B122" s="830" t="s">
        <v>2884</v>
      </c>
      <c r="C122" s="911"/>
      <c r="D122" s="911"/>
      <c r="E122" s="911"/>
      <c r="G122" s="921">
        <f>SUM(G101:G121)</f>
        <v>936888.66</v>
      </c>
      <c r="H122" s="921"/>
      <c r="I122" s="921">
        <f>SUM(I101:I121)</f>
        <v>1049392.1400000001</v>
      </c>
      <c r="J122" s="921"/>
      <c r="K122" s="921">
        <f>SUM(K101:K121)</f>
        <v>1164185.9300000004</v>
      </c>
      <c r="L122" s="921"/>
      <c r="M122" s="921">
        <f>SUM(M101:M120)</f>
        <v>896883.67999999993</v>
      </c>
      <c r="N122" s="921"/>
      <c r="O122" s="921">
        <f>SUM(O101:O120)</f>
        <v>591706.77000000014</v>
      </c>
      <c r="P122" s="922"/>
      <c r="Q122" s="922">
        <f>SUM(Q101:Q121)</f>
        <v>443240.55</v>
      </c>
      <c r="R122" s="922"/>
      <c r="S122" s="922">
        <f>SUM(S101:S121)</f>
        <v>411665.08</v>
      </c>
      <c r="T122" s="922"/>
      <c r="U122" s="922">
        <f>SUM(U101:U121)</f>
        <v>431235.45</v>
      </c>
      <c r="V122" s="922"/>
      <c r="W122" s="922">
        <f>SUM(W101:W121)</f>
        <v>488654.76000000013</v>
      </c>
      <c r="X122" s="922"/>
      <c r="Y122" s="922">
        <f>SUM(Y101:Y121)</f>
        <v>918719.51000000024</v>
      </c>
      <c r="Z122" s="922"/>
      <c r="AA122" s="922">
        <f>SUM(AA101:AA121)</f>
        <v>869878.77999999991</v>
      </c>
      <c r="AB122" s="922"/>
      <c r="AC122" s="922">
        <f>SUM(AC101:AC121)</f>
        <v>1111820.5099999998</v>
      </c>
      <c r="AD122" s="898">
        <f t="shared" si="7"/>
        <v>9314271.8200000003</v>
      </c>
    </row>
    <row r="123" spans="1:33">
      <c r="A123" s="910">
        <v>119</v>
      </c>
      <c r="B123" s="830" t="s">
        <v>2514</v>
      </c>
      <c r="C123" s="928"/>
      <c r="D123" s="928"/>
      <c r="E123" s="928"/>
      <c r="F123" s="928"/>
      <c r="G123" s="924">
        <v>1433715</v>
      </c>
      <c r="H123" s="924"/>
      <c r="I123" s="935">
        <v>1616149</v>
      </c>
      <c r="J123" s="924"/>
      <c r="K123" s="935">
        <v>1794729</v>
      </c>
      <c r="L123" s="924"/>
      <c r="M123" s="924">
        <v>1331310</v>
      </c>
      <c r="N123" s="924"/>
      <c r="O123" s="924">
        <v>789879</v>
      </c>
      <c r="P123" s="924"/>
      <c r="Q123" s="924">
        <v>579038</v>
      </c>
      <c r="R123" s="924"/>
      <c r="S123" s="924">
        <v>537168</v>
      </c>
      <c r="T123" s="924"/>
      <c r="U123" s="924">
        <v>564404</v>
      </c>
      <c r="V123" s="924"/>
      <c r="W123" s="930">
        <v>651984</v>
      </c>
      <c r="X123" s="930"/>
      <c r="Y123" s="924">
        <v>1274354</v>
      </c>
      <c r="Z123" s="926"/>
      <c r="AA123" s="924">
        <v>1158623</v>
      </c>
      <c r="AB123" s="926"/>
      <c r="AC123" s="924">
        <v>1422636</v>
      </c>
      <c r="AD123" s="928">
        <f t="shared" si="7"/>
        <v>13153989</v>
      </c>
    </row>
    <row r="124" spans="1:33">
      <c r="A124" s="910">
        <v>120</v>
      </c>
      <c r="B124" s="910" t="s">
        <v>2885</v>
      </c>
      <c r="C124" s="928"/>
      <c r="D124" s="928"/>
      <c r="E124" s="928"/>
      <c r="F124" s="928"/>
      <c r="G124" s="924"/>
      <c r="H124" s="924"/>
      <c r="I124" s="899"/>
      <c r="K124" s="899"/>
      <c r="M124" s="899"/>
      <c r="O124" s="899"/>
      <c r="Q124" s="899"/>
      <c r="S124" s="899"/>
      <c r="U124" s="899"/>
      <c r="W124" s="899"/>
      <c r="Y124" s="899"/>
      <c r="Z124" s="928"/>
      <c r="AA124" s="899"/>
      <c r="AB124" s="928"/>
      <c r="AC124" s="899"/>
      <c r="AD124" s="928">
        <f t="shared" si="7"/>
        <v>0</v>
      </c>
    </row>
    <row r="125" spans="1:33">
      <c r="A125" s="910">
        <v>121</v>
      </c>
      <c r="B125" s="910" t="s">
        <v>2886</v>
      </c>
      <c r="C125" s="928"/>
      <c r="D125" s="928"/>
      <c r="E125" s="928"/>
      <c r="F125" s="928"/>
      <c r="G125" s="924">
        <f>SUM(G123:G124)</f>
        <v>1433715</v>
      </c>
      <c r="H125" s="924">
        <f>SUM(H123:H124)</f>
        <v>0</v>
      </c>
      <c r="I125" s="924">
        <f>SUM(I123:I124)</f>
        <v>1616149</v>
      </c>
      <c r="J125" s="924"/>
      <c r="K125" s="924">
        <f>SUM(K123:K124)</f>
        <v>1794729</v>
      </c>
      <c r="L125" s="924"/>
      <c r="M125" s="924">
        <f>SUM(M123:M124)</f>
        <v>1331310</v>
      </c>
      <c r="N125" s="924"/>
      <c r="O125" s="924">
        <f>SUM(O123:O124)</f>
        <v>789879</v>
      </c>
      <c r="P125" s="924"/>
      <c r="Q125" s="924">
        <f>SUM(Q123:Q124)</f>
        <v>579038</v>
      </c>
      <c r="R125" s="924"/>
      <c r="S125" s="924">
        <f>SUM(S123:S124)</f>
        <v>537168</v>
      </c>
      <c r="T125" s="924"/>
      <c r="U125" s="924">
        <f>SUM(U123:U124)</f>
        <v>564404</v>
      </c>
      <c r="V125" s="924"/>
      <c r="W125" s="924">
        <f>SUM(W123:W124)</f>
        <v>651984</v>
      </c>
      <c r="X125" s="924"/>
      <c r="Y125" s="924">
        <f>SUM(Y123:Y124)</f>
        <v>1274354</v>
      </c>
      <c r="Z125" s="926"/>
      <c r="AA125" s="924">
        <f>SUM(AA123:AA124)</f>
        <v>1158623</v>
      </c>
      <c r="AB125" s="926"/>
      <c r="AC125" s="924">
        <f>SUM(AC123:AC124)</f>
        <v>1422636</v>
      </c>
      <c r="AD125" s="928">
        <f t="shared" si="7"/>
        <v>13153989</v>
      </c>
    </row>
    <row r="126" spans="1:33" ht="14.25" customHeight="1">
      <c r="A126" s="910">
        <v>122</v>
      </c>
      <c r="B126" s="837"/>
      <c r="C126" s="928"/>
      <c r="D126" s="928"/>
      <c r="E126" s="928"/>
      <c r="F126" s="928"/>
      <c r="G126" s="928"/>
      <c r="H126" s="928"/>
      <c r="I126" s="928"/>
      <c r="J126" s="928"/>
      <c r="K126" s="928"/>
      <c r="L126" s="928"/>
      <c r="M126" s="928"/>
      <c r="N126" s="928"/>
      <c r="O126" s="928"/>
      <c r="P126" s="928"/>
      <c r="Q126" s="928"/>
      <c r="R126" s="928"/>
      <c r="S126" s="928"/>
      <c r="T126" s="928"/>
      <c r="U126" s="928"/>
      <c r="V126" s="928"/>
      <c r="W126" s="928"/>
      <c r="X126" s="928"/>
      <c r="Y126" s="928"/>
      <c r="Z126" s="928"/>
      <c r="AA126" s="928"/>
      <c r="AB126" s="928"/>
      <c r="AC126" s="928"/>
      <c r="AD126" s="928"/>
    </row>
    <row r="127" spans="1:33">
      <c r="A127" s="910">
        <v>123</v>
      </c>
      <c r="B127" s="918" t="s">
        <v>2891</v>
      </c>
    </row>
    <row r="128" spans="1:33">
      <c r="A128" s="910">
        <v>124</v>
      </c>
      <c r="B128" s="830" t="s">
        <v>2462</v>
      </c>
      <c r="C128" s="898">
        <v>125</v>
      </c>
      <c r="D128" s="898"/>
      <c r="E128" s="898"/>
      <c r="F128" s="899">
        <f>G128/$C$154</f>
        <v>75</v>
      </c>
      <c r="G128" s="898">
        <v>9375</v>
      </c>
      <c r="H128" s="899">
        <f>I128/$C$154</f>
        <v>75</v>
      </c>
      <c r="I128" s="898">
        <v>9375</v>
      </c>
      <c r="J128" s="899">
        <f>K128/$C$154</f>
        <v>77</v>
      </c>
      <c r="K128" s="921">
        <v>9625</v>
      </c>
      <c r="L128" s="899">
        <f>M128/$C$154</f>
        <v>72</v>
      </c>
      <c r="M128" s="898">
        <v>9000</v>
      </c>
      <c r="N128" s="899">
        <f>O128/$C$154</f>
        <v>73</v>
      </c>
      <c r="O128" s="898">
        <v>9125</v>
      </c>
      <c r="P128" s="899">
        <f>Q128/$C$154</f>
        <v>73</v>
      </c>
      <c r="Q128" s="898">
        <v>9125</v>
      </c>
      <c r="R128" s="899">
        <f>S128/$C$154</f>
        <v>72</v>
      </c>
      <c r="S128" s="898">
        <v>9000</v>
      </c>
      <c r="T128" s="899">
        <f>U128/$C$154</f>
        <v>75</v>
      </c>
      <c r="U128" s="898">
        <v>9375</v>
      </c>
      <c r="V128" s="899">
        <f>W128/$C$154</f>
        <v>75</v>
      </c>
      <c r="W128" s="898">
        <v>9375</v>
      </c>
      <c r="X128" s="899">
        <f>Y128/$C$154</f>
        <v>75</v>
      </c>
      <c r="Y128" s="898">
        <v>9375</v>
      </c>
      <c r="Z128" s="899">
        <f>AA128/$C$154</f>
        <v>76</v>
      </c>
      <c r="AA128" s="898">
        <v>9500</v>
      </c>
      <c r="AB128" s="899">
        <f>AC128/$C$154</f>
        <v>75</v>
      </c>
      <c r="AC128" s="898">
        <v>9375</v>
      </c>
      <c r="AD128" s="898">
        <f>SUM(G128,I128,K128,M128,O128,Q128,S128,U128,W128,Y128,AA128,AC128)</f>
        <v>111625</v>
      </c>
      <c r="AF128" s="925">
        <f>(AB128+Z128+X128+V128+T128+R128+F128+H128+P128+N128+J128+L128)/12</f>
        <v>74.416666666666671</v>
      </c>
      <c r="AG128" s="925">
        <f>AF128+AF154</f>
        <v>87.666666666666671</v>
      </c>
    </row>
    <row r="129" spans="1:33">
      <c r="A129" s="910">
        <v>125</v>
      </c>
      <c r="B129" s="830" t="s">
        <v>2688</v>
      </c>
      <c r="C129" s="934">
        <v>0.14330000000000001</v>
      </c>
      <c r="F129" s="899">
        <f>G129/$C$129</f>
        <v>956712.77041172364</v>
      </c>
      <c r="G129" s="898">
        <v>137096.94</v>
      </c>
      <c r="H129" s="899">
        <f>I129/$C$129</f>
        <v>992342.98674110253</v>
      </c>
      <c r="I129" s="898">
        <v>142202.75</v>
      </c>
      <c r="J129" s="899">
        <f>K129/$C$129</f>
        <v>1038441.8702023725</v>
      </c>
      <c r="K129" s="921">
        <v>148808.72</v>
      </c>
      <c r="L129" s="899">
        <f>M129/$C$129</f>
        <v>707224.49406838801</v>
      </c>
      <c r="M129" s="898">
        <v>101345.27</v>
      </c>
      <c r="N129" s="899">
        <f>O129/$C$129</f>
        <v>476949.82554082345</v>
      </c>
      <c r="O129" s="898">
        <v>68346.91</v>
      </c>
      <c r="P129" s="899">
        <f>Q129/$C$129</f>
        <v>342106.21074668528</v>
      </c>
      <c r="Q129" s="898">
        <v>49023.82</v>
      </c>
      <c r="R129" s="899">
        <f>S129/$C$129</f>
        <v>279030.77459874388</v>
      </c>
      <c r="S129" s="898">
        <v>39985.11</v>
      </c>
      <c r="T129" s="899">
        <f>U129/$C$129</f>
        <v>293248.08094905788</v>
      </c>
      <c r="U129" s="898">
        <v>42022.45</v>
      </c>
      <c r="V129" s="899">
        <f>W129/$C$129</f>
        <v>252242.14933705513</v>
      </c>
      <c r="W129" s="898">
        <v>36146.300000000003</v>
      </c>
      <c r="X129" s="899">
        <f>Y129/$C$129</f>
        <v>438816.88764829026</v>
      </c>
      <c r="Y129" s="898">
        <v>62882.46</v>
      </c>
      <c r="Z129" s="899">
        <f>AA129/$C$129</f>
        <v>678678.15771109553</v>
      </c>
      <c r="AA129" s="898">
        <v>97254.58</v>
      </c>
      <c r="AB129" s="899">
        <f>AC129/$C$129</f>
        <v>887875.15701325878</v>
      </c>
      <c r="AC129" s="898">
        <v>127232.51</v>
      </c>
      <c r="AD129" s="898">
        <f>SUM(G129,I129,K129,M129,O129,Q129,S129,U129,W129,Y129,AA129,AC129)</f>
        <v>1052347.8199999998</v>
      </c>
      <c r="AF129" s="923"/>
      <c r="AG129" s="923"/>
    </row>
    <row r="130" spans="1:33">
      <c r="A130" s="910">
        <v>126</v>
      </c>
      <c r="B130" s="910" t="s">
        <v>2689</v>
      </c>
      <c r="C130" s="934">
        <v>0.10983999999999999</v>
      </c>
      <c r="F130" s="899">
        <f>G130/$C$130</f>
        <v>366371.99563000735</v>
      </c>
      <c r="G130" s="898">
        <v>40242.300000000003</v>
      </c>
      <c r="H130" s="899">
        <f>I130/$C$130</f>
        <v>366846.04879825207</v>
      </c>
      <c r="I130" s="898">
        <v>40294.370000000003</v>
      </c>
      <c r="J130" s="899">
        <f>K130/$C$130</f>
        <v>408688.18281136197</v>
      </c>
      <c r="K130" s="921">
        <v>44890.31</v>
      </c>
      <c r="L130" s="899">
        <f>M130/$C$130</f>
        <v>259621.9956300073</v>
      </c>
      <c r="M130" s="898">
        <v>28516.880000000001</v>
      </c>
      <c r="N130" s="899">
        <f>O130/$C$130</f>
        <v>201408.86744355428</v>
      </c>
      <c r="O130" s="898">
        <v>22122.75</v>
      </c>
      <c r="P130" s="899">
        <f>Q130/$C$130</f>
        <v>137839.85797523672</v>
      </c>
      <c r="Q130" s="898">
        <v>15140.33</v>
      </c>
      <c r="R130" s="899">
        <f>S130/$C$130</f>
        <v>127062.09031318282</v>
      </c>
      <c r="S130" s="898">
        <v>13956.5</v>
      </c>
      <c r="T130" s="899">
        <f>U130/$C$130</f>
        <v>107677.98616168974</v>
      </c>
      <c r="U130" s="898">
        <v>11827.35</v>
      </c>
      <c r="V130" s="899">
        <f>W130/$C$130</f>
        <v>94595.957756737072</v>
      </c>
      <c r="W130" s="898">
        <v>10390.42</v>
      </c>
      <c r="X130" s="899">
        <f>Y130/$C$130</f>
        <v>212228.96941005098</v>
      </c>
      <c r="Y130" s="898">
        <v>23311.23</v>
      </c>
      <c r="Z130" s="899">
        <f>AA130/$C$130</f>
        <v>277395.02913328481</v>
      </c>
      <c r="AA130" s="898">
        <v>30469.07</v>
      </c>
      <c r="AB130" s="899">
        <f>AC130/$C$130</f>
        <v>275531.13619810634</v>
      </c>
      <c r="AC130" s="898">
        <v>30264.34</v>
      </c>
      <c r="AD130" s="898">
        <f>SUM(G130,I130,K130,M130,O130,Q130,S130,U130,W130,Y130,AA130,AC130)</f>
        <v>311425.85000000003</v>
      </c>
      <c r="AF130" s="923"/>
      <c r="AG130" s="923"/>
    </row>
    <row r="131" spans="1:33">
      <c r="A131" s="910">
        <v>127</v>
      </c>
      <c r="B131" s="830" t="s">
        <v>2889</v>
      </c>
      <c r="C131" s="934">
        <v>2.7089999999999999E-2</v>
      </c>
      <c r="F131" s="899">
        <f>G131/$C$131</f>
        <v>154555.92469545957</v>
      </c>
      <c r="G131" s="898">
        <v>4186.92</v>
      </c>
      <c r="H131" s="899">
        <f>I131/$C$131</f>
        <v>168306.01698043558</v>
      </c>
      <c r="I131" s="898">
        <v>4559.41</v>
      </c>
      <c r="J131" s="899">
        <f>K131/$C$131</f>
        <v>202976.74418604653</v>
      </c>
      <c r="K131" s="921">
        <v>5498.64</v>
      </c>
      <c r="L131" s="899">
        <f>M131/$C$131</f>
        <v>61993.35548172758</v>
      </c>
      <c r="M131" s="898">
        <v>1679.4</v>
      </c>
      <c r="N131" s="899">
        <f>O131/$C$131</f>
        <v>13846.068660022147</v>
      </c>
      <c r="O131" s="898">
        <v>375.09</v>
      </c>
      <c r="P131" s="899">
        <f>Q131/$C$131</f>
        <v>0</v>
      </c>
      <c r="R131" s="899">
        <f>S131/$C$131</f>
        <v>0</v>
      </c>
      <c r="S131" s="898">
        <v>0</v>
      </c>
      <c r="T131" s="899">
        <f>U131/$C$131</f>
        <v>0</v>
      </c>
      <c r="V131" s="899">
        <f>W131/$C$131</f>
        <v>0</v>
      </c>
      <c r="X131" s="899">
        <f>Y131/$C$131</f>
        <v>29311.923218899963</v>
      </c>
      <c r="Y131" s="898">
        <v>794.06</v>
      </c>
      <c r="Z131" s="899">
        <f>AA131/$C$131</f>
        <v>80954.964931709124</v>
      </c>
      <c r="AA131" s="922">
        <v>2193.0700000000002</v>
      </c>
      <c r="AB131" s="899">
        <f>AC131/$C$131</f>
        <v>106750.09228497601</v>
      </c>
      <c r="AC131" s="898">
        <v>2891.86</v>
      </c>
      <c r="AD131" s="898">
        <f>SUM(G131,I131,K131,M131,O131,Q131,S131,U131,W131,Y131,AA131,AC131)</f>
        <v>22178.45</v>
      </c>
    </row>
    <row r="132" spans="1:33">
      <c r="A132" s="910">
        <v>128</v>
      </c>
      <c r="B132" s="830" t="s">
        <v>2650</v>
      </c>
      <c r="C132" s="927"/>
      <c r="D132" s="927"/>
      <c r="E132" s="927"/>
      <c r="G132" s="898">
        <v>619870.4</v>
      </c>
      <c r="I132" s="898">
        <v>640784.16</v>
      </c>
      <c r="K132" s="921">
        <v>692219.9</v>
      </c>
      <c r="M132" s="898">
        <v>431598.05</v>
      </c>
      <c r="O132" s="898">
        <v>290380.03000000003</v>
      </c>
      <c r="Q132" s="898">
        <v>201337.37</v>
      </c>
      <c r="S132" s="898">
        <v>170356.00999999998</v>
      </c>
      <c r="U132" s="898">
        <v>168188.47999999998</v>
      </c>
      <c r="W132" s="898">
        <v>145498.57</v>
      </c>
      <c r="Y132" s="898">
        <v>285410.21000000002</v>
      </c>
      <c r="AA132" s="898">
        <v>435939.99</v>
      </c>
      <c r="AC132" s="898">
        <v>535932.37</v>
      </c>
      <c r="AD132" s="898">
        <f t="shared" ref="AD132:AD151" si="8">SUM(G132:AC132)</f>
        <v>4617515.54</v>
      </c>
      <c r="AF132" s="923"/>
      <c r="AG132" s="923"/>
    </row>
    <row r="133" spans="1:33">
      <c r="A133" s="910">
        <v>129</v>
      </c>
      <c r="B133" s="910" t="s">
        <v>2652</v>
      </c>
      <c r="C133" s="927"/>
      <c r="D133" s="927"/>
      <c r="E133" s="927"/>
      <c r="M133" s="898">
        <v>22218.38</v>
      </c>
      <c r="O133" s="898">
        <v>51613.84</v>
      </c>
      <c r="Q133" s="898">
        <v>36547.89</v>
      </c>
      <c r="S133" s="898">
        <v>30923.97</v>
      </c>
      <c r="U133" s="898">
        <v>27414.289999999997</v>
      </c>
      <c r="W133" s="898">
        <v>26411.720000000005</v>
      </c>
      <c r="Y133" s="898">
        <v>51809.279999999999</v>
      </c>
      <c r="AA133" s="898">
        <v>100682.39</v>
      </c>
      <c r="AC133" s="898">
        <v>171006.35</v>
      </c>
      <c r="AD133" s="898">
        <f t="shared" si="8"/>
        <v>518628.11</v>
      </c>
      <c r="AF133" s="923"/>
      <c r="AG133" s="923"/>
    </row>
    <row r="134" spans="1:33">
      <c r="A134" s="910">
        <v>130</v>
      </c>
      <c r="B134" s="830" t="s">
        <v>2653</v>
      </c>
      <c r="G134" s="898">
        <v>2121.63</v>
      </c>
      <c r="I134" s="898">
        <v>2199.6</v>
      </c>
      <c r="K134" s="921">
        <v>2376.16</v>
      </c>
      <c r="M134" s="898">
        <v>1481.53</v>
      </c>
      <c r="O134" s="898">
        <v>996.77</v>
      </c>
      <c r="Q134" s="898">
        <v>691.14</v>
      </c>
      <c r="S134" s="898">
        <v>584.76</v>
      </c>
      <c r="U134" s="898">
        <v>577.19000000000005</v>
      </c>
      <c r="W134" s="898">
        <v>499.44</v>
      </c>
      <c r="Y134" s="898">
        <v>979.74000000000012</v>
      </c>
      <c r="AA134" s="898">
        <v>1482.27</v>
      </c>
      <c r="AC134" s="898">
        <v>1791.35</v>
      </c>
      <c r="AD134" s="898">
        <f t="shared" si="8"/>
        <v>15781.58</v>
      </c>
      <c r="AF134" s="923"/>
      <c r="AG134" s="923"/>
    </row>
    <row r="135" spans="1:33">
      <c r="A135" s="910">
        <v>131</v>
      </c>
      <c r="B135" s="830" t="s">
        <v>2654</v>
      </c>
      <c r="G135" s="898">
        <v>6989.3</v>
      </c>
      <c r="I135" s="898">
        <v>7225.03</v>
      </c>
      <c r="K135" s="921">
        <v>7805.04</v>
      </c>
      <c r="M135" s="898">
        <v>4866.4000000000005</v>
      </c>
      <c r="O135" s="898">
        <v>3274.13</v>
      </c>
      <c r="Q135" s="898">
        <v>2270.14</v>
      </c>
      <c r="S135" s="898">
        <v>1920.81</v>
      </c>
      <c r="U135" s="898">
        <v>1896.4</v>
      </c>
      <c r="W135" s="898">
        <v>1640.55</v>
      </c>
      <c r="Y135" s="898">
        <v>3218.0899999999997</v>
      </c>
      <c r="AA135" s="898">
        <v>5253.9</v>
      </c>
      <c r="AC135" s="898">
        <v>7200.9</v>
      </c>
      <c r="AD135" s="898">
        <f t="shared" si="8"/>
        <v>53560.69</v>
      </c>
      <c r="AF135" s="923"/>
      <c r="AG135" s="923"/>
    </row>
    <row r="136" spans="1:33">
      <c r="A136" s="910">
        <v>132</v>
      </c>
      <c r="B136" s="830" t="s">
        <v>2655</v>
      </c>
      <c r="G136" s="898">
        <v>-74886.84</v>
      </c>
      <c r="I136" s="898">
        <v>-77413.400000000009</v>
      </c>
      <c r="K136" s="921">
        <v>-83627.39</v>
      </c>
      <c r="M136" s="898">
        <v>-52141.57</v>
      </c>
      <c r="O136" s="898">
        <v>-35080.950000000004</v>
      </c>
      <c r="Q136" s="898">
        <v>-24323.67</v>
      </c>
      <c r="S136" s="898">
        <v>-20580.789999999997</v>
      </c>
      <c r="U136" s="898">
        <v>-20318.920000000002</v>
      </c>
      <c r="W136" s="898">
        <v>-17577.73</v>
      </c>
      <c r="Y136" s="898">
        <v>-34480.579999999987</v>
      </c>
      <c r="AA136" s="898">
        <v>-41125.78</v>
      </c>
      <c r="AC136" s="898">
        <v>-25264.1</v>
      </c>
      <c r="AD136" s="898">
        <f t="shared" si="8"/>
        <v>-506821.72</v>
      </c>
      <c r="AF136" s="923"/>
      <c r="AG136" s="923"/>
    </row>
    <row r="137" spans="1:33">
      <c r="A137" s="910">
        <v>133</v>
      </c>
      <c r="B137" s="830" t="s">
        <v>2656</v>
      </c>
      <c r="G137" s="898">
        <v>11436.95</v>
      </c>
      <c r="I137" s="898">
        <v>11822.82</v>
      </c>
      <c r="K137" s="921">
        <v>12771.75</v>
      </c>
      <c r="M137" s="898">
        <v>7963.2</v>
      </c>
      <c r="O137" s="898">
        <v>5357.68</v>
      </c>
      <c r="Q137" s="898">
        <v>3714.79</v>
      </c>
      <c r="S137" s="898">
        <v>3143.18</v>
      </c>
      <c r="U137" s="898">
        <v>3103.1400000000003</v>
      </c>
      <c r="W137" s="898">
        <v>2684.5299999999997</v>
      </c>
      <c r="Y137" s="898">
        <v>5265.99</v>
      </c>
      <c r="AA137" s="898">
        <v>5185.420000000001</v>
      </c>
      <c r="AC137" s="898">
        <v>110.68</v>
      </c>
      <c r="AD137" s="898">
        <f t="shared" si="8"/>
        <v>72560.12999999999</v>
      </c>
      <c r="AF137" s="923"/>
      <c r="AG137" s="923"/>
    </row>
    <row r="138" spans="1:33">
      <c r="A138" s="910">
        <v>134</v>
      </c>
      <c r="B138" s="830" t="s">
        <v>2657</v>
      </c>
      <c r="G138" s="898">
        <v>40694.230000000003</v>
      </c>
      <c r="I138" s="898">
        <v>42067.199999999997</v>
      </c>
      <c r="K138" s="921">
        <v>45443.97</v>
      </c>
      <c r="M138" s="898">
        <v>28334.25</v>
      </c>
      <c r="O138" s="898">
        <v>19063.32</v>
      </c>
      <c r="Q138" s="898">
        <v>13217.7</v>
      </c>
      <c r="S138" s="898">
        <v>11183.75</v>
      </c>
      <c r="U138" s="898">
        <v>11041.529999999999</v>
      </c>
      <c r="W138" s="898">
        <v>9551.93</v>
      </c>
      <c r="Y138" s="898">
        <v>18737.030000000002</v>
      </c>
      <c r="AA138" s="898">
        <v>28104.620000000003</v>
      </c>
      <c r="AC138" s="898">
        <v>33422.800000000003</v>
      </c>
      <c r="AD138" s="898">
        <f t="shared" si="8"/>
        <v>300862.33</v>
      </c>
      <c r="AF138" s="923"/>
      <c r="AG138" s="923"/>
    </row>
    <row r="139" spans="1:33">
      <c r="A139" s="910">
        <v>135</v>
      </c>
      <c r="B139" s="895" t="s">
        <v>2658</v>
      </c>
      <c r="G139" s="898">
        <v>-4226</v>
      </c>
      <c r="I139" s="898">
        <v>-4368.6400000000003</v>
      </c>
      <c r="K139" s="921">
        <v>-4719.28</v>
      </c>
      <c r="M139" s="898">
        <v>-2942.52</v>
      </c>
      <c r="O139" s="898">
        <v>-1979.68</v>
      </c>
      <c r="Q139" s="898">
        <v>-1372.67</v>
      </c>
      <c r="S139" s="898">
        <v>-1161.4299999999998</v>
      </c>
      <c r="U139" s="898">
        <v>-1146.6600000000001</v>
      </c>
      <c r="W139" s="898">
        <v>-991.93999999999994</v>
      </c>
      <c r="Y139" s="898">
        <v>-1945.8400000000001</v>
      </c>
      <c r="AA139" s="898">
        <v>-3094.3799999999997</v>
      </c>
      <c r="AC139" s="898">
        <v>-4072.21</v>
      </c>
      <c r="AD139" s="898">
        <f t="shared" si="8"/>
        <v>-32021.25</v>
      </c>
      <c r="AF139" s="923"/>
      <c r="AG139" s="923"/>
    </row>
    <row r="140" spans="1:33">
      <c r="A140" s="910">
        <v>136</v>
      </c>
      <c r="B140" s="895" t="s">
        <v>2659</v>
      </c>
      <c r="G140" s="898">
        <v>-1965.29</v>
      </c>
      <c r="I140" s="898">
        <v>-2031.59</v>
      </c>
      <c r="K140" s="921">
        <v>-2194.63</v>
      </c>
      <c r="M140" s="898">
        <v>-1368.4</v>
      </c>
      <c r="O140" s="898">
        <v>-920.66</v>
      </c>
      <c r="Q140" s="898">
        <v>-638.35</v>
      </c>
      <c r="S140" s="898">
        <v>-540.12</v>
      </c>
      <c r="U140" s="898">
        <v>-533.22</v>
      </c>
      <c r="W140" s="898">
        <v>-461.28</v>
      </c>
      <c r="Y140" s="898">
        <v>-904.8599999999999</v>
      </c>
      <c r="AA140" s="898">
        <v>-1330.47</v>
      </c>
      <c r="AC140" s="898">
        <v>-1522.31</v>
      </c>
      <c r="AD140" s="898">
        <f t="shared" si="8"/>
        <v>-14411.18</v>
      </c>
      <c r="AF140" s="923"/>
      <c r="AG140" s="923"/>
    </row>
    <row r="141" spans="1:33">
      <c r="A141" s="910">
        <v>137</v>
      </c>
      <c r="B141" s="895" t="s">
        <v>2660</v>
      </c>
      <c r="G141" s="898">
        <v>-3590.67</v>
      </c>
      <c r="I141" s="898">
        <v>-3711.81</v>
      </c>
      <c r="K141" s="921">
        <v>-4009.76</v>
      </c>
      <c r="M141" s="898">
        <v>-2500.04</v>
      </c>
      <c r="O141" s="898">
        <v>-1682.09</v>
      </c>
      <c r="Q141" s="898">
        <v>-1166.27</v>
      </c>
      <c r="S141" s="898">
        <v>-986.81</v>
      </c>
      <c r="U141" s="898">
        <v>-974.28000000000009</v>
      </c>
      <c r="W141" s="898">
        <v>-842.8</v>
      </c>
      <c r="Y141" s="898">
        <v>-1653.2800000000002</v>
      </c>
      <c r="AA141" s="898">
        <v>-1627.94</v>
      </c>
      <c r="AC141" s="898">
        <v>-34.739999999999995</v>
      </c>
      <c r="AD141" s="898">
        <f t="shared" si="8"/>
        <v>-22780.489999999998</v>
      </c>
      <c r="AF141" s="923"/>
      <c r="AG141" s="923"/>
    </row>
    <row r="142" spans="1:33">
      <c r="A142" s="910">
        <v>138</v>
      </c>
      <c r="B142" s="830" t="s">
        <v>2661</v>
      </c>
      <c r="G142" s="898">
        <v>33758.379999999997</v>
      </c>
      <c r="I142" s="898">
        <v>35631.51</v>
      </c>
      <c r="K142" s="921">
        <v>37454.75</v>
      </c>
      <c r="M142" s="898">
        <v>24677.83</v>
      </c>
      <c r="O142" s="898">
        <v>17383.510000000002</v>
      </c>
      <c r="Q142" s="898">
        <v>11771.28</v>
      </c>
      <c r="S142" s="898">
        <v>10264.120000000001</v>
      </c>
      <c r="U142" s="898">
        <v>10971.869999999999</v>
      </c>
      <c r="W142" s="898">
        <v>9078.9699999999993</v>
      </c>
      <c r="Y142" s="898">
        <v>17131.87</v>
      </c>
      <c r="AA142" s="898">
        <v>29018.02</v>
      </c>
      <c r="AC142" s="898">
        <v>42970.76</v>
      </c>
      <c r="AD142" s="898">
        <f t="shared" si="8"/>
        <v>280112.87</v>
      </c>
      <c r="AF142" s="923"/>
      <c r="AG142" s="923"/>
    </row>
    <row r="143" spans="1:33">
      <c r="A143" s="910">
        <v>139</v>
      </c>
      <c r="B143" s="830" t="s">
        <v>2676</v>
      </c>
      <c r="G143" s="898">
        <v>790.77</v>
      </c>
      <c r="I143" s="898">
        <v>643.72</v>
      </c>
      <c r="K143" s="921">
        <v>1170.42</v>
      </c>
      <c r="M143" s="910">
        <v>422.61</v>
      </c>
      <c r="O143" s="898">
        <v>303.99</v>
      </c>
      <c r="Q143" s="898">
        <v>112.84</v>
      </c>
      <c r="S143" s="898">
        <v>0</v>
      </c>
      <c r="AD143" s="898">
        <f t="shared" si="8"/>
        <v>3444.3500000000004</v>
      </c>
    </row>
    <row r="144" spans="1:33">
      <c r="A144" s="910">
        <v>140</v>
      </c>
      <c r="B144" s="830" t="s">
        <v>2665</v>
      </c>
      <c r="O144" s="910"/>
      <c r="S144" s="898">
        <v>0</v>
      </c>
      <c r="AD144" s="898">
        <f t="shared" si="8"/>
        <v>0</v>
      </c>
      <c r="AF144" s="923"/>
    </row>
    <row r="145" spans="1:33">
      <c r="A145" s="910">
        <v>141</v>
      </c>
      <c r="B145" s="830" t="s">
        <v>2677</v>
      </c>
      <c r="C145" s="927"/>
      <c r="D145" s="927"/>
      <c r="E145" s="927"/>
      <c r="O145" s="910"/>
      <c r="S145" s="898">
        <v>0</v>
      </c>
      <c r="U145" s="898">
        <v>0</v>
      </c>
      <c r="AD145" s="898">
        <f t="shared" si="8"/>
        <v>0</v>
      </c>
    </row>
    <row r="146" spans="1:33">
      <c r="A146" s="910">
        <v>142</v>
      </c>
      <c r="B146" s="830" t="s">
        <v>2662</v>
      </c>
      <c r="C146" s="927"/>
      <c r="D146" s="927"/>
      <c r="E146" s="927"/>
      <c r="G146" s="898">
        <v>1432.77</v>
      </c>
      <c r="I146" s="898">
        <v>1515.09</v>
      </c>
      <c r="K146" s="921">
        <v>1842.35</v>
      </c>
      <c r="M146" s="898">
        <v>1362.26</v>
      </c>
      <c r="O146" s="898">
        <v>884.02</v>
      </c>
      <c r="Q146" s="898">
        <v>587.6</v>
      </c>
      <c r="S146" s="898">
        <v>490.62</v>
      </c>
      <c r="AD146" s="898">
        <f t="shared" si="8"/>
        <v>8114.71</v>
      </c>
      <c r="AG146" s="923"/>
    </row>
    <row r="147" spans="1:33">
      <c r="A147" s="910">
        <v>143</v>
      </c>
      <c r="B147" s="830" t="s">
        <v>2664</v>
      </c>
      <c r="C147" s="927"/>
      <c r="D147" s="927"/>
      <c r="E147" s="927"/>
      <c r="G147" s="898">
        <v>-1123.75</v>
      </c>
      <c r="I147" s="898">
        <v>-1194.5899999999999</v>
      </c>
      <c r="K147" s="921">
        <v>-906.2</v>
      </c>
      <c r="M147" s="910">
        <v>-1070.07</v>
      </c>
      <c r="O147" s="898">
        <v>-1151.4100000000001</v>
      </c>
      <c r="Q147" s="898">
        <v>-1082.42</v>
      </c>
      <c r="S147" s="898">
        <v>-980.79000000000008</v>
      </c>
      <c r="U147" s="898">
        <v>-1201.77</v>
      </c>
      <c r="W147" s="898">
        <v>-1015.94</v>
      </c>
      <c r="Y147" s="898">
        <v>-1326.39</v>
      </c>
      <c r="AA147" s="898">
        <v>-2310.94</v>
      </c>
      <c r="AC147" s="898">
        <v>-1722.35</v>
      </c>
      <c r="AD147" s="898">
        <f t="shared" si="8"/>
        <v>-15086.62</v>
      </c>
      <c r="AG147" s="923"/>
    </row>
    <row r="148" spans="1:33">
      <c r="A148" s="910">
        <v>144</v>
      </c>
      <c r="B148" s="830" t="s">
        <v>2884</v>
      </c>
      <c r="C148" s="927"/>
      <c r="D148" s="927"/>
      <c r="E148" s="927"/>
      <c r="G148" s="898">
        <f>SUM(G128:G147)</f>
        <v>822203.04</v>
      </c>
      <c r="H148" s="898"/>
      <c r="I148" s="898">
        <f>SUM(I128:I147)</f>
        <v>849600.62999999989</v>
      </c>
      <c r="J148" s="898"/>
      <c r="K148" s="898">
        <f>SUM(K128:K147)</f>
        <v>914449.75000000012</v>
      </c>
      <c r="L148" s="898"/>
      <c r="M148" s="898">
        <f>SUM(M128:M147)</f>
        <v>603443.46</v>
      </c>
      <c r="N148" s="898"/>
      <c r="O148" s="898">
        <f>SUM(O128:O147)</f>
        <v>448412.25000000006</v>
      </c>
      <c r="P148" s="898"/>
      <c r="Q148" s="898">
        <f>SUM(Q128:Q147)</f>
        <v>314956.52000000014</v>
      </c>
      <c r="R148" s="898"/>
      <c r="S148" s="898">
        <f>SUM(S128:S147)</f>
        <v>267558.89</v>
      </c>
      <c r="T148" s="898"/>
      <c r="U148" s="898">
        <f>SUM(U128:U147)</f>
        <v>262242.84999999998</v>
      </c>
      <c r="V148" s="898"/>
      <c r="W148" s="898">
        <f>SUM(W128:W147)</f>
        <v>230387.74</v>
      </c>
      <c r="X148" s="898"/>
      <c r="Y148" s="898">
        <f>SUM(Y128:Y147)</f>
        <v>438604.00999999995</v>
      </c>
      <c r="Z148" s="898"/>
      <c r="AA148" s="898">
        <f>SUM(AA128:AA147)</f>
        <v>695593.82000000018</v>
      </c>
      <c r="AB148" s="898"/>
      <c r="AC148" s="898">
        <f>SUM(AC128:AC147)</f>
        <v>929583.21000000008</v>
      </c>
      <c r="AD148" s="898">
        <f t="shared" si="8"/>
        <v>6777036.1699999999</v>
      </c>
    </row>
    <row r="149" spans="1:33">
      <c r="A149" s="910">
        <v>145</v>
      </c>
      <c r="B149" s="830" t="s">
        <v>2514</v>
      </c>
      <c r="C149" s="928">
        <f>G151/F128</f>
        <v>19701.88</v>
      </c>
      <c r="D149" s="928"/>
      <c r="E149" s="928"/>
      <c r="F149" s="928"/>
      <c r="G149" s="937">
        <v>1477641</v>
      </c>
      <c r="H149" s="926"/>
      <c r="I149" s="924">
        <v>1527495</v>
      </c>
      <c r="J149" s="926"/>
      <c r="K149" s="899">
        <v>1650107</v>
      </c>
      <c r="L149" s="928"/>
      <c r="M149" s="924">
        <v>1028839</v>
      </c>
      <c r="N149" s="926"/>
      <c r="O149" s="924">
        <v>692205</v>
      </c>
      <c r="P149" s="926"/>
      <c r="Q149" s="924">
        <v>479946</v>
      </c>
      <c r="R149" s="924"/>
      <c r="S149" s="924">
        <v>406093</v>
      </c>
      <c r="T149" s="924"/>
      <c r="U149" s="924">
        <v>400926</v>
      </c>
      <c r="V149" s="926"/>
      <c r="W149" s="899">
        <v>346838</v>
      </c>
      <c r="X149" s="928"/>
      <c r="Y149" s="924">
        <v>680358</v>
      </c>
      <c r="Z149" s="926"/>
      <c r="AA149" s="924">
        <v>1037028</v>
      </c>
      <c r="AB149" s="926"/>
      <c r="AC149" s="924">
        <v>1270156</v>
      </c>
      <c r="AD149" s="898">
        <f t="shared" si="8"/>
        <v>10997632</v>
      </c>
      <c r="AF149" s="938"/>
    </row>
    <row r="150" spans="1:33">
      <c r="A150" s="910">
        <v>146</v>
      </c>
      <c r="B150" s="910" t="s">
        <v>2885</v>
      </c>
      <c r="C150" s="928"/>
      <c r="D150" s="928"/>
      <c r="E150" s="928"/>
      <c r="F150" s="928"/>
      <c r="G150" s="928"/>
      <c r="H150" s="928"/>
      <c r="I150" s="928"/>
      <c r="J150" s="928"/>
      <c r="K150" s="928"/>
      <c r="L150" s="928"/>
      <c r="M150" s="928"/>
      <c r="N150" s="928"/>
      <c r="O150" s="928"/>
      <c r="P150" s="928"/>
      <c r="Q150" s="899"/>
      <c r="S150" s="899"/>
      <c r="U150" s="899"/>
      <c r="V150" s="928"/>
      <c r="W150" s="899"/>
      <c r="X150" s="928"/>
      <c r="Y150" s="899"/>
      <c r="Z150" s="928"/>
      <c r="AA150" s="899"/>
      <c r="AB150" s="928"/>
      <c r="AC150" s="899"/>
      <c r="AD150" s="928">
        <f t="shared" si="8"/>
        <v>0</v>
      </c>
    </row>
    <row r="151" spans="1:33">
      <c r="A151" s="910">
        <v>147</v>
      </c>
      <c r="B151" s="910" t="s">
        <v>2886</v>
      </c>
      <c r="C151" s="928"/>
      <c r="D151" s="928"/>
      <c r="E151" s="928"/>
      <c r="F151" s="928"/>
      <c r="G151" s="924">
        <f>SUM(G149:G150)</f>
        <v>1477641</v>
      </c>
      <c r="H151" s="926">
        <f>SUM(H149:H150)</f>
        <v>0</v>
      </c>
      <c r="I151" s="924">
        <f>SUM(I149:I150)</f>
        <v>1527495</v>
      </c>
      <c r="J151" s="926"/>
      <c r="K151" s="924">
        <f>SUM(K149:K150)</f>
        <v>1650107</v>
      </c>
      <c r="L151" s="926"/>
      <c r="M151" s="924">
        <f>SUM(M149:M150)</f>
        <v>1028839</v>
      </c>
      <c r="N151" s="926"/>
      <c r="O151" s="924">
        <f>SUM(O149:O150)</f>
        <v>692205</v>
      </c>
      <c r="P151" s="926"/>
      <c r="Q151" s="924">
        <f>SUM(Q149:Q150)</f>
        <v>479946</v>
      </c>
      <c r="R151" s="924"/>
      <c r="S151" s="924">
        <f>SUM(S149:S150)</f>
        <v>406093</v>
      </c>
      <c r="T151" s="924"/>
      <c r="U151" s="924">
        <f>SUM(U149:U150)</f>
        <v>400926</v>
      </c>
      <c r="V151" s="926"/>
      <c r="W151" s="924">
        <f>SUM(W149:W150)</f>
        <v>346838</v>
      </c>
      <c r="X151" s="926"/>
      <c r="Y151" s="924">
        <f>SUM(Y149:Y150)</f>
        <v>680358</v>
      </c>
      <c r="Z151" s="926"/>
      <c r="AA151" s="924">
        <f>SUM(AA149:AA150)</f>
        <v>1037028</v>
      </c>
      <c r="AB151" s="926"/>
      <c r="AC151" s="924">
        <f>SUM(AC149:AC150)</f>
        <v>1270156</v>
      </c>
      <c r="AD151" s="928">
        <f t="shared" si="8"/>
        <v>10997632</v>
      </c>
      <c r="AF151" s="938"/>
    </row>
    <row r="152" spans="1:33">
      <c r="A152" s="910">
        <v>148</v>
      </c>
      <c r="B152" s="830"/>
    </row>
    <row r="153" spans="1:33">
      <c r="A153" s="910">
        <v>149</v>
      </c>
      <c r="B153" s="918" t="s">
        <v>2892</v>
      </c>
    </row>
    <row r="154" spans="1:33">
      <c r="A154" s="910">
        <v>150</v>
      </c>
      <c r="B154" s="830" t="s">
        <v>2462</v>
      </c>
      <c r="C154" s="898">
        <v>125</v>
      </c>
      <c r="D154" s="898"/>
      <c r="E154" s="898"/>
      <c r="F154" s="899">
        <f>G154/$C$154</f>
        <v>13</v>
      </c>
      <c r="G154" s="898">
        <v>1625</v>
      </c>
      <c r="H154" s="899">
        <f>I154/$C$154</f>
        <v>13</v>
      </c>
      <c r="I154" s="898">
        <v>1625</v>
      </c>
      <c r="J154" s="899">
        <f>K154/$C$154</f>
        <v>13</v>
      </c>
      <c r="K154" s="921">
        <v>1625</v>
      </c>
      <c r="L154" s="899">
        <f>M154/$C$154</f>
        <v>13</v>
      </c>
      <c r="M154" s="898">
        <v>1625</v>
      </c>
      <c r="N154" s="899">
        <f>O154/$C$154</f>
        <v>11</v>
      </c>
      <c r="O154" s="898">
        <v>1375</v>
      </c>
      <c r="P154" s="899">
        <f>Q154/$C$154</f>
        <v>11</v>
      </c>
      <c r="Q154" s="898">
        <v>1375</v>
      </c>
      <c r="R154" s="899">
        <f>S154/$C$154</f>
        <v>13</v>
      </c>
      <c r="S154" s="898">
        <v>1625</v>
      </c>
      <c r="T154" s="899">
        <f>U154/$C$154</f>
        <v>14</v>
      </c>
      <c r="U154" s="898">
        <v>1750</v>
      </c>
      <c r="V154" s="899">
        <f>W154/$C$154</f>
        <v>14</v>
      </c>
      <c r="W154" s="898">
        <v>1750</v>
      </c>
      <c r="X154" s="899">
        <f>Y154/$C$154</f>
        <v>14</v>
      </c>
      <c r="Y154" s="898">
        <v>1750</v>
      </c>
      <c r="Z154" s="899">
        <f>AA154/$C$154</f>
        <v>15</v>
      </c>
      <c r="AA154" s="898">
        <v>1875</v>
      </c>
      <c r="AB154" s="899">
        <f>AC154/$C$154</f>
        <v>15</v>
      </c>
      <c r="AC154" s="898">
        <v>1875</v>
      </c>
      <c r="AD154" s="898">
        <f>SUM(G154,I154,K154,M154,O154,Q154,S154,U154,W154,Y154,AA154,AC154)</f>
        <v>19875</v>
      </c>
      <c r="AF154" s="925">
        <f>(AB154+Z154+X154+V154+T154+R154+F154+H154+P154+N154+J154+L154)/12</f>
        <v>13.25</v>
      </c>
      <c r="AG154" s="923"/>
    </row>
    <row r="155" spans="1:33">
      <c r="A155" s="910">
        <v>151</v>
      </c>
      <c r="B155" s="830" t="s">
        <v>2688</v>
      </c>
      <c r="C155" s="934">
        <v>0.14330000000000001</v>
      </c>
      <c r="F155" s="899">
        <f>G155/$C$155</f>
        <v>170333.00767620376</v>
      </c>
      <c r="G155" s="898">
        <v>24408.720000000001</v>
      </c>
      <c r="H155" s="899">
        <f>I155/$C$155</f>
        <v>169902.93091416606</v>
      </c>
      <c r="I155" s="898">
        <v>24347.09</v>
      </c>
      <c r="J155" s="899">
        <f>K155/$C$155</f>
        <v>181763.01465457081</v>
      </c>
      <c r="K155" s="921">
        <v>26046.639999999999</v>
      </c>
      <c r="L155" s="899">
        <f>M155/$C$155</f>
        <v>151551.15143056522</v>
      </c>
      <c r="M155" s="898">
        <v>21717.279999999999</v>
      </c>
      <c r="N155" s="899">
        <f>O155/$C$155</f>
        <v>117090.02093510117</v>
      </c>
      <c r="O155" s="898">
        <v>16779</v>
      </c>
      <c r="P155" s="899">
        <f>Q155/$C$155</f>
        <v>105312.07257501743</v>
      </c>
      <c r="Q155" s="898">
        <v>15091.22</v>
      </c>
      <c r="R155" s="899">
        <f>S155/$C$155</f>
        <v>125141.03279832518</v>
      </c>
      <c r="S155" s="898">
        <v>17932.71</v>
      </c>
      <c r="T155" s="899">
        <f>U155/$C$155</f>
        <v>126370.96999302162</v>
      </c>
      <c r="U155" s="898">
        <v>18108.96</v>
      </c>
      <c r="V155" s="899">
        <f>W155/$C$155</f>
        <v>127059.03698534543</v>
      </c>
      <c r="W155" s="898">
        <v>18207.560000000001</v>
      </c>
      <c r="X155" s="899">
        <f>Y155/$C$155</f>
        <v>186718.91137473829</v>
      </c>
      <c r="Y155" s="898">
        <v>26756.82</v>
      </c>
      <c r="Z155" s="899">
        <f>AA155/$C$155</f>
        <v>186851.98883461268</v>
      </c>
      <c r="AA155" s="898">
        <v>26775.89</v>
      </c>
      <c r="AB155" s="899">
        <f>AC155/$C$155</f>
        <v>194349.05792044662</v>
      </c>
      <c r="AC155" s="898">
        <v>27850.22</v>
      </c>
      <c r="AD155" s="898">
        <f>SUM(G155,I155,K155,M155,O155,Q155,S155,U155,W155,Y155,AA155,AC155)</f>
        <v>264022.11</v>
      </c>
      <c r="AF155" s="923"/>
      <c r="AG155" s="923"/>
    </row>
    <row r="156" spans="1:33">
      <c r="A156" s="910">
        <v>152</v>
      </c>
      <c r="B156" s="910" t="s">
        <v>2689</v>
      </c>
      <c r="C156" s="934">
        <v>0.10983999999999999</v>
      </c>
      <c r="F156" s="899">
        <f>G156/$C$156</f>
        <v>160621.9956300073</v>
      </c>
      <c r="G156" s="898">
        <v>17642.72</v>
      </c>
      <c r="H156" s="899">
        <f>I156/$C$156</f>
        <v>156063.09176984706</v>
      </c>
      <c r="I156" s="898">
        <v>17141.97</v>
      </c>
      <c r="J156" s="899">
        <f>K156/$C$156</f>
        <v>162684.99635833941</v>
      </c>
      <c r="K156" s="921">
        <v>17869.32</v>
      </c>
      <c r="L156" s="899">
        <f>M156/$C$156</f>
        <v>171877.09395484341</v>
      </c>
      <c r="M156" s="898">
        <v>18878.98</v>
      </c>
      <c r="N156" s="899">
        <f>O156/$C$156</f>
        <v>141005.0072833212</v>
      </c>
      <c r="O156" s="898">
        <v>15487.99</v>
      </c>
      <c r="P156" s="899">
        <f>Q156/$C$156</f>
        <v>132192.91697013838</v>
      </c>
      <c r="Q156" s="898">
        <v>14520.07</v>
      </c>
      <c r="R156" s="899">
        <f>S156/$C$156</f>
        <v>130775.03641660597</v>
      </c>
      <c r="S156" s="898">
        <v>14364.33</v>
      </c>
      <c r="T156" s="899">
        <f>U156/$C$156</f>
        <v>168407.04661325566</v>
      </c>
      <c r="U156" s="898">
        <v>18497.830000000002</v>
      </c>
      <c r="V156" s="899">
        <f>W156/$C$156</f>
        <v>158643.93663510564</v>
      </c>
      <c r="W156" s="898">
        <v>17425.45</v>
      </c>
      <c r="X156" s="899">
        <f>Y156/$C$156</f>
        <v>202040.87764020392</v>
      </c>
      <c r="Y156" s="898">
        <v>22192.17</v>
      </c>
      <c r="Z156" s="899">
        <f>AA156/$C$156</f>
        <v>224683.99490167518</v>
      </c>
      <c r="AA156" s="898">
        <v>24679.29</v>
      </c>
      <c r="AB156" s="899">
        <f>AC156/$C$156</f>
        <v>150108.06627822286</v>
      </c>
      <c r="AC156" s="898">
        <v>16487.87</v>
      </c>
      <c r="AD156" s="898">
        <f>SUM(G156,I156,K156,M156,O156,Q156,S156,U156,W156,Y156,AA156,AC156)</f>
        <v>215187.99000000002</v>
      </c>
      <c r="AF156" s="923"/>
      <c r="AG156" s="923"/>
    </row>
    <row r="157" spans="1:33">
      <c r="A157" s="910">
        <v>153</v>
      </c>
      <c r="B157" s="830" t="s">
        <v>2889</v>
      </c>
      <c r="C157" s="934">
        <v>2.7089999999999999E-2</v>
      </c>
      <c r="F157" s="899">
        <f>G157/$C$157</f>
        <v>0</v>
      </c>
      <c r="H157" s="899">
        <f>I157/$C$157</f>
        <v>0</v>
      </c>
      <c r="J157" s="899">
        <f>K157/$C$157</f>
        <v>0</v>
      </c>
      <c r="K157" s="910"/>
      <c r="L157" s="899">
        <f>M157/$C$157</f>
        <v>15620.893318567738</v>
      </c>
      <c r="M157" s="898">
        <v>423.17</v>
      </c>
      <c r="N157" s="899">
        <f>O157/$C$157</f>
        <v>9565.1531930601705</v>
      </c>
      <c r="O157" s="898">
        <v>259.12</v>
      </c>
      <c r="P157" s="899">
        <f>Q157/$C$157</f>
        <v>37534.883720930236</v>
      </c>
      <c r="Q157" s="898">
        <v>1016.82</v>
      </c>
      <c r="R157" s="899">
        <f>S157/$C$157</f>
        <v>59310.815799187891</v>
      </c>
      <c r="S157" s="898">
        <v>1606.73</v>
      </c>
      <c r="T157" s="899">
        <f>U157/$C$157</f>
        <v>56877.07641196013</v>
      </c>
      <c r="U157" s="898">
        <v>1540.8</v>
      </c>
      <c r="V157" s="899">
        <f>W157/$C$157</f>
        <v>35145.07198228129</v>
      </c>
      <c r="W157" s="898">
        <v>952.08</v>
      </c>
      <c r="X157" s="899">
        <f>Y157/$C$157</f>
        <v>45427.094868955333</v>
      </c>
      <c r="Y157" s="898">
        <v>1230.6199999999999</v>
      </c>
      <c r="Z157" s="899">
        <f>AA157/$C$157</f>
        <v>75543.004798818758</v>
      </c>
      <c r="AA157" s="922">
        <v>2046.46</v>
      </c>
      <c r="AB157" s="899">
        <f>AC157/$C$157</f>
        <v>30410.114433370247</v>
      </c>
      <c r="AC157" s="898">
        <v>823.81</v>
      </c>
      <c r="AD157" s="898">
        <f>SUM(G157,I157,K157,M157,O157,Q157,S157,U157,W157,Y157,AA157,AC157)</f>
        <v>9899.6099999999988</v>
      </c>
    </row>
    <row r="158" spans="1:33">
      <c r="A158" s="910">
        <v>154</v>
      </c>
      <c r="B158" s="830" t="s">
        <v>2650</v>
      </c>
      <c r="C158" s="927"/>
      <c r="D158" s="927"/>
      <c r="E158" s="927"/>
      <c r="G158" s="898">
        <v>138835.64000000001</v>
      </c>
      <c r="I158" s="898">
        <v>136742.73000000001</v>
      </c>
      <c r="K158" s="921">
        <v>144495.94</v>
      </c>
      <c r="M158" s="898">
        <v>142231.06</v>
      </c>
      <c r="O158" s="898">
        <v>112283.37</v>
      </c>
      <c r="Q158" s="898">
        <v>115379.28</v>
      </c>
      <c r="S158" s="898">
        <v>132237.72000000003</v>
      </c>
      <c r="U158" s="898">
        <v>147519.26999999999</v>
      </c>
      <c r="W158" s="898">
        <v>134595.74</v>
      </c>
      <c r="Y158" s="898">
        <v>182141.47999999998</v>
      </c>
      <c r="AA158" s="898">
        <v>204911.89</v>
      </c>
      <c r="AC158" s="898">
        <v>158168.08000000002</v>
      </c>
      <c r="AD158" s="898">
        <f>SUM(G158:AC158)</f>
        <v>1749542.2000000002</v>
      </c>
      <c r="AF158" s="923"/>
      <c r="AG158" s="923"/>
    </row>
    <row r="159" spans="1:33">
      <c r="A159" s="910">
        <v>155</v>
      </c>
      <c r="B159" s="910" t="s">
        <v>2652</v>
      </c>
      <c r="C159" s="927"/>
      <c r="D159" s="927"/>
      <c r="E159" s="927"/>
      <c r="K159" s="910"/>
      <c r="M159" s="898">
        <v>7903.77</v>
      </c>
      <c r="O159" s="898">
        <v>19826.25</v>
      </c>
      <c r="Q159" s="898">
        <v>20944.29</v>
      </c>
      <c r="S159" s="898">
        <v>24004.520000000004</v>
      </c>
      <c r="U159" s="898">
        <v>26778.53</v>
      </c>
      <c r="W159" s="898">
        <v>24432.57</v>
      </c>
      <c r="Y159" s="898">
        <v>33063.350000000006</v>
      </c>
      <c r="AA159" s="898">
        <v>51034.21</v>
      </c>
      <c r="AC159" s="898">
        <v>50371.040000000001</v>
      </c>
      <c r="AD159" s="898">
        <f t="shared" ref="AD159:AD177" si="9">SUM(G159:AC159)</f>
        <v>258358.53</v>
      </c>
      <c r="AF159" s="923"/>
      <c r="AG159" s="923"/>
    </row>
    <row r="160" spans="1:33">
      <c r="A160" s="910">
        <v>156</v>
      </c>
      <c r="B160" s="830" t="s">
        <v>2653</v>
      </c>
      <c r="G160" s="898">
        <v>475.87</v>
      </c>
      <c r="I160" s="898">
        <v>469.39</v>
      </c>
      <c r="K160" s="921">
        <v>496.01</v>
      </c>
      <c r="M160" s="898">
        <v>488.23</v>
      </c>
      <c r="O160" s="898">
        <v>385.43</v>
      </c>
      <c r="Q160" s="898">
        <v>396.08000000000004</v>
      </c>
      <c r="S160" s="898">
        <v>453.92</v>
      </c>
      <c r="U160" s="898">
        <v>506.38</v>
      </c>
      <c r="W160" s="898">
        <v>462.02</v>
      </c>
      <c r="Y160" s="898">
        <v>625.22</v>
      </c>
      <c r="AA160" s="898">
        <v>694.34</v>
      </c>
      <c r="AC160" s="898">
        <v>528.74999999999989</v>
      </c>
      <c r="AD160" s="898">
        <f t="shared" si="9"/>
        <v>5981.64</v>
      </c>
      <c r="AF160" s="923"/>
      <c r="AG160" s="923"/>
    </row>
    <row r="161" spans="1:33">
      <c r="A161" s="910">
        <v>157</v>
      </c>
      <c r="B161" s="830" t="s">
        <v>2654</v>
      </c>
      <c r="G161" s="898">
        <v>1565.44</v>
      </c>
      <c r="I161" s="898">
        <v>1541.81</v>
      </c>
      <c r="K161" s="898">
        <v>1629.23</v>
      </c>
      <c r="M161" s="898">
        <v>1603.72</v>
      </c>
      <c r="O161" s="898">
        <v>1266.03</v>
      </c>
      <c r="Q161" s="898">
        <v>1300.9299999999998</v>
      </c>
      <c r="S161" s="898">
        <v>1491.0300000000002</v>
      </c>
      <c r="U161" s="898">
        <v>1663.35</v>
      </c>
      <c r="W161" s="898">
        <v>1517.62</v>
      </c>
      <c r="Y161" s="898">
        <v>2053.6999999999998</v>
      </c>
      <c r="AA161" s="898">
        <v>2527.8199999999997</v>
      </c>
      <c r="AC161" s="898">
        <v>2123.64</v>
      </c>
      <c r="AD161" s="898">
        <f t="shared" si="9"/>
        <v>20284.32</v>
      </c>
      <c r="AF161" s="923"/>
      <c r="AG161" s="923"/>
    </row>
    <row r="162" spans="1:33">
      <c r="A162" s="910">
        <v>158</v>
      </c>
      <c r="B162" s="830" t="s">
        <v>2655</v>
      </c>
      <c r="G162" s="898">
        <v>-16772.8</v>
      </c>
      <c r="I162" s="898">
        <v>-16519.95</v>
      </c>
      <c r="K162" s="921">
        <v>-17456.63</v>
      </c>
      <c r="M162" s="898">
        <v>-17182.990000000002</v>
      </c>
      <c r="O162" s="898">
        <v>-13565</v>
      </c>
      <c r="Q162" s="898">
        <v>-13939.02</v>
      </c>
      <c r="S162" s="898">
        <v>-15975.72</v>
      </c>
      <c r="U162" s="898">
        <v>-17821.87</v>
      </c>
      <c r="W162" s="898">
        <v>-16260.58</v>
      </c>
      <c r="Y162" s="898">
        <v>-22004.59</v>
      </c>
      <c r="AA162" s="898">
        <v>-17344.699999999997</v>
      </c>
      <c r="AC162" s="898">
        <v>-7508.37</v>
      </c>
      <c r="AD162" s="898">
        <f t="shared" si="9"/>
        <v>-192352.21999999997</v>
      </c>
      <c r="AF162" s="923"/>
      <c r="AG162" s="923"/>
    </row>
    <row r="163" spans="1:33">
      <c r="A163" s="910">
        <v>159</v>
      </c>
      <c r="B163" s="830" t="s">
        <v>2656</v>
      </c>
      <c r="G163" s="898">
        <v>2561.6</v>
      </c>
      <c r="I163" s="898">
        <v>2522.98</v>
      </c>
      <c r="K163" s="921">
        <v>2666.01</v>
      </c>
      <c r="M163" s="898">
        <v>2624.24</v>
      </c>
      <c r="O163" s="898">
        <v>2071.67</v>
      </c>
      <c r="Q163" s="898">
        <v>2128.81</v>
      </c>
      <c r="S163" s="898">
        <v>2439.8599999999997</v>
      </c>
      <c r="U163" s="898">
        <v>2721.8199999999997</v>
      </c>
      <c r="W163" s="898">
        <v>2483.38</v>
      </c>
      <c r="Y163" s="898">
        <v>3360.6000000000004</v>
      </c>
      <c r="AA163" s="898">
        <v>1945.5</v>
      </c>
      <c r="AC163" s="898">
        <v>45.589999999999996</v>
      </c>
      <c r="AD163" s="898">
        <f t="shared" si="9"/>
        <v>27572.06</v>
      </c>
      <c r="AF163" s="923"/>
      <c r="AG163" s="923"/>
    </row>
    <row r="164" spans="1:33">
      <c r="A164" s="910">
        <v>160</v>
      </c>
      <c r="B164" s="830" t="s">
        <v>2657</v>
      </c>
      <c r="G164" s="898">
        <v>9114.49</v>
      </c>
      <c r="I164" s="898">
        <v>8977.1</v>
      </c>
      <c r="K164" s="921">
        <v>9486.09</v>
      </c>
      <c r="M164" s="898">
        <v>9337.4</v>
      </c>
      <c r="O164" s="898">
        <v>7371.35</v>
      </c>
      <c r="Q164" s="898">
        <v>7574.6</v>
      </c>
      <c r="S164" s="898">
        <v>8681.35</v>
      </c>
      <c r="U164" s="898">
        <v>9684.58</v>
      </c>
      <c r="W164" s="898">
        <v>8836.16</v>
      </c>
      <c r="Y164" s="898">
        <v>11957.51</v>
      </c>
      <c r="AA164" s="898">
        <v>13121.880000000001</v>
      </c>
      <c r="AC164" s="898">
        <v>9866.3000000000011</v>
      </c>
      <c r="AD164" s="898">
        <f t="shared" si="9"/>
        <v>114008.81</v>
      </c>
      <c r="AF164" s="923"/>
      <c r="AG164" s="923"/>
    </row>
    <row r="165" spans="1:33">
      <c r="A165" s="910">
        <v>161</v>
      </c>
      <c r="B165" s="895" t="s">
        <v>2658</v>
      </c>
      <c r="G165" s="898">
        <v>-946.53</v>
      </c>
      <c r="I165" s="898">
        <v>-932.25</v>
      </c>
      <c r="K165" s="921">
        <v>-985.12</v>
      </c>
      <c r="M165" s="898">
        <v>-969.66</v>
      </c>
      <c r="O165" s="898">
        <v>-765.52</v>
      </c>
      <c r="Q165" s="898">
        <v>-786.61</v>
      </c>
      <c r="S165" s="898">
        <v>-901.55</v>
      </c>
      <c r="U165" s="898">
        <v>-1005.74</v>
      </c>
      <c r="W165" s="898">
        <v>-917.62</v>
      </c>
      <c r="Y165" s="898">
        <v>-1241.79</v>
      </c>
      <c r="AA165" s="898">
        <v>-1475.5800000000004</v>
      </c>
      <c r="AC165" s="898">
        <v>-1201.27</v>
      </c>
      <c r="AD165" s="898">
        <f t="shared" si="9"/>
        <v>-12129.24</v>
      </c>
      <c r="AF165" s="923"/>
      <c r="AG165" s="923"/>
    </row>
    <row r="166" spans="1:33">
      <c r="A166" s="910">
        <v>162</v>
      </c>
      <c r="B166" s="895" t="s">
        <v>2659</v>
      </c>
      <c r="G166" s="898">
        <v>-440.18</v>
      </c>
      <c r="I166" s="898">
        <v>-433.54</v>
      </c>
      <c r="K166" s="921">
        <v>-458.14</v>
      </c>
      <c r="M166" s="898">
        <v>-450.93</v>
      </c>
      <c r="O166" s="898">
        <v>-355.98</v>
      </c>
      <c r="Q166" s="898">
        <v>-365.8</v>
      </c>
      <c r="S166" s="898">
        <v>-419.24</v>
      </c>
      <c r="U166" s="898">
        <v>-467.7</v>
      </c>
      <c r="W166" s="898">
        <v>-426.71000000000004</v>
      </c>
      <c r="Y166" s="898">
        <v>-577.47</v>
      </c>
      <c r="AA166" s="898">
        <v>-616.4899999999999</v>
      </c>
      <c r="AC166" s="898">
        <v>-449.51000000000005</v>
      </c>
      <c r="AD166" s="898">
        <f t="shared" si="9"/>
        <v>-5461.6900000000005</v>
      </c>
      <c r="AF166" s="923"/>
      <c r="AG166" s="923"/>
    </row>
    <row r="167" spans="1:33">
      <c r="A167" s="910">
        <v>163</v>
      </c>
      <c r="B167" s="895" t="s">
        <v>2660</v>
      </c>
      <c r="G167" s="898">
        <v>-804.22</v>
      </c>
      <c r="I167" s="898">
        <v>-792.11</v>
      </c>
      <c r="K167" s="921">
        <v>-837.02</v>
      </c>
      <c r="M167" s="898">
        <v>-823.89</v>
      </c>
      <c r="O167" s="898">
        <v>-650.39</v>
      </c>
      <c r="Q167" s="898">
        <v>-668.33999999999992</v>
      </c>
      <c r="S167" s="898">
        <v>-766.02</v>
      </c>
      <c r="U167" s="898">
        <v>-854.50000000000011</v>
      </c>
      <c r="W167" s="898">
        <v>-779.63999999999987</v>
      </c>
      <c r="Y167" s="898">
        <v>-1055.07</v>
      </c>
      <c r="AA167" s="898">
        <v>-610.78</v>
      </c>
      <c r="AC167" s="898">
        <v>-14.319999999999999</v>
      </c>
      <c r="AD167" s="898">
        <f t="shared" si="9"/>
        <v>-8656.2999999999993</v>
      </c>
      <c r="AF167" s="923"/>
      <c r="AG167" s="923"/>
    </row>
    <row r="168" spans="1:33">
      <c r="A168" s="910">
        <v>164</v>
      </c>
      <c r="B168" s="830" t="s">
        <v>2661</v>
      </c>
      <c r="G168" s="898">
        <v>6362.1</v>
      </c>
      <c r="I168" s="898">
        <v>6122.14</v>
      </c>
      <c r="K168" s="921">
        <v>6692.77</v>
      </c>
      <c r="M168" s="910">
        <v>6861.54</v>
      </c>
      <c r="O168" s="898">
        <v>4560.57</v>
      </c>
      <c r="Q168" s="898">
        <v>3973.38</v>
      </c>
      <c r="S168" s="898">
        <v>3575.33</v>
      </c>
      <c r="U168" s="898">
        <v>4663.3499999999995</v>
      </c>
      <c r="W168" s="898">
        <v>4822.88</v>
      </c>
      <c r="Y168" s="898">
        <v>6874.05</v>
      </c>
      <c r="AA168" s="898">
        <v>12879.180000000002</v>
      </c>
      <c r="AC168" s="898">
        <v>9160.8000000000011</v>
      </c>
      <c r="AD168" s="898">
        <f t="shared" si="9"/>
        <v>76548.090000000011</v>
      </c>
      <c r="AF168" s="923"/>
      <c r="AG168" s="923"/>
    </row>
    <row r="169" spans="1:33">
      <c r="A169" s="910">
        <v>165</v>
      </c>
      <c r="B169" s="830" t="s">
        <v>2676</v>
      </c>
      <c r="G169" s="898">
        <v>119.63</v>
      </c>
      <c r="I169" s="898">
        <v>169.34</v>
      </c>
      <c r="K169" s="921">
        <v>134.6</v>
      </c>
      <c r="M169" s="910"/>
      <c r="O169" s="910"/>
      <c r="S169" s="898">
        <v>0</v>
      </c>
      <c r="AD169" s="898">
        <f t="shared" si="9"/>
        <v>423.57000000000005</v>
      </c>
    </row>
    <row r="170" spans="1:33">
      <c r="A170" s="910">
        <v>166</v>
      </c>
      <c r="B170" s="830" t="s">
        <v>2665</v>
      </c>
      <c r="G170" s="898">
        <v>470.82</v>
      </c>
      <c r="I170" s="898">
        <v>531.49</v>
      </c>
      <c r="K170" s="898">
        <v>607.12</v>
      </c>
      <c r="M170" s="898">
        <v>303.54000000000002</v>
      </c>
      <c r="O170" s="910">
        <v>231.02</v>
      </c>
      <c r="Q170" s="898">
        <v>118.6</v>
      </c>
      <c r="S170" s="898">
        <v>153.61000000000001</v>
      </c>
      <c r="U170" s="898">
        <v>130.4</v>
      </c>
      <c r="W170" s="898">
        <v>140.55000000000001</v>
      </c>
      <c r="Y170" s="898">
        <v>261.83</v>
      </c>
      <c r="AA170" s="898">
        <v>434.98</v>
      </c>
      <c r="AC170" s="898">
        <v>642.22</v>
      </c>
      <c r="AD170" s="898">
        <f t="shared" si="9"/>
        <v>4026.1800000000003</v>
      </c>
      <c r="AF170" s="923"/>
    </row>
    <row r="171" spans="1:33">
      <c r="A171" s="910">
        <v>167</v>
      </c>
      <c r="B171" s="830" t="s">
        <v>2677</v>
      </c>
      <c r="C171" s="927"/>
      <c r="D171" s="927"/>
      <c r="E171" s="927"/>
      <c r="K171" s="910"/>
      <c r="M171" s="910"/>
      <c r="O171" s="910"/>
      <c r="S171" s="898">
        <v>-268.69</v>
      </c>
      <c r="U171" s="898">
        <v>-650.2700000000001</v>
      </c>
      <c r="W171" s="898">
        <v>-6503.0699999999988</v>
      </c>
      <c r="Y171" s="898">
        <v>-13279.660000000002</v>
      </c>
      <c r="AA171" s="898">
        <v>-1620.4199999999996</v>
      </c>
      <c r="AC171" s="898">
        <v>-4533.4800000000005</v>
      </c>
      <c r="AD171" s="898">
        <f t="shared" si="9"/>
        <v>-26855.59</v>
      </c>
    </row>
    <row r="172" spans="1:33">
      <c r="A172" s="910">
        <v>168</v>
      </c>
      <c r="B172" s="830" t="s">
        <v>2662</v>
      </c>
      <c r="C172" s="927"/>
      <c r="D172" s="927"/>
      <c r="E172" s="927"/>
      <c r="K172" s="921"/>
      <c r="S172" s="898">
        <v>0</v>
      </c>
      <c r="AD172" s="898">
        <f t="shared" si="9"/>
        <v>0</v>
      </c>
      <c r="AG172" s="923"/>
    </row>
    <row r="173" spans="1:33">
      <c r="A173" s="910">
        <v>169</v>
      </c>
      <c r="B173" s="830" t="s">
        <v>2664</v>
      </c>
      <c r="C173" s="927"/>
      <c r="D173" s="927"/>
      <c r="E173" s="927"/>
      <c r="G173" s="898">
        <v>-4.82</v>
      </c>
      <c r="I173" s="898">
        <v>-5.47</v>
      </c>
      <c r="K173" s="921">
        <v>-243.33</v>
      </c>
      <c r="M173" s="898">
        <v>-260.29000000000002</v>
      </c>
      <c r="O173" s="910">
        <v>-379.05</v>
      </c>
      <c r="Q173" s="898">
        <v>-442.27</v>
      </c>
      <c r="S173" s="898">
        <v>-393.96</v>
      </c>
      <c r="U173" s="898">
        <v>-529.19000000000005</v>
      </c>
      <c r="W173" s="898">
        <v>-507.11</v>
      </c>
      <c r="Y173" s="898">
        <v>-606.29999999999995</v>
      </c>
      <c r="AA173" s="898">
        <v>-494.6</v>
      </c>
      <c r="AC173" s="898">
        <v>-602.59</v>
      </c>
      <c r="AD173" s="898">
        <f t="shared" si="9"/>
        <v>-4468.9799999999996</v>
      </c>
      <c r="AG173" s="923"/>
    </row>
    <row r="174" spans="1:33">
      <c r="A174" s="910">
        <v>170</v>
      </c>
      <c r="B174" s="830" t="s">
        <v>2884</v>
      </c>
      <c r="C174" s="927">
        <f>G174/F154</f>
        <v>14170.267692307696</v>
      </c>
      <c r="D174" s="927"/>
      <c r="E174" s="927"/>
      <c r="G174" s="898">
        <f>SUM(G154:G173)</f>
        <v>184213.48000000004</v>
      </c>
      <c r="H174" s="898"/>
      <c r="I174" s="898">
        <f>SUM(I154:I173)</f>
        <v>181507.72000000003</v>
      </c>
      <c r="J174" s="898"/>
      <c r="K174" s="898">
        <f>SUM(K154:K173)</f>
        <v>191768.49000000002</v>
      </c>
      <c r="L174" s="898"/>
      <c r="M174" s="898">
        <f>SUM(M154:M173)</f>
        <v>194310.16999999998</v>
      </c>
      <c r="N174" s="898"/>
      <c r="O174" s="898">
        <f>SUM(O154:O173)</f>
        <v>166180.85999999999</v>
      </c>
      <c r="P174" s="898"/>
      <c r="Q174" s="898">
        <f>SUM(Q154:Q173)</f>
        <v>167617.04000000007</v>
      </c>
      <c r="R174" s="898"/>
      <c r="S174" s="898">
        <f>SUM(S154:S173)</f>
        <v>189840.93000000008</v>
      </c>
      <c r="T174" s="898"/>
      <c r="U174" s="898">
        <f>SUM(U154:U173)</f>
        <v>212236</v>
      </c>
      <c r="V174" s="898"/>
      <c r="W174" s="898">
        <f>SUM(W154:W173)</f>
        <v>190231.28</v>
      </c>
      <c r="X174" s="898"/>
      <c r="Y174" s="898">
        <f>SUM(Y154:Y173)</f>
        <v>253502.46999999994</v>
      </c>
      <c r="Z174" s="898"/>
      <c r="AA174" s="898">
        <f>SUM(AA154:AA173)</f>
        <v>320763.87000000005</v>
      </c>
      <c r="AB174" s="898"/>
      <c r="AC174" s="898">
        <f>SUM(AC154:AC173)</f>
        <v>263633.77999999997</v>
      </c>
      <c r="AD174" s="898">
        <f t="shared" si="9"/>
        <v>2515806.0900000003</v>
      </c>
    </row>
    <row r="175" spans="1:33">
      <c r="A175" s="910">
        <v>171</v>
      </c>
      <c r="B175" s="830" t="s">
        <v>2514</v>
      </c>
      <c r="C175" s="928"/>
      <c r="D175" s="928"/>
      <c r="E175" s="928"/>
      <c r="F175" s="928"/>
      <c r="G175" s="937"/>
      <c r="H175" s="926"/>
      <c r="I175" s="924"/>
      <c r="J175" s="926"/>
      <c r="K175" s="899"/>
      <c r="L175" s="928"/>
      <c r="M175" s="924"/>
      <c r="N175" s="926"/>
      <c r="O175" s="924"/>
      <c r="P175" s="926"/>
      <c r="Q175" s="924">
        <v>275040</v>
      </c>
      <c r="R175" s="924"/>
      <c r="S175" s="924">
        <v>315227</v>
      </c>
      <c r="T175" s="924"/>
      <c r="U175" s="924">
        <v>351655</v>
      </c>
      <c r="V175" s="924"/>
      <c r="W175" s="899">
        <v>320848</v>
      </c>
      <c r="Y175" s="924">
        <v>434187</v>
      </c>
      <c r="Z175" s="924"/>
      <c r="AA175" s="924">
        <v>487079</v>
      </c>
      <c r="AB175" s="924"/>
      <c r="AC175" s="924">
        <v>374867</v>
      </c>
      <c r="AD175" s="928">
        <f t="shared" si="9"/>
        <v>2558903</v>
      </c>
      <c r="AF175" s="938"/>
    </row>
    <row r="176" spans="1:33">
      <c r="A176" s="910">
        <v>172</v>
      </c>
      <c r="B176" s="910" t="s">
        <v>2885</v>
      </c>
      <c r="C176" s="928"/>
      <c r="D176" s="928"/>
      <c r="E176" s="928"/>
      <c r="F176" s="928"/>
      <c r="G176" s="928"/>
      <c r="H176" s="928"/>
      <c r="I176" s="928"/>
      <c r="J176" s="928"/>
      <c r="K176" s="928"/>
      <c r="L176" s="928"/>
      <c r="M176" s="928"/>
      <c r="N176" s="928"/>
      <c r="O176" s="928"/>
      <c r="P176" s="928"/>
      <c r="Q176" s="899"/>
      <c r="S176" s="899">
        <v>-30</v>
      </c>
      <c r="U176" s="899">
        <v>-843</v>
      </c>
      <c r="W176" s="899">
        <v>-10236</v>
      </c>
      <c r="Y176" s="899">
        <v>-20911</v>
      </c>
      <c r="AA176" s="899">
        <v>-2163</v>
      </c>
      <c r="AC176" s="899">
        <v>-6209</v>
      </c>
      <c r="AD176" s="928">
        <f t="shared" si="9"/>
        <v>-40392</v>
      </c>
    </row>
    <row r="177" spans="1:32">
      <c r="A177" s="910">
        <v>173</v>
      </c>
      <c r="B177" s="910" t="s">
        <v>2886</v>
      </c>
      <c r="C177" s="928"/>
      <c r="D177" s="928"/>
      <c r="E177" s="928"/>
      <c r="F177" s="928"/>
      <c r="G177" s="924">
        <f>SUM(G175:G176)</f>
        <v>0</v>
      </c>
      <c r="H177" s="926">
        <f>SUM(H175:H176)</f>
        <v>0</v>
      </c>
      <c r="I177" s="924">
        <f>SUM(I175:I176)</f>
        <v>0</v>
      </c>
      <c r="J177" s="926"/>
      <c r="K177" s="924">
        <f>SUM(K175:K176)</f>
        <v>0</v>
      </c>
      <c r="L177" s="926"/>
      <c r="M177" s="924">
        <f>SUM(M175:M176)</f>
        <v>0</v>
      </c>
      <c r="N177" s="926"/>
      <c r="O177" s="924">
        <f>SUM(O175:O176)</f>
        <v>0</v>
      </c>
      <c r="P177" s="926"/>
      <c r="Q177" s="924">
        <f>SUM(Q175:Q176)</f>
        <v>275040</v>
      </c>
      <c r="R177" s="924"/>
      <c r="S177" s="924">
        <f>SUM(S175:S176)</f>
        <v>315197</v>
      </c>
      <c r="T177" s="924"/>
      <c r="U177" s="924">
        <f>SUM(U175:U176)</f>
        <v>350812</v>
      </c>
      <c r="V177" s="924"/>
      <c r="W177" s="924">
        <f>SUM(W175:W176)</f>
        <v>310612</v>
      </c>
      <c r="X177" s="924"/>
      <c r="Y177" s="924">
        <f>SUM(Y175:Y176)</f>
        <v>413276</v>
      </c>
      <c r="Z177" s="924"/>
      <c r="AA177" s="924">
        <f>SUM(AA175:AA176)</f>
        <v>484916</v>
      </c>
      <c r="AB177" s="924"/>
      <c r="AC177" s="924">
        <f>SUM(AC175:AC176)</f>
        <v>368658</v>
      </c>
      <c r="AD177" s="928">
        <f t="shared" si="9"/>
        <v>2518511</v>
      </c>
      <c r="AF177" s="938"/>
    </row>
    <row r="178" spans="1:32">
      <c r="A178" s="910">
        <v>174</v>
      </c>
      <c r="B178" s="830"/>
    </row>
    <row r="179" spans="1:32">
      <c r="A179" s="910">
        <v>175</v>
      </c>
      <c r="B179" s="918" t="s">
        <v>2700</v>
      </c>
    </row>
    <row r="180" spans="1:32">
      <c r="A180" s="910">
        <v>176</v>
      </c>
      <c r="B180" s="910" t="s">
        <v>2462</v>
      </c>
      <c r="C180" s="898">
        <v>60</v>
      </c>
      <c r="D180" s="898"/>
      <c r="E180" s="898"/>
      <c r="F180" s="899">
        <f>G180/$C$180</f>
        <v>1</v>
      </c>
      <c r="G180" s="922">
        <v>60</v>
      </c>
      <c r="H180" s="899">
        <f>I180/$C$180</f>
        <v>1</v>
      </c>
      <c r="I180" s="922">
        <v>60</v>
      </c>
      <c r="J180" s="899">
        <f>K180/$C$180</f>
        <v>1</v>
      </c>
      <c r="K180" s="922">
        <v>60</v>
      </c>
      <c r="L180" s="899">
        <f>M180/$C$180</f>
        <v>1</v>
      </c>
      <c r="M180" s="922">
        <v>60</v>
      </c>
      <c r="N180" s="899">
        <f>O180/$C$180</f>
        <v>1</v>
      </c>
      <c r="O180" s="898">
        <v>60</v>
      </c>
      <c r="P180" s="899">
        <f>Q180/$C$180</f>
        <v>1</v>
      </c>
      <c r="Q180" s="922">
        <v>60</v>
      </c>
      <c r="R180" s="899">
        <f>S180/$C$180</f>
        <v>1</v>
      </c>
      <c r="S180" s="922">
        <v>60</v>
      </c>
      <c r="T180" s="899">
        <f>U180/$C$180</f>
        <v>1</v>
      </c>
      <c r="U180" s="922">
        <v>60</v>
      </c>
      <c r="V180" s="899">
        <f>W180/$C$180</f>
        <v>1</v>
      </c>
      <c r="W180" s="923">
        <v>60</v>
      </c>
      <c r="X180" s="899">
        <f>Y180/$C$180</f>
        <v>1</v>
      </c>
      <c r="Y180" s="922">
        <v>60</v>
      </c>
      <c r="Z180" s="899">
        <f>AA180/$C$180</f>
        <v>1</v>
      </c>
      <c r="AA180" s="922">
        <v>60</v>
      </c>
      <c r="AB180" s="899">
        <f>AC180/$C$180</f>
        <v>1</v>
      </c>
      <c r="AC180" s="922">
        <v>60</v>
      </c>
      <c r="AD180" s="898">
        <f>SUM(G180,I180,K180,M180,O180,Q180,S180,U180,W180,Y180,AA180,AC180)</f>
        <v>720</v>
      </c>
    </row>
    <row r="181" spans="1:32">
      <c r="A181" s="910">
        <v>177</v>
      </c>
      <c r="B181" s="910" t="s">
        <v>2681</v>
      </c>
      <c r="C181" s="910">
        <v>0.17851</v>
      </c>
      <c r="F181" s="899">
        <f>G181/$C$181</f>
        <v>78.987171587025941</v>
      </c>
      <c r="G181" s="922">
        <v>14.1</v>
      </c>
      <c r="H181" s="899">
        <f>I181/$C$181</f>
        <v>7.0024088286370514</v>
      </c>
      <c r="I181" s="922">
        <v>1.25</v>
      </c>
      <c r="J181" s="899">
        <f>K181/$C$181</f>
        <v>0</v>
      </c>
      <c r="L181" s="899">
        <f>M181/$C$181</f>
        <v>0</v>
      </c>
      <c r="M181" s="922"/>
      <c r="N181" s="899">
        <f>O181/$C$181</f>
        <v>128.00403338748529</v>
      </c>
      <c r="O181" s="898">
        <v>22.85</v>
      </c>
      <c r="P181" s="899">
        <f>Q181/$C$181</f>
        <v>151.02795361604393</v>
      </c>
      <c r="Q181" s="898">
        <v>26.96</v>
      </c>
      <c r="R181" s="899">
        <f>S181/$C$181</f>
        <v>0</v>
      </c>
      <c r="S181" s="922"/>
      <c r="T181" s="899">
        <f>U181/$C$181</f>
        <v>163.01607753067054</v>
      </c>
      <c r="U181" s="898">
        <v>29.1</v>
      </c>
      <c r="V181" s="899">
        <f>W181/$C$181</f>
        <v>0</v>
      </c>
      <c r="W181" s="923"/>
      <c r="X181" s="899">
        <f>Y181/$C$181</f>
        <v>411.01338860568035</v>
      </c>
      <c r="Y181" s="922">
        <v>73.37</v>
      </c>
      <c r="Z181" s="899">
        <f>AA181/$C$181</f>
        <v>317.01305249005662</v>
      </c>
      <c r="AA181" s="922">
        <v>56.59</v>
      </c>
      <c r="AB181" s="899">
        <f>AC181/$C$181</f>
        <v>491.00890706403004</v>
      </c>
      <c r="AC181" s="922">
        <v>87.65</v>
      </c>
      <c r="AD181" s="898">
        <f>SUM(G181,I181,K181,M181,O181,Q181,S181,U181,W181,Y181,AA181,AC181)</f>
        <v>311.87</v>
      </c>
    </row>
    <row r="182" spans="1:32">
      <c r="A182" s="910">
        <v>178</v>
      </c>
      <c r="B182" s="910" t="s">
        <v>2682</v>
      </c>
      <c r="C182" s="910">
        <v>0.14457</v>
      </c>
      <c r="F182" s="899">
        <f>G182/$C$182</f>
        <v>229.23151414539669</v>
      </c>
      <c r="G182" s="898">
        <v>33.14</v>
      </c>
      <c r="H182" s="899">
        <f>I182/$C$182</f>
        <v>20.33616932973646</v>
      </c>
      <c r="I182" s="922">
        <v>2.94</v>
      </c>
      <c r="J182" s="899">
        <f>K182/$C$182</f>
        <v>0</v>
      </c>
      <c r="L182" s="899">
        <f>M182/$C$182</f>
        <v>0</v>
      </c>
      <c r="N182" s="899">
        <f>O182/$C$182</f>
        <v>371.44635816559452</v>
      </c>
      <c r="O182" s="898">
        <v>53.7</v>
      </c>
      <c r="P182" s="899">
        <f>Q182/$C$182</f>
        <v>0</v>
      </c>
      <c r="R182" s="899">
        <f>S182/$C$182</f>
        <v>0</v>
      </c>
      <c r="T182" s="899">
        <f>U182/$C$182</f>
        <v>0</v>
      </c>
      <c r="U182" s="898">
        <v>0</v>
      </c>
      <c r="V182" s="899">
        <f>W182/$C$182</f>
        <v>0</v>
      </c>
      <c r="X182" s="899">
        <f>Y182/$C$182</f>
        <v>0</v>
      </c>
      <c r="Y182" s="898">
        <v>0</v>
      </c>
      <c r="Z182" s="899">
        <f>AA182/$C$182</f>
        <v>0</v>
      </c>
      <c r="AA182" s="898">
        <v>0</v>
      </c>
      <c r="AB182" s="899">
        <f>AC182/$C$182</f>
        <v>0</v>
      </c>
      <c r="AD182" s="898">
        <f>SUM(G182,I182,K182,M182,O182,Q182,S182,U182,W182,Y182,AA182,AC182)</f>
        <v>89.78</v>
      </c>
    </row>
    <row r="183" spans="1:32">
      <c r="A183" s="910">
        <v>179</v>
      </c>
      <c r="B183" s="910" t="s">
        <v>2650</v>
      </c>
      <c r="C183" s="927"/>
      <c r="D183" s="927"/>
      <c r="E183" s="927"/>
      <c r="G183" s="922">
        <v>0.13</v>
      </c>
      <c r="H183" s="924"/>
      <c r="I183" s="922">
        <v>0.01</v>
      </c>
      <c r="J183" s="924"/>
      <c r="M183" s="922"/>
      <c r="N183" s="924"/>
      <c r="O183" s="898">
        <v>9.75</v>
      </c>
      <c r="Q183" s="898">
        <v>63.34</v>
      </c>
      <c r="S183" s="922"/>
      <c r="T183" s="924"/>
      <c r="U183" s="898">
        <v>68.38</v>
      </c>
      <c r="W183" s="923"/>
      <c r="X183" s="925"/>
      <c r="Y183" s="922">
        <v>172.41</v>
      </c>
      <c r="Z183" s="924"/>
      <c r="AA183" s="922">
        <v>132.97999999999999</v>
      </c>
      <c r="AB183" s="924"/>
      <c r="AC183" s="922">
        <v>207.19</v>
      </c>
      <c r="AD183" s="898">
        <f>SUM(G183:AC183)</f>
        <v>654.19000000000005</v>
      </c>
    </row>
    <row r="184" spans="1:32">
      <c r="A184" s="910">
        <v>180</v>
      </c>
      <c r="B184" s="910" t="s">
        <v>2652</v>
      </c>
      <c r="C184" s="927"/>
      <c r="D184" s="927"/>
      <c r="E184" s="927"/>
      <c r="G184" s="922"/>
      <c r="H184" s="924"/>
      <c r="I184" s="922"/>
      <c r="J184" s="924"/>
      <c r="M184" s="922"/>
      <c r="N184" s="924"/>
      <c r="Q184" s="898">
        <v>11.5</v>
      </c>
      <c r="S184" s="922"/>
      <c r="T184" s="924"/>
      <c r="U184" s="898">
        <v>12.41</v>
      </c>
      <c r="W184" s="923"/>
      <c r="X184" s="925"/>
      <c r="Y184" s="922">
        <v>31.3</v>
      </c>
      <c r="Z184" s="924"/>
      <c r="AA184" s="922">
        <v>24.14</v>
      </c>
      <c r="AB184" s="924"/>
      <c r="AC184" s="922">
        <v>66.430000000000007</v>
      </c>
      <c r="AD184" s="898">
        <f>SUM(G184:AC184)</f>
        <v>145.78</v>
      </c>
    </row>
    <row r="185" spans="1:32">
      <c r="A185" s="910">
        <v>181</v>
      </c>
      <c r="B185" s="910" t="s">
        <v>2653</v>
      </c>
      <c r="C185" s="927"/>
      <c r="D185" s="927"/>
      <c r="E185" s="927"/>
      <c r="G185" s="922">
        <v>0.54</v>
      </c>
      <c r="H185" s="924"/>
      <c r="I185" s="922">
        <v>0.05</v>
      </c>
      <c r="J185" s="924"/>
      <c r="M185" s="922"/>
      <c r="N185" s="924"/>
      <c r="O185" s="898">
        <v>0.22</v>
      </c>
      <c r="Q185" s="898">
        <v>0.26</v>
      </c>
      <c r="S185" s="922"/>
      <c r="T185" s="924"/>
      <c r="U185" s="898">
        <v>0.28000000000000003</v>
      </c>
      <c r="W185" s="923"/>
      <c r="X185" s="925"/>
      <c r="Y185" s="922">
        <v>0.7</v>
      </c>
      <c r="Z185" s="924"/>
      <c r="AA185" s="922">
        <v>0.54</v>
      </c>
      <c r="AB185" s="924"/>
      <c r="AC185" s="922">
        <v>0.82</v>
      </c>
      <c r="AD185" s="898">
        <f t="shared" ref="AD185:AD196" si="10">SUM(G185:AC185)</f>
        <v>3.4099999999999997</v>
      </c>
    </row>
    <row r="186" spans="1:32">
      <c r="A186" s="910">
        <v>182</v>
      </c>
      <c r="B186" s="910" t="s">
        <v>2654</v>
      </c>
      <c r="G186" s="922">
        <v>0.25</v>
      </c>
      <c r="H186" s="924"/>
      <c r="I186" s="922">
        <v>0.02</v>
      </c>
      <c r="J186" s="924"/>
      <c r="M186" s="922"/>
      <c r="N186" s="924"/>
      <c r="O186" s="898">
        <v>0.88</v>
      </c>
      <c r="Q186" s="898">
        <v>1.03</v>
      </c>
      <c r="S186" s="922"/>
      <c r="T186" s="924"/>
      <c r="U186" s="898">
        <v>1.1100000000000001</v>
      </c>
      <c r="W186" s="923"/>
      <c r="X186" s="925"/>
      <c r="Y186" s="922">
        <v>2.81</v>
      </c>
      <c r="Z186" s="924"/>
      <c r="AA186" s="922">
        <v>2.17</v>
      </c>
      <c r="AB186" s="924"/>
      <c r="AC186" s="922">
        <v>4.1900000000000004</v>
      </c>
      <c r="AD186" s="898">
        <f t="shared" si="10"/>
        <v>12.46</v>
      </c>
    </row>
    <row r="187" spans="1:32">
      <c r="A187" s="910">
        <v>183</v>
      </c>
      <c r="B187" s="910" t="s">
        <v>2655</v>
      </c>
      <c r="G187" s="922">
        <v>0.61</v>
      </c>
      <c r="H187" s="924"/>
      <c r="I187" s="922">
        <v>0.05</v>
      </c>
      <c r="J187" s="924"/>
      <c r="M187" s="922"/>
      <c r="N187" s="924"/>
      <c r="O187" s="898">
        <v>0.41</v>
      </c>
      <c r="Q187" s="898">
        <v>0.48</v>
      </c>
      <c r="S187" s="922"/>
      <c r="T187" s="924"/>
      <c r="U187" s="898">
        <v>0.52</v>
      </c>
      <c r="W187" s="923"/>
      <c r="X187" s="925"/>
      <c r="Y187" s="922">
        <v>1.32</v>
      </c>
      <c r="Z187" s="924"/>
      <c r="AA187" s="922">
        <v>1.02</v>
      </c>
      <c r="AB187" s="924"/>
      <c r="AC187" s="922">
        <v>-2.87</v>
      </c>
      <c r="AD187" s="898">
        <f t="shared" si="10"/>
        <v>1.54</v>
      </c>
    </row>
    <row r="188" spans="1:32">
      <c r="A188" s="910">
        <v>184</v>
      </c>
      <c r="B188" s="910" t="s">
        <v>2656</v>
      </c>
      <c r="G188" s="922">
        <v>2.1800000000000002</v>
      </c>
      <c r="H188" s="924"/>
      <c r="I188" s="922">
        <v>0.19</v>
      </c>
      <c r="J188" s="924"/>
      <c r="M188" s="922"/>
      <c r="N188" s="924"/>
      <c r="O188" s="898">
        <v>0.99</v>
      </c>
      <c r="Q188" s="898">
        <v>1.17</v>
      </c>
      <c r="S188" s="922"/>
      <c r="T188" s="924"/>
      <c r="U188" s="898">
        <v>1.26</v>
      </c>
      <c r="W188" s="923"/>
      <c r="X188" s="925"/>
      <c r="Y188" s="922">
        <v>3.18</v>
      </c>
      <c r="Z188" s="924"/>
      <c r="AA188" s="922">
        <v>2.4500000000000002</v>
      </c>
      <c r="AB188" s="924"/>
      <c r="AC188" s="922"/>
      <c r="AD188" s="898">
        <f t="shared" si="10"/>
        <v>11.420000000000002</v>
      </c>
    </row>
    <row r="189" spans="1:32">
      <c r="A189" s="910">
        <v>185</v>
      </c>
      <c r="B189" s="910" t="s">
        <v>2657</v>
      </c>
      <c r="G189" s="922">
        <v>-0.28000000000000003</v>
      </c>
      <c r="H189" s="924"/>
      <c r="I189" s="922">
        <v>-0.02</v>
      </c>
      <c r="J189" s="924"/>
      <c r="M189" s="922"/>
      <c r="N189" s="924"/>
      <c r="O189" s="898">
        <v>3.53</v>
      </c>
      <c r="Q189" s="898">
        <v>4.16</v>
      </c>
      <c r="S189" s="922"/>
      <c r="T189" s="924"/>
      <c r="U189" s="898">
        <v>4.49</v>
      </c>
      <c r="W189" s="923"/>
      <c r="X189" s="925"/>
      <c r="Y189" s="922">
        <v>11.32</v>
      </c>
      <c r="Z189" s="924"/>
      <c r="AA189" s="922">
        <v>8.73</v>
      </c>
      <c r="AB189" s="924"/>
      <c r="AC189" s="922">
        <v>12.91</v>
      </c>
      <c r="AD189" s="898">
        <f t="shared" si="10"/>
        <v>44.84</v>
      </c>
    </row>
    <row r="190" spans="1:32">
      <c r="A190" s="910">
        <v>186</v>
      </c>
      <c r="B190" s="900" t="s">
        <v>2658</v>
      </c>
      <c r="G190" s="898">
        <v>-0.13</v>
      </c>
      <c r="I190" s="922">
        <v>-0.01</v>
      </c>
      <c r="J190" s="924"/>
      <c r="M190" s="922"/>
      <c r="N190" s="924"/>
      <c r="O190" s="898">
        <v>-0.45</v>
      </c>
      <c r="Q190" s="898">
        <v>-0.53</v>
      </c>
      <c r="S190" s="922"/>
      <c r="T190" s="924"/>
      <c r="U190" s="898">
        <v>-0.56999999999999995</v>
      </c>
      <c r="W190" s="923"/>
      <c r="X190" s="925"/>
      <c r="Y190" s="922">
        <v>-1.43</v>
      </c>
      <c r="Z190" s="924"/>
      <c r="AA190" s="922">
        <v>-1.1100000000000001</v>
      </c>
      <c r="AB190" s="924"/>
      <c r="AC190" s="922">
        <v>-1.92</v>
      </c>
      <c r="AD190" s="898">
        <f t="shared" si="10"/>
        <v>-6.15</v>
      </c>
    </row>
    <row r="191" spans="1:32">
      <c r="A191" s="910">
        <v>187</v>
      </c>
      <c r="B191" s="900" t="s">
        <v>2659</v>
      </c>
      <c r="G191" s="898">
        <v>-0.23</v>
      </c>
      <c r="I191" s="922">
        <v>-0.02</v>
      </c>
      <c r="J191" s="924"/>
      <c r="M191" s="922"/>
      <c r="N191" s="924"/>
      <c r="O191" s="898">
        <v>-0.21</v>
      </c>
      <c r="Q191" s="898">
        <v>-0.24</v>
      </c>
      <c r="S191" s="922"/>
      <c r="T191" s="924"/>
      <c r="U191" s="898">
        <v>-0.26</v>
      </c>
      <c r="W191" s="923"/>
      <c r="X191" s="925"/>
      <c r="Y191" s="922">
        <v>-0.67</v>
      </c>
      <c r="Z191" s="924"/>
      <c r="AA191" s="922">
        <v>-0.51</v>
      </c>
      <c r="AB191" s="924"/>
      <c r="AC191" s="922">
        <v>-0.72</v>
      </c>
      <c r="AD191" s="898">
        <f t="shared" si="10"/>
        <v>-2.8599999999999994</v>
      </c>
    </row>
    <row r="192" spans="1:32">
      <c r="A192" s="910">
        <v>188</v>
      </c>
      <c r="B192" s="900" t="s">
        <v>2660</v>
      </c>
      <c r="I192" s="922"/>
      <c r="J192" s="924"/>
      <c r="M192" s="922"/>
      <c r="N192" s="924"/>
      <c r="O192" s="898">
        <v>-0.38</v>
      </c>
      <c r="Q192" s="898">
        <v>-0.45</v>
      </c>
      <c r="S192" s="922"/>
      <c r="T192" s="924"/>
      <c r="U192" s="898">
        <v>-0.48</v>
      </c>
      <c r="W192" s="923"/>
      <c r="X192" s="925"/>
      <c r="Y192" s="922">
        <v>-1.22</v>
      </c>
      <c r="Z192" s="924"/>
      <c r="AA192" s="922">
        <v>-0.94</v>
      </c>
      <c r="AB192" s="924"/>
      <c r="AC192" s="922"/>
      <c r="AD192" s="898">
        <f t="shared" si="10"/>
        <v>-3.47</v>
      </c>
    </row>
    <row r="193" spans="1:30">
      <c r="A193" s="910">
        <v>189</v>
      </c>
      <c r="B193" s="830" t="s">
        <v>2884</v>
      </c>
      <c r="G193" s="939">
        <f>SUM(G180:G192)</f>
        <v>110.31</v>
      </c>
      <c r="H193" s="939"/>
      <c r="I193" s="939">
        <f>SUM(I180:I192)</f>
        <v>64.459999999999994</v>
      </c>
      <c r="J193" s="939"/>
      <c r="K193" s="939">
        <f>SUM(K180:K192)</f>
        <v>60</v>
      </c>
      <c r="L193" s="939"/>
      <c r="M193" s="939">
        <f>SUM(M180:M192)</f>
        <v>60</v>
      </c>
      <c r="N193" s="939"/>
      <c r="O193" s="939">
        <f>SUM(O180:O192)</f>
        <v>151.29000000000002</v>
      </c>
      <c r="P193" s="939"/>
      <c r="Q193" s="939">
        <f>SUM(Q180:Q192)</f>
        <v>167.67999999999998</v>
      </c>
      <c r="R193" s="939"/>
      <c r="S193" s="939">
        <f>SUM(S180:S192)</f>
        <v>60</v>
      </c>
      <c r="T193" s="939"/>
      <c r="U193" s="939">
        <f>SUM(U180:U192)</f>
        <v>176.24000000000004</v>
      </c>
      <c r="V193" s="939"/>
      <c r="W193" s="939">
        <f>SUM(W180:W192)</f>
        <v>60</v>
      </c>
      <c r="X193" s="939"/>
      <c r="Y193" s="939">
        <f>SUM(Y180:Y192)</f>
        <v>353.08999999999992</v>
      </c>
      <c r="Z193" s="939"/>
      <c r="AA193" s="939">
        <f>SUM(AA180:AA192)</f>
        <v>286.06</v>
      </c>
      <c r="AB193" s="939"/>
      <c r="AC193" s="939">
        <f>SUM(AC180:AC192)</f>
        <v>433.68</v>
      </c>
      <c r="AD193" s="898">
        <f t="shared" si="10"/>
        <v>1982.81</v>
      </c>
    </row>
    <row r="194" spans="1:30">
      <c r="A194" s="910">
        <v>190</v>
      </c>
      <c r="B194" s="830" t="s">
        <v>2514</v>
      </c>
      <c r="F194" s="928"/>
      <c r="G194" s="926">
        <v>79</v>
      </c>
      <c r="H194" s="926"/>
      <c r="I194" s="926">
        <v>7</v>
      </c>
      <c r="J194" s="926"/>
      <c r="K194" s="928">
        <v>0</v>
      </c>
      <c r="L194" s="928"/>
      <c r="M194" s="926">
        <v>0</v>
      </c>
      <c r="N194" s="926"/>
      <c r="O194" s="899">
        <v>128</v>
      </c>
      <c r="Q194" s="899">
        <v>151</v>
      </c>
      <c r="S194" s="924">
        <v>0</v>
      </c>
      <c r="T194" s="924"/>
      <c r="U194" s="899">
        <v>163</v>
      </c>
      <c r="V194" s="928"/>
      <c r="W194" s="928"/>
      <c r="X194" s="928"/>
      <c r="Y194" s="899">
        <v>411</v>
      </c>
      <c r="Z194" s="928"/>
      <c r="AA194" s="899">
        <v>317</v>
      </c>
      <c r="AB194" s="928"/>
      <c r="AC194" s="899">
        <v>491</v>
      </c>
      <c r="AD194" s="928">
        <f t="shared" si="10"/>
        <v>1747</v>
      </c>
    </row>
    <row r="195" spans="1:30">
      <c r="A195" s="910">
        <v>191</v>
      </c>
      <c r="B195" s="910" t="s">
        <v>2885</v>
      </c>
      <c r="F195" s="928"/>
      <c r="G195" s="926"/>
      <c r="H195" s="926"/>
      <c r="I195" s="928"/>
      <c r="J195" s="928"/>
      <c r="K195" s="928"/>
      <c r="L195" s="928"/>
      <c r="M195" s="928"/>
      <c r="N195" s="928"/>
      <c r="O195" s="899"/>
      <c r="Q195" s="899"/>
      <c r="S195" s="899"/>
      <c r="U195" s="899"/>
      <c r="V195" s="928"/>
      <c r="W195" s="928"/>
      <c r="X195" s="928"/>
      <c r="Y195" s="899"/>
      <c r="Z195" s="928"/>
      <c r="AA195" s="899"/>
      <c r="AB195" s="928"/>
      <c r="AC195" s="899"/>
      <c r="AD195" s="928">
        <f t="shared" si="10"/>
        <v>0</v>
      </c>
    </row>
    <row r="196" spans="1:30">
      <c r="A196" s="910">
        <v>192</v>
      </c>
      <c r="B196" s="910" t="s">
        <v>2886</v>
      </c>
      <c r="F196" s="928"/>
      <c r="G196" s="926">
        <f>SUM(G194:G195)</f>
        <v>79</v>
      </c>
      <c r="H196" s="926"/>
      <c r="I196" s="926">
        <f>SUM(I194:I195)</f>
        <v>7</v>
      </c>
      <c r="J196" s="926"/>
      <c r="K196" s="926">
        <f>SUM(K194:K195)</f>
        <v>0</v>
      </c>
      <c r="L196" s="926"/>
      <c r="M196" s="926">
        <f>SUM(M194:M195)</f>
        <v>0</v>
      </c>
      <c r="N196" s="926"/>
      <c r="O196" s="924">
        <f>SUM(O194:O195)</f>
        <v>128</v>
      </c>
      <c r="P196" s="924"/>
      <c r="Q196" s="924">
        <f>SUM(Q194:Q195)</f>
        <v>151</v>
      </c>
      <c r="R196" s="924"/>
      <c r="S196" s="924">
        <f>SUM(S194:S195)</f>
        <v>0</v>
      </c>
      <c r="T196" s="924"/>
      <c r="U196" s="924">
        <f>SUM(U194:U195)</f>
        <v>163</v>
      </c>
      <c r="V196" s="926"/>
      <c r="W196" s="926">
        <f>SUM(W194:W195)</f>
        <v>0</v>
      </c>
      <c r="X196" s="926"/>
      <c r="Y196" s="924">
        <f>SUM(Y194:Y195)</f>
        <v>411</v>
      </c>
      <c r="Z196" s="926"/>
      <c r="AA196" s="924">
        <v>317</v>
      </c>
      <c r="AB196" s="926"/>
      <c r="AC196" s="924">
        <f>SUM(AC194:AC195)</f>
        <v>491</v>
      </c>
      <c r="AD196" s="928">
        <f t="shared" si="10"/>
        <v>1747</v>
      </c>
    </row>
    <row r="197" spans="1:30">
      <c r="A197" s="910">
        <v>193</v>
      </c>
      <c r="B197" s="830"/>
      <c r="AD197" s="928"/>
    </row>
    <row r="198" spans="1:30">
      <c r="A198" s="910">
        <v>194</v>
      </c>
      <c r="B198" s="918" t="s">
        <v>2893</v>
      </c>
    </row>
    <row r="199" spans="1:30">
      <c r="A199" s="910">
        <v>195</v>
      </c>
      <c r="B199" s="830" t="s">
        <v>2462</v>
      </c>
      <c r="C199" s="898">
        <v>163</v>
      </c>
      <c r="D199" s="898"/>
      <c r="E199" s="898"/>
      <c r="F199" s="899">
        <f>G199/$C$199</f>
        <v>8</v>
      </c>
      <c r="G199" s="922">
        <v>1304</v>
      </c>
      <c r="H199" s="899">
        <f>I199/$C$199</f>
        <v>8</v>
      </c>
      <c r="I199" s="922">
        <v>1304</v>
      </c>
      <c r="J199" s="899">
        <f>K199/$C$199</f>
        <v>8</v>
      </c>
      <c r="K199" s="922">
        <v>1304</v>
      </c>
      <c r="L199" s="899">
        <f>M199/$C$199</f>
        <v>8</v>
      </c>
      <c r="M199" s="922">
        <v>1304</v>
      </c>
      <c r="N199" s="899">
        <f>O199/$C$199</f>
        <v>7</v>
      </c>
      <c r="O199" s="922">
        <v>1141</v>
      </c>
      <c r="P199" s="899">
        <f>Q199/$C$199</f>
        <v>7</v>
      </c>
      <c r="Q199" s="922">
        <v>1141</v>
      </c>
      <c r="R199" s="899">
        <f>S199/$C$199</f>
        <v>7</v>
      </c>
      <c r="S199" s="922">
        <v>1141</v>
      </c>
      <c r="T199" s="899">
        <f>U199/$C$199</f>
        <v>8</v>
      </c>
      <c r="U199" s="922">
        <v>1304</v>
      </c>
      <c r="V199" s="899">
        <f>W199/$C$199</f>
        <v>8</v>
      </c>
      <c r="W199" s="923">
        <v>1304</v>
      </c>
      <c r="X199" s="899">
        <f>Y199/$C$199</f>
        <v>8</v>
      </c>
      <c r="Y199" s="922">
        <v>1304</v>
      </c>
      <c r="Z199" s="899">
        <f>AA199/$C$199</f>
        <v>8</v>
      </c>
      <c r="AA199" s="922">
        <v>1304</v>
      </c>
      <c r="AB199" s="899">
        <f>AC199/$C$199</f>
        <v>8</v>
      </c>
      <c r="AC199" s="922">
        <v>1304</v>
      </c>
      <c r="AD199" s="898">
        <f>SUM(G199,I199,K199,M199,O199,Q199,S199,U199,W199,Y199,AA199,AC199)</f>
        <v>15159</v>
      </c>
    </row>
    <row r="200" spans="1:30">
      <c r="A200" s="910">
        <v>196</v>
      </c>
      <c r="B200" s="830" t="s">
        <v>2709</v>
      </c>
      <c r="C200" s="910">
        <v>7.8950000000000006E-2</v>
      </c>
      <c r="F200" s="899">
        <f>G200/$C$200</f>
        <v>121886.13046231792</v>
      </c>
      <c r="G200" s="922">
        <v>9622.91</v>
      </c>
      <c r="H200" s="899">
        <f>I200/$C$200</f>
        <v>121680.05066497781</v>
      </c>
      <c r="I200" s="922">
        <v>9606.64</v>
      </c>
      <c r="J200" s="899">
        <f>K200/$C$200</f>
        <v>123408.99303356554</v>
      </c>
      <c r="K200" s="922">
        <v>9743.14</v>
      </c>
      <c r="L200" s="899">
        <f>M200/$C$200</f>
        <v>118029.8923369221</v>
      </c>
      <c r="M200" s="922">
        <v>9318.4600000000009</v>
      </c>
      <c r="N200" s="899">
        <f>O200/$C$200</f>
        <v>102877.89740341988</v>
      </c>
      <c r="O200" s="922">
        <v>8122.21</v>
      </c>
      <c r="P200" s="899">
        <f>Q200/$C$200</f>
        <v>90281.950601646604</v>
      </c>
      <c r="Q200" s="922">
        <v>7127.76</v>
      </c>
      <c r="R200" s="899">
        <f>S200/$C$200</f>
        <v>80372.007599746677</v>
      </c>
      <c r="S200" s="922">
        <v>6345.3700000000008</v>
      </c>
      <c r="T200" s="899">
        <f>U200/$C$200</f>
        <v>99416.972767574407</v>
      </c>
      <c r="U200" s="922">
        <v>7848.97</v>
      </c>
      <c r="V200" s="899">
        <f>W200/$C$200</f>
        <v>76300.949968334389</v>
      </c>
      <c r="W200" s="923">
        <v>6023.96</v>
      </c>
      <c r="X200" s="899">
        <f>Y200/$C$200</f>
        <v>80596.960101329954</v>
      </c>
      <c r="Y200" s="922">
        <v>6363.13</v>
      </c>
      <c r="Z200" s="899">
        <f>AA200/$C$200</f>
        <v>134706.01646611778</v>
      </c>
      <c r="AA200" s="922">
        <v>10635.04</v>
      </c>
      <c r="AB200" s="899">
        <f>AC200/$C$200</f>
        <v>112878.91070297657</v>
      </c>
      <c r="AC200" s="922">
        <v>8911.7900000000009</v>
      </c>
      <c r="AD200" s="898">
        <f>SUM(G200,I200,K200,M200,O200,Q200,S200,U200,W200,Y200,AA200,AC200)</f>
        <v>99669.380000000034</v>
      </c>
    </row>
    <row r="201" spans="1:30">
      <c r="A201" s="910">
        <v>197</v>
      </c>
      <c r="B201" s="830" t="s">
        <v>2710</v>
      </c>
      <c r="C201" s="910">
        <v>2.248E-2</v>
      </c>
      <c r="F201" s="899">
        <f>G201/$C$201</f>
        <v>138595.64056939504</v>
      </c>
      <c r="G201" s="922">
        <v>3115.63</v>
      </c>
      <c r="H201" s="899">
        <f>I201/$C$201</f>
        <v>137130.78291814946</v>
      </c>
      <c r="I201" s="922">
        <v>3082.7</v>
      </c>
      <c r="J201" s="899">
        <f>K201/$C$201</f>
        <v>146774.91103202847</v>
      </c>
      <c r="K201" s="922">
        <v>3299.5</v>
      </c>
      <c r="L201" s="899">
        <f>M201/$C$201</f>
        <v>130114.76868327403</v>
      </c>
      <c r="M201" s="922">
        <v>2924.98</v>
      </c>
      <c r="N201" s="899">
        <f>O201/$C$201</f>
        <v>88588.967971530248</v>
      </c>
      <c r="O201" s="922">
        <v>1991.48</v>
      </c>
      <c r="P201" s="899">
        <f>Q201/$C$201</f>
        <v>51974.199288256234</v>
      </c>
      <c r="Q201" s="922">
        <v>1168.3800000000001</v>
      </c>
      <c r="R201" s="899">
        <f>S201/$C$201</f>
        <v>30615.213523131675</v>
      </c>
      <c r="S201" s="922">
        <v>688.23</v>
      </c>
      <c r="T201" s="899">
        <f>U201/$C$201</f>
        <v>20611.20996441281</v>
      </c>
      <c r="U201" s="922">
        <v>463.34</v>
      </c>
      <c r="V201" s="899">
        <f>W201/$C$201</f>
        <v>17325.177935943062</v>
      </c>
      <c r="W201" s="923">
        <v>389.47</v>
      </c>
      <c r="X201" s="899">
        <f>Y201/$C$201</f>
        <v>30845.195729537365</v>
      </c>
      <c r="Y201" s="922">
        <v>693.4</v>
      </c>
      <c r="Z201" s="899">
        <f>AA201/$C$201</f>
        <v>98114.32384341638</v>
      </c>
      <c r="AA201" s="922">
        <v>2205.61</v>
      </c>
      <c r="AB201" s="899">
        <f>AC201/$C$201</f>
        <v>117354.09252669038</v>
      </c>
      <c r="AC201" s="922">
        <v>2638.12</v>
      </c>
      <c r="AD201" s="898">
        <f>SUM(G201,I201,K201,M201,O201,Q201,S201,U201,W201,Y201,AA201,AC201)</f>
        <v>22660.84</v>
      </c>
    </row>
    <row r="202" spans="1:30">
      <c r="A202" s="910">
        <v>198</v>
      </c>
      <c r="B202" s="830" t="s">
        <v>2650</v>
      </c>
      <c r="G202" s="922">
        <v>105729.64</v>
      </c>
      <c r="I202" s="922">
        <v>105051.39</v>
      </c>
      <c r="K202" s="922">
        <v>109667.7</v>
      </c>
      <c r="M202" s="922">
        <v>100722.05</v>
      </c>
      <c r="O202" s="922">
        <v>77716.45</v>
      </c>
      <c r="Q202" s="922">
        <v>57741.719999999994</v>
      </c>
      <c r="S202" s="922">
        <v>45049.62</v>
      </c>
      <c r="U202" s="922">
        <v>48719.360000000001</v>
      </c>
      <c r="W202" s="923">
        <v>38002.790000000008</v>
      </c>
      <c r="Y202" s="922">
        <v>45234.310000000005</v>
      </c>
      <c r="AA202" s="922">
        <v>94501.64</v>
      </c>
      <c r="AC202" s="922">
        <v>94027.15</v>
      </c>
      <c r="AD202" s="898">
        <f>SUM(G202:AC202)</f>
        <v>922163.82000000007</v>
      </c>
    </row>
    <row r="203" spans="1:30">
      <c r="A203" s="910">
        <v>199</v>
      </c>
      <c r="B203" s="910" t="s">
        <v>2652</v>
      </c>
      <c r="G203" s="922"/>
      <c r="I203" s="922"/>
      <c r="K203" s="922"/>
      <c r="M203" s="922"/>
      <c r="O203" s="922">
        <v>14580.21</v>
      </c>
      <c r="Q203" s="922">
        <v>10832.800000000001</v>
      </c>
      <c r="S203" s="922">
        <v>8451.65</v>
      </c>
      <c r="U203" s="922">
        <v>9140.1299999999992</v>
      </c>
      <c r="W203" s="923">
        <v>7129.62</v>
      </c>
      <c r="Y203" s="922">
        <v>8486.32</v>
      </c>
      <c r="AA203" s="922">
        <v>17729.239999999998</v>
      </c>
      <c r="AC203" s="922">
        <v>31150.519999999997</v>
      </c>
      <c r="AD203" s="898">
        <f>SUM(G203:AC203)</f>
        <v>107500.48999999999</v>
      </c>
    </row>
    <row r="204" spans="1:30">
      <c r="A204" s="910">
        <v>200</v>
      </c>
      <c r="B204" s="830" t="s">
        <v>2653</v>
      </c>
      <c r="G204" s="922">
        <v>132.84</v>
      </c>
      <c r="H204" s="924"/>
      <c r="I204" s="922">
        <v>132</v>
      </c>
      <c r="J204" s="924"/>
      <c r="K204" s="922">
        <v>137.80000000000001</v>
      </c>
      <c r="L204" s="924"/>
      <c r="M204" s="922">
        <v>126.55</v>
      </c>
      <c r="N204" s="924"/>
      <c r="O204" s="922">
        <v>97.64</v>
      </c>
      <c r="P204" s="924"/>
      <c r="Q204" s="922">
        <v>72.540000000000006</v>
      </c>
      <c r="R204" s="924"/>
      <c r="S204" s="922">
        <v>56.599999999999994</v>
      </c>
      <c r="T204" s="924"/>
      <c r="U204" s="922">
        <v>61.22</v>
      </c>
      <c r="V204" s="924"/>
      <c r="W204" s="923">
        <v>47.76</v>
      </c>
      <c r="X204" s="925"/>
      <c r="Y204" s="922">
        <v>56.839999999999996</v>
      </c>
      <c r="Z204" s="924"/>
      <c r="AA204" s="922">
        <v>118.74</v>
      </c>
      <c r="AB204" s="924"/>
      <c r="AC204" s="922">
        <v>115.13</v>
      </c>
      <c r="AD204" s="898">
        <f t="shared" ref="AD204:AD217" si="11">SUM(G204:AC204)</f>
        <v>1155.6599999999999</v>
      </c>
    </row>
    <row r="205" spans="1:30">
      <c r="A205" s="910">
        <v>201</v>
      </c>
      <c r="B205" s="830" t="s">
        <v>2654</v>
      </c>
      <c r="G205" s="922">
        <v>885.64</v>
      </c>
      <c r="H205" s="924"/>
      <c r="I205" s="922">
        <v>879.96</v>
      </c>
      <c r="J205" s="924"/>
      <c r="K205" s="922">
        <v>918.63</v>
      </c>
      <c r="L205" s="924"/>
      <c r="M205" s="922">
        <v>843.7</v>
      </c>
      <c r="N205" s="924"/>
      <c r="O205" s="922">
        <v>650.99</v>
      </c>
      <c r="P205" s="924"/>
      <c r="Q205" s="922">
        <v>483.68</v>
      </c>
      <c r="R205" s="924"/>
      <c r="S205" s="922">
        <v>377.36</v>
      </c>
      <c r="T205" s="924"/>
      <c r="U205" s="922">
        <v>408.1</v>
      </c>
      <c r="V205" s="924"/>
      <c r="W205" s="923">
        <v>318.33</v>
      </c>
      <c r="X205" s="925"/>
      <c r="Y205" s="922">
        <v>378.89</v>
      </c>
      <c r="Z205" s="924"/>
      <c r="AA205" s="922">
        <v>791.58000000000015</v>
      </c>
      <c r="AB205" s="924"/>
      <c r="AC205" s="922">
        <v>1229.45</v>
      </c>
      <c r="AD205" s="898">
        <f t="shared" si="11"/>
        <v>8166.31</v>
      </c>
    </row>
    <row r="206" spans="1:30">
      <c r="A206" s="910">
        <v>202</v>
      </c>
      <c r="B206" s="830" t="s">
        <v>2655</v>
      </c>
      <c r="G206" s="922">
        <v>1956.23</v>
      </c>
      <c r="H206" s="924"/>
      <c r="I206" s="922">
        <v>1943.68</v>
      </c>
      <c r="J206" s="924"/>
      <c r="K206" s="922">
        <v>2029.09</v>
      </c>
      <c r="L206" s="924"/>
      <c r="M206" s="922">
        <v>1863.57</v>
      </c>
      <c r="N206" s="924"/>
      <c r="O206" s="922">
        <v>1437.91</v>
      </c>
      <c r="P206" s="924"/>
      <c r="Q206" s="922">
        <v>1068.3500000000001</v>
      </c>
      <c r="R206" s="924"/>
      <c r="S206" s="922">
        <v>833.51</v>
      </c>
      <c r="T206" s="924"/>
      <c r="U206" s="922">
        <v>901.4</v>
      </c>
      <c r="V206" s="924"/>
      <c r="W206" s="923">
        <v>703.14</v>
      </c>
      <c r="X206" s="925"/>
      <c r="Y206" s="922">
        <v>836.95</v>
      </c>
      <c r="Z206" s="924"/>
      <c r="AA206" s="922">
        <v>1748.48</v>
      </c>
      <c r="AB206" s="924"/>
      <c r="AC206" s="922">
        <v>4388.25</v>
      </c>
      <c r="AD206" s="898">
        <f t="shared" si="11"/>
        <v>19710.559999999998</v>
      </c>
    </row>
    <row r="207" spans="1:30">
      <c r="A207" s="910">
        <v>203</v>
      </c>
      <c r="B207" s="830" t="s">
        <v>2656</v>
      </c>
      <c r="G207" s="922">
        <v>2016.14</v>
      </c>
      <c r="H207" s="924"/>
      <c r="I207" s="922">
        <v>2003.2</v>
      </c>
      <c r="J207" s="924"/>
      <c r="K207" s="922">
        <v>2091.23</v>
      </c>
      <c r="L207" s="924"/>
      <c r="M207" s="922">
        <v>1920.65</v>
      </c>
      <c r="N207" s="924"/>
      <c r="O207" s="922">
        <v>1481.96</v>
      </c>
      <c r="P207" s="924"/>
      <c r="Q207" s="922">
        <v>1101.0600000000002</v>
      </c>
      <c r="R207" s="924"/>
      <c r="S207" s="922">
        <v>859.04000000000008</v>
      </c>
      <c r="T207" s="924"/>
      <c r="U207" s="922">
        <v>929.02</v>
      </c>
      <c r="V207" s="924"/>
      <c r="W207" s="923">
        <v>724.67999999999984</v>
      </c>
      <c r="X207" s="925"/>
      <c r="Y207" s="922">
        <v>862.57</v>
      </c>
      <c r="Z207" s="924"/>
      <c r="AA207" s="922">
        <v>1802.02</v>
      </c>
      <c r="AB207" s="924"/>
      <c r="AC207" s="922"/>
      <c r="AD207" s="898">
        <f t="shared" si="11"/>
        <v>15791.570000000002</v>
      </c>
    </row>
    <row r="208" spans="1:30">
      <c r="A208" s="910">
        <v>204</v>
      </c>
      <c r="B208" s="830" t="s">
        <v>2657</v>
      </c>
      <c r="G208" s="922">
        <v>7173.67</v>
      </c>
      <c r="H208" s="924"/>
      <c r="I208" s="922">
        <v>7127.66</v>
      </c>
      <c r="J208" s="924"/>
      <c r="K208" s="922">
        <v>7440.87</v>
      </c>
      <c r="L208" s="924"/>
      <c r="M208" s="922">
        <v>6833.92</v>
      </c>
      <c r="N208" s="924"/>
      <c r="O208" s="922">
        <v>5273</v>
      </c>
      <c r="P208" s="924"/>
      <c r="Q208" s="922">
        <v>3917.73</v>
      </c>
      <c r="R208" s="924"/>
      <c r="S208" s="922">
        <v>3056.58</v>
      </c>
      <c r="T208" s="924"/>
      <c r="U208" s="922">
        <v>3305.58</v>
      </c>
      <c r="V208" s="924"/>
      <c r="W208" s="923">
        <v>2578.46</v>
      </c>
      <c r="X208" s="925"/>
      <c r="Y208" s="922">
        <v>3069.11</v>
      </c>
      <c r="Z208" s="924"/>
      <c r="AA208" s="922">
        <v>6411.85</v>
      </c>
      <c r="AB208" s="924"/>
      <c r="AC208" s="922">
        <v>6055.12</v>
      </c>
      <c r="AD208" s="898">
        <f t="shared" si="11"/>
        <v>62243.55000000001</v>
      </c>
    </row>
    <row r="209" spans="1:30">
      <c r="A209" s="910">
        <v>205</v>
      </c>
      <c r="B209" s="830" t="s">
        <v>2658</v>
      </c>
      <c r="G209" s="922">
        <v>-276.11</v>
      </c>
      <c r="H209" s="924"/>
      <c r="I209" s="922">
        <v>-274.33</v>
      </c>
      <c r="J209" s="924"/>
      <c r="K209" s="922">
        <v>-286.40000000000003</v>
      </c>
      <c r="L209" s="924"/>
      <c r="M209" s="922">
        <v>-263.04000000000002</v>
      </c>
      <c r="N209" s="924"/>
      <c r="O209" s="922">
        <v>-202.96</v>
      </c>
      <c r="P209" s="924"/>
      <c r="Q209" s="922">
        <v>-150.79000000000002</v>
      </c>
      <c r="R209" s="924"/>
      <c r="S209" s="922">
        <v>-117.64999999999999</v>
      </c>
      <c r="T209" s="924"/>
      <c r="U209" s="922">
        <v>-127.22999999999999</v>
      </c>
      <c r="V209" s="924"/>
      <c r="W209" s="898">
        <v>-99.24</v>
      </c>
      <c r="Y209" s="922">
        <v>-118.11999999999999</v>
      </c>
      <c r="Z209" s="924"/>
      <c r="AA209" s="922">
        <v>-246.77999999999997</v>
      </c>
      <c r="AB209" s="924"/>
      <c r="AC209" s="922">
        <v>-273.99</v>
      </c>
      <c r="AD209" s="898">
        <f t="shared" si="11"/>
        <v>-2436.6400000000003</v>
      </c>
    </row>
    <row r="210" spans="1:30">
      <c r="A210" s="910">
        <v>206</v>
      </c>
      <c r="B210" s="830" t="s">
        <v>2659</v>
      </c>
      <c r="G210" s="922">
        <v>-127.65</v>
      </c>
      <c r="H210" s="924"/>
      <c r="I210" s="922">
        <v>-126.82</v>
      </c>
      <c r="J210" s="924"/>
      <c r="K210" s="922">
        <v>-132.39000000000001</v>
      </c>
      <c r="L210" s="924"/>
      <c r="M210" s="922">
        <v>-121.59</v>
      </c>
      <c r="N210" s="924"/>
      <c r="O210" s="922">
        <v>-93.83</v>
      </c>
      <c r="P210" s="924"/>
      <c r="Q210" s="922">
        <v>-69.710000000000008</v>
      </c>
      <c r="R210" s="924"/>
      <c r="S210" s="922">
        <v>-54.379999999999995</v>
      </c>
      <c r="T210" s="924"/>
      <c r="U210" s="922">
        <v>-58.809999999999995</v>
      </c>
      <c r="V210" s="924"/>
      <c r="W210" s="898">
        <v>-45.879999999999995</v>
      </c>
      <c r="Y210" s="922">
        <v>-54.61</v>
      </c>
      <c r="Z210" s="924"/>
      <c r="AA210" s="922">
        <v>-114.09</v>
      </c>
      <c r="AB210" s="924"/>
      <c r="AC210" s="922">
        <v>-101.53</v>
      </c>
      <c r="AD210" s="898">
        <f t="shared" si="11"/>
        <v>-1101.2900000000002</v>
      </c>
    </row>
    <row r="211" spans="1:30">
      <c r="A211" s="910">
        <v>207</v>
      </c>
      <c r="B211" s="830" t="s">
        <v>2660</v>
      </c>
      <c r="G211" s="922">
        <v>-234.45</v>
      </c>
      <c r="H211" s="924"/>
      <c r="I211" s="922">
        <v>-232.93</v>
      </c>
      <c r="J211" s="924"/>
      <c r="K211" s="922">
        <v>-243.16</v>
      </c>
      <c r="L211" s="924"/>
      <c r="M211" s="922">
        <v>-223.33</v>
      </c>
      <c r="N211" s="924"/>
      <c r="O211" s="922">
        <v>-172.32</v>
      </c>
      <c r="P211" s="924"/>
      <c r="Q211" s="922">
        <v>-128.03</v>
      </c>
      <c r="R211" s="924"/>
      <c r="S211" s="922">
        <v>-99.88</v>
      </c>
      <c r="T211" s="924"/>
      <c r="U211" s="922">
        <v>-108.03</v>
      </c>
      <c r="V211" s="924"/>
      <c r="W211" s="898">
        <v>-84.26</v>
      </c>
      <c r="Y211" s="922">
        <v>-100.29</v>
      </c>
      <c r="Z211" s="924"/>
      <c r="AA211" s="922">
        <v>-209.53</v>
      </c>
      <c r="AB211" s="924"/>
      <c r="AC211" s="922"/>
      <c r="AD211" s="898">
        <f t="shared" si="11"/>
        <v>-1836.2099999999998</v>
      </c>
    </row>
    <row r="212" spans="1:30">
      <c r="A212" s="910">
        <v>208</v>
      </c>
      <c r="B212" s="830" t="s">
        <v>2661</v>
      </c>
      <c r="G212" s="922">
        <v>2149.25</v>
      </c>
      <c r="H212" s="924"/>
      <c r="I212" s="922">
        <v>2139.69</v>
      </c>
      <c r="J212" s="924"/>
      <c r="K212" s="922">
        <v>2181.2600000000002</v>
      </c>
      <c r="L212" s="924"/>
      <c r="M212" s="922">
        <v>1981.91</v>
      </c>
      <c r="N212" s="924"/>
      <c r="O212" s="922">
        <v>1594.23</v>
      </c>
      <c r="P212" s="924"/>
      <c r="Q212" s="922">
        <v>1129.55</v>
      </c>
      <c r="R212" s="924"/>
      <c r="S212" s="922">
        <v>871.71</v>
      </c>
      <c r="T212" s="924"/>
      <c r="U212" s="922">
        <v>843.99999999999989</v>
      </c>
      <c r="V212" s="924"/>
      <c r="W212" s="898">
        <v>766.49999999999989</v>
      </c>
      <c r="Y212" s="922">
        <v>904.42000000000007</v>
      </c>
      <c r="Z212" s="924"/>
      <c r="AA212" s="922">
        <v>1759.88</v>
      </c>
      <c r="AB212" s="924"/>
      <c r="AC212" s="922">
        <v>2231.79</v>
      </c>
      <c r="AD212" s="898">
        <f t="shared" si="11"/>
        <v>18554.189999999999</v>
      </c>
    </row>
    <row r="213" spans="1:30">
      <c r="A213" s="910">
        <v>209</v>
      </c>
      <c r="B213" s="830" t="s">
        <v>2665</v>
      </c>
      <c r="G213" s="922">
        <v>4.8899999999999997</v>
      </c>
      <c r="H213" s="924"/>
      <c r="I213" s="922">
        <v>4.8899999999999997</v>
      </c>
      <c r="J213" s="924"/>
      <c r="K213" s="922">
        <v>4.8899999999999997</v>
      </c>
      <c r="L213" s="924"/>
      <c r="M213" s="922">
        <v>4.8899999999999997</v>
      </c>
      <c r="N213" s="924"/>
      <c r="O213" s="910"/>
      <c r="P213" s="924"/>
      <c r="Q213" s="922"/>
      <c r="R213" s="924"/>
      <c r="S213" s="922"/>
      <c r="T213" s="924"/>
      <c r="U213" s="922">
        <v>404.41</v>
      </c>
      <c r="V213" s="924"/>
      <c r="W213" s="898">
        <v>45.98</v>
      </c>
      <c r="Y213" s="922">
        <v>4.8899999999999997</v>
      </c>
      <c r="Z213" s="924"/>
      <c r="AA213" s="922">
        <v>509.09</v>
      </c>
      <c r="AB213" s="924"/>
      <c r="AC213" s="922">
        <v>4.8899999999999997</v>
      </c>
      <c r="AD213" s="898">
        <f t="shared" si="11"/>
        <v>988.82</v>
      </c>
    </row>
    <row r="214" spans="1:30">
      <c r="A214" s="910">
        <v>210</v>
      </c>
      <c r="B214" s="830" t="s">
        <v>2884</v>
      </c>
      <c r="G214" s="922">
        <f>SUM(G199:G213)</f>
        <v>133452.63</v>
      </c>
      <c r="H214" s="922"/>
      <c r="I214" s="922">
        <f>SUM(I199:I213)</f>
        <v>132641.72999999998</v>
      </c>
      <c r="J214" s="922"/>
      <c r="K214" s="922">
        <f>SUM(K199:K213)</f>
        <v>138156.16</v>
      </c>
      <c r="L214" s="922"/>
      <c r="M214" s="922">
        <f>SUM(M199:M213)</f>
        <v>127236.72000000002</v>
      </c>
      <c r="N214" s="922"/>
      <c r="O214" s="922">
        <f>SUM(O199:O212)</f>
        <v>113617.97</v>
      </c>
      <c r="P214" s="922"/>
      <c r="Q214" s="922">
        <f>SUM(Q199:Q213)</f>
        <v>85436.039999999979</v>
      </c>
      <c r="R214" s="922"/>
      <c r="S214" s="922">
        <f>SUM(S199:S213)</f>
        <v>67458.760000000009</v>
      </c>
      <c r="T214" s="922"/>
      <c r="U214" s="922">
        <f>SUM(U199:U213)</f>
        <v>74035.460000000021</v>
      </c>
      <c r="V214" s="922"/>
      <c r="W214" s="922">
        <f>SUM(W199:W213)</f>
        <v>57805.310000000019</v>
      </c>
      <c r="X214" s="922"/>
      <c r="Y214" s="922">
        <f>SUM(Y199:Y213)</f>
        <v>67921.81</v>
      </c>
      <c r="Z214" s="922"/>
      <c r="AA214" s="922">
        <f>SUM(AA199:AA213)</f>
        <v>138946.77000000002</v>
      </c>
      <c r="AB214" s="922"/>
      <c r="AC214" s="922">
        <f>SUM(AC199:AC213)</f>
        <v>151680.69000000003</v>
      </c>
      <c r="AD214" s="898">
        <f t="shared" si="11"/>
        <v>1288390.05</v>
      </c>
    </row>
    <row r="215" spans="1:30">
      <c r="A215" s="910">
        <v>211</v>
      </c>
      <c r="B215" s="830" t="s">
        <v>2514</v>
      </c>
      <c r="C215" s="928"/>
      <c r="D215" s="928"/>
      <c r="E215" s="928"/>
      <c r="F215" s="928"/>
      <c r="G215" s="940">
        <v>260482</v>
      </c>
      <c r="H215" s="924"/>
      <c r="I215" s="940">
        <v>258811</v>
      </c>
      <c r="J215" s="924"/>
      <c r="K215" s="940">
        <v>270184</v>
      </c>
      <c r="L215" s="924"/>
      <c r="M215" s="924">
        <v>248145</v>
      </c>
      <c r="N215" s="924"/>
      <c r="O215" s="924">
        <v>191467</v>
      </c>
      <c r="P215" s="924"/>
      <c r="Q215" s="924">
        <v>142256</v>
      </c>
      <c r="R215" s="924"/>
      <c r="S215" s="924">
        <v>110987</v>
      </c>
      <c r="T215" s="924"/>
      <c r="U215" s="924">
        <v>120028</v>
      </c>
      <c r="V215" s="926"/>
      <c r="W215" s="899">
        <v>93626</v>
      </c>
      <c r="X215" s="928"/>
      <c r="Y215" s="924">
        <v>111442</v>
      </c>
      <c r="Z215" s="926"/>
      <c r="AA215" s="924">
        <v>232820</v>
      </c>
      <c r="AB215" s="926"/>
      <c r="AC215" s="924">
        <v>230233</v>
      </c>
      <c r="AD215" s="898">
        <f t="shared" si="11"/>
        <v>2270481</v>
      </c>
    </row>
    <row r="216" spans="1:30">
      <c r="A216" s="910">
        <v>212</v>
      </c>
      <c r="B216" s="910" t="s">
        <v>2885</v>
      </c>
      <c r="C216" s="928"/>
      <c r="D216" s="928"/>
      <c r="E216" s="928"/>
      <c r="F216" s="928"/>
      <c r="G216" s="899"/>
      <c r="I216" s="899"/>
      <c r="K216" s="899"/>
      <c r="M216" s="899"/>
      <c r="O216" s="899"/>
      <c r="Q216" s="899"/>
      <c r="S216" s="899"/>
      <c r="U216" s="899"/>
      <c r="V216" s="928"/>
      <c r="W216" s="899"/>
      <c r="X216" s="928"/>
      <c r="Y216" s="899"/>
      <c r="Z216" s="928"/>
      <c r="AA216" s="899"/>
      <c r="AB216" s="928"/>
      <c r="AC216" s="899"/>
      <c r="AD216" s="898">
        <f t="shared" si="11"/>
        <v>0</v>
      </c>
    </row>
    <row r="217" spans="1:30">
      <c r="A217" s="910">
        <v>213</v>
      </c>
      <c r="B217" s="910" t="s">
        <v>2886</v>
      </c>
      <c r="C217" s="928"/>
      <c r="D217" s="928"/>
      <c r="E217" s="928"/>
      <c r="F217" s="928"/>
      <c r="G217" s="924">
        <f>SUM(G215:G216)</f>
        <v>260482</v>
      </c>
      <c r="H217" s="924"/>
      <c r="I217" s="924">
        <f>SUM(I215:I216)</f>
        <v>258811</v>
      </c>
      <c r="J217" s="924"/>
      <c r="K217" s="924">
        <f>SUM(K215:K216)</f>
        <v>270184</v>
      </c>
      <c r="L217" s="924"/>
      <c r="M217" s="924">
        <f>SUM(M215:M216)</f>
        <v>248145</v>
      </c>
      <c r="N217" s="924"/>
      <c r="O217" s="924">
        <f>SUM(O215:O216)</f>
        <v>191467</v>
      </c>
      <c r="P217" s="924"/>
      <c r="Q217" s="924">
        <f>SUM(Q215:Q216)</f>
        <v>142256</v>
      </c>
      <c r="R217" s="924"/>
      <c r="S217" s="924">
        <f>SUM(S215:S216)</f>
        <v>110987</v>
      </c>
      <c r="T217" s="924"/>
      <c r="U217" s="924">
        <f>SUM(U215:U216)</f>
        <v>120028</v>
      </c>
      <c r="V217" s="926"/>
      <c r="W217" s="924">
        <f>SUM(W215:W216)</f>
        <v>93626</v>
      </c>
      <c r="X217" s="926"/>
      <c r="Y217" s="924">
        <f>SUM(Y215:Y216)</f>
        <v>111442</v>
      </c>
      <c r="Z217" s="926"/>
      <c r="AA217" s="924">
        <f>SUM(AA215:AA216)</f>
        <v>232820</v>
      </c>
      <c r="AB217" s="926"/>
      <c r="AC217" s="924">
        <f>SUM(AC215:AC216)</f>
        <v>230233</v>
      </c>
      <c r="AD217" s="898">
        <f t="shared" si="11"/>
        <v>2270481</v>
      </c>
    </row>
    <row r="218" spans="1:30">
      <c r="A218" s="910">
        <v>214</v>
      </c>
      <c r="B218" s="837"/>
    </row>
    <row r="219" spans="1:30">
      <c r="A219" s="910">
        <v>215</v>
      </c>
      <c r="B219" s="851" t="s">
        <v>2711</v>
      </c>
    </row>
    <row r="220" spans="1:30">
      <c r="A220" s="910">
        <v>216</v>
      </c>
      <c r="B220" s="830" t="s">
        <v>2462</v>
      </c>
      <c r="C220" s="939">
        <v>625</v>
      </c>
      <c r="D220" s="939"/>
      <c r="E220" s="898"/>
      <c r="F220" s="899">
        <f>G220/$C$220</f>
        <v>186</v>
      </c>
      <c r="G220" s="922">
        <v>116250</v>
      </c>
      <c r="H220" s="899">
        <f>I220/$C$220</f>
        <v>186</v>
      </c>
      <c r="I220" s="922">
        <v>116250</v>
      </c>
      <c r="J220" s="899">
        <f>K220/$C$220</f>
        <v>185</v>
      </c>
      <c r="K220" s="922">
        <v>115625</v>
      </c>
      <c r="L220" s="899">
        <f>M220/$C$220</f>
        <v>185</v>
      </c>
      <c r="M220" s="922">
        <v>115625</v>
      </c>
      <c r="N220" s="899">
        <f>O220/$C$220</f>
        <v>187</v>
      </c>
      <c r="O220" s="922">
        <v>116875</v>
      </c>
      <c r="P220" s="899">
        <f>Q220/$C$220</f>
        <v>189</v>
      </c>
      <c r="Q220" s="922">
        <v>118125</v>
      </c>
      <c r="R220" s="899">
        <f>S220/$C$220</f>
        <v>188</v>
      </c>
      <c r="S220" s="922">
        <v>117500</v>
      </c>
      <c r="T220" s="899">
        <f>U220/$C$220</f>
        <v>188</v>
      </c>
      <c r="U220" s="922">
        <v>117500</v>
      </c>
      <c r="V220" s="899">
        <f>W220/$C$220</f>
        <v>187</v>
      </c>
      <c r="W220" s="923">
        <v>116875</v>
      </c>
      <c r="X220" s="899">
        <f>Y220/$C$220</f>
        <v>186</v>
      </c>
      <c r="Y220" s="922">
        <v>116250</v>
      </c>
      <c r="Z220" s="899">
        <f>AA220/$C$220</f>
        <v>179</v>
      </c>
      <c r="AA220" s="922">
        <v>111875</v>
      </c>
      <c r="AB220" s="941">
        <f>AC220/$C$220</f>
        <v>181</v>
      </c>
      <c r="AC220" s="922">
        <v>113125</v>
      </c>
      <c r="AD220" s="898">
        <f>SUM(G220,I220,K220,M220,O220,Q220,S220,U220,W220,Y220,AA220,AC220)</f>
        <v>1391875</v>
      </c>
    </row>
    <row r="221" spans="1:30">
      <c r="A221" s="910">
        <v>217</v>
      </c>
      <c r="B221" s="830" t="s">
        <v>2713</v>
      </c>
      <c r="C221" s="910">
        <v>0.2</v>
      </c>
      <c r="F221" s="899">
        <f>G221/$C$221</f>
        <v>1511520</v>
      </c>
      <c r="G221" s="922">
        <v>302304</v>
      </c>
      <c r="H221" s="899">
        <f>I221/$C$221</f>
        <v>1511520</v>
      </c>
      <c r="I221" s="922">
        <v>302304</v>
      </c>
      <c r="J221" s="899">
        <f>K221/$C$221</f>
        <v>1506520</v>
      </c>
      <c r="K221" s="922">
        <v>301304</v>
      </c>
      <c r="L221" s="899">
        <f>M221/$C$221</f>
        <v>1506520</v>
      </c>
      <c r="M221" s="922">
        <v>301304</v>
      </c>
      <c r="N221" s="899">
        <f>O221/$C$221</f>
        <v>1508820</v>
      </c>
      <c r="O221" s="922">
        <v>301764</v>
      </c>
      <c r="P221" s="899">
        <f>Q221/$C$221</f>
        <v>1512320</v>
      </c>
      <c r="Q221" s="922">
        <v>302464</v>
      </c>
      <c r="R221" s="899">
        <f>S221/$C$221</f>
        <v>1509320</v>
      </c>
      <c r="S221" s="922">
        <v>301864</v>
      </c>
      <c r="T221" s="899">
        <f>U221/$C$221</f>
        <v>1509320</v>
      </c>
      <c r="U221" s="922">
        <v>301864</v>
      </c>
      <c r="V221" s="899">
        <f>W221/$C$221</f>
        <v>1500620</v>
      </c>
      <c r="W221" s="923">
        <v>300124</v>
      </c>
      <c r="X221" s="899">
        <f>Y221/$C$221</f>
        <v>1495620</v>
      </c>
      <c r="Y221" s="922">
        <v>299124</v>
      </c>
      <c r="Z221" s="899">
        <f>AA221/$C$221</f>
        <v>1399420</v>
      </c>
      <c r="AA221" s="922">
        <v>279884</v>
      </c>
      <c r="AB221" s="899">
        <f>AC221/$C$221</f>
        <v>1402620</v>
      </c>
      <c r="AC221" s="922">
        <v>280524</v>
      </c>
      <c r="AD221" s="898">
        <f t="shared" ref="AD221:AD226" si="12">SUM(G221,I221,K221,M221,O221,Q221,S221,U221,W221,Y221,AA221,AC221)</f>
        <v>3574828</v>
      </c>
    </row>
    <row r="222" spans="1:30">
      <c r="A222" s="910">
        <v>218</v>
      </c>
      <c r="B222" s="830" t="s">
        <v>2714</v>
      </c>
      <c r="C222" s="910">
        <v>4.0000000000000002E-4</v>
      </c>
      <c r="F222" s="899">
        <f>G222/$C$222</f>
        <v>29346875</v>
      </c>
      <c r="G222" s="922">
        <v>11738.75</v>
      </c>
      <c r="H222" s="899">
        <f>I222/$C$222</f>
        <v>31076824.999999996</v>
      </c>
      <c r="I222" s="922">
        <v>12430.73</v>
      </c>
      <c r="J222" s="899">
        <f>K222/$C$222</f>
        <v>30225250</v>
      </c>
      <c r="K222" s="922">
        <v>12090.1</v>
      </c>
      <c r="L222" s="899">
        <f>M222/$C$222</f>
        <v>29437075</v>
      </c>
      <c r="M222" s="922">
        <v>11774.83</v>
      </c>
      <c r="N222" s="899">
        <f>O222/$C$222</f>
        <v>27861925</v>
      </c>
      <c r="O222" s="922">
        <v>11144.77</v>
      </c>
      <c r="P222" s="899">
        <f>Q222/$C$222</f>
        <v>29822949.999999996</v>
      </c>
      <c r="Q222" s="922">
        <v>11929.179999999998</v>
      </c>
      <c r="R222" s="899">
        <f>S222/$C$222</f>
        <v>27060275</v>
      </c>
      <c r="S222" s="922">
        <v>10824.11</v>
      </c>
      <c r="T222" s="899">
        <f>U222/$C$222</f>
        <v>26669274.999999996</v>
      </c>
      <c r="U222" s="922">
        <v>10667.71</v>
      </c>
      <c r="V222" s="899">
        <f>W222/$C$222</f>
        <v>28179200</v>
      </c>
      <c r="W222" s="923">
        <v>11271.68</v>
      </c>
      <c r="X222" s="899">
        <f>Y222/$C$222</f>
        <v>31905299.999999996</v>
      </c>
      <c r="Y222" s="922">
        <v>12762.119999999999</v>
      </c>
      <c r="Z222" s="899">
        <f>AA222/$C$222</f>
        <v>33622049.999999993</v>
      </c>
      <c r="AA222" s="922">
        <v>13448.819999999998</v>
      </c>
      <c r="AB222" s="899">
        <f>AC222/$C$222</f>
        <v>29817599.999999996</v>
      </c>
      <c r="AC222" s="922">
        <v>11927.039999999999</v>
      </c>
      <c r="AD222" s="898">
        <f t="shared" si="12"/>
        <v>142009.83999999997</v>
      </c>
    </row>
    <row r="223" spans="1:30">
      <c r="A223" s="910">
        <v>219</v>
      </c>
      <c r="B223" s="830" t="s">
        <v>2716</v>
      </c>
      <c r="C223" s="910">
        <v>5.3310000000000003E-2</v>
      </c>
      <c r="F223" s="899">
        <f>G223/$C$223</f>
        <v>7862115.3629712993</v>
      </c>
      <c r="G223" s="922">
        <v>419129.37</v>
      </c>
      <c r="H223" s="899">
        <f>I223/$C$223</f>
        <v>8453276.8711311202</v>
      </c>
      <c r="I223" s="922">
        <v>450644.19</v>
      </c>
      <c r="J223" s="899">
        <f>K223/$C$223</f>
        <v>8557635.9032076523</v>
      </c>
      <c r="K223" s="922">
        <v>456207.57</v>
      </c>
      <c r="L223" s="899">
        <f>M223/$C$223</f>
        <v>8253032.0765334833</v>
      </c>
      <c r="M223" s="922">
        <v>439969.14</v>
      </c>
      <c r="N223" s="899">
        <f>O223/$C$223</f>
        <v>7503525.792534234</v>
      </c>
      <c r="O223" s="922">
        <v>400012.96</v>
      </c>
      <c r="P223" s="899">
        <f>Q223/$C$223</f>
        <v>7181359.7824048027</v>
      </c>
      <c r="Q223" s="922">
        <v>382838.29000000004</v>
      </c>
      <c r="R223" s="899">
        <f>S223/$C$223</f>
        <v>7238910.3357718997</v>
      </c>
      <c r="S223" s="922">
        <v>385906.31</v>
      </c>
      <c r="T223" s="899">
        <f>U223/$C$223</f>
        <v>7149827.9872444198</v>
      </c>
      <c r="U223" s="922">
        <v>381157.33</v>
      </c>
      <c r="V223" s="899">
        <f>W223/$C$223</f>
        <v>7170331.4575126609</v>
      </c>
      <c r="W223" s="923">
        <v>382250.37</v>
      </c>
      <c r="X223" s="899">
        <f>Y223/$C$223</f>
        <v>8230819.9212155314</v>
      </c>
      <c r="Y223" s="922">
        <v>438785.01</v>
      </c>
      <c r="Z223" s="899">
        <f>AA223/$C$223</f>
        <v>8763705.8713187017</v>
      </c>
      <c r="AA223" s="922">
        <v>467193.16</v>
      </c>
      <c r="AB223" s="899">
        <f>AC223/$C$223</f>
        <v>7999591.071093603</v>
      </c>
      <c r="AC223" s="922">
        <v>426458.2</v>
      </c>
      <c r="AD223" s="898">
        <f t="shared" si="12"/>
        <v>5030551.9000000004</v>
      </c>
    </row>
    <row r="224" spans="1:30">
      <c r="A224" s="910">
        <v>220</v>
      </c>
      <c r="B224" s="830" t="s">
        <v>2494</v>
      </c>
      <c r="C224" s="910">
        <v>1.9449999999999999E-2</v>
      </c>
      <c r="F224" s="899">
        <f>G224/$C$224</f>
        <v>5476198.4575835476</v>
      </c>
      <c r="G224" s="922">
        <v>106512.06</v>
      </c>
      <c r="H224" s="899">
        <f>I224/$C$224</f>
        <v>5770126.992287918</v>
      </c>
      <c r="I224" s="922">
        <v>112228.97</v>
      </c>
      <c r="J224" s="899">
        <f>K224/$C$224</f>
        <v>5321246.7866323907</v>
      </c>
      <c r="K224" s="922">
        <v>103498.25</v>
      </c>
      <c r="L224" s="899">
        <f>M224/$C$224</f>
        <v>5312761.4395886892</v>
      </c>
      <c r="M224" s="922">
        <v>103333.21</v>
      </c>
      <c r="N224" s="899">
        <f>O224/$C$224</f>
        <v>5304661.1825192804</v>
      </c>
      <c r="O224" s="922">
        <v>103175.66</v>
      </c>
      <c r="P224" s="899">
        <f>Q224/$C$224</f>
        <v>5195831.3624678664</v>
      </c>
      <c r="Q224" s="922">
        <v>101058.92</v>
      </c>
      <c r="R224" s="899">
        <f>S224/$C$224</f>
        <v>6592056.5552699231</v>
      </c>
      <c r="S224" s="922">
        <v>128215.5</v>
      </c>
      <c r="T224" s="899">
        <f>U224/$C$224</f>
        <v>4648257.5835475586</v>
      </c>
      <c r="U224" s="922">
        <v>90408.61</v>
      </c>
      <c r="V224" s="899">
        <f>W224/$C$224</f>
        <v>4665568.6375321336</v>
      </c>
      <c r="W224" s="923">
        <v>90745.31</v>
      </c>
      <c r="X224" s="899">
        <f>Y224/$C$224</f>
        <v>5363985.6041131113</v>
      </c>
      <c r="Y224" s="922">
        <v>104329.52</v>
      </c>
      <c r="Z224" s="899">
        <f>AA224/$C$224</f>
        <v>6149301.2853470445</v>
      </c>
      <c r="AA224" s="922">
        <v>119603.91</v>
      </c>
      <c r="AB224" s="899">
        <f>AC224/$C$224</f>
        <v>4930934.7043701801</v>
      </c>
      <c r="AC224" s="922">
        <v>95906.68</v>
      </c>
      <c r="AD224" s="898">
        <f t="shared" si="12"/>
        <v>1259016.5999999999</v>
      </c>
    </row>
    <row r="225" spans="1:30">
      <c r="A225" s="910">
        <v>221</v>
      </c>
      <c r="B225" s="830" t="s">
        <v>2494</v>
      </c>
      <c r="C225" s="910">
        <v>1.1820000000000001E-2</v>
      </c>
      <c r="F225" s="899">
        <f>G225/$C$225</f>
        <v>2797255.4991539759</v>
      </c>
      <c r="G225" s="922">
        <v>33063.56</v>
      </c>
      <c r="H225" s="899">
        <f>I225/$C$225</f>
        <v>2945891.708967851</v>
      </c>
      <c r="I225" s="922">
        <v>34820.44</v>
      </c>
      <c r="J225" s="899">
        <f>K225/$C$225</f>
        <v>2863669.2047377327</v>
      </c>
      <c r="K225" s="922">
        <v>33848.57</v>
      </c>
      <c r="L225" s="899">
        <f>M225/$C$225</f>
        <v>2573247.8849407784</v>
      </c>
      <c r="M225" s="922">
        <v>30415.79</v>
      </c>
      <c r="N225" s="899">
        <f>O225/$C$225</f>
        <v>2547390.8629441625</v>
      </c>
      <c r="O225" s="922">
        <v>30110.16</v>
      </c>
      <c r="P225" s="899">
        <f>Q225/$C$225</f>
        <v>2762310.4906937391</v>
      </c>
      <c r="Q225" s="922">
        <v>32650.51</v>
      </c>
      <c r="R225" s="899">
        <f>S225/$C$225</f>
        <v>0</v>
      </c>
      <c r="S225" s="922"/>
      <c r="T225" s="899">
        <f>U225/$C$225</f>
        <v>2180871.4043993233</v>
      </c>
      <c r="U225" s="922">
        <v>25777.9</v>
      </c>
      <c r="V225" s="899">
        <f>W225/$C$225</f>
        <v>2310089.6785109979</v>
      </c>
      <c r="W225" s="923">
        <v>27305.26</v>
      </c>
      <c r="X225" s="899">
        <f>Y225/$C$225</f>
        <v>2455660.7445008457</v>
      </c>
      <c r="Y225" s="922">
        <v>29025.91</v>
      </c>
      <c r="Z225" s="899">
        <f>AA225/$C$225</f>
        <v>2629170.8967851098</v>
      </c>
      <c r="AA225" s="922">
        <v>31076.799999999999</v>
      </c>
      <c r="AB225" s="899">
        <f>AC225/$C$225</f>
        <v>2231098.9847715735</v>
      </c>
      <c r="AC225" s="922">
        <v>26371.59</v>
      </c>
      <c r="AD225" s="898">
        <f t="shared" si="12"/>
        <v>334466.49000000005</v>
      </c>
    </row>
    <row r="226" spans="1:30">
      <c r="A226" s="910">
        <v>222</v>
      </c>
      <c r="B226" s="837" t="s">
        <v>2717</v>
      </c>
      <c r="C226" s="910">
        <v>5.62E-3</v>
      </c>
      <c r="F226" s="899">
        <f>G226/$C$226</f>
        <v>13211284.697508896</v>
      </c>
      <c r="G226" s="922">
        <v>74247.42</v>
      </c>
      <c r="H226" s="899">
        <f>I226/$C$226</f>
        <v>13907637.010676157</v>
      </c>
      <c r="I226" s="922">
        <v>78160.92</v>
      </c>
      <c r="J226" s="899">
        <f>K226/$C$226</f>
        <v>13482677.935943061</v>
      </c>
      <c r="K226" s="922">
        <v>75772.650000000009</v>
      </c>
      <c r="L226" s="899">
        <f>M226/$C$226</f>
        <v>13298076.512455516</v>
      </c>
      <c r="M226" s="922">
        <v>74735.19</v>
      </c>
      <c r="N226" s="899">
        <f>O226/$C$226</f>
        <v>12506341.637010677</v>
      </c>
      <c r="O226" s="922">
        <v>70285.64</v>
      </c>
      <c r="P226" s="899">
        <f>Q226/$C$226</f>
        <v>14683366.548042705</v>
      </c>
      <c r="Q226" s="922">
        <v>82520.52</v>
      </c>
      <c r="R226" s="899">
        <f>S226/$C$226</f>
        <v>12263814.946619216</v>
      </c>
      <c r="S226" s="922">
        <v>68922.64</v>
      </c>
      <c r="T226" s="899">
        <f>U226/$C$226</f>
        <v>12690279.359430604</v>
      </c>
      <c r="U226" s="922">
        <v>71319.37</v>
      </c>
      <c r="V226" s="899">
        <f>W226/$C$226</f>
        <v>14033218.861209964</v>
      </c>
      <c r="W226" s="923">
        <v>78866.69</v>
      </c>
      <c r="X226" s="899">
        <f>Y226/$C$226</f>
        <v>15854873.665480427</v>
      </c>
      <c r="Y226" s="922">
        <v>89104.39</v>
      </c>
      <c r="Z226" s="899">
        <f>AA226/$C$226</f>
        <v>16079957.295373665</v>
      </c>
      <c r="AA226" s="922">
        <v>90369.36</v>
      </c>
      <c r="AB226" s="899">
        <f>AC226/$C$226</f>
        <v>14656001.77935943</v>
      </c>
      <c r="AC226" s="922">
        <v>82366.73</v>
      </c>
      <c r="AD226" s="898">
        <f t="shared" si="12"/>
        <v>936671.52</v>
      </c>
    </row>
    <row r="227" spans="1:30">
      <c r="A227" s="910">
        <v>223</v>
      </c>
      <c r="B227" s="900" t="s">
        <v>2658</v>
      </c>
      <c r="G227" s="938">
        <v>-18488.490000000002</v>
      </c>
      <c r="H227" s="930"/>
      <c r="I227" s="938">
        <v>-19578.41</v>
      </c>
      <c r="J227" s="930"/>
      <c r="K227" s="938">
        <v>-19041.900000000001</v>
      </c>
      <c r="L227" s="930"/>
      <c r="M227" s="938">
        <v>-18545.41</v>
      </c>
      <c r="N227" s="930"/>
      <c r="O227" s="938">
        <v>-17553.05</v>
      </c>
      <c r="P227" s="930"/>
      <c r="Q227" s="938">
        <v>-18788.41</v>
      </c>
      <c r="R227" s="930"/>
      <c r="S227" s="938">
        <v>-17047.929999999997</v>
      </c>
      <c r="U227" s="898">
        <v>-16801.620000000003</v>
      </c>
      <c r="W227" s="923">
        <v>-17752.87</v>
      </c>
      <c r="X227" s="925"/>
      <c r="Y227" s="922">
        <v>-20100.330000000002</v>
      </c>
      <c r="Z227" s="924"/>
      <c r="AA227" s="922">
        <v>-21181.899999999994</v>
      </c>
      <c r="AB227" s="924"/>
      <c r="AC227" s="922">
        <v>-21170.510000000002</v>
      </c>
      <c r="AD227" s="898">
        <f t="shared" ref="AD227:AD246" si="13">SUM(G227:AC227)</f>
        <v>-226050.83</v>
      </c>
    </row>
    <row r="228" spans="1:30">
      <c r="A228" s="910">
        <v>224</v>
      </c>
      <c r="B228" s="900" t="s">
        <v>2659</v>
      </c>
      <c r="G228" s="938">
        <v>-8510.57</v>
      </c>
      <c r="H228" s="930"/>
      <c r="I228" s="938">
        <v>-9012.31</v>
      </c>
      <c r="J228" s="930"/>
      <c r="K228" s="938">
        <v>-8765.34</v>
      </c>
      <c r="L228" s="930"/>
      <c r="M228" s="938">
        <v>-8536.75</v>
      </c>
      <c r="N228" s="930"/>
      <c r="O228" s="938">
        <v>-8079.95</v>
      </c>
      <c r="P228" s="930"/>
      <c r="Q228" s="938">
        <v>-8648.5999999999985</v>
      </c>
      <c r="R228" s="930"/>
      <c r="S228" s="938">
        <v>-7847.4</v>
      </c>
      <c r="U228" s="898">
        <v>-7734.0999999999995</v>
      </c>
      <c r="W228" s="923">
        <v>-8171.86</v>
      </c>
      <c r="X228" s="925"/>
      <c r="Y228" s="922">
        <v>-9252.5400000000009</v>
      </c>
      <c r="Z228" s="924"/>
      <c r="AA228" s="922">
        <v>-9750.4599999999991</v>
      </c>
      <c r="AB228" s="924"/>
      <c r="AC228" s="922">
        <v>-7782.4799999999987</v>
      </c>
      <c r="AD228" s="898">
        <f t="shared" si="13"/>
        <v>-102092.36</v>
      </c>
    </row>
    <row r="229" spans="1:30">
      <c r="A229" s="910">
        <v>225</v>
      </c>
      <c r="B229" s="900" t="s">
        <v>2660</v>
      </c>
      <c r="G229" s="938">
        <v>-15847.32</v>
      </c>
      <c r="H229" s="930"/>
      <c r="I229" s="938">
        <v>-16781.55</v>
      </c>
      <c r="J229" s="930"/>
      <c r="K229" s="938">
        <v>-16321.59</v>
      </c>
      <c r="L229" s="930"/>
      <c r="M229" s="938">
        <v>-15896.06</v>
      </c>
      <c r="N229" s="930"/>
      <c r="O229" s="938">
        <v>-15045.44</v>
      </c>
      <c r="P229" s="930"/>
      <c r="Q229" s="938">
        <v>-16104.38</v>
      </c>
      <c r="R229" s="930"/>
      <c r="S229" s="938">
        <v>-14612.5</v>
      </c>
      <c r="U229" s="898">
        <v>-14401.409999999998</v>
      </c>
      <c r="W229" s="923">
        <v>-15216.81</v>
      </c>
      <c r="X229" s="925"/>
      <c r="Y229" s="922">
        <v>-17228.910000000003</v>
      </c>
      <c r="Z229" s="924"/>
      <c r="AA229" s="922">
        <v>-18156.02</v>
      </c>
      <c r="AB229" s="924"/>
      <c r="AC229" s="922"/>
      <c r="AD229" s="898">
        <f t="shared" si="13"/>
        <v>-175611.99</v>
      </c>
    </row>
    <row r="230" spans="1:30">
      <c r="A230" s="910">
        <v>226</v>
      </c>
      <c r="B230" s="900" t="s">
        <v>2653</v>
      </c>
      <c r="G230" s="922">
        <v>9097.5</v>
      </c>
      <c r="H230" s="924"/>
      <c r="I230" s="922">
        <v>9633.84</v>
      </c>
      <c r="J230" s="924"/>
      <c r="K230" s="922">
        <v>9369.83</v>
      </c>
      <c r="L230" s="924"/>
      <c r="M230" s="922">
        <v>9125.3700000000008</v>
      </c>
      <c r="N230" s="924"/>
      <c r="O230" s="922">
        <v>8637.19</v>
      </c>
      <c r="P230" s="924"/>
      <c r="Q230" s="922">
        <v>9245.07</v>
      </c>
      <c r="R230" s="924"/>
      <c r="S230" s="922">
        <v>8388.69</v>
      </c>
      <c r="T230" s="924"/>
      <c r="U230" s="922">
        <v>8267.48</v>
      </c>
      <c r="V230" s="924"/>
      <c r="W230" s="923">
        <v>8735.5</v>
      </c>
      <c r="X230" s="925"/>
      <c r="Y230" s="922">
        <v>9890.66</v>
      </c>
      <c r="Z230" s="924"/>
      <c r="AA230" s="922">
        <v>10422.849999999999</v>
      </c>
      <c r="AB230" s="924"/>
      <c r="AC230" s="922">
        <v>8945.35</v>
      </c>
      <c r="AD230" s="898">
        <f t="shared" si="13"/>
        <v>109759.33000000002</v>
      </c>
    </row>
    <row r="231" spans="1:30">
      <c r="A231" s="910">
        <v>227</v>
      </c>
      <c r="B231" s="900" t="s">
        <v>2654</v>
      </c>
      <c r="G231" s="922">
        <v>50183.09</v>
      </c>
      <c r="H231" s="924"/>
      <c r="I231" s="922">
        <v>53141.57</v>
      </c>
      <c r="J231" s="924"/>
      <c r="K231" s="922">
        <v>51685.16</v>
      </c>
      <c r="L231" s="924"/>
      <c r="M231" s="922">
        <v>50337.49</v>
      </c>
      <c r="N231" s="924"/>
      <c r="O231" s="922">
        <v>47643.9</v>
      </c>
      <c r="P231" s="924"/>
      <c r="Q231" s="922">
        <v>50997.07</v>
      </c>
      <c r="R231" s="924"/>
      <c r="S231" s="922">
        <v>46272.92</v>
      </c>
      <c r="T231" s="924"/>
      <c r="U231" s="922">
        <v>45604.37</v>
      </c>
      <c r="V231" s="924"/>
      <c r="W231" s="923">
        <v>48186.43</v>
      </c>
      <c r="X231" s="925"/>
      <c r="Y231" s="922">
        <v>54558.14</v>
      </c>
      <c r="Z231" s="924"/>
      <c r="AA231" s="922">
        <v>57493.850000000006</v>
      </c>
      <c r="AB231" s="924"/>
      <c r="AC231" s="922">
        <v>51882.67</v>
      </c>
      <c r="AD231" s="898">
        <f t="shared" si="13"/>
        <v>607986.66</v>
      </c>
    </row>
    <row r="232" spans="1:30">
      <c r="A232" s="910">
        <v>228</v>
      </c>
      <c r="B232" s="900" t="s">
        <v>2894</v>
      </c>
      <c r="G232" s="922">
        <v>1250</v>
      </c>
      <c r="H232" s="924"/>
      <c r="I232" s="922">
        <v>1250</v>
      </c>
      <c r="J232" s="924"/>
      <c r="K232" s="922">
        <v>1250</v>
      </c>
      <c r="L232" s="924"/>
      <c r="M232" s="922">
        <v>1250</v>
      </c>
      <c r="N232" s="924"/>
      <c r="O232" s="922">
        <v>1250</v>
      </c>
      <c r="P232" s="924"/>
      <c r="Q232" s="922">
        <v>1750</v>
      </c>
      <c r="R232" s="924"/>
      <c r="S232" s="922">
        <v>1875</v>
      </c>
      <c r="T232" s="924"/>
      <c r="U232" s="922">
        <v>1875</v>
      </c>
      <c r="V232" s="924"/>
      <c r="W232" s="923">
        <v>1875</v>
      </c>
      <c r="X232" s="925"/>
      <c r="Y232" s="922">
        <v>1875</v>
      </c>
      <c r="Z232" s="924"/>
      <c r="AA232" s="922">
        <v>1875</v>
      </c>
      <c r="AB232" s="924"/>
      <c r="AC232" s="922">
        <v>1875</v>
      </c>
      <c r="AD232" s="898">
        <f t="shared" si="13"/>
        <v>19250</v>
      </c>
    </row>
    <row r="233" spans="1:30">
      <c r="A233" s="910">
        <v>229</v>
      </c>
      <c r="B233" s="900" t="s">
        <v>2894</v>
      </c>
      <c r="G233" s="922">
        <v>500</v>
      </c>
      <c r="H233" s="924"/>
      <c r="I233" s="922">
        <v>500</v>
      </c>
      <c r="J233" s="924"/>
      <c r="K233" s="922">
        <v>500</v>
      </c>
      <c r="L233" s="924"/>
      <c r="M233" s="922">
        <v>500</v>
      </c>
      <c r="N233" s="924"/>
      <c r="O233" s="922">
        <v>500</v>
      </c>
      <c r="P233" s="924"/>
      <c r="R233" s="924"/>
      <c r="S233" s="922">
        <v>0</v>
      </c>
      <c r="T233" s="924"/>
      <c r="U233" s="922">
        <v>0</v>
      </c>
      <c r="V233" s="924"/>
      <c r="W233" s="923"/>
      <c r="X233" s="925"/>
      <c r="Y233" s="922"/>
      <c r="Z233" s="924"/>
      <c r="AA233" s="922"/>
      <c r="AB233" s="924"/>
      <c r="AC233" s="922"/>
      <c r="AD233" s="898">
        <f t="shared" si="13"/>
        <v>2500</v>
      </c>
    </row>
    <row r="234" spans="1:30">
      <c r="A234" s="910">
        <v>230</v>
      </c>
      <c r="B234" s="900" t="s">
        <v>2719</v>
      </c>
      <c r="G234" s="922">
        <v>47189.87</v>
      </c>
      <c r="H234" s="924"/>
      <c r="I234" s="922">
        <v>49121.58</v>
      </c>
      <c r="J234" s="924"/>
      <c r="K234" s="922">
        <v>48745.17</v>
      </c>
      <c r="L234" s="924"/>
      <c r="M234" s="922">
        <v>47806.36</v>
      </c>
      <c r="N234" s="924"/>
      <c r="O234" s="922">
        <v>45866.14</v>
      </c>
      <c r="P234" s="924"/>
      <c r="Q234" s="922">
        <v>45787.14</v>
      </c>
      <c r="R234" s="924"/>
      <c r="S234" s="922">
        <v>44979.43</v>
      </c>
      <c r="T234" s="924"/>
      <c r="U234" s="922">
        <v>44335.180000000008</v>
      </c>
      <c r="V234" s="924"/>
      <c r="W234" s="898">
        <v>44722.64</v>
      </c>
      <c r="Y234" s="922">
        <v>48353.61</v>
      </c>
      <c r="Z234" s="924"/>
      <c r="AA234" s="922">
        <v>49420.060000000005</v>
      </c>
      <c r="AB234" s="924"/>
      <c r="AC234" s="922">
        <v>46018.32</v>
      </c>
      <c r="AD234" s="898">
        <f t="shared" si="13"/>
        <v>562345.5</v>
      </c>
    </row>
    <row r="235" spans="1:30">
      <c r="A235" s="910">
        <v>231</v>
      </c>
      <c r="B235" s="900" t="s">
        <v>2661</v>
      </c>
      <c r="G235" s="922">
        <v>34144.520000000004</v>
      </c>
      <c r="H235" s="924"/>
      <c r="I235" s="922">
        <v>35729.840000000004</v>
      </c>
      <c r="J235" s="924"/>
      <c r="K235" s="922">
        <v>35310.480000000003</v>
      </c>
      <c r="L235" s="924"/>
      <c r="M235" s="922">
        <v>34677.68</v>
      </c>
      <c r="N235" s="924"/>
      <c r="O235" s="922">
        <v>31643.9</v>
      </c>
      <c r="P235" s="924"/>
      <c r="Q235" s="922">
        <v>31473.71</v>
      </c>
      <c r="R235" s="924"/>
      <c r="S235" s="922">
        <v>31492.310000000005</v>
      </c>
      <c r="T235" s="924"/>
      <c r="U235" s="922">
        <v>32294.77</v>
      </c>
      <c r="V235" s="924"/>
      <c r="W235" s="898">
        <v>33382.080000000002</v>
      </c>
      <c r="Y235" s="922">
        <v>35899.18</v>
      </c>
      <c r="Z235" s="924"/>
      <c r="AA235" s="922">
        <v>38109.590000000004</v>
      </c>
      <c r="AB235" s="924"/>
      <c r="AC235" s="922">
        <v>34238.339999999997</v>
      </c>
      <c r="AD235" s="898">
        <f t="shared" si="13"/>
        <v>408396.4</v>
      </c>
    </row>
    <row r="236" spans="1:30">
      <c r="A236" s="910">
        <v>232</v>
      </c>
      <c r="B236" s="900" t="s">
        <v>2676</v>
      </c>
      <c r="G236" s="922">
        <v>98.47</v>
      </c>
      <c r="H236" s="924"/>
      <c r="I236" s="922">
        <v>112.52</v>
      </c>
      <c r="J236" s="924"/>
      <c r="K236" s="922">
        <v>118.7</v>
      </c>
      <c r="L236" s="924"/>
      <c r="M236" s="922">
        <v>88.25</v>
      </c>
      <c r="N236" s="924"/>
      <c r="O236" s="922">
        <v>91.67</v>
      </c>
      <c r="P236" s="924"/>
      <c r="Q236" s="922">
        <v>114.07000000000001</v>
      </c>
      <c r="R236" s="924"/>
      <c r="S236" s="922">
        <v>90.36999999999999</v>
      </c>
      <c r="T236" s="924"/>
      <c r="U236" s="922"/>
      <c r="V236" s="924"/>
      <c r="Y236" s="922"/>
      <c r="Z236" s="924"/>
      <c r="AA236" s="922"/>
      <c r="AB236" s="924"/>
      <c r="AC236" s="922"/>
      <c r="AD236" s="898">
        <f t="shared" si="13"/>
        <v>714.05000000000007</v>
      </c>
    </row>
    <row r="237" spans="1:30">
      <c r="A237" s="910">
        <v>233</v>
      </c>
      <c r="B237" s="900" t="s">
        <v>2684</v>
      </c>
      <c r="G237" s="922">
        <v>728.39</v>
      </c>
      <c r="H237" s="924"/>
      <c r="I237" s="898">
        <v>2676.24</v>
      </c>
      <c r="K237" s="898">
        <v>2553.2200000000003</v>
      </c>
      <c r="M237" s="922">
        <v>60</v>
      </c>
      <c r="N237" s="924"/>
      <c r="O237" s="922">
        <v>60</v>
      </c>
      <c r="P237" s="924"/>
      <c r="Q237" s="922">
        <v>60</v>
      </c>
      <c r="R237" s="924"/>
      <c r="S237" s="922">
        <v>60</v>
      </c>
      <c r="T237" s="924"/>
      <c r="U237" s="922"/>
      <c r="V237" s="924"/>
      <c r="Y237" s="922"/>
      <c r="Z237" s="924"/>
      <c r="AA237" s="922"/>
      <c r="AB237" s="924"/>
      <c r="AC237" s="922"/>
      <c r="AD237" s="898">
        <f t="shared" si="13"/>
        <v>6197.85</v>
      </c>
    </row>
    <row r="238" spans="1:30">
      <c r="A238" s="910">
        <v>234</v>
      </c>
      <c r="B238" s="900" t="s">
        <v>2662</v>
      </c>
      <c r="G238" s="922">
        <v>81.180000000000007</v>
      </c>
      <c r="H238" s="924"/>
      <c r="I238" s="922">
        <v>103.43</v>
      </c>
      <c r="J238" s="924"/>
      <c r="K238" s="922">
        <v>103.3</v>
      </c>
      <c r="L238" s="924"/>
      <c r="M238" s="922">
        <v>2335.15</v>
      </c>
      <c r="N238" s="924"/>
      <c r="O238" s="922">
        <v>773.95</v>
      </c>
      <c r="P238" s="924"/>
      <c r="Q238" s="922">
        <v>1065.1600000000001</v>
      </c>
      <c r="R238" s="924"/>
      <c r="S238" s="922">
        <v>1140.77</v>
      </c>
      <c r="T238" s="924"/>
      <c r="U238" s="922"/>
      <c r="V238" s="924"/>
      <c r="Y238" s="922"/>
      <c r="Z238" s="924"/>
      <c r="AA238" s="922"/>
      <c r="AB238" s="924"/>
      <c r="AC238" s="922"/>
      <c r="AD238" s="898">
        <f t="shared" si="13"/>
        <v>5602.9400000000005</v>
      </c>
    </row>
    <row r="239" spans="1:30">
      <c r="A239" s="910">
        <v>235</v>
      </c>
      <c r="B239" s="900" t="s">
        <v>2663</v>
      </c>
      <c r="G239" s="922">
        <v>-121.68</v>
      </c>
      <c r="H239" s="924"/>
      <c r="I239" s="922">
        <v>-123.31</v>
      </c>
      <c r="J239" s="924"/>
      <c r="K239" s="922">
        <v>-119.17</v>
      </c>
      <c r="L239" s="924"/>
      <c r="M239" s="922">
        <v>102.84</v>
      </c>
      <c r="N239" s="924"/>
      <c r="O239" s="922">
        <v>97.25</v>
      </c>
      <c r="P239" s="924"/>
      <c r="Q239" s="922">
        <v>98.51</v>
      </c>
      <c r="R239" s="924"/>
      <c r="S239" s="922">
        <v>95.69</v>
      </c>
      <c r="T239" s="924"/>
      <c r="U239" s="922"/>
      <c r="V239" s="924"/>
      <c r="Y239" s="922"/>
      <c r="Z239" s="924"/>
      <c r="AA239" s="922"/>
      <c r="AB239" s="924"/>
      <c r="AC239" s="922"/>
      <c r="AD239" s="898">
        <f t="shared" si="13"/>
        <v>30.129999999999953</v>
      </c>
    </row>
    <row r="240" spans="1:30">
      <c r="A240" s="910">
        <v>236</v>
      </c>
      <c r="B240" s="900" t="s">
        <v>2664</v>
      </c>
      <c r="G240" s="922">
        <v>708</v>
      </c>
      <c r="H240" s="924"/>
      <c r="I240" s="922">
        <v>721.19</v>
      </c>
      <c r="J240" s="924"/>
      <c r="K240" s="922">
        <v>554.18000000000006</v>
      </c>
      <c r="L240" s="924"/>
      <c r="M240" s="922">
        <v>-119.99</v>
      </c>
      <c r="N240" s="924"/>
      <c r="O240" s="922">
        <v>-120.16</v>
      </c>
      <c r="P240" s="924"/>
      <c r="Q240" s="922">
        <v>-118.48</v>
      </c>
      <c r="R240" s="924"/>
      <c r="S240" s="922">
        <v>-111.94</v>
      </c>
      <c r="T240" s="924"/>
      <c r="U240" s="922">
        <v>-117.86</v>
      </c>
      <c r="V240" s="924"/>
      <c r="W240" s="898">
        <v>-119.86</v>
      </c>
      <c r="Y240" s="922">
        <v>-118</v>
      </c>
      <c r="Z240" s="924"/>
      <c r="AA240" s="922">
        <v>-127.87</v>
      </c>
      <c r="AB240" s="924"/>
      <c r="AC240" s="922">
        <v>-124.88999999999999</v>
      </c>
      <c r="AD240" s="898">
        <f t="shared" si="13"/>
        <v>904.32</v>
      </c>
    </row>
    <row r="241" spans="1:31">
      <c r="A241" s="910">
        <v>237</v>
      </c>
      <c r="B241" s="900" t="s">
        <v>2665</v>
      </c>
      <c r="G241" s="922"/>
      <c r="H241" s="924"/>
      <c r="I241" s="922"/>
      <c r="J241" s="924"/>
      <c r="K241" s="922"/>
      <c r="L241" s="924"/>
      <c r="M241" s="922">
        <v>670.49</v>
      </c>
      <c r="N241" s="924"/>
      <c r="O241" s="922">
        <v>645.11</v>
      </c>
      <c r="P241" s="924"/>
      <c r="Q241" s="922">
        <v>563.55999999999995</v>
      </c>
      <c r="R241" s="924"/>
      <c r="S241" s="922">
        <v>639.61</v>
      </c>
      <c r="T241" s="924"/>
      <c r="U241" s="922">
        <v>763.58999999999992</v>
      </c>
      <c r="V241" s="924"/>
      <c r="W241" s="898">
        <v>843.05</v>
      </c>
      <c r="Y241" s="922">
        <v>905.88</v>
      </c>
      <c r="Z241" s="924"/>
      <c r="AA241" s="922">
        <v>775.78</v>
      </c>
      <c r="AB241" s="924"/>
      <c r="AC241" s="922">
        <v>715.5</v>
      </c>
      <c r="AD241" s="898">
        <f t="shared" si="13"/>
        <v>6522.57</v>
      </c>
    </row>
    <row r="242" spans="1:31">
      <c r="A242" s="910">
        <v>238</v>
      </c>
      <c r="B242" s="900" t="s">
        <v>2677</v>
      </c>
      <c r="G242" s="922"/>
      <c r="H242" s="924"/>
      <c r="I242" s="922"/>
      <c r="J242" s="924"/>
      <c r="M242" s="898">
        <v>-757.31</v>
      </c>
      <c r="S242" s="898">
        <v>0</v>
      </c>
      <c r="U242" s="922">
        <v>-19782.670000000006</v>
      </c>
      <c r="V242" s="924"/>
      <c r="Y242" s="898">
        <v>7214.24</v>
      </c>
      <c r="AA242" s="898">
        <v>7.21</v>
      </c>
      <c r="AD242" s="898">
        <f t="shared" si="13"/>
        <v>-13318.530000000008</v>
      </c>
    </row>
    <row r="243" spans="1:31">
      <c r="A243" s="910">
        <v>239</v>
      </c>
      <c r="B243" s="900" t="s">
        <v>2884</v>
      </c>
      <c r="G243" s="922">
        <f>SUM(G220:G242)</f>
        <v>1164258.1200000001</v>
      </c>
      <c r="H243" s="922"/>
      <c r="I243" s="922">
        <f>SUM(I220:I242)</f>
        <v>1214333.8799999999</v>
      </c>
      <c r="J243" s="922"/>
      <c r="K243" s="922">
        <f>SUM(K220:K242)</f>
        <v>1204288.1799999997</v>
      </c>
      <c r="L243" s="922"/>
      <c r="M243" s="922">
        <f>SUM(M220:M242)</f>
        <v>1180255.27</v>
      </c>
      <c r="N243" s="922"/>
      <c r="O243" s="922">
        <f>SUM(O220:O242)</f>
        <v>1129778.7</v>
      </c>
      <c r="P243" s="922"/>
      <c r="Q243" s="922">
        <f>SUM(Q220:Q242)</f>
        <v>1129080.8399999999</v>
      </c>
      <c r="R243" s="922"/>
      <c r="S243" s="922">
        <f>SUM(S220:S242)</f>
        <v>1108647.58</v>
      </c>
      <c r="T243" s="922"/>
      <c r="U243" s="922">
        <f>SUM(U220:U242)</f>
        <v>1072997.6500000001</v>
      </c>
      <c r="V243" s="922"/>
      <c r="W243" s="922">
        <f>SUM(W220:W242)</f>
        <v>1103921.6100000001</v>
      </c>
      <c r="X243" s="922"/>
      <c r="Y243" s="922">
        <f>SUM(Y220:Y242)</f>
        <v>1201377.8799999997</v>
      </c>
      <c r="Z243" s="922"/>
      <c r="AA243" s="922">
        <f>SUM(AA220:AA242)</f>
        <v>1222339.1400000004</v>
      </c>
      <c r="AB243" s="922"/>
      <c r="AC243" s="922">
        <f>SUM(AC220:AC242)</f>
        <v>1151276.54</v>
      </c>
      <c r="AD243" s="898">
        <f t="shared" si="13"/>
        <v>13882555.389999997</v>
      </c>
    </row>
    <row r="244" spans="1:31">
      <c r="A244" s="910">
        <v>240</v>
      </c>
      <c r="B244" s="900" t="s">
        <v>2514</v>
      </c>
      <c r="G244" s="924">
        <v>29346851</v>
      </c>
      <c r="H244" s="924"/>
      <c r="I244" s="924">
        <v>31076934</v>
      </c>
      <c r="J244" s="924"/>
      <c r="K244" s="924">
        <v>30225230</v>
      </c>
      <c r="L244" s="924"/>
      <c r="M244" s="924">
        <v>29437116</v>
      </c>
      <c r="N244" s="924"/>
      <c r="O244" s="924">
        <v>27861922</v>
      </c>
      <c r="P244" s="924"/>
      <c r="Q244" s="924">
        <v>29822871</v>
      </c>
      <c r="R244" s="924"/>
      <c r="S244" s="924">
        <v>26669236</v>
      </c>
      <c r="T244" s="924"/>
      <c r="U244" s="924">
        <v>26669236</v>
      </c>
      <c r="V244" s="924"/>
      <c r="W244" s="930">
        <v>28179207</v>
      </c>
      <c r="X244" s="930"/>
      <c r="Y244" s="924">
        <v>31905338</v>
      </c>
      <c r="Z244" s="924"/>
      <c r="AA244" s="924">
        <v>33622137</v>
      </c>
      <c r="AB244" s="924"/>
      <c r="AC244" s="924">
        <v>29817626</v>
      </c>
      <c r="AD244" s="928">
        <f t="shared" si="13"/>
        <v>354633704</v>
      </c>
      <c r="AE244" s="928"/>
    </row>
    <row r="245" spans="1:31">
      <c r="A245" s="910">
        <v>241</v>
      </c>
      <c r="B245" s="910" t="s">
        <v>2885</v>
      </c>
      <c r="G245" s="899"/>
      <c r="I245" s="924"/>
      <c r="J245" s="924"/>
      <c r="K245" s="899"/>
      <c r="M245" s="899"/>
      <c r="O245" s="899"/>
      <c r="Q245" s="899"/>
      <c r="S245" s="930">
        <v>-582010</v>
      </c>
      <c r="U245" s="924">
        <v>-582010</v>
      </c>
      <c r="V245" s="924"/>
      <c r="W245" s="899"/>
      <c r="Y245" s="899">
        <v>294750</v>
      </c>
      <c r="AA245" s="899">
        <v>132</v>
      </c>
      <c r="AC245" s="899"/>
      <c r="AD245" s="928">
        <f t="shared" si="13"/>
        <v>-869138</v>
      </c>
      <c r="AE245" s="928"/>
    </row>
    <row r="246" spans="1:31">
      <c r="A246" s="910">
        <v>242</v>
      </c>
      <c r="B246" s="910" t="s">
        <v>2886</v>
      </c>
      <c r="G246" s="924">
        <f>SUM(G244:G245)</f>
        <v>29346851</v>
      </c>
      <c r="H246" s="924"/>
      <c r="I246" s="924">
        <f t="shared" ref="I246:AC246" si="14">SUM(I244:I245)</f>
        <v>31076934</v>
      </c>
      <c r="J246" s="924">
        <f t="shared" si="14"/>
        <v>0</v>
      </c>
      <c r="K246" s="924">
        <f t="shared" si="14"/>
        <v>30225230</v>
      </c>
      <c r="L246" s="924">
        <f t="shared" si="14"/>
        <v>0</v>
      </c>
      <c r="M246" s="924">
        <f t="shared" si="14"/>
        <v>29437116</v>
      </c>
      <c r="N246" s="924">
        <f t="shared" si="14"/>
        <v>0</v>
      </c>
      <c r="O246" s="924">
        <f t="shared" si="14"/>
        <v>27861922</v>
      </c>
      <c r="P246" s="924">
        <f t="shared" si="14"/>
        <v>0</v>
      </c>
      <c r="Q246" s="924">
        <f t="shared" si="14"/>
        <v>29822871</v>
      </c>
      <c r="R246" s="924">
        <f t="shared" si="14"/>
        <v>0</v>
      </c>
      <c r="S246" s="924">
        <f t="shared" si="14"/>
        <v>26087226</v>
      </c>
      <c r="T246" s="924">
        <f t="shared" si="14"/>
        <v>0</v>
      </c>
      <c r="U246" s="924">
        <f t="shared" si="14"/>
        <v>26087226</v>
      </c>
      <c r="V246" s="924">
        <f t="shared" si="14"/>
        <v>0</v>
      </c>
      <c r="W246" s="924">
        <f t="shared" si="14"/>
        <v>28179207</v>
      </c>
      <c r="X246" s="924">
        <f t="shared" si="14"/>
        <v>0</v>
      </c>
      <c r="Y246" s="924">
        <f t="shared" si="14"/>
        <v>32200088</v>
      </c>
      <c r="Z246" s="924">
        <f t="shared" si="14"/>
        <v>0</v>
      </c>
      <c r="AA246" s="924">
        <f t="shared" si="14"/>
        <v>33622269</v>
      </c>
      <c r="AB246" s="924">
        <f t="shared" si="14"/>
        <v>0</v>
      </c>
      <c r="AC246" s="924">
        <f t="shared" si="14"/>
        <v>29817626</v>
      </c>
      <c r="AD246" s="928">
        <f t="shared" si="13"/>
        <v>353764566</v>
      </c>
      <c r="AE246" s="928"/>
    </row>
    <row r="247" spans="1:31">
      <c r="A247" s="910">
        <v>243</v>
      </c>
      <c r="B247" s="837"/>
    </row>
    <row r="248" spans="1:31">
      <c r="A248" s="910">
        <v>244</v>
      </c>
      <c r="B248" s="851" t="s">
        <v>2722</v>
      </c>
    </row>
    <row r="249" spans="1:31">
      <c r="A249" s="910">
        <v>245</v>
      </c>
      <c r="B249" s="830" t="s">
        <v>2724</v>
      </c>
      <c r="C249" s="910">
        <v>625</v>
      </c>
      <c r="E249" s="910">
        <v>625</v>
      </c>
      <c r="F249" s="899">
        <f>G249/$C$249</f>
        <v>1</v>
      </c>
      <c r="G249" s="898">
        <v>625</v>
      </c>
      <c r="H249" s="899">
        <f>I249/$C$249</f>
        <v>1</v>
      </c>
      <c r="I249" s="922">
        <v>625</v>
      </c>
      <c r="J249" s="899">
        <f>K249/$C$249</f>
        <v>1</v>
      </c>
      <c r="K249" s="922">
        <v>625</v>
      </c>
      <c r="L249" s="899">
        <f>M249/$C$249</f>
        <v>1</v>
      </c>
      <c r="M249" s="922">
        <v>625</v>
      </c>
      <c r="N249" s="899">
        <f>O249/$C$249</f>
        <v>1</v>
      </c>
      <c r="O249" s="922">
        <v>625</v>
      </c>
      <c r="P249" s="899">
        <f>Q249/$C$249</f>
        <v>1</v>
      </c>
      <c r="Q249" s="922">
        <v>625</v>
      </c>
      <c r="R249" s="899">
        <f>S249/$C$249</f>
        <v>1</v>
      </c>
      <c r="S249" s="922">
        <v>625</v>
      </c>
      <c r="T249" s="899">
        <f>U249/$E$249</f>
        <v>1</v>
      </c>
      <c r="U249" s="922">
        <v>625</v>
      </c>
      <c r="V249" s="899">
        <f>W249/$E$249</f>
        <v>1</v>
      </c>
      <c r="W249" s="898">
        <v>625</v>
      </c>
      <c r="X249" s="899">
        <f>Y249/$E$249</f>
        <v>1</v>
      </c>
      <c r="Y249" s="922">
        <v>625</v>
      </c>
      <c r="Z249" s="899">
        <f>AA249/$E$249</f>
        <v>1</v>
      </c>
      <c r="AA249" s="922">
        <v>625</v>
      </c>
      <c r="AB249" s="941">
        <f>AC249/$E$249</f>
        <v>1</v>
      </c>
      <c r="AC249" s="922">
        <v>625</v>
      </c>
      <c r="AD249" s="898">
        <f t="shared" ref="AD249:AD254" si="15">SUM(G249,I249,K249,M249,O249,Q249,S249,U249,W249,Y249,AA249,AC249)</f>
        <v>7500</v>
      </c>
    </row>
    <row r="250" spans="1:31">
      <c r="A250" s="910">
        <v>246</v>
      </c>
      <c r="B250" s="830" t="s">
        <v>2713</v>
      </c>
      <c r="C250" s="910">
        <v>13219.29</v>
      </c>
      <c r="E250" s="943">
        <v>13344.87</v>
      </c>
      <c r="F250" s="899">
        <f>G250/$C$250</f>
        <v>1</v>
      </c>
      <c r="G250" s="898">
        <v>13219.29</v>
      </c>
      <c r="H250" s="899">
        <f>I250/$C$250</f>
        <v>1</v>
      </c>
      <c r="I250" s="922">
        <v>13219.29</v>
      </c>
      <c r="J250" s="899">
        <f>K250/$C$250</f>
        <v>1</v>
      </c>
      <c r="K250" s="922">
        <v>13219.29</v>
      </c>
      <c r="L250" s="899">
        <f>M250/$C$250</f>
        <v>1</v>
      </c>
      <c r="M250" s="922">
        <v>13219.29</v>
      </c>
      <c r="N250" s="899">
        <f>O250/$C$250</f>
        <v>1</v>
      </c>
      <c r="O250" s="922">
        <v>13219.29</v>
      </c>
      <c r="P250" s="899">
        <f>Q250/$C$250</f>
        <v>1</v>
      </c>
      <c r="Q250" s="922">
        <v>13219.29</v>
      </c>
      <c r="R250" s="899">
        <f>S250/$C$250</f>
        <v>1</v>
      </c>
      <c r="S250" s="922">
        <v>13219.29</v>
      </c>
      <c r="T250" s="899">
        <f>U250/$E$250</f>
        <v>1</v>
      </c>
      <c r="U250" s="922">
        <v>13344.87</v>
      </c>
      <c r="V250" s="899">
        <f>W250/$E$250</f>
        <v>1</v>
      </c>
      <c r="W250" s="898">
        <v>13344.87</v>
      </c>
      <c r="X250" s="899">
        <f>Y250/$E$250</f>
        <v>1</v>
      </c>
      <c r="Y250" s="922">
        <v>13344.87</v>
      </c>
      <c r="Z250" s="899">
        <f>AA250/$E$250</f>
        <v>1</v>
      </c>
      <c r="AA250" s="922">
        <v>13344.87</v>
      </c>
      <c r="AB250" s="899">
        <f>AC250/$E$250</f>
        <v>1</v>
      </c>
      <c r="AC250" s="922">
        <v>13344.87</v>
      </c>
      <c r="AD250" s="898">
        <f t="shared" si="15"/>
        <v>159259.38</v>
      </c>
    </row>
    <row r="251" spans="1:31">
      <c r="A251" s="910">
        <v>247</v>
      </c>
      <c r="B251" s="830" t="s">
        <v>2738</v>
      </c>
      <c r="E251" s="944"/>
      <c r="S251" s="922">
        <v>0</v>
      </c>
      <c r="AD251" s="898">
        <f t="shared" si="15"/>
        <v>0</v>
      </c>
    </row>
    <row r="252" spans="1:31">
      <c r="A252" s="910">
        <v>248</v>
      </c>
      <c r="B252" s="830" t="s">
        <v>2737</v>
      </c>
      <c r="C252" s="910">
        <v>4.0000000000000002E-4</v>
      </c>
      <c r="E252" s="945">
        <v>4.0000000000000002E-4</v>
      </c>
      <c r="F252" s="899">
        <f>G252/$C$252</f>
        <v>2617900</v>
      </c>
      <c r="G252" s="898">
        <v>1047.1600000000001</v>
      </c>
      <c r="H252" s="899">
        <f>I252/$C$252</f>
        <v>3202150</v>
      </c>
      <c r="I252" s="922">
        <v>1280.8600000000001</v>
      </c>
      <c r="J252" s="899">
        <f>K252/$C$252</f>
        <v>2316550</v>
      </c>
      <c r="K252" s="922">
        <v>926.62</v>
      </c>
      <c r="L252" s="899">
        <f>M252/$C$252</f>
        <v>2298400</v>
      </c>
      <c r="M252" s="922">
        <v>919.36</v>
      </c>
      <c r="N252" s="899">
        <f>O252/$C$252</f>
        <v>2069824.9999999998</v>
      </c>
      <c r="O252" s="922">
        <v>827.93</v>
      </c>
      <c r="P252" s="899">
        <f>Q252/$C$252</f>
        <v>1973650</v>
      </c>
      <c r="Q252" s="922">
        <v>789.46</v>
      </c>
      <c r="R252" s="899">
        <f>S252/$C$252</f>
        <v>2265725</v>
      </c>
      <c r="S252" s="922">
        <v>906.29</v>
      </c>
      <c r="T252" s="899">
        <f>U252/$E$252</f>
        <v>2468675</v>
      </c>
      <c r="U252" s="922">
        <v>987.47</v>
      </c>
      <c r="V252" s="899">
        <f>W252/$E$252</f>
        <v>2310625</v>
      </c>
      <c r="W252" s="898">
        <v>924.25</v>
      </c>
      <c r="X252" s="899">
        <f>Y252/$E$252</f>
        <v>2238150</v>
      </c>
      <c r="Y252" s="922">
        <v>895.26</v>
      </c>
      <c r="Z252" s="899">
        <f>AA252/$E$252</f>
        <v>2832250</v>
      </c>
      <c r="AA252" s="922">
        <v>1132.9000000000001</v>
      </c>
      <c r="AB252" s="899">
        <f>AC252/$E$252</f>
        <v>3143974.9999999995</v>
      </c>
      <c r="AC252" s="922">
        <v>1257.5899999999999</v>
      </c>
      <c r="AD252" s="898">
        <f t="shared" si="15"/>
        <v>11895.150000000001</v>
      </c>
    </row>
    <row r="253" spans="1:31">
      <c r="A253" s="910">
        <v>249</v>
      </c>
      <c r="B253" s="830" t="s">
        <v>2895</v>
      </c>
      <c r="C253" s="910">
        <v>1.4541200000000001E-2</v>
      </c>
      <c r="E253" s="944">
        <v>1.4679299999999999E-2</v>
      </c>
      <c r="F253" s="899">
        <f>G253/$C$253</f>
        <v>2545058.179517509</v>
      </c>
      <c r="G253" s="898">
        <v>37008.200000000004</v>
      </c>
      <c r="H253" s="899">
        <f>I253/$C$253</f>
        <v>3006870.1345143453</v>
      </c>
      <c r="I253" s="922">
        <v>43723.5</v>
      </c>
      <c r="J253" s="899">
        <f>K253/$C$253</f>
        <v>2292202.1566308145</v>
      </c>
      <c r="K253" s="922">
        <v>33331.370000000003</v>
      </c>
      <c r="L253" s="899">
        <f>M253/$C$253</f>
        <v>2283506.8632575027</v>
      </c>
      <c r="M253" s="922">
        <v>33204.93</v>
      </c>
      <c r="N253" s="899">
        <f>O253/$C$253</f>
        <v>2069825.7365279344</v>
      </c>
      <c r="O253" s="922">
        <v>30097.75</v>
      </c>
      <c r="P253" s="899">
        <f>Q253/$C$253</f>
        <v>1973659.6704536076</v>
      </c>
      <c r="Q253" s="922">
        <v>28699.38</v>
      </c>
      <c r="R253" s="899">
        <f>S253/$C$253</f>
        <v>2265713.2836354636</v>
      </c>
      <c r="S253" s="922">
        <v>32946.19</v>
      </c>
      <c r="T253" s="899">
        <f>U253/$E$253</f>
        <v>2468668.1245018495</v>
      </c>
      <c r="U253" s="922">
        <v>36238.32</v>
      </c>
      <c r="V253" s="899">
        <f>W253/$E$253</f>
        <v>2310614.9475792442</v>
      </c>
      <c r="W253" s="898">
        <v>33918.21</v>
      </c>
      <c r="X253" s="899">
        <f>Y253/$E$253</f>
        <v>2238144.1894368259</v>
      </c>
      <c r="Y253" s="922">
        <v>32854.39</v>
      </c>
      <c r="Z253" s="899">
        <f>AA253/$E$253</f>
        <v>2855886.1798587129</v>
      </c>
      <c r="AA253" s="922">
        <v>41922.410000000003</v>
      </c>
      <c r="AB253" s="899">
        <f>AC253/$E$253</f>
        <v>3224084.2546987939</v>
      </c>
      <c r="AC253" s="922">
        <v>47327.3</v>
      </c>
      <c r="AD253" s="898">
        <f t="shared" si="15"/>
        <v>431271.95</v>
      </c>
    </row>
    <row r="254" spans="1:31">
      <c r="A254" s="910">
        <v>250</v>
      </c>
      <c r="B254" s="830" t="s">
        <v>2896</v>
      </c>
      <c r="C254" s="910">
        <v>1.8889699999999999E-2</v>
      </c>
      <c r="E254" s="944">
        <v>1.9069099999999999E-2</v>
      </c>
      <c r="F254" s="899">
        <f>G254/$C$254</f>
        <v>72832.813649766802</v>
      </c>
      <c r="G254" s="898">
        <v>1375.79</v>
      </c>
      <c r="H254" s="899">
        <f>I254/$C$254</f>
        <v>195282.0849457641</v>
      </c>
      <c r="I254" s="922">
        <v>3688.82</v>
      </c>
      <c r="J254" s="899">
        <f>K254/$C$254</f>
        <v>24352.954255493736</v>
      </c>
      <c r="K254" s="922">
        <v>460.02</v>
      </c>
      <c r="L254" s="899">
        <f>M254/$C$254</f>
        <v>14900.183697994145</v>
      </c>
      <c r="M254" s="922">
        <v>281.45999999999998</v>
      </c>
      <c r="N254" s="899">
        <f>O254/$C$254</f>
        <v>0</v>
      </c>
      <c r="P254" s="899">
        <f>Q254/$C$254</f>
        <v>0</v>
      </c>
      <c r="R254" s="899">
        <f>S254/$C$254</f>
        <v>0</v>
      </c>
      <c r="S254" s="898">
        <v>0</v>
      </c>
      <c r="T254" s="899">
        <f>U254/$E$254</f>
        <v>0</v>
      </c>
      <c r="U254" s="922">
        <v>0</v>
      </c>
      <c r="V254" s="899">
        <f>W254/$E$254</f>
        <v>0</v>
      </c>
      <c r="X254" s="899">
        <f>Y254/$E$254</f>
        <v>0</v>
      </c>
      <c r="Y254" s="922"/>
      <c r="Z254" s="899">
        <f>AA254/$E$254</f>
        <v>0</v>
      </c>
      <c r="AA254" s="922"/>
      <c r="AB254" s="899">
        <f>AC254/$E$254</f>
        <v>0</v>
      </c>
      <c r="AD254" s="898">
        <f t="shared" si="15"/>
        <v>5806.0900000000011</v>
      </c>
    </row>
    <row r="255" spans="1:31">
      <c r="A255" s="910">
        <v>251</v>
      </c>
      <c r="B255" s="830" t="s">
        <v>2719</v>
      </c>
      <c r="G255" s="922">
        <v>2360.63</v>
      </c>
      <c r="H255" s="924"/>
      <c r="I255" s="922">
        <v>2771.04</v>
      </c>
      <c r="J255" s="924"/>
      <c r="K255" s="922">
        <v>2151.8000000000002</v>
      </c>
      <c r="L255" s="924"/>
      <c r="M255" s="898">
        <v>2137.96</v>
      </c>
      <c r="N255" s="924"/>
      <c r="O255" s="922">
        <v>1983.76</v>
      </c>
      <c r="P255" s="924"/>
      <c r="Q255" s="922">
        <v>1920.09</v>
      </c>
      <c r="R255" s="924"/>
      <c r="S255" s="922">
        <v>2113.44</v>
      </c>
      <c r="T255" s="924"/>
      <c r="U255" s="922">
        <v>2268.48</v>
      </c>
      <c r="V255" s="924"/>
      <c r="W255" s="898">
        <v>2162.87</v>
      </c>
      <c r="Y255" s="922">
        <v>2114.4499999999998</v>
      </c>
      <c r="Z255" s="924"/>
      <c r="AA255" s="922">
        <v>2526.79</v>
      </c>
      <c r="AB255" s="924"/>
      <c r="AC255" s="922">
        <v>2771.8</v>
      </c>
      <c r="AD255" s="898">
        <f t="shared" ref="AD255:AD260" si="16">SUM(G255:AC255)</f>
        <v>27283.11</v>
      </c>
    </row>
    <row r="256" spans="1:31">
      <c r="A256" s="910">
        <v>252</v>
      </c>
      <c r="B256" s="830" t="s">
        <v>2677</v>
      </c>
      <c r="G256" s="922"/>
      <c r="H256" s="924"/>
      <c r="I256" s="922"/>
      <c r="J256" s="924"/>
      <c r="K256" s="922"/>
      <c r="L256" s="924"/>
      <c r="M256" s="922"/>
      <c r="N256" s="924"/>
      <c r="O256" s="922"/>
      <c r="P256" s="924"/>
      <c r="Q256" s="922"/>
      <c r="R256" s="924"/>
      <c r="S256" s="922">
        <v>0</v>
      </c>
      <c r="T256" s="924"/>
      <c r="U256" s="922"/>
      <c r="V256" s="924"/>
      <c r="AD256" s="898">
        <f t="shared" si="16"/>
        <v>0</v>
      </c>
    </row>
    <row r="257" spans="1:31">
      <c r="A257" s="910">
        <v>253</v>
      </c>
      <c r="B257" s="830" t="s">
        <v>2884</v>
      </c>
      <c r="G257" s="922">
        <f>SUM(G249:G256)</f>
        <v>55636.070000000007</v>
      </c>
      <c r="H257" s="922"/>
      <c r="I257" s="922">
        <f>SUM(I249:I256)</f>
        <v>65308.51</v>
      </c>
      <c r="J257" s="922"/>
      <c r="K257" s="922">
        <f>SUM(K249:K256)</f>
        <v>50714.100000000006</v>
      </c>
      <c r="L257" s="922"/>
      <c r="M257" s="922">
        <f>SUM(M249:M256)</f>
        <v>50388</v>
      </c>
      <c r="N257" s="922"/>
      <c r="O257" s="922">
        <f>SUM(O249:O256)</f>
        <v>46753.73</v>
      </c>
      <c r="P257" s="922"/>
      <c r="Q257" s="922">
        <f>SUM(Q249:Q256)</f>
        <v>45253.22</v>
      </c>
      <c r="R257" s="922"/>
      <c r="S257" s="922">
        <f>SUM(S249:S256)</f>
        <v>49810.210000000006</v>
      </c>
      <c r="T257" s="922"/>
      <c r="U257" s="922">
        <v>53464.140000000007</v>
      </c>
      <c r="V257" s="922"/>
      <c r="W257" s="922">
        <f>SUM(W249:W256)</f>
        <v>50975.200000000004</v>
      </c>
      <c r="X257" s="922"/>
      <c r="Y257" s="922">
        <f>SUM(Y249:Y256)</f>
        <v>49833.97</v>
      </c>
      <c r="Z257" s="922"/>
      <c r="AA257" s="922">
        <f>SUM(AA249:AA256)</f>
        <v>59551.970000000008</v>
      </c>
      <c r="AB257" s="922"/>
      <c r="AC257" s="922">
        <f>SUM(AC249:AC256)</f>
        <v>65326.560000000005</v>
      </c>
      <c r="AD257" s="898">
        <f t="shared" si="16"/>
        <v>643015.68000000005</v>
      </c>
    </row>
    <row r="258" spans="1:31">
      <c r="A258" s="910">
        <v>254</v>
      </c>
      <c r="B258" s="830" t="s">
        <v>2514</v>
      </c>
      <c r="F258" s="928"/>
      <c r="G258" s="898">
        <v>2545058</v>
      </c>
      <c r="H258" s="926"/>
      <c r="I258" s="926">
        <v>3006870</v>
      </c>
      <c r="J258" s="926"/>
      <c r="K258" s="926">
        <v>2292202</v>
      </c>
      <c r="L258" s="926"/>
      <c r="M258" s="926">
        <v>2283507</v>
      </c>
      <c r="N258" s="926"/>
      <c r="O258" s="937">
        <v>2069826</v>
      </c>
      <c r="P258" s="926"/>
      <c r="Q258" s="924">
        <v>1973660</v>
      </c>
      <c r="R258" s="926"/>
      <c r="S258" s="924">
        <v>2265713</v>
      </c>
      <c r="T258" s="926"/>
      <c r="U258" s="924">
        <v>2468668</v>
      </c>
      <c r="V258" s="926"/>
      <c r="W258" s="899">
        <v>2310615</v>
      </c>
      <c r="X258" s="928"/>
      <c r="Y258" s="924">
        <v>2238144</v>
      </c>
      <c r="Z258" s="926"/>
      <c r="AA258" s="924">
        <v>2832256</v>
      </c>
      <c r="AB258" s="926"/>
      <c r="AC258" s="924">
        <v>3143984</v>
      </c>
      <c r="AD258" s="898">
        <f t="shared" si="16"/>
        <v>29430503</v>
      </c>
    </row>
    <row r="259" spans="1:31">
      <c r="A259" s="910">
        <v>255</v>
      </c>
      <c r="B259" s="830" t="s">
        <v>2885</v>
      </c>
      <c r="F259" s="928"/>
      <c r="G259" s="928">
        <v>72833</v>
      </c>
      <c r="H259" s="928"/>
      <c r="I259" s="928">
        <v>195282</v>
      </c>
      <c r="J259" s="928"/>
      <c r="K259" s="928">
        <v>24353</v>
      </c>
      <c r="L259" s="928"/>
      <c r="M259" s="928">
        <v>14900</v>
      </c>
      <c r="N259" s="928"/>
      <c r="O259" s="926"/>
      <c r="P259" s="926"/>
      <c r="Q259" s="899"/>
      <c r="R259" s="928"/>
      <c r="S259" s="924"/>
      <c r="T259" s="926"/>
      <c r="U259" s="924"/>
      <c r="V259" s="926"/>
      <c r="W259" s="899"/>
      <c r="X259" s="928"/>
      <c r="Y259" s="899"/>
      <c r="Z259" s="928"/>
      <c r="AA259" s="899"/>
      <c r="AB259" s="928"/>
      <c r="AC259" s="924"/>
      <c r="AD259" s="898">
        <f t="shared" si="16"/>
        <v>307368</v>
      </c>
    </row>
    <row r="260" spans="1:31">
      <c r="A260" s="910">
        <v>256</v>
      </c>
      <c r="B260" s="830" t="s">
        <v>2886</v>
      </c>
      <c r="F260" s="928"/>
      <c r="G260" s="926">
        <f>SUM(G258:G259)</f>
        <v>2617891</v>
      </c>
      <c r="H260" s="926"/>
      <c r="I260" s="926">
        <f>SUM(I258:I259)</f>
        <v>3202152</v>
      </c>
      <c r="J260" s="926"/>
      <c r="K260" s="926">
        <f>SUM(K258:K259)</f>
        <v>2316555</v>
      </c>
      <c r="L260" s="926"/>
      <c r="M260" s="926">
        <f>SUM(M258:M259)</f>
        <v>2298407</v>
      </c>
      <c r="N260" s="926"/>
      <c r="O260" s="926">
        <f>SUM(O258:O259)</f>
        <v>2069826</v>
      </c>
      <c r="P260" s="926"/>
      <c r="Q260" s="924">
        <f>SUM(Q258:Q259)</f>
        <v>1973660</v>
      </c>
      <c r="R260" s="926"/>
      <c r="S260" s="924">
        <f>SUM(S258:S259)</f>
        <v>2265713</v>
      </c>
      <c r="T260" s="926"/>
      <c r="U260" s="924">
        <f>SUM(U258:U259)</f>
        <v>2468668</v>
      </c>
      <c r="V260" s="926"/>
      <c r="W260" s="924">
        <f>SUM(W258:W259)</f>
        <v>2310615</v>
      </c>
      <c r="X260" s="926"/>
      <c r="Y260" s="924">
        <f>SUM(Y258:Y259)</f>
        <v>2238144</v>
      </c>
      <c r="Z260" s="926"/>
      <c r="AA260" s="924">
        <v>2832256</v>
      </c>
      <c r="AB260" s="926"/>
      <c r="AC260" s="924">
        <f>SUM(AC258:AC259)</f>
        <v>3143984</v>
      </c>
      <c r="AD260" s="898">
        <f t="shared" si="16"/>
        <v>29737871</v>
      </c>
    </row>
    <row r="261" spans="1:31">
      <c r="A261" s="910">
        <v>257</v>
      </c>
      <c r="B261" s="830"/>
    </row>
    <row r="262" spans="1:31">
      <c r="A262" s="910">
        <v>258</v>
      </c>
      <c r="B262" s="851" t="s">
        <v>2735</v>
      </c>
    </row>
    <row r="263" spans="1:31">
      <c r="A263" s="910">
        <v>259</v>
      </c>
      <c r="B263" s="830" t="s">
        <v>2724</v>
      </c>
      <c r="G263" s="922">
        <v>625</v>
      </c>
      <c r="H263" s="924"/>
      <c r="I263" s="922">
        <v>625</v>
      </c>
      <c r="J263" s="924"/>
      <c r="K263" s="922">
        <v>625</v>
      </c>
      <c r="L263" s="924"/>
      <c r="M263" s="922">
        <v>625</v>
      </c>
      <c r="N263" s="924"/>
      <c r="O263" s="922">
        <v>625</v>
      </c>
      <c r="P263" s="924"/>
      <c r="Q263" s="922">
        <v>625</v>
      </c>
      <c r="R263" s="924"/>
      <c r="S263" s="922">
        <v>625</v>
      </c>
      <c r="T263" s="924"/>
      <c r="U263" s="922">
        <v>625</v>
      </c>
      <c r="V263" s="924"/>
      <c r="W263" s="923">
        <v>625</v>
      </c>
      <c r="X263" s="925"/>
      <c r="Y263" s="922">
        <v>625</v>
      </c>
      <c r="Z263" s="924"/>
      <c r="AA263" s="922">
        <v>625</v>
      </c>
      <c r="AB263" s="924"/>
      <c r="AC263" s="922">
        <v>625</v>
      </c>
      <c r="AD263" s="898">
        <f t="shared" ref="AD263:AD274" si="17">SUM(G263:AC263)</f>
        <v>7500</v>
      </c>
    </row>
    <row r="264" spans="1:31">
      <c r="A264" s="910">
        <v>260</v>
      </c>
      <c r="B264" s="830" t="s">
        <v>2713</v>
      </c>
      <c r="H264" s="924"/>
      <c r="J264" s="924"/>
      <c r="L264" s="924"/>
      <c r="N264" s="924"/>
      <c r="P264" s="924"/>
      <c r="R264" s="924"/>
      <c r="T264" s="924"/>
      <c r="U264" s="922"/>
      <c r="V264" s="924"/>
      <c r="W264" s="923"/>
      <c r="X264" s="925"/>
      <c r="AD264" s="898">
        <f t="shared" si="17"/>
        <v>0</v>
      </c>
    </row>
    <row r="265" spans="1:31">
      <c r="A265" s="910">
        <v>261</v>
      </c>
      <c r="B265" s="830" t="s">
        <v>2736</v>
      </c>
      <c r="G265" s="922">
        <v>2000</v>
      </c>
      <c r="H265" s="924"/>
      <c r="I265" s="922">
        <v>2000</v>
      </c>
      <c r="J265" s="924"/>
      <c r="K265" s="922">
        <v>2000</v>
      </c>
      <c r="L265" s="924"/>
      <c r="M265" s="922">
        <v>2000</v>
      </c>
      <c r="N265" s="924"/>
      <c r="O265" s="922">
        <v>2000</v>
      </c>
      <c r="P265" s="924"/>
      <c r="Q265" s="922">
        <v>2000</v>
      </c>
      <c r="R265" s="924"/>
      <c r="S265" s="922">
        <v>2000</v>
      </c>
      <c r="T265" s="924"/>
      <c r="U265" s="922">
        <v>2000</v>
      </c>
      <c r="V265" s="924"/>
      <c r="W265" s="923">
        <v>2000</v>
      </c>
      <c r="X265" s="925"/>
      <c r="Y265" s="922">
        <v>2000</v>
      </c>
      <c r="Z265" s="924"/>
      <c r="AA265" s="922">
        <v>2000</v>
      </c>
      <c r="AB265" s="924"/>
      <c r="AC265" s="922">
        <v>2000</v>
      </c>
      <c r="AD265" s="898">
        <f t="shared" si="17"/>
        <v>24000</v>
      </c>
    </row>
    <row r="266" spans="1:31">
      <c r="A266" s="910">
        <v>262</v>
      </c>
      <c r="B266" s="830" t="s">
        <v>2714</v>
      </c>
      <c r="G266" s="922">
        <v>375.43</v>
      </c>
      <c r="H266" s="924"/>
      <c r="I266" s="922">
        <v>816.61</v>
      </c>
      <c r="J266" s="924"/>
      <c r="K266" s="922">
        <v>943.77</v>
      </c>
      <c r="L266" s="924"/>
      <c r="M266" s="922">
        <v>1008.28</v>
      </c>
      <c r="N266" s="924"/>
      <c r="O266" s="922">
        <v>1138.25</v>
      </c>
      <c r="P266" s="924"/>
      <c r="Q266" s="922">
        <v>887.8</v>
      </c>
      <c r="R266" s="924"/>
      <c r="S266" s="922">
        <v>836.27</v>
      </c>
      <c r="T266" s="924"/>
      <c r="U266" s="922">
        <v>1079.04</v>
      </c>
      <c r="V266" s="924"/>
      <c r="W266" s="923">
        <v>1070.8499999999999</v>
      </c>
      <c r="X266" s="925"/>
      <c r="Y266" s="922">
        <v>982.81</v>
      </c>
      <c r="Z266" s="924"/>
      <c r="AA266" s="922">
        <v>1111.9000000000001</v>
      </c>
      <c r="AB266" s="924"/>
      <c r="AC266" s="922">
        <v>1087.8</v>
      </c>
      <c r="AD266" s="898">
        <f t="shared" si="17"/>
        <v>11338.809999999998</v>
      </c>
    </row>
    <row r="267" spans="1:31">
      <c r="A267" s="910">
        <v>263</v>
      </c>
      <c r="B267" s="830" t="s">
        <v>2738</v>
      </c>
      <c r="H267" s="924"/>
      <c r="J267" s="924"/>
      <c r="L267" s="924"/>
      <c r="N267" s="924"/>
      <c r="P267" s="924"/>
      <c r="R267" s="924"/>
      <c r="T267" s="924"/>
      <c r="U267" s="922"/>
      <c r="V267" s="924"/>
      <c r="W267" s="923"/>
      <c r="X267" s="925"/>
      <c r="AD267" s="898">
        <f t="shared" si="17"/>
        <v>0</v>
      </c>
    </row>
    <row r="268" spans="1:31">
      <c r="A268" s="910">
        <v>264</v>
      </c>
      <c r="B268" s="830" t="s">
        <v>2897</v>
      </c>
      <c r="G268" s="922">
        <v>15370.78</v>
      </c>
      <c r="H268" s="924"/>
      <c r="I268" s="922">
        <v>33433.51</v>
      </c>
      <c r="J268" s="924"/>
      <c r="K268" s="922">
        <v>38639.42</v>
      </c>
      <c r="L268" s="924"/>
      <c r="M268" s="922">
        <v>41280.58</v>
      </c>
      <c r="N268" s="924"/>
      <c r="O268" s="922">
        <v>46602.09</v>
      </c>
      <c r="P268" s="924"/>
      <c r="Q268" s="922">
        <v>36348.089999999997</v>
      </c>
      <c r="R268" s="924"/>
      <c r="S268" s="922">
        <v>34238.39</v>
      </c>
      <c r="T268" s="924"/>
      <c r="U268" s="922">
        <v>44177.64</v>
      </c>
      <c r="V268" s="924"/>
      <c r="W268" s="923">
        <v>43842.31</v>
      </c>
      <c r="X268" s="925"/>
      <c r="Y268" s="922">
        <v>40237.85</v>
      </c>
      <c r="Z268" s="924"/>
      <c r="AA268" s="922">
        <v>44653.67</v>
      </c>
      <c r="AB268" s="924"/>
      <c r="AC268" s="922">
        <v>43685.94</v>
      </c>
      <c r="AD268" s="898">
        <f t="shared" si="17"/>
        <v>462510.26999999996</v>
      </c>
    </row>
    <row r="269" spans="1:31">
      <c r="A269" s="910">
        <v>265</v>
      </c>
      <c r="B269" s="830" t="s">
        <v>2719</v>
      </c>
      <c r="G269" s="922">
        <v>814.03</v>
      </c>
      <c r="H269" s="924"/>
      <c r="I269" s="922">
        <v>1633.94</v>
      </c>
      <c r="J269" s="924"/>
      <c r="K269" s="922">
        <v>1870.24</v>
      </c>
      <c r="L269" s="924"/>
      <c r="M269" s="922">
        <v>1990.13</v>
      </c>
      <c r="N269" s="924"/>
      <c r="O269" s="922">
        <v>2231.69</v>
      </c>
      <c r="P269" s="924"/>
      <c r="Q269" s="922">
        <v>1766.24</v>
      </c>
      <c r="R269" s="924"/>
      <c r="S269" s="922">
        <v>1670.47</v>
      </c>
      <c r="T269" s="924"/>
      <c r="U269" s="922">
        <v>2121.64</v>
      </c>
      <c r="V269" s="924"/>
      <c r="W269" s="923">
        <v>2106.42</v>
      </c>
      <c r="X269" s="925"/>
      <c r="Y269" s="922">
        <v>1942.8</v>
      </c>
      <c r="Z269" s="924"/>
      <c r="AA269" s="922">
        <v>2144.19</v>
      </c>
      <c r="AB269" s="924"/>
      <c r="AC269" s="922">
        <v>2100.2399999999998</v>
      </c>
      <c r="AD269" s="898">
        <f t="shared" si="17"/>
        <v>22392.03</v>
      </c>
    </row>
    <row r="270" spans="1:31">
      <c r="A270" s="910">
        <v>266</v>
      </c>
      <c r="B270" s="830" t="s">
        <v>2677</v>
      </c>
      <c r="G270" s="922"/>
      <c r="H270" s="924"/>
      <c r="I270" s="922"/>
      <c r="J270" s="924"/>
      <c r="K270" s="922"/>
      <c r="L270" s="924"/>
      <c r="M270" s="922"/>
      <c r="N270" s="924"/>
      <c r="O270" s="922"/>
      <c r="P270" s="924"/>
      <c r="Q270" s="922"/>
      <c r="R270" s="924"/>
      <c r="S270" s="922"/>
      <c r="T270" s="924"/>
      <c r="U270" s="922"/>
      <c r="V270" s="924"/>
      <c r="W270" s="923"/>
      <c r="X270" s="925"/>
      <c r="AD270" s="898">
        <f t="shared" si="17"/>
        <v>0</v>
      </c>
    </row>
    <row r="271" spans="1:31">
      <c r="A271" s="910">
        <v>267</v>
      </c>
      <c r="B271" s="830" t="s">
        <v>2884</v>
      </c>
      <c r="G271" s="922">
        <f>SUM(G263:G270)</f>
        <v>19185.239999999998</v>
      </c>
      <c r="H271" s="922"/>
      <c r="I271" s="922">
        <f>SUM(I263:I270)</f>
        <v>38509.060000000005</v>
      </c>
      <c r="J271" s="922"/>
      <c r="K271" s="922">
        <f>SUM(K263:K270)</f>
        <v>44078.429999999993</v>
      </c>
      <c r="L271" s="922"/>
      <c r="M271" s="922">
        <f>SUM(M263:M270)</f>
        <v>46903.99</v>
      </c>
      <c r="N271" s="922"/>
      <c r="O271" s="922">
        <f>SUM(O263:O270)</f>
        <v>52597.03</v>
      </c>
      <c r="P271" s="922"/>
      <c r="Q271" s="922">
        <f>SUM(Q263:Q270)</f>
        <v>41627.129999999997</v>
      </c>
      <c r="R271" s="922"/>
      <c r="S271" s="922">
        <f>SUM(S263:S270)</f>
        <v>39370.129999999997</v>
      </c>
      <c r="T271" s="922"/>
      <c r="U271" s="922">
        <f>SUM(U263:U270)</f>
        <v>50003.32</v>
      </c>
      <c r="V271" s="922"/>
      <c r="W271" s="922">
        <f>SUM(W263:W270)</f>
        <v>49644.579999999994</v>
      </c>
      <c r="X271" s="922"/>
      <c r="Y271" s="922">
        <f>SUM(Y263:Y270)</f>
        <v>45788.46</v>
      </c>
      <c r="Z271" s="922"/>
      <c r="AA271" s="922">
        <f>SUM(AA263:AA270)</f>
        <v>50534.76</v>
      </c>
      <c r="AB271" s="922"/>
      <c r="AC271" s="922">
        <f>SUM(AC263:AC270)</f>
        <v>49498.98</v>
      </c>
      <c r="AD271" s="898">
        <f t="shared" si="17"/>
        <v>527741.1100000001</v>
      </c>
    </row>
    <row r="272" spans="1:31">
      <c r="A272" s="910">
        <v>268</v>
      </c>
      <c r="B272" s="830" t="s">
        <v>2514</v>
      </c>
      <c r="E272" s="928"/>
      <c r="F272" s="928"/>
      <c r="G272" s="924">
        <v>938576</v>
      </c>
      <c r="H272" s="924"/>
      <c r="I272" s="924">
        <v>2041529</v>
      </c>
      <c r="J272" s="924"/>
      <c r="K272" s="924">
        <v>2359414</v>
      </c>
      <c r="L272" s="924"/>
      <c r="M272" s="924">
        <v>2520690</v>
      </c>
      <c r="N272" s="924"/>
      <c r="O272" s="924">
        <v>2845634</v>
      </c>
      <c r="P272" s="924"/>
      <c r="Q272" s="924">
        <v>2219500</v>
      </c>
      <c r="R272" s="924"/>
      <c r="S272" s="924">
        <v>2090677</v>
      </c>
      <c r="T272" s="926"/>
      <c r="U272" s="924">
        <v>2697591</v>
      </c>
      <c r="V272" s="926"/>
      <c r="W272" s="930">
        <v>2677115</v>
      </c>
      <c r="X272" s="931"/>
      <c r="Y272" s="924">
        <v>2457018</v>
      </c>
      <c r="Z272" s="926"/>
      <c r="AA272" s="924">
        <v>2779753</v>
      </c>
      <c r="AB272" s="926"/>
      <c r="AC272" s="924">
        <v>2719510</v>
      </c>
      <c r="AD272" s="928">
        <f t="shared" si="17"/>
        <v>28347007</v>
      </c>
      <c r="AE272" s="928"/>
    </row>
    <row r="273" spans="1:31">
      <c r="A273" s="910">
        <v>269</v>
      </c>
      <c r="B273" s="830" t="s">
        <v>2885</v>
      </c>
      <c r="E273" s="928"/>
      <c r="F273" s="928"/>
      <c r="G273" s="899"/>
      <c r="I273" s="899"/>
      <c r="K273" s="899"/>
      <c r="M273" s="899"/>
      <c r="O273" s="899"/>
      <c r="Q273" s="899"/>
      <c r="S273" s="924"/>
      <c r="T273" s="926"/>
      <c r="U273" s="924"/>
      <c r="V273" s="926"/>
      <c r="W273" s="899"/>
      <c r="X273" s="928"/>
      <c r="Y273" s="924"/>
      <c r="Z273" s="926"/>
      <c r="AA273" s="924"/>
      <c r="AB273" s="926"/>
      <c r="AC273" s="924"/>
      <c r="AD273" s="928">
        <f t="shared" si="17"/>
        <v>0</v>
      </c>
      <c r="AE273" s="928"/>
    </row>
    <row r="274" spans="1:31">
      <c r="A274" s="910">
        <v>270</v>
      </c>
      <c r="B274" s="830" t="s">
        <v>2886</v>
      </c>
      <c r="E274" s="928"/>
      <c r="F274" s="928"/>
      <c r="G274" s="924">
        <f>SUM(G272:G273)</f>
        <v>938576</v>
      </c>
      <c r="H274" s="924"/>
      <c r="I274" s="924">
        <f>SUM(I272:I273)</f>
        <v>2041529</v>
      </c>
      <c r="J274" s="924"/>
      <c r="K274" s="924">
        <f>SUM(K272:K273)</f>
        <v>2359414</v>
      </c>
      <c r="L274" s="924"/>
      <c r="M274" s="924">
        <f>SUM(M272:M273)</f>
        <v>2520690</v>
      </c>
      <c r="N274" s="924"/>
      <c r="O274" s="924">
        <f>SUM(O272:O273)</f>
        <v>2845634</v>
      </c>
      <c r="P274" s="924"/>
      <c r="Q274" s="924">
        <f>SUM(Q272:Q273)</f>
        <v>2219500</v>
      </c>
      <c r="R274" s="924"/>
      <c r="S274" s="924">
        <f>SUM(S272:S273)</f>
        <v>2090677</v>
      </c>
      <c r="T274" s="926"/>
      <c r="U274" s="924">
        <f>SUM(U272:U273)</f>
        <v>2697591</v>
      </c>
      <c r="V274" s="926"/>
      <c r="W274" s="924">
        <f>SUM(W272:W273)</f>
        <v>2677115</v>
      </c>
      <c r="X274" s="926"/>
      <c r="Y274" s="924">
        <f>SUM(Y272:Y273)</f>
        <v>2457018</v>
      </c>
      <c r="Z274" s="926"/>
      <c r="AA274" s="924">
        <f>SUM(AA272:AA273)</f>
        <v>2779753</v>
      </c>
      <c r="AB274" s="926"/>
      <c r="AC274" s="924">
        <f>SUM(AC272:AC273)</f>
        <v>2719510</v>
      </c>
      <c r="AD274" s="928">
        <f t="shared" si="17"/>
        <v>28347007</v>
      </c>
      <c r="AE274" s="928"/>
    </row>
    <row r="275" spans="1:31">
      <c r="A275" s="910">
        <v>271</v>
      </c>
      <c r="B275" s="837"/>
    </row>
    <row r="276" spans="1:31">
      <c r="A276" s="910">
        <v>272</v>
      </c>
      <c r="B276" s="851" t="s">
        <v>2741</v>
      </c>
    </row>
    <row r="277" spans="1:31">
      <c r="A277" s="910">
        <v>273</v>
      </c>
      <c r="B277" s="830" t="s">
        <v>2724</v>
      </c>
      <c r="G277" s="922">
        <v>625</v>
      </c>
      <c r="H277" s="924"/>
      <c r="I277" s="922">
        <v>625</v>
      </c>
      <c r="J277" s="924"/>
      <c r="K277" s="922">
        <v>625</v>
      </c>
      <c r="L277" s="924"/>
      <c r="M277" s="922">
        <v>625</v>
      </c>
      <c r="N277" s="924"/>
      <c r="O277" s="922">
        <v>625</v>
      </c>
      <c r="P277" s="924"/>
      <c r="Q277" s="922">
        <v>625</v>
      </c>
      <c r="R277" s="924"/>
      <c r="S277" s="922">
        <v>625</v>
      </c>
      <c r="T277" s="924"/>
      <c r="U277" s="922">
        <v>625</v>
      </c>
      <c r="V277" s="924"/>
      <c r="W277" s="898">
        <v>625</v>
      </c>
      <c r="Y277" s="898">
        <v>625</v>
      </c>
      <c r="AA277" s="922">
        <v>625</v>
      </c>
      <c r="AB277" s="924"/>
      <c r="AC277" s="922">
        <v>625</v>
      </c>
      <c r="AD277" s="898">
        <f t="shared" ref="AD277:AD288" si="18">SUM(G277:AC277)</f>
        <v>7500</v>
      </c>
    </row>
    <row r="278" spans="1:31">
      <c r="A278" s="910">
        <v>274</v>
      </c>
      <c r="B278" s="830" t="s">
        <v>2736</v>
      </c>
      <c r="G278" s="922">
        <v>2250</v>
      </c>
      <c r="H278" s="924"/>
      <c r="I278" s="922">
        <v>2250</v>
      </c>
      <c r="J278" s="924"/>
      <c r="K278" s="922">
        <v>2250</v>
      </c>
      <c r="L278" s="924"/>
      <c r="M278" s="922">
        <v>2250</v>
      </c>
      <c r="N278" s="924"/>
      <c r="O278" s="922">
        <v>2250</v>
      </c>
      <c r="P278" s="924"/>
      <c r="Q278" s="922">
        <v>2250</v>
      </c>
      <c r="R278" s="924"/>
      <c r="S278" s="922">
        <v>2250</v>
      </c>
      <c r="T278" s="924"/>
      <c r="U278" s="922">
        <v>2250</v>
      </c>
      <c r="V278" s="924"/>
      <c r="W278" s="898">
        <v>2250</v>
      </c>
      <c r="Y278" s="922">
        <v>2250</v>
      </c>
      <c r="Z278" s="924"/>
      <c r="AA278" s="922">
        <v>2250</v>
      </c>
      <c r="AB278" s="924"/>
      <c r="AC278" s="922">
        <v>2250</v>
      </c>
      <c r="AD278" s="898">
        <f t="shared" si="18"/>
        <v>27000</v>
      </c>
    </row>
    <row r="279" spans="1:31">
      <c r="A279" s="910">
        <v>275</v>
      </c>
      <c r="B279" s="830" t="s">
        <v>2714</v>
      </c>
      <c r="G279" s="922">
        <v>306.19</v>
      </c>
      <c r="H279" s="924"/>
      <c r="I279" s="922">
        <v>334.17</v>
      </c>
      <c r="J279" s="924"/>
      <c r="K279" s="922">
        <v>294.01</v>
      </c>
      <c r="L279" s="924"/>
      <c r="M279" s="922">
        <v>339.3</v>
      </c>
      <c r="N279" s="924"/>
      <c r="O279" s="922">
        <v>308</v>
      </c>
      <c r="P279" s="924"/>
      <c r="Q279" s="922">
        <v>181.37</v>
      </c>
      <c r="R279" s="924"/>
      <c r="S279" s="922">
        <v>303.63</v>
      </c>
      <c r="T279" s="924"/>
      <c r="U279" s="922">
        <v>262.57</v>
      </c>
      <c r="V279" s="924"/>
      <c r="W279" s="898">
        <v>251.99</v>
      </c>
      <c r="Y279" s="922">
        <v>280.33999999999997</v>
      </c>
      <c r="Z279" s="924"/>
      <c r="AA279" s="922">
        <v>314.82</v>
      </c>
      <c r="AB279" s="924"/>
      <c r="AC279" s="922">
        <v>303.55</v>
      </c>
      <c r="AD279" s="898">
        <f t="shared" si="18"/>
        <v>3479.940000000001</v>
      </c>
    </row>
    <row r="280" spans="1:31">
      <c r="A280" s="910">
        <v>276</v>
      </c>
      <c r="B280" s="830" t="s">
        <v>2713</v>
      </c>
      <c r="G280" s="922">
        <v>8872.9699999999993</v>
      </c>
      <c r="H280" s="924"/>
      <c r="I280" s="922">
        <v>9683.75</v>
      </c>
      <c r="J280" s="924"/>
      <c r="K280" s="922">
        <v>8520.17</v>
      </c>
      <c r="L280" s="924"/>
      <c r="M280" s="922">
        <v>9832.57</v>
      </c>
      <c r="N280" s="924"/>
      <c r="O280" s="922">
        <v>8925.43</v>
      </c>
      <c r="P280" s="924"/>
      <c r="Q280" s="922">
        <v>5255.9</v>
      </c>
      <c r="R280" s="924"/>
      <c r="S280" s="922">
        <v>8798.85</v>
      </c>
      <c r="T280" s="924"/>
      <c r="U280" s="922">
        <v>7608.83</v>
      </c>
      <c r="V280" s="924"/>
      <c r="W280" s="898">
        <v>7302.3</v>
      </c>
      <c r="Y280" s="898">
        <v>8123.82</v>
      </c>
      <c r="AA280" s="898">
        <v>9269.0400000000009</v>
      </c>
      <c r="AC280" s="898">
        <v>8937.14</v>
      </c>
      <c r="AD280" s="898">
        <f t="shared" si="18"/>
        <v>101130.77</v>
      </c>
    </row>
    <row r="281" spans="1:31">
      <c r="A281" s="910">
        <v>277</v>
      </c>
      <c r="B281" s="830" t="s">
        <v>2738</v>
      </c>
      <c r="H281" s="924"/>
      <c r="J281" s="924"/>
      <c r="L281" s="924"/>
      <c r="N281" s="924"/>
      <c r="P281" s="924"/>
      <c r="R281" s="924"/>
      <c r="S281" s="922"/>
      <c r="T281" s="924"/>
      <c r="U281" s="922"/>
      <c r="V281" s="924"/>
      <c r="AD281" s="898">
        <f t="shared" si="18"/>
        <v>0</v>
      </c>
    </row>
    <row r="282" spans="1:31">
      <c r="A282" s="910">
        <v>278</v>
      </c>
      <c r="B282" s="830" t="s">
        <v>2897</v>
      </c>
      <c r="G282" s="922"/>
      <c r="H282" s="924"/>
      <c r="I282" s="922"/>
      <c r="J282" s="924"/>
      <c r="K282" s="922"/>
      <c r="L282" s="924"/>
      <c r="M282" s="922"/>
      <c r="N282" s="924"/>
      <c r="O282" s="922"/>
      <c r="P282" s="924"/>
      <c r="Q282" s="922"/>
      <c r="R282" s="924"/>
      <c r="T282" s="924"/>
      <c r="U282" s="922"/>
      <c r="V282" s="924"/>
      <c r="Y282" s="922"/>
      <c r="Z282" s="924"/>
      <c r="AA282" s="922"/>
      <c r="AB282" s="924"/>
      <c r="AC282" s="922"/>
      <c r="AD282" s="898">
        <f t="shared" si="18"/>
        <v>0</v>
      </c>
    </row>
    <row r="283" spans="1:31">
      <c r="A283" s="910">
        <v>279</v>
      </c>
      <c r="B283" s="830" t="s">
        <v>2719</v>
      </c>
      <c r="G283" s="922">
        <v>534.12</v>
      </c>
      <c r="H283" s="924"/>
      <c r="I283" s="922">
        <v>571.29</v>
      </c>
      <c r="J283" s="924"/>
      <c r="K283" s="922">
        <v>517.95000000000005</v>
      </c>
      <c r="L283" s="924"/>
      <c r="M283" s="922">
        <v>578.11</v>
      </c>
      <c r="N283" s="924"/>
      <c r="O283" s="922">
        <v>536.52</v>
      </c>
      <c r="P283" s="924"/>
      <c r="Q283" s="922">
        <v>368.32</v>
      </c>
      <c r="R283" s="924"/>
      <c r="S283" s="922">
        <v>530.72</v>
      </c>
      <c r="T283" s="924"/>
      <c r="U283" s="922">
        <v>476.17</v>
      </c>
      <c r="V283" s="924"/>
      <c r="W283" s="898">
        <v>462.12</v>
      </c>
      <c r="Y283" s="922">
        <v>499.78</v>
      </c>
      <c r="Z283" s="924"/>
      <c r="AA283" s="922">
        <v>552.04999999999995</v>
      </c>
      <c r="AB283" s="924"/>
      <c r="AC283" s="922">
        <v>536.85</v>
      </c>
      <c r="AD283" s="898">
        <f t="shared" si="18"/>
        <v>6164</v>
      </c>
    </row>
    <row r="284" spans="1:31">
      <c r="A284" s="910">
        <v>280</v>
      </c>
      <c r="B284" s="830" t="s">
        <v>2677</v>
      </c>
      <c r="G284" s="922"/>
      <c r="H284" s="924"/>
      <c r="I284" s="922"/>
      <c r="J284" s="924"/>
      <c r="K284" s="922"/>
      <c r="L284" s="924"/>
      <c r="M284" s="922"/>
      <c r="N284" s="924"/>
      <c r="O284" s="922"/>
      <c r="P284" s="924"/>
      <c r="Q284" s="922"/>
      <c r="R284" s="924"/>
      <c r="S284" s="922"/>
      <c r="T284" s="924"/>
      <c r="U284" s="922"/>
      <c r="V284" s="924"/>
      <c r="AD284" s="898">
        <f t="shared" si="18"/>
        <v>0</v>
      </c>
    </row>
    <row r="285" spans="1:31">
      <c r="A285" s="910">
        <v>281</v>
      </c>
      <c r="B285" s="830" t="s">
        <v>2884</v>
      </c>
      <c r="G285" s="922">
        <f>SUM(G277:G284)</f>
        <v>12588.28</v>
      </c>
      <c r="H285" s="922"/>
      <c r="I285" s="922">
        <f>SUM(I277:I284)</f>
        <v>13464.21</v>
      </c>
      <c r="J285" s="922"/>
      <c r="K285" s="922">
        <f>SUM(K277:K284)</f>
        <v>12207.130000000001</v>
      </c>
      <c r="L285" s="922"/>
      <c r="M285" s="922">
        <f>SUM(M277:M284)</f>
        <v>13624.98</v>
      </c>
      <c r="N285" s="922"/>
      <c r="O285" s="922">
        <f>SUM(O277:O284)</f>
        <v>12644.95</v>
      </c>
      <c r="P285" s="922"/>
      <c r="Q285" s="922">
        <f>SUM(Q277:Q284)</f>
        <v>8680.59</v>
      </c>
      <c r="R285" s="922"/>
      <c r="S285" s="922">
        <f>SUM(S277:S284)</f>
        <v>12508.199999999999</v>
      </c>
      <c r="T285" s="922"/>
      <c r="U285" s="922">
        <f>SUM(U277:U284)</f>
        <v>11222.57</v>
      </c>
      <c r="V285" s="922"/>
      <c r="W285" s="922">
        <f>SUM(W277:W284)</f>
        <v>10891.410000000002</v>
      </c>
      <c r="X285" s="922"/>
      <c r="Y285" s="922">
        <f>SUM(Y277:Y284)</f>
        <v>11778.94</v>
      </c>
      <c r="Z285" s="922"/>
      <c r="AA285" s="922">
        <f>SUM(AA277:AA284)</f>
        <v>13010.91</v>
      </c>
      <c r="AB285" s="922"/>
      <c r="AC285" s="922">
        <f>SUM(AC277:AC284)</f>
        <v>12652.539999999999</v>
      </c>
      <c r="AD285" s="898">
        <f t="shared" si="18"/>
        <v>145274.71</v>
      </c>
    </row>
    <row r="286" spans="1:31">
      <c r="A286" s="910">
        <v>282</v>
      </c>
      <c r="B286" s="830" t="s">
        <v>2514</v>
      </c>
      <c r="F286" s="928"/>
      <c r="G286" s="924">
        <v>765472</v>
      </c>
      <c r="H286" s="924"/>
      <c r="I286" s="924">
        <v>835418</v>
      </c>
      <c r="J286" s="924"/>
      <c r="K286" s="924">
        <v>735036</v>
      </c>
      <c r="L286" s="924"/>
      <c r="M286" s="924">
        <v>848257</v>
      </c>
      <c r="N286" s="924"/>
      <c r="O286" s="924">
        <v>769998</v>
      </c>
      <c r="P286" s="924"/>
      <c r="Q286" s="924">
        <v>453427</v>
      </c>
      <c r="R286" s="926"/>
      <c r="S286" s="924">
        <v>759078</v>
      </c>
      <c r="T286" s="926"/>
      <c r="U286" s="924">
        <v>656415</v>
      </c>
      <c r="V286" s="926"/>
      <c r="W286" s="899">
        <v>629970</v>
      </c>
      <c r="X286" s="928"/>
      <c r="Y286" s="924">
        <v>700843</v>
      </c>
      <c r="Z286" s="926"/>
      <c r="AA286" s="924">
        <v>787046</v>
      </c>
      <c r="AB286" s="926"/>
      <c r="AC286" s="924">
        <v>758864</v>
      </c>
      <c r="AD286" s="928">
        <f t="shared" si="18"/>
        <v>8699824</v>
      </c>
    </row>
    <row r="287" spans="1:31">
      <c r="A287" s="910">
        <v>283</v>
      </c>
      <c r="B287" s="830" t="s">
        <v>2885</v>
      </c>
      <c r="F287" s="928"/>
      <c r="G287" s="899"/>
      <c r="I287" s="899"/>
      <c r="K287" s="899"/>
      <c r="M287" s="899"/>
      <c r="O287" s="899"/>
      <c r="Q287" s="899"/>
      <c r="R287" s="928"/>
      <c r="S287" s="924"/>
      <c r="T287" s="926"/>
      <c r="U287" s="924"/>
      <c r="V287" s="926"/>
      <c r="W287" s="899"/>
      <c r="X287" s="928"/>
      <c r="Y287" s="924"/>
      <c r="Z287" s="926"/>
      <c r="AA287" s="924"/>
      <c r="AB287" s="926"/>
      <c r="AC287" s="924"/>
      <c r="AD287" s="928">
        <f t="shared" si="18"/>
        <v>0</v>
      </c>
    </row>
    <row r="288" spans="1:31">
      <c r="A288" s="910">
        <v>284</v>
      </c>
      <c r="B288" s="830" t="s">
        <v>2886</v>
      </c>
      <c r="F288" s="928"/>
      <c r="G288" s="924">
        <f>SUM(G286:G287)</f>
        <v>765472</v>
      </c>
      <c r="H288" s="924"/>
      <c r="I288" s="924">
        <f>SUM(I286:I287)</f>
        <v>835418</v>
      </c>
      <c r="J288" s="924"/>
      <c r="K288" s="924">
        <f>SUM(K286:K287)</f>
        <v>735036</v>
      </c>
      <c r="L288" s="924"/>
      <c r="M288" s="924">
        <f>SUM(M286:M287)</f>
        <v>848257</v>
      </c>
      <c r="N288" s="924"/>
      <c r="O288" s="924">
        <f>SUM(O286:O287)</f>
        <v>769998</v>
      </c>
      <c r="P288" s="924"/>
      <c r="Q288" s="924">
        <f>SUM(Q286:Q287)</f>
        <v>453427</v>
      </c>
      <c r="R288" s="926"/>
      <c r="S288" s="924">
        <f>SUM(S286:S287)</f>
        <v>759078</v>
      </c>
      <c r="T288" s="926"/>
      <c r="U288" s="924">
        <f>SUM(U286:U287)</f>
        <v>656415</v>
      </c>
      <c r="V288" s="926"/>
      <c r="W288" s="924">
        <f>SUM(W286:W287)</f>
        <v>629970</v>
      </c>
      <c r="X288" s="926"/>
      <c r="Y288" s="924">
        <f>SUM(Y286:Y287)</f>
        <v>700843</v>
      </c>
      <c r="Z288" s="926"/>
      <c r="AA288" s="924">
        <f>SUM(AA286:AA287)</f>
        <v>787046</v>
      </c>
      <c r="AB288" s="926"/>
      <c r="AC288" s="924">
        <f>SUM(AC286:AC287)</f>
        <v>758864</v>
      </c>
      <c r="AD288" s="928">
        <f t="shared" si="18"/>
        <v>8699824</v>
      </c>
    </row>
    <row r="289" spans="1:31">
      <c r="A289" s="910">
        <v>285</v>
      </c>
      <c r="B289" s="837"/>
    </row>
    <row r="290" spans="1:31">
      <c r="A290" s="910">
        <v>286</v>
      </c>
      <c r="B290" s="851" t="s">
        <v>2745</v>
      </c>
    </row>
    <row r="291" spans="1:31">
      <c r="A291" s="910">
        <v>287</v>
      </c>
      <c r="B291" s="830" t="s">
        <v>2724</v>
      </c>
      <c r="G291" s="922">
        <v>625</v>
      </c>
      <c r="H291" s="924"/>
      <c r="I291" s="922">
        <v>625</v>
      </c>
      <c r="J291" s="924"/>
      <c r="K291" s="922">
        <v>625</v>
      </c>
      <c r="L291" s="924"/>
      <c r="M291" s="922">
        <v>625</v>
      </c>
      <c r="N291" s="924"/>
      <c r="O291" s="922">
        <v>625</v>
      </c>
      <c r="P291" s="924"/>
      <c r="Q291" s="922">
        <v>625</v>
      </c>
      <c r="R291" s="924"/>
      <c r="S291" s="922">
        <v>625</v>
      </c>
      <c r="T291" s="924"/>
      <c r="U291" s="922">
        <v>625</v>
      </c>
      <c r="V291" s="924"/>
      <c r="W291" s="898">
        <v>625</v>
      </c>
      <c r="Y291" s="922">
        <v>625</v>
      </c>
      <c r="Z291" s="924"/>
      <c r="AA291" s="946">
        <v>625</v>
      </c>
      <c r="AB291" s="924"/>
      <c r="AC291" s="922">
        <v>625</v>
      </c>
      <c r="AD291" s="898">
        <f t="shared" ref="AD291:AD302" si="19">SUM(G291:AC291)</f>
        <v>7500</v>
      </c>
    </row>
    <row r="292" spans="1:31">
      <c r="A292" s="910">
        <v>288</v>
      </c>
      <c r="B292" s="830" t="s">
        <v>2736</v>
      </c>
      <c r="G292" s="922">
        <v>3950</v>
      </c>
      <c r="H292" s="924"/>
      <c r="I292" s="922">
        <v>3950</v>
      </c>
      <c r="J292" s="924"/>
      <c r="K292" s="922">
        <v>3950</v>
      </c>
      <c r="L292" s="924"/>
      <c r="M292" s="922">
        <v>3950</v>
      </c>
      <c r="N292" s="924"/>
      <c r="O292" s="922">
        <v>3950</v>
      </c>
      <c r="P292" s="924"/>
      <c r="Q292" s="922">
        <v>3950</v>
      </c>
      <c r="R292" s="924"/>
      <c r="S292" s="922">
        <v>3950</v>
      </c>
      <c r="T292" s="924"/>
      <c r="U292" s="922">
        <v>3950</v>
      </c>
      <c r="V292" s="924"/>
      <c r="W292" s="898">
        <v>3950</v>
      </c>
      <c r="Y292" s="922">
        <v>3950</v>
      </c>
      <c r="Z292" s="924"/>
      <c r="AA292" s="946">
        <v>3950</v>
      </c>
      <c r="AB292" s="924"/>
      <c r="AC292" s="922">
        <v>3950</v>
      </c>
      <c r="AD292" s="898">
        <f t="shared" si="19"/>
        <v>47400</v>
      </c>
    </row>
    <row r="293" spans="1:31">
      <c r="A293" s="910">
        <v>289</v>
      </c>
      <c r="B293" s="830" t="s">
        <v>2714</v>
      </c>
      <c r="G293" s="922">
        <v>200.97</v>
      </c>
      <c r="H293" s="924"/>
      <c r="I293" s="922">
        <v>225.62</v>
      </c>
      <c r="J293" s="924"/>
      <c r="K293" s="922">
        <v>215.56</v>
      </c>
      <c r="L293" s="924"/>
      <c r="M293" s="922">
        <v>215.3</v>
      </c>
      <c r="N293" s="924"/>
      <c r="O293" s="922">
        <v>158.93</v>
      </c>
      <c r="P293" s="924"/>
      <c r="Q293" s="922">
        <v>156.27000000000001</v>
      </c>
      <c r="R293" s="924"/>
      <c r="S293" s="922">
        <v>131.12</v>
      </c>
      <c r="T293" s="924"/>
      <c r="U293" s="922">
        <v>135.83000000000001</v>
      </c>
      <c r="V293" s="924"/>
      <c r="W293" s="898">
        <v>111.37</v>
      </c>
      <c r="Y293" s="922">
        <v>127.3</v>
      </c>
      <c r="Z293" s="924"/>
      <c r="AA293" s="946">
        <v>139.5</v>
      </c>
      <c r="AB293" s="924"/>
      <c r="AC293" s="922">
        <v>130.18</v>
      </c>
      <c r="AD293" s="898">
        <f t="shared" si="19"/>
        <v>1947.9499999999998</v>
      </c>
    </row>
    <row r="294" spans="1:31">
      <c r="A294" s="910">
        <v>290</v>
      </c>
      <c r="B294" s="830" t="s">
        <v>2713</v>
      </c>
      <c r="H294" s="924"/>
      <c r="J294" s="924"/>
      <c r="L294" s="924"/>
      <c r="N294" s="924"/>
      <c r="P294" s="924"/>
      <c r="R294" s="924"/>
      <c r="S294" s="922"/>
      <c r="T294" s="924"/>
      <c r="U294" s="922"/>
      <c r="V294" s="924"/>
      <c r="AA294" s="827"/>
      <c r="AD294" s="898">
        <f t="shared" si="19"/>
        <v>0</v>
      </c>
    </row>
    <row r="295" spans="1:31">
      <c r="A295" s="910">
        <v>291</v>
      </c>
      <c r="B295" s="830" t="s">
        <v>2738</v>
      </c>
      <c r="H295" s="924"/>
      <c r="J295" s="924"/>
      <c r="L295" s="924"/>
      <c r="N295" s="924"/>
      <c r="P295" s="924"/>
      <c r="R295" s="924"/>
      <c r="S295" s="922"/>
      <c r="T295" s="924"/>
      <c r="U295" s="922"/>
      <c r="V295" s="924"/>
      <c r="AA295" s="827"/>
      <c r="AD295" s="898">
        <f t="shared" si="19"/>
        <v>0</v>
      </c>
    </row>
    <row r="296" spans="1:31">
      <c r="A296" s="910">
        <v>292</v>
      </c>
      <c r="B296" s="830" t="s">
        <v>2897</v>
      </c>
      <c r="G296" s="922">
        <v>8905.0300000000007</v>
      </c>
      <c r="H296" s="924"/>
      <c r="I296" s="922">
        <v>9997.23</v>
      </c>
      <c r="J296" s="924"/>
      <c r="K296" s="922">
        <v>9551.64</v>
      </c>
      <c r="L296" s="924"/>
      <c r="M296" s="922">
        <v>9540.23</v>
      </c>
      <c r="N296" s="924"/>
      <c r="O296" s="922">
        <v>7042.2</v>
      </c>
      <c r="P296" s="924"/>
      <c r="Q296" s="922">
        <v>6924.62</v>
      </c>
      <c r="R296" s="924"/>
      <c r="S296" s="922">
        <v>5809.81</v>
      </c>
      <c r="T296" s="924"/>
      <c r="U296" s="922">
        <v>6018.62</v>
      </c>
      <c r="V296" s="924"/>
      <c r="W296" s="898">
        <v>4935.1000000000004</v>
      </c>
      <c r="Y296" s="922">
        <v>5640.76</v>
      </c>
      <c r="Z296" s="924"/>
      <c r="AA296" s="946">
        <v>6280.06</v>
      </c>
      <c r="AB296" s="924"/>
      <c r="AC296" s="922">
        <v>5860.56</v>
      </c>
      <c r="AD296" s="898">
        <f t="shared" si="19"/>
        <v>86505.86</v>
      </c>
    </row>
    <row r="297" spans="1:31">
      <c r="A297" s="910">
        <v>293</v>
      </c>
      <c r="B297" s="830" t="s">
        <v>2677</v>
      </c>
      <c r="H297" s="924"/>
      <c r="J297" s="924"/>
      <c r="L297" s="924"/>
      <c r="N297" s="924"/>
      <c r="P297" s="924"/>
      <c r="R297" s="924"/>
      <c r="T297" s="924"/>
      <c r="U297" s="922"/>
      <c r="V297" s="924"/>
      <c r="AA297" s="827"/>
      <c r="AD297" s="898">
        <f t="shared" si="19"/>
        <v>0</v>
      </c>
    </row>
    <row r="298" spans="1:31">
      <c r="A298" s="910">
        <v>294</v>
      </c>
      <c r="B298" s="830" t="s">
        <v>2719</v>
      </c>
      <c r="G298" s="922">
        <v>606.21</v>
      </c>
      <c r="H298" s="924"/>
      <c r="I298" s="922">
        <v>655.69</v>
      </c>
      <c r="J298" s="924"/>
      <c r="K298" s="922">
        <v>635.5</v>
      </c>
      <c r="L298" s="924"/>
      <c r="M298" s="922">
        <v>634.99</v>
      </c>
      <c r="N298" s="924"/>
      <c r="O298" s="922">
        <v>521.79999999999995</v>
      </c>
      <c r="P298" s="924"/>
      <c r="Q298" s="922">
        <v>516.47</v>
      </c>
      <c r="R298" s="924"/>
      <c r="S298" s="922">
        <v>465.96</v>
      </c>
      <c r="T298" s="924"/>
      <c r="U298" s="922">
        <v>475.42</v>
      </c>
      <c r="V298" s="924"/>
      <c r="W298" s="898">
        <v>426.33</v>
      </c>
      <c r="Y298" s="922">
        <v>458.3</v>
      </c>
      <c r="Z298" s="924"/>
      <c r="AA298" s="946">
        <v>487.17</v>
      </c>
      <c r="AB298" s="924"/>
      <c r="AC298" s="922">
        <v>468.17</v>
      </c>
      <c r="AD298" s="898">
        <f t="shared" si="19"/>
        <v>6352.0100000000011</v>
      </c>
    </row>
    <row r="299" spans="1:31">
      <c r="A299" s="910">
        <v>295</v>
      </c>
      <c r="B299" s="830" t="s">
        <v>2884</v>
      </c>
      <c r="G299" s="922">
        <f>SUM(G291:G298)</f>
        <v>14287.21</v>
      </c>
      <c r="H299" s="922"/>
      <c r="I299" s="922">
        <f>SUM(I291:I298)</f>
        <v>15453.539999999999</v>
      </c>
      <c r="J299" s="922"/>
      <c r="K299" s="922">
        <f>SUM(K291:K298)</f>
        <v>14977.7</v>
      </c>
      <c r="L299" s="922"/>
      <c r="M299" s="922">
        <f>SUM(M291:M298)</f>
        <v>14965.519999999999</v>
      </c>
      <c r="N299" s="922"/>
      <c r="O299" s="922">
        <f>SUM(O291:O298)</f>
        <v>12297.93</v>
      </c>
      <c r="P299" s="922"/>
      <c r="Q299" s="922">
        <f>SUM(Q291:Q298)</f>
        <v>12172.359999999999</v>
      </c>
      <c r="R299" s="922"/>
      <c r="S299" s="922">
        <f>SUM(S291:S298)</f>
        <v>10981.89</v>
      </c>
      <c r="T299" s="922"/>
      <c r="U299" s="922">
        <f>SUM(U291:U298)</f>
        <v>11204.87</v>
      </c>
      <c r="V299" s="922"/>
      <c r="W299" s="922">
        <f>SUM(W291:W298)</f>
        <v>10047.800000000001</v>
      </c>
      <c r="X299" s="922"/>
      <c r="Y299" s="922">
        <f>SUM(Y291:Y298)</f>
        <v>10801.36</v>
      </c>
      <c r="Z299" s="922"/>
      <c r="AA299" s="946">
        <f>SUM(AA291:AA298)</f>
        <v>11481.730000000001</v>
      </c>
      <c r="AB299" s="922"/>
      <c r="AC299" s="922">
        <f>SUM(AC291:AC298)</f>
        <v>11033.910000000002</v>
      </c>
      <c r="AD299" s="898">
        <f t="shared" si="19"/>
        <v>149705.82</v>
      </c>
    </row>
    <row r="300" spans="1:31">
      <c r="A300" s="910">
        <v>296</v>
      </c>
      <c r="B300" s="830" t="s">
        <v>2514</v>
      </c>
      <c r="F300" s="928"/>
      <c r="G300" s="924">
        <v>502419</v>
      </c>
      <c r="H300" s="924"/>
      <c r="I300" s="924">
        <v>564041</v>
      </c>
      <c r="J300" s="924"/>
      <c r="K300" s="924">
        <v>538901</v>
      </c>
      <c r="L300" s="924"/>
      <c r="M300" s="924">
        <v>538257</v>
      </c>
      <c r="N300" s="924"/>
      <c r="O300" s="924">
        <v>397319</v>
      </c>
      <c r="P300" s="924"/>
      <c r="Q300" s="924">
        <v>390685</v>
      </c>
      <c r="R300" s="924"/>
      <c r="S300" s="924">
        <v>327788</v>
      </c>
      <c r="T300" s="924"/>
      <c r="U300" s="924">
        <v>339569</v>
      </c>
      <c r="V300" s="926"/>
      <c r="W300" s="899">
        <v>278437</v>
      </c>
      <c r="X300" s="928"/>
      <c r="Y300" s="924">
        <v>318250</v>
      </c>
      <c r="Z300" s="926"/>
      <c r="AA300" s="947">
        <v>348739</v>
      </c>
      <c r="AB300" s="926"/>
      <c r="AC300" s="924">
        <v>325444</v>
      </c>
      <c r="AD300" s="928">
        <f t="shared" si="19"/>
        <v>4869849</v>
      </c>
      <c r="AE300" s="928"/>
    </row>
    <row r="301" spans="1:31">
      <c r="A301" s="910">
        <v>297</v>
      </c>
      <c r="B301" s="830" t="s">
        <v>2885</v>
      </c>
      <c r="F301" s="928"/>
      <c r="G301" s="899"/>
      <c r="I301" s="899"/>
      <c r="K301" s="899"/>
      <c r="M301" s="899"/>
      <c r="O301" s="899"/>
      <c r="Q301" s="899"/>
      <c r="S301" s="924"/>
      <c r="T301" s="924"/>
      <c r="U301" s="924"/>
      <c r="V301" s="926"/>
      <c r="W301" s="899"/>
      <c r="X301" s="928"/>
      <c r="Y301" s="924"/>
      <c r="Z301" s="926"/>
      <c r="AA301" s="947"/>
      <c r="AB301" s="926"/>
      <c r="AC301" s="924"/>
      <c r="AD301" s="928">
        <f t="shared" si="19"/>
        <v>0</v>
      </c>
      <c r="AE301" s="928"/>
    </row>
    <row r="302" spans="1:31">
      <c r="A302" s="910">
        <v>298</v>
      </c>
      <c r="B302" s="830" t="s">
        <v>2886</v>
      </c>
      <c r="F302" s="928"/>
      <c r="G302" s="924">
        <f>SUM(G300:G301)</f>
        <v>502419</v>
      </c>
      <c r="H302" s="924"/>
      <c r="I302" s="924">
        <f>SUM(I300:I301)</f>
        <v>564041</v>
      </c>
      <c r="J302" s="924"/>
      <c r="K302" s="924">
        <f>SUM(K300:K301)</f>
        <v>538901</v>
      </c>
      <c r="L302" s="924"/>
      <c r="M302" s="924">
        <f>SUM(M300:M301)</f>
        <v>538257</v>
      </c>
      <c r="N302" s="924"/>
      <c r="O302" s="924">
        <f>SUM(O300:O301)</f>
        <v>397319</v>
      </c>
      <c r="P302" s="924"/>
      <c r="Q302" s="924">
        <f>SUM(Q300:Q301)</f>
        <v>390685</v>
      </c>
      <c r="R302" s="924"/>
      <c r="S302" s="924">
        <f>SUM(S300:S301)</f>
        <v>327788</v>
      </c>
      <c r="T302" s="924"/>
      <c r="U302" s="924">
        <f>SUM(U300:U301)</f>
        <v>339569</v>
      </c>
      <c r="V302" s="926"/>
      <c r="W302" s="924">
        <f>SUM(W300:W301)</f>
        <v>278437</v>
      </c>
      <c r="X302" s="926"/>
      <c r="Y302" s="924">
        <f>SUM(Y300:Y301)</f>
        <v>318250</v>
      </c>
      <c r="Z302" s="926"/>
      <c r="AA302" s="948">
        <f>SUM(AA300:AA301)</f>
        <v>348739</v>
      </c>
      <c r="AB302" s="926"/>
      <c r="AC302" s="924">
        <f>SUM(AC300:AC301)</f>
        <v>325444</v>
      </c>
      <c r="AD302" s="928">
        <f t="shared" si="19"/>
        <v>4869849</v>
      </c>
      <c r="AE302" s="928"/>
    </row>
    <row r="303" spans="1:31">
      <c r="A303" s="910">
        <v>299</v>
      </c>
      <c r="B303" s="837"/>
      <c r="G303" s="935"/>
      <c r="I303" s="935"/>
      <c r="K303" s="935"/>
      <c r="M303" s="935"/>
      <c r="O303" s="935"/>
      <c r="Q303" s="935"/>
      <c r="S303" s="935"/>
    </row>
    <row r="304" spans="1:31">
      <c r="A304" s="910">
        <v>300</v>
      </c>
      <c r="B304" s="851" t="s">
        <v>2747</v>
      </c>
      <c r="G304" s="935"/>
      <c r="I304" s="935"/>
      <c r="K304" s="935"/>
      <c r="M304" s="935"/>
      <c r="O304" s="935"/>
      <c r="Q304" s="935"/>
      <c r="S304" s="935"/>
    </row>
    <row r="305" spans="1:30">
      <c r="A305" s="910">
        <v>301</v>
      </c>
      <c r="B305" s="830" t="s">
        <v>2724</v>
      </c>
      <c r="G305" s="922">
        <v>625</v>
      </c>
      <c r="H305" s="924"/>
      <c r="I305" s="922">
        <v>625</v>
      </c>
      <c r="J305" s="924"/>
      <c r="K305" s="922">
        <v>625</v>
      </c>
      <c r="L305" s="924"/>
      <c r="M305" s="922">
        <v>625</v>
      </c>
      <c r="N305" s="924"/>
      <c r="O305" s="922">
        <v>625</v>
      </c>
      <c r="P305" s="924"/>
      <c r="Q305" s="922">
        <v>625</v>
      </c>
      <c r="R305" s="924"/>
      <c r="S305" s="922">
        <v>625</v>
      </c>
      <c r="T305" s="924"/>
      <c r="U305" s="922">
        <v>625</v>
      </c>
      <c r="V305" s="924"/>
      <c r="W305" s="923">
        <v>625</v>
      </c>
      <c r="X305" s="925"/>
      <c r="Y305" s="922">
        <v>625</v>
      </c>
      <c r="Z305" s="924"/>
      <c r="AA305" s="922">
        <v>625</v>
      </c>
      <c r="AB305" s="924"/>
      <c r="AC305" s="922">
        <v>625</v>
      </c>
      <c r="AD305" s="898">
        <f t="shared" ref="AD305:AD316" si="20">SUM(G305:AC305)</f>
        <v>7500</v>
      </c>
    </row>
    <row r="306" spans="1:30">
      <c r="A306" s="910">
        <v>302</v>
      </c>
      <c r="B306" s="830" t="s">
        <v>2736</v>
      </c>
      <c r="G306" s="922">
        <v>6725</v>
      </c>
      <c r="H306" s="924"/>
      <c r="I306" s="922">
        <v>6725</v>
      </c>
      <c r="J306" s="924"/>
      <c r="K306" s="922">
        <v>6725</v>
      </c>
      <c r="L306" s="924"/>
      <c r="M306" s="922">
        <v>6725</v>
      </c>
      <c r="N306" s="924"/>
      <c r="O306" s="922">
        <v>6725</v>
      </c>
      <c r="P306" s="924"/>
      <c r="Q306" s="922">
        <v>6725</v>
      </c>
      <c r="R306" s="924"/>
      <c r="S306" s="922">
        <v>6725</v>
      </c>
      <c r="T306" s="924"/>
      <c r="U306" s="922">
        <v>6725</v>
      </c>
      <c r="V306" s="924"/>
      <c r="W306" s="923">
        <v>6725</v>
      </c>
      <c r="X306" s="925"/>
      <c r="Y306" s="922">
        <v>6725</v>
      </c>
      <c r="Z306" s="924"/>
      <c r="AA306" s="922">
        <v>6725</v>
      </c>
      <c r="AB306" s="924"/>
      <c r="AC306" s="922">
        <v>6725</v>
      </c>
      <c r="AD306" s="898">
        <f t="shared" si="20"/>
        <v>80700</v>
      </c>
    </row>
    <row r="307" spans="1:30">
      <c r="A307" s="910">
        <v>303</v>
      </c>
      <c r="B307" s="830" t="s">
        <v>2714</v>
      </c>
      <c r="G307" s="922">
        <v>477.05</v>
      </c>
      <c r="H307" s="924"/>
      <c r="I307" s="922">
        <v>488.28</v>
      </c>
      <c r="J307" s="924"/>
      <c r="K307" s="922">
        <v>431.3</v>
      </c>
      <c r="L307" s="924"/>
      <c r="M307" s="922">
        <v>461.84</v>
      </c>
      <c r="N307" s="924"/>
      <c r="O307" s="922">
        <v>424.58</v>
      </c>
      <c r="P307" s="924"/>
      <c r="Q307" s="922">
        <v>409.84</v>
      </c>
      <c r="R307" s="924"/>
      <c r="S307" s="922">
        <v>374.87</v>
      </c>
      <c r="T307" s="924"/>
      <c r="U307" s="922">
        <v>383.85</v>
      </c>
      <c r="V307" s="924"/>
      <c r="W307" s="923">
        <v>391.81</v>
      </c>
      <c r="X307" s="925"/>
      <c r="Y307" s="922">
        <v>352.05</v>
      </c>
      <c r="Z307" s="924"/>
      <c r="AA307" s="922">
        <v>394.31</v>
      </c>
      <c r="AB307" s="924"/>
      <c r="AC307" s="922">
        <v>397.82</v>
      </c>
      <c r="AD307" s="898">
        <f t="shared" si="20"/>
        <v>4987.5999999999995</v>
      </c>
    </row>
    <row r="308" spans="1:30">
      <c r="A308" s="910">
        <v>304</v>
      </c>
      <c r="B308" s="830" t="s">
        <v>2713</v>
      </c>
      <c r="H308" s="924"/>
      <c r="J308" s="924"/>
      <c r="L308" s="924"/>
      <c r="N308" s="924"/>
      <c r="P308" s="924"/>
      <c r="R308" s="924"/>
      <c r="S308" s="922"/>
      <c r="T308" s="924"/>
      <c r="U308" s="922"/>
      <c r="V308" s="924"/>
      <c r="W308" s="923"/>
      <c r="X308" s="925"/>
      <c r="AD308" s="898">
        <f t="shared" si="20"/>
        <v>0</v>
      </c>
    </row>
    <row r="309" spans="1:30">
      <c r="A309" s="910">
        <v>305</v>
      </c>
      <c r="B309" s="830" t="s">
        <v>2738</v>
      </c>
      <c r="H309" s="924"/>
      <c r="J309" s="924"/>
      <c r="L309" s="924"/>
      <c r="N309" s="924"/>
      <c r="P309" s="924"/>
      <c r="R309" s="924"/>
      <c r="S309" s="922"/>
      <c r="T309" s="924"/>
      <c r="U309" s="922"/>
      <c r="V309" s="924"/>
      <c r="W309" s="923"/>
      <c r="X309" s="925"/>
      <c r="AD309" s="898">
        <f t="shared" si="20"/>
        <v>0</v>
      </c>
    </row>
    <row r="310" spans="1:30">
      <c r="A310" s="910">
        <v>306</v>
      </c>
      <c r="B310" s="830" t="s">
        <v>2897</v>
      </c>
      <c r="G310" s="922">
        <v>12929.28</v>
      </c>
      <c r="H310" s="924"/>
      <c r="I310" s="922">
        <v>13233.72</v>
      </c>
      <c r="J310" s="924"/>
      <c r="K310" s="922">
        <v>11689.36</v>
      </c>
      <c r="L310" s="924"/>
      <c r="M310" s="922">
        <v>12517.23</v>
      </c>
      <c r="N310" s="924"/>
      <c r="O310" s="922">
        <v>11507.29</v>
      </c>
      <c r="P310" s="924"/>
      <c r="Q310" s="922">
        <v>11107.73</v>
      </c>
      <c r="R310" s="924"/>
      <c r="S310" s="922">
        <v>10160.02</v>
      </c>
      <c r="T310" s="924"/>
      <c r="U310" s="922">
        <v>10403.299999999999</v>
      </c>
      <c r="V310" s="924"/>
      <c r="W310" s="923">
        <v>10619.15</v>
      </c>
      <c r="X310" s="925"/>
      <c r="Y310" s="922">
        <v>9541.57</v>
      </c>
      <c r="Z310" s="924"/>
      <c r="AA310" s="922">
        <v>10858.01</v>
      </c>
      <c r="AB310" s="924"/>
      <c r="AC310" s="922">
        <v>10954.7</v>
      </c>
      <c r="AD310" s="898">
        <f t="shared" si="20"/>
        <v>135521.35999999999</v>
      </c>
    </row>
    <row r="311" spans="1:30">
      <c r="A311" s="910">
        <v>307</v>
      </c>
      <c r="B311" s="830" t="s">
        <v>2719</v>
      </c>
      <c r="G311" s="922">
        <v>919.71</v>
      </c>
      <c r="H311" s="924"/>
      <c r="I311" s="922">
        <v>933.7</v>
      </c>
      <c r="J311" s="924"/>
      <c r="K311" s="922">
        <v>862.74</v>
      </c>
      <c r="L311" s="924"/>
      <c r="M311" s="922">
        <v>900.78</v>
      </c>
      <c r="N311" s="924"/>
      <c r="O311" s="922">
        <v>854.38</v>
      </c>
      <c r="P311" s="924"/>
      <c r="Q311" s="922">
        <v>836.02</v>
      </c>
      <c r="R311" s="924"/>
      <c r="S311" s="922">
        <v>792.48</v>
      </c>
      <c r="T311" s="924"/>
      <c r="U311" s="922">
        <v>803.66</v>
      </c>
      <c r="V311" s="924"/>
      <c r="W311" s="923">
        <v>813.57</v>
      </c>
      <c r="X311" s="925"/>
      <c r="Y311" s="922">
        <v>764.06</v>
      </c>
      <c r="Z311" s="924"/>
      <c r="AA311" s="922">
        <v>824.27</v>
      </c>
      <c r="AB311" s="924"/>
      <c r="AC311" s="922">
        <v>828.71</v>
      </c>
      <c r="AD311" s="898">
        <f t="shared" si="20"/>
        <v>10134.079999999998</v>
      </c>
    </row>
    <row r="312" spans="1:30">
      <c r="A312" s="910">
        <v>308</v>
      </c>
      <c r="B312" s="830" t="s">
        <v>2677</v>
      </c>
      <c r="G312" s="922"/>
      <c r="H312" s="924"/>
      <c r="I312" s="922"/>
      <c r="J312" s="924"/>
      <c r="K312" s="922"/>
      <c r="L312" s="924"/>
      <c r="M312" s="922"/>
      <c r="N312" s="924"/>
      <c r="O312" s="922"/>
      <c r="P312" s="924"/>
      <c r="Q312" s="922"/>
      <c r="R312" s="924"/>
      <c r="S312" s="922"/>
      <c r="T312" s="924"/>
      <c r="U312" s="922"/>
      <c r="V312" s="924"/>
      <c r="W312" s="923"/>
      <c r="X312" s="925"/>
      <c r="AD312" s="898">
        <f t="shared" si="20"/>
        <v>0</v>
      </c>
    </row>
    <row r="313" spans="1:30">
      <c r="A313" s="910">
        <v>309</v>
      </c>
      <c r="B313" s="830" t="s">
        <v>2884</v>
      </c>
      <c r="G313" s="922">
        <f>SUM(G305:G312)</f>
        <v>21676.04</v>
      </c>
      <c r="H313" s="922"/>
      <c r="I313" s="922">
        <f>SUM(I305:I312)</f>
        <v>22005.7</v>
      </c>
      <c r="J313" s="922"/>
      <c r="K313" s="922">
        <f>SUM(K305:K312)</f>
        <v>20333.400000000001</v>
      </c>
      <c r="L313" s="922"/>
      <c r="M313" s="922">
        <f>SUM(M305:M312)</f>
        <v>21229.85</v>
      </c>
      <c r="N313" s="922"/>
      <c r="O313" s="922">
        <f>SUM(O305:O312)</f>
        <v>20136.250000000004</v>
      </c>
      <c r="P313" s="922"/>
      <c r="Q313" s="922">
        <f>SUM(Q305:Q312)</f>
        <v>19703.59</v>
      </c>
      <c r="R313" s="922"/>
      <c r="S313" s="922">
        <f>SUM(S305:S312)</f>
        <v>18677.37</v>
      </c>
      <c r="T313" s="922"/>
      <c r="U313" s="922">
        <f>SUM(U305:U312)</f>
        <v>18940.810000000001</v>
      </c>
      <c r="V313" s="922"/>
      <c r="W313" s="922">
        <f>SUM(W305:W312)</f>
        <v>19174.53</v>
      </c>
      <c r="X313" s="922"/>
      <c r="Y313" s="922">
        <f>SUM(Y305:Y312)</f>
        <v>18007.68</v>
      </c>
      <c r="Z313" s="922"/>
      <c r="AA313" s="922">
        <f>SUM(AA305:AA312)</f>
        <v>19426.59</v>
      </c>
      <c r="AB313" s="922"/>
      <c r="AC313" s="922">
        <f>SUM(AC305:AC312)</f>
        <v>19531.23</v>
      </c>
      <c r="AD313" s="898">
        <f t="shared" si="20"/>
        <v>238843.04</v>
      </c>
    </row>
    <row r="314" spans="1:30">
      <c r="A314" s="910">
        <v>310</v>
      </c>
      <c r="B314" s="830" t="s">
        <v>2514</v>
      </c>
      <c r="F314" s="928"/>
      <c r="G314" s="924">
        <v>1192617</v>
      </c>
      <c r="H314" s="924"/>
      <c r="I314" s="924">
        <v>1220699</v>
      </c>
      <c r="J314" s="924"/>
      <c r="K314" s="924">
        <v>1078245</v>
      </c>
      <c r="L314" s="924"/>
      <c r="M314" s="924">
        <v>1154609</v>
      </c>
      <c r="N314" s="924"/>
      <c r="O314" s="924">
        <v>1061450</v>
      </c>
      <c r="P314" s="924"/>
      <c r="Q314" s="924">
        <v>1024594</v>
      </c>
      <c r="R314" s="924"/>
      <c r="S314" s="924">
        <v>937176</v>
      </c>
      <c r="T314" s="926"/>
      <c r="U314" s="924">
        <v>959617</v>
      </c>
      <c r="V314" s="926"/>
      <c r="W314" s="899">
        <v>979527</v>
      </c>
      <c r="X314" s="928"/>
      <c r="Y314" s="924">
        <v>880129</v>
      </c>
      <c r="Z314" s="926"/>
      <c r="AA314" s="924">
        <v>985783</v>
      </c>
      <c r="AB314" s="926"/>
      <c r="AC314" s="924">
        <v>994562</v>
      </c>
      <c r="AD314" s="928">
        <f t="shared" si="20"/>
        <v>12469008</v>
      </c>
    </row>
    <row r="315" spans="1:30">
      <c r="A315" s="910">
        <v>311</v>
      </c>
      <c r="B315" s="830" t="s">
        <v>2885</v>
      </c>
      <c r="F315" s="928"/>
      <c r="G315" s="899"/>
      <c r="I315" s="899"/>
      <c r="K315" s="899"/>
      <c r="M315" s="899"/>
      <c r="O315" s="899"/>
      <c r="Q315" s="899"/>
      <c r="S315" s="924"/>
      <c r="T315" s="926"/>
      <c r="U315" s="924"/>
      <c r="V315" s="926"/>
      <c r="W315" s="928"/>
      <c r="X315" s="928"/>
      <c r="Y315" s="924"/>
      <c r="Z315" s="926"/>
      <c r="AA315" s="924"/>
      <c r="AB315" s="926"/>
      <c r="AC315" s="924"/>
      <c r="AD315" s="928">
        <f t="shared" si="20"/>
        <v>0</v>
      </c>
    </row>
    <row r="316" spans="1:30">
      <c r="A316" s="910">
        <v>312</v>
      </c>
      <c r="B316" s="830" t="s">
        <v>2886</v>
      </c>
      <c r="F316" s="928"/>
      <c r="G316" s="924">
        <f>SUM(G314:G315)</f>
        <v>1192617</v>
      </c>
      <c r="H316" s="924"/>
      <c r="I316" s="924">
        <f>SUM(I314:I315)</f>
        <v>1220699</v>
      </c>
      <c r="J316" s="924"/>
      <c r="K316" s="924">
        <f>SUM(K314:K315)</f>
        <v>1078245</v>
      </c>
      <c r="L316" s="924"/>
      <c r="M316" s="924">
        <f>SUM(M314:M315)</f>
        <v>1154609</v>
      </c>
      <c r="N316" s="924"/>
      <c r="O316" s="924">
        <f>SUM(O314:O315)</f>
        <v>1061450</v>
      </c>
      <c r="P316" s="924"/>
      <c r="Q316" s="924">
        <f>SUM(Q314:Q315)</f>
        <v>1024594</v>
      </c>
      <c r="R316" s="924"/>
      <c r="S316" s="924">
        <f>SUM(S314:S315)</f>
        <v>937176</v>
      </c>
      <c r="T316" s="926"/>
      <c r="U316" s="924">
        <f>SUM(U314:U315)</f>
        <v>959617</v>
      </c>
      <c r="V316" s="926"/>
      <c r="W316" s="924">
        <f>SUM(W314:W315)</f>
        <v>979527</v>
      </c>
      <c r="X316" s="926"/>
      <c r="Y316" s="924">
        <f>SUM(Y314:Y315)</f>
        <v>880129</v>
      </c>
      <c r="Z316" s="926"/>
      <c r="AA316" s="924">
        <f>SUM(AA314:AA315)</f>
        <v>985783</v>
      </c>
      <c r="AB316" s="926"/>
      <c r="AC316" s="924">
        <f>SUM(AC314:AC315)</f>
        <v>994562</v>
      </c>
      <c r="AD316" s="928">
        <f t="shared" si="20"/>
        <v>12469008</v>
      </c>
    </row>
    <row r="317" spans="1:30">
      <c r="A317" s="910">
        <v>313</v>
      </c>
      <c r="B317" s="830"/>
      <c r="F317" s="928"/>
      <c r="G317" s="926"/>
      <c r="H317" s="926"/>
      <c r="I317" s="926"/>
      <c r="J317" s="926"/>
      <c r="K317" s="926"/>
      <c r="L317" s="926"/>
      <c r="M317" s="926"/>
      <c r="N317" s="926"/>
      <c r="O317" s="926"/>
      <c r="P317" s="926"/>
      <c r="Q317" s="926"/>
      <c r="R317" s="926"/>
      <c r="S317" s="926"/>
      <c r="T317" s="926"/>
      <c r="U317" s="926"/>
      <c r="V317" s="926"/>
      <c r="W317" s="928"/>
      <c r="X317" s="928"/>
      <c r="Y317" s="926"/>
      <c r="Z317" s="926"/>
      <c r="AA317" s="926"/>
      <c r="AB317" s="926"/>
      <c r="AC317" s="926"/>
      <c r="AD317" s="928"/>
    </row>
    <row r="318" spans="1:30">
      <c r="A318" s="910">
        <v>314</v>
      </c>
      <c r="B318" s="851" t="s">
        <v>2898</v>
      </c>
      <c r="G318" s="922"/>
      <c r="H318" s="924"/>
      <c r="I318" s="922"/>
      <c r="J318" s="924"/>
      <c r="K318" s="922"/>
      <c r="L318" s="924"/>
      <c r="M318" s="922"/>
      <c r="N318" s="924"/>
      <c r="O318" s="922"/>
      <c r="P318" s="924"/>
      <c r="Q318" s="922"/>
      <c r="R318" s="924"/>
      <c r="S318" s="922"/>
      <c r="T318" s="924"/>
      <c r="U318" s="922"/>
      <c r="V318" s="924"/>
      <c r="Y318" s="922"/>
      <c r="Z318" s="924"/>
      <c r="AA318" s="922"/>
      <c r="AB318" s="924"/>
      <c r="AC318" s="922"/>
    </row>
    <row r="319" spans="1:30">
      <c r="A319" s="910">
        <v>315</v>
      </c>
      <c r="B319" s="895" t="s">
        <v>2462</v>
      </c>
      <c r="C319" s="939">
        <v>625</v>
      </c>
      <c r="D319" s="939"/>
      <c r="E319" s="939"/>
      <c r="F319" s="899">
        <f>G319/$C$319</f>
        <v>2</v>
      </c>
      <c r="G319" s="922">
        <v>1250</v>
      </c>
      <c r="H319" s="899">
        <f>I319/$C$319</f>
        <v>2</v>
      </c>
      <c r="I319" s="922">
        <v>1250</v>
      </c>
      <c r="J319" s="899">
        <f>K319/$C$319</f>
        <v>2</v>
      </c>
      <c r="K319" s="922">
        <v>1250</v>
      </c>
      <c r="L319" s="899">
        <f>M319/$C$319</f>
        <v>2</v>
      </c>
      <c r="M319" s="922">
        <v>1250</v>
      </c>
      <c r="N319" s="899">
        <f>O319/$C$319</f>
        <v>2</v>
      </c>
      <c r="O319" s="922">
        <v>1250</v>
      </c>
      <c r="P319" s="899">
        <f>Q319/$C$319</f>
        <v>2</v>
      </c>
      <c r="Q319" s="922">
        <v>1250</v>
      </c>
      <c r="R319" s="899">
        <f>S319/$C$319</f>
        <v>2</v>
      </c>
      <c r="S319" s="922">
        <v>1250</v>
      </c>
      <c r="T319" s="899">
        <f>U319/$C$319</f>
        <v>2</v>
      </c>
      <c r="U319" s="922">
        <v>1250</v>
      </c>
      <c r="V319" s="899">
        <f>W319/$C$319</f>
        <v>2</v>
      </c>
      <c r="W319" s="898">
        <v>1250</v>
      </c>
      <c r="X319" s="899">
        <f>Y319/$C$319</f>
        <v>2</v>
      </c>
      <c r="Y319" s="922">
        <v>1250</v>
      </c>
      <c r="Z319" s="899">
        <f>AA319/$C$319</f>
        <v>2</v>
      </c>
      <c r="AA319" s="922">
        <v>1250</v>
      </c>
      <c r="AB319" s="941">
        <f>AC319/$C$319</f>
        <v>2</v>
      </c>
      <c r="AC319" s="922">
        <v>1250</v>
      </c>
      <c r="AD319" s="898">
        <f t="shared" ref="AD319:AD325" si="21">SUM(G319,I319,K319,M319,O319,Q319,S319,U319,W319,Y319,AA319,AC319)</f>
        <v>15000</v>
      </c>
    </row>
    <row r="320" spans="1:30">
      <c r="A320" s="910">
        <v>316</v>
      </c>
      <c r="B320" s="949" t="s">
        <v>2713</v>
      </c>
      <c r="C320" s="910">
        <v>0.2</v>
      </c>
      <c r="E320" s="945"/>
      <c r="F320" s="899">
        <f>G320/$C$320</f>
        <v>520000</v>
      </c>
      <c r="G320" s="922">
        <v>104000</v>
      </c>
      <c r="H320" s="899">
        <f>I320/$C$320</f>
        <v>520000</v>
      </c>
      <c r="I320" s="922">
        <v>104000</v>
      </c>
      <c r="J320" s="899">
        <f>K320/$C$320</f>
        <v>520000</v>
      </c>
      <c r="K320" s="922">
        <v>104000</v>
      </c>
      <c r="L320" s="899">
        <f>M320/$C$320</f>
        <v>520000</v>
      </c>
      <c r="M320" s="922">
        <v>104000</v>
      </c>
      <c r="N320" s="899">
        <f>O320/$C$320</f>
        <v>520000</v>
      </c>
      <c r="O320" s="922">
        <v>104000</v>
      </c>
      <c r="P320" s="899">
        <f>Q320/$C$320</f>
        <v>520000</v>
      </c>
      <c r="Q320" s="922">
        <v>104000</v>
      </c>
      <c r="R320" s="899">
        <f>S320/$C$320</f>
        <v>520000</v>
      </c>
      <c r="S320" s="922">
        <v>104000</v>
      </c>
      <c r="T320" s="899">
        <f>U320/$C$320</f>
        <v>520000</v>
      </c>
      <c r="U320" s="922">
        <v>104000</v>
      </c>
      <c r="V320" s="899">
        <f>W320/$C$320</f>
        <v>520000</v>
      </c>
      <c r="W320" s="898">
        <v>104000</v>
      </c>
      <c r="X320" s="899">
        <f>Y320/$C$320</f>
        <v>520000</v>
      </c>
      <c r="Y320" s="922">
        <v>104000</v>
      </c>
      <c r="Z320" s="899">
        <f>AA320/$C$320</f>
        <v>520000</v>
      </c>
      <c r="AA320" s="922">
        <v>104000</v>
      </c>
      <c r="AB320" s="899">
        <f>AC320/$C$320</f>
        <v>520000</v>
      </c>
      <c r="AC320" s="922">
        <v>104000</v>
      </c>
      <c r="AD320" s="898">
        <f t="shared" si="21"/>
        <v>1248000</v>
      </c>
    </row>
    <row r="321" spans="1:30">
      <c r="A321" s="910">
        <v>317</v>
      </c>
      <c r="B321" s="949" t="s">
        <v>2714</v>
      </c>
      <c r="C321" s="910">
        <v>4.0000000000000002E-4</v>
      </c>
      <c r="F321" s="899">
        <f>G321/$C$321</f>
        <v>14382574.999999998</v>
      </c>
      <c r="G321" s="922">
        <v>5753.03</v>
      </c>
      <c r="H321" s="899">
        <f>I321/$C$321</f>
        <v>14944500</v>
      </c>
      <c r="I321" s="922">
        <v>5977.8</v>
      </c>
      <c r="J321" s="899">
        <f>K321/$C$321</f>
        <v>7408850</v>
      </c>
      <c r="K321" s="922">
        <v>2963.54</v>
      </c>
      <c r="L321" s="899">
        <f>M321/$C$321</f>
        <v>9817650</v>
      </c>
      <c r="M321" s="922">
        <v>3927.06</v>
      </c>
      <c r="N321" s="899">
        <f>O321/$C$321</f>
        <v>7594199.9999999991</v>
      </c>
      <c r="O321" s="922">
        <v>3037.68</v>
      </c>
      <c r="P321" s="899">
        <f>Q321/$C$321</f>
        <v>5340650</v>
      </c>
      <c r="Q321" s="922">
        <v>2136.2600000000002</v>
      </c>
      <c r="R321" s="899">
        <f>S321/$C$321</f>
        <v>7824550</v>
      </c>
      <c r="S321" s="922">
        <v>3129.82</v>
      </c>
      <c r="T321" s="899">
        <f>U321/$C$321</f>
        <v>14501175</v>
      </c>
      <c r="U321" s="922">
        <v>5800.47</v>
      </c>
      <c r="V321" s="899">
        <f>W321/$C$321</f>
        <v>16164674.999999998</v>
      </c>
      <c r="W321" s="898">
        <v>6465.87</v>
      </c>
      <c r="X321" s="899">
        <f>Y321/$C$321</f>
        <v>15653550</v>
      </c>
      <c r="Y321" s="922">
        <v>6261.42</v>
      </c>
      <c r="Z321" s="899">
        <f>AA321/$C$321</f>
        <v>11066775</v>
      </c>
      <c r="AA321" s="922">
        <v>4426.71</v>
      </c>
      <c r="AB321" s="899">
        <f>AC321/$C$321</f>
        <v>12699050</v>
      </c>
      <c r="AC321" s="922">
        <v>5079.62</v>
      </c>
      <c r="AD321" s="898">
        <f t="shared" si="21"/>
        <v>54959.280000000006</v>
      </c>
    </row>
    <row r="322" spans="1:30">
      <c r="A322" s="910">
        <v>318</v>
      </c>
      <c r="B322" s="949" t="s">
        <v>2716</v>
      </c>
      <c r="C322" s="910">
        <v>5.3310000000000003E-2</v>
      </c>
      <c r="F322" s="899">
        <f>G322/$C$322</f>
        <v>100000</v>
      </c>
      <c r="G322" s="922">
        <v>5331</v>
      </c>
      <c r="H322" s="899">
        <f>I322/$C$322</f>
        <v>100000</v>
      </c>
      <c r="I322" s="922">
        <v>5331</v>
      </c>
      <c r="J322" s="899">
        <f>K322/$C$322</f>
        <v>100000</v>
      </c>
      <c r="K322" s="922">
        <v>5331</v>
      </c>
      <c r="L322" s="899">
        <f>M322/$C$322</f>
        <v>100000</v>
      </c>
      <c r="M322" s="922">
        <v>5331</v>
      </c>
      <c r="N322" s="899">
        <f>O322/$C$322</f>
        <v>100000</v>
      </c>
      <c r="O322" s="922">
        <v>5331</v>
      </c>
      <c r="P322" s="899">
        <f>Q322/$C$322</f>
        <v>100000</v>
      </c>
      <c r="Q322" s="922">
        <v>5331</v>
      </c>
      <c r="R322" s="899">
        <f>S322/$C$322</f>
        <v>100000</v>
      </c>
      <c r="S322" s="922">
        <v>5331</v>
      </c>
      <c r="T322" s="899">
        <f>U322/$C$322</f>
        <v>100000</v>
      </c>
      <c r="U322" s="922">
        <v>5331</v>
      </c>
      <c r="V322" s="899">
        <f>W322/$C$322</f>
        <v>100000</v>
      </c>
      <c r="W322" s="898">
        <v>5331</v>
      </c>
      <c r="X322" s="899">
        <f>Y322/$C$322</f>
        <v>100000</v>
      </c>
      <c r="Y322" s="922">
        <v>5331</v>
      </c>
      <c r="Z322" s="899">
        <f>AA322/$C$322</f>
        <v>100000</v>
      </c>
      <c r="AA322" s="922">
        <v>5331</v>
      </c>
      <c r="AB322" s="899">
        <f>AC322/$C$322</f>
        <v>100000</v>
      </c>
      <c r="AC322" s="922">
        <v>5331</v>
      </c>
      <c r="AD322" s="898">
        <f t="shared" si="21"/>
        <v>63972</v>
      </c>
    </row>
    <row r="323" spans="1:30">
      <c r="A323" s="910">
        <v>319</v>
      </c>
      <c r="B323" s="949" t="s">
        <v>2494</v>
      </c>
      <c r="C323" s="910">
        <v>1.9449999999999999E-2</v>
      </c>
      <c r="F323" s="899">
        <f>G323/$C$323</f>
        <v>200000.00000000003</v>
      </c>
      <c r="G323" s="922">
        <v>3890</v>
      </c>
      <c r="H323" s="899">
        <f>I323/$C$323</f>
        <v>200000.00000000003</v>
      </c>
      <c r="I323" s="922">
        <v>3890</v>
      </c>
      <c r="J323" s="899">
        <f>K323/$C$323</f>
        <v>200000.00000000003</v>
      </c>
      <c r="K323" s="922">
        <v>3890</v>
      </c>
      <c r="L323" s="899">
        <f>M323/$C$323</f>
        <v>200000.00000000003</v>
      </c>
      <c r="M323" s="922">
        <v>3890</v>
      </c>
      <c r="N323" s="899">
        <f>O323/$C$323</f>
        <v>200000.00000000003</v>
      </c>
      <c r="O323" s="922">
        <v>3890</v>
      </c>
      <c r="P323" s="899">
        <f>Q323/$C$323</f>
        <v>200000.00000000003</v>
      </c>
      <c r="Q323" s="922">
        <v>3890</v>
      </c>
      <c r="R323" s="899">
        <f>S323/$C$323</f>
        <v>321542.41645244218</v>
      </c>
      <c r="S323" s="922">
        <v>6254</v>
      </c>
      <c r="T323" s="899">
        <f>U323/$C$323</f>
        <v>200000.00000000003</v>
      </c>
      <c r="U323" s="922">
        <v>3890</v>
      </c>
      <c r="V323" s="899">
        <f>W323/$C$323</f>
        <v>200000.00000000003</v>
      </c>
      <c r="W323" s="898">
        <v>3890</v>
      </c>
      <c r="X323" s="899">
        <f>Y323/$C$323</f>
        <v>200000.00000000003</v>
      </c>
      <c r="Y323" s="922">
        <v>3890</v>
      </c>
      <c r="Z323" s="899">
        <f>AA323/$C$323</f>
        <v>200000.00000000003</v>
      </c>
      <c r="AA323" s="922">
        <v>3890</v>
      </c>
      <c r="AB323" s="899">
        <f>AC323/$C$323</f>
        <v>200000.00000000003</v>
      </c>
      <c r="AC323" s="898">
        <v>3890</v>
      </c>
      <c r="AD323" s="898">
        <f t="shared" si="21"/>
        <v>49044</v>
      </c>
    </row>
    <row r="324" spans="1:30">
      <c r="A324" s="910">
        <v>320</v>
      </c>
      <c r="B324" s="949" t="s">
        <v>2494</v>
      </c>
      <c r="C324" s="910">
        <v>1.1820000000000001E-2</v>
      </c>
      <c r="F324" s="899">
        <f>G324/$C$324</f>
        <v>200000</v>
      </c>
      <c r="G324" s="922">
        <v>2364</v>
      </c>
      <c r="H324" s="899">
        <f>I324/$C$324</f>
        <v>200000</v>
      </c>
      <c r="I324" s="922">
        <v>2364</v>
      </c>
      <c r="J324" s="899">
        <f>K324/$C$324</f>
        <v>200000</v>
      </c>
      <c r="K324" s="922">
        <v>2364</v>
      </c>
      <c r="L324" s="899">
        <f>M324/$C$324</f>
        <v>200000</v>
      </c>
      <c r="M324" s="922">
        <v>2364</v>
      </c>
      <c r="N324" s="899">
        <f>O324/$C$324</f>
        <v>200000</v>
      </c>
      <c r="O324" s="922">
        <v>2364</v>
      </c>
      <c r="P324" s="899">
        <f>Q324/$C$324</f>
        <v>200000</v>
      </c>
      <c r="Q324" s="922">
        <v>2364</v>
      </c>
      <c r="R324" s="899">
        <f>S324/$C$324</f>
        <v>0</v>
      </c>
      <c r="S324" s="922"/>
      <c r="T324" s="899">
        <f>U324/$C$324</f>
        <v>200000</v>
      </c>
      <c r="U324" s="922">
        <v>2364</v>
      </c>
      <c r="V324" s="899">
        <f>W324/$C$324</f>
        <v>200000</v>
      </c>
      <c r="W324" s="898">
        <v>2364</v>
      </c>
      <c r="X324" s="899">
        <f>Y324/$C$324</f>
        <v>200000</v>
      </c>
      <c r="Y324" s="922">
        <v>2364</v>
      </c>
      <c r="Z324" s="899">
        <f>AA324/$C$324</f>
        <v>200000</v>
      </c>
      <c r="AA324" s="922">
        <v>2364</v>
      </c>
      <c r="AB324" s="899">
        <f>AC324/$C$324</f>
        <v>200000</v>
      </c>
      <c r="AC324" s="898">
        <v>2364</v>
      </c>
      <c r="AD324" s="898">
        <f t="shared" si="21"/>
        <v>26004</v>
      </c>
    </row>
    <row r="325" spans="1:30">
      <c r="A325" s="910">
        <v>321</v>
      </c>
      <c r="B325" s="949" t="s">
        <v>2717</v>
      </c>
      <c r="C325" s="910">
        <v>5.62E-3</v>
      </c>
      <c r="F325" s="899">
        <f>G325/$C$325</f>
        <v>13882578.291814946</v>
      </c>
      <c r="G325" s="922">
        <v>78020.09</v>
      </c>
      <c r="H325" s="899">
        <f>I325/$C$325</f>
        <v>14444498.22064057</v>
      </c>
      <c r="I325" s="922">
        <v>81178.080000000002</v>
      </c>
      <c r="J325" s="899">
        <f>K325/$C$325</f>
        <v>6908861.2099644132</v>
      </c>
      <c r="K325" s="922">
        <v>38827.800000000003</v>
      </c>
      <c r="L325" s="899">
        <f>M325/$C$325</f>
        <v>9317658.3629893232</v>
      </c>
      <c r="M325" s="922">
        <v>52365.24</v>
      </c>
      <c r="N325" s="899">
        <f>O325/$C$325</f>
        <v>7094206.4056939511</v>
      </c>
      <c r="O325" s="922">
        <v>39869.440000000002</v>
      </c>
      <c r="P325" s="899">
        <f>Q325/$C$325</f>
        <v>4840649.466192171</v>
      </c>
      <c r="Q325" s="922">
        <v>27204.45</v>
      </c>
      <c r="R325" s="899">
        <f>S325/$C$325</f>
        <v>7324546.263345195</v>
      </c>
      <c r="S325" s="922">
        <v>41163.949999999997</v>
      </c>
      <c r="T325" s="899">
        <f>U325/$C$325</f>
        <v>14001183.274021352</v>
      </c>
      <c r="U325" s="922">
        <v>78686.649999999994</v>
      </c>
      <c r="V325" s="899">
        <f>W325/$C$325</f>
        <v>15664686.832740212</v>
      </c>
      <c r="W325" s="898">
        <v>88035.54</v>
      </c>
      <c r="X325" s="899">
        <f>Y325/$C$325</f>
        <v>15153555.160142347</v>
      </c>
      <c r="Y325" s="922">
        <v>85162.98</v>
      </c>
      <c r="Z325" s="899">
        <f>AA325/$C$325</f>
        <v>10566763.345195729</v>
      </c>
      <c r="AA325" s="922">
        <v>59385.21</v>
      </c>
      <c r="AB325" s="899">
        <f>AC325/$C$325</f>
        <v>12199044.483985767</v>
      </c>
      <c r="AC325" s="898">
        <v>68558.63</v>
      </c>
      <c r="AD325" s="898">
        <f t="shared" si="21"/>
        <v>738458.05999999994</v>
      </c>
    </row>
    <row r="326" spans="1:30">
      <c r="A326" s="910">
        <v>322</v>
      </c>
      <c r="B326" s="949" t="s">
        <v>2658</v>
      </c>
      <c r="G326" s="922">
        <v>-9061.02</v>
      </c>
      <c r="H326" s="924"/>
      <c r="I326" s="922">
        <v>-9415.0300000000007</v>
      </c>
      <c r="J326" s="924"/>
      <c r="K326" s="922">
        <v>-4667.58</v>
      </c>
      <c r="L326" s="924"/>
      <c r="M326" s="922">
        <v>-6185.13</v>
      </c>
      <c r="N326" s="924"/>
      <c r="O326" s="922">
        <v>-4784.3500000000004</v>
      </c>
      <c r="P326" s="924"/>
      <c r="Q326" s="922">
        <v>-3364.61</v>
      </c>
      <c r="R326" s="924"/>
      <c r="S326" s="922">
        <v>-4929.46</v>
      </c>
      <c r="T326" s="924"/>
      <c r="U326" s="922">
        <v>-9135.75</v>
      </c>
      <c r="V326" s="924"/>
      <c r="W326" s="898">
        <v>-10183.75</v>
      </c>
      <c r="Y326" s="922">
        <v>-9861.74</v>
      </c>
      <c r="Z326" s="924"/>
      <c r="AA326" s="922">
        <v>-6972.06</v>
      </c>
      <c r="AB326" s="924"/>
      <c r="AC326" s="922">
        <v>-9016.32</v>
      </c>
      <c r="AD326" s="898">
        <f t="shared" ref="AD326:AD336" si="22">SUM(G326:AC326)</f>
        <v>-87576.800000000017</v>
      </c>
    </row>
    <row r="327" spans="1:30">
      <c r="A327" s="910">
        <v>323</v>
      </c>
      <c r="B327" s="949" t="s">
        <v>2659</v>
      </c>
      <c r="G327" s="922">
        <v>-4170.95</v>
      </c>
      <c r="H327" s="924"/>
      <c r="I327" s="922">
        <v>-4333.8999999999996</v>
      </c>
      <c r="J327" s="924"/>
      <c r="K327" s="922">
        <v>-2148.5700000000002</v>
      </c>
      <c r="L327" s="924"/>
      <c r="M327" s="922">
        <v>-2847.12</v>
      </c>
      <c r="N327" s="924"/>
      <c r="O327" s="922">
        <v>-2202.3200000000002</v>
      </c>
      <c r="P327" s="924"/>
      <c r="Q327" s="922">
        <v>-1548.79</v>
      </c>
      <c r="R327" s="924"/>
      <c r="S327" s="922">
        <v>-2269.12</v>
      </c>
      <c r="T327" s="924"/>
      <c r="U327" s="922">
        <v>-4205.34</v>
      </c>
      <c r="V327" s="924"/>
      <c r="W327" s="898">
        <v>-4687.76</v>
      </c>
      <c r="Y327" s="922">
        <v>-4539.53</v>
      </c>
      <c r="Z327" s="924"/>
      <c r="AA327" s="922">
        <v>-3209.36</v>
      </c>
      <c r="AB327" s="924"/>
      <c r="AC327" s="922">
        <v>-3314.45</v>
      </c>
      <c r="AD327" s="898">
        <f t="shared" si="22"/>
        <v>-39477.209999999992</v>
      </c>
    </row>
    <row r="328" spans="1:30">
      <c r="A328" s="910">
        <v>324</v>
      </c>
      <c r="B328" s="949" t="s">
        <v>2660</v>
      </c>
      <c r="G328" s="922">
        <v>-7766.59</v>
      </c>
      <c r="H328" s="924"/>
      <c r="I328" s="922">
        <v>-8070.03</v>
      </c>
      <c r="J328" s="924"/>
      <c r="K328" s="922">
        <v>-4000.78</v>
      </c>
      <c r="L328" s="924"/>
      <c r="M328" s="922">
        <v>-5301.54</v>
      </c>
      <c r="N328" s="924"/>
      <c r="O328" s="922">
        <v>-4100.87</v>
      </c>
      <c r="P328" s="924"/>
      <c r="Q328" s="922">
        <v>-2883.95</v>
      </c>
      <c r="R328" s="924"/>
      <c r="S328" s="922">
        <v>-4225.25</v>
      </c>
      <c r="T328" s="924"/>
      <c r="U328" s="922">
        <v>-7830.64</v>
      </c>
      <c r="V328" s="924"/>
      <c r="W328" s="898">
        <v>-8728.93</v>
      </c>
      <c r="Y328" s="922">
        <v>-8452.92</v>
      </c>
      <c r="Z328" s="924"/>
      <c r="AA328" s="922">
        <v>-5976.05</v>
      </c>
      <c r="AB328" s="924"/>
      <c r="AC328" s="922"/>
      <c r="AD328" s="898">
        <f t="shared" si="22"/>
        <v>-67337.549999999988</v>
      </c>
    </row>
    <row r="329" spans="1:30">
      <c r="A329" s="910">
        <v>325</v>
      </c>
      <c r="B329" s="949" t="s">
        <v>2653</v>
      </c>
      <c r="G329" s="922">
        <v>4458.6000000000004</v>
      </c>
      <c r="H329" s="924"/>
      <c r="I329" s="922">
        <v>4632.79</v>
      </c>
      <c r="J329" s="924"/>
      <c r="K329" s="922">
        <v>2296.75</v>
      </c>
      <c r="L329" s="924"/>
      <c r="M329" s="922">
        <v>3043.47</v>
      </c>
      <c r="N329" s="924"/>
      <c r="O329" s="922">
        <v>2354.2000000000003</v>
      </c>
      <c r="P329" s="924"/>
      <c r="Q329" s="922">
        <v>1655.6</v>
      </c>
      <c r="R329" s="924"/>
      <c r="S329" s="922">
        <v>2425.61</v>
      </c>
      <c r="T329" s="924"/>
      <c r="U329" s="922">
        <v>4495.37</v>
      </c>
      <c r="V329" s="924"/>
      <c r="W329" s="898">
        <v>5011.05</v>
      </c>
      <c r="Y329" s="922">
        <v>4852.6000000000004</v>
      </c>
      <c r="Z329" s="924"/>
      <c r="AA329" s="922">
        <v>3430.7</v>
      </c>
      <c r="AB329" s="924"/>
      <c r="AC329" s="922">
        <v>3809.71</v>
      </c>
      <c r="AD329" s="898">
        <f t="shared" si="22"/>
        <v>42466.44999999999</v>
      </c>
    </row>
    <row r="330" spans="1:30">
      <c r="A330" s="910">
        <v>326</v>
      </c>
      <c r="B330" s="949" t="s">
        <v>2654</v>
      </c>
      <c r="G330" s="922">
        <v>24594.21</v>
      </c>
      <c r="H330" s="924"/>
      <c r="I330" s="922">
        <v>25555.09</v>
      </c>
      <c r="J330" s="924"/>
      <c r="K330" s="922">
        <v>12669.15</v>
      </c>
      <c r="L330" s="924"/>
      <c r="M330" s="922">
        <v>16788.2</v>
      </c>
      <c r="N330" s="924"/>
      <c r="O330" s="922">
        <v>12986.09</v>
      </c>
      <c r="P330" s="924"/>
      <c r="Q330" s="922">
        <v>9132.51</v>
      </c>
      <c r="R330" s="924"/>
      <c r="S330" s="922">
        <v>13379.97</v>
      </c>
      <c r="T330" s="924"/>
      <c r="U330" s="922">
        <v>24797.02</v>
      </c>
      <c r="V330" s="924"/>
      <c r="W330" s="898">
        <v>27641.61</v>
      </c>
      <c r="Y330" s="922">
        <v>26767.58</v>
      </c>
      <c r="Z330" s="924"/>
      <c r="AA330" s="922">
        <v>18924.16</v>
      </c>
      <c r="AB330" s="924"/>
      <c r="AC330" s="922">
        <v>22096.34</v>
      </c>
      <c r="AD330" s="898">
        <f t="shared" si="22"/>
        <v>235331.93</v>
      </c>
    </row>
    <row r="331" spans="1:30">
      <c r="A331" s="910">
        <v>327</v>
      </c>
      <c r="B331" s="895" t="s">
        <v>2719</v>
      </c>
      <c r="G331" s="922">
        <v>8888.94</v>
      </c>
      <c r="H331" s="924"/>
      <c r="I331" s="922">
        <v>9038.83</v>
      </c>
      <c r="J331" s="924"/>
      <c r="K331" s="922">
        <v>7028.73</v>
      </c>
      <c r="L331" s="924"/>
      <c r="M331" s="922">
        <v>7671.27</v>
      </c>
      <c r="N331" s="924"/>
      <c r="O331" s="922">
        <v>7078.17</v>
      </c>
      <c r="P331" s="924"/>
      <c r="Q331" s="922">
        <v>6477.04</v>
      </c>
      <c r="R331" s="924"/>
      <c r="S331" s="922">
        <v>7139.61</v>
      </c>
      <c r="T331" s="924"/>
      <c r="U331" s="922">
        <v>8920.58</v>
      </c>
      <c r="V331" s="924"/>
      <c r="W331" s="898">
        <v>9364.3100000000013</v>
      </c>
      <c r="Y331" s="922">
        <v>9227.9700000000012</v>
      </c>
      <c r="Z331" s="924"/>
      <c r="AA331" s="922">
        <v>8004.46</v>
      </c>
      <c r="AB331" s="924"/>
      <c r="AC331" s="922">
        <v>8439.8700000000008</v>
      </c>
      <c r="AD331" s="898">
        <f t="shared" si="22"/>
        <v>97279.780000000013</v>
      </c>
    </row>
    <row r="332" spans="1:30">
      <c r="A332" s="910">
        <v>328</v>
      </c>
      <c r="B332" s="942" t="s">
        <v>2684</v>
      </c>
      <c r="G332" s="922">
        <v>60</v>
      </c>
      <c r="H332" s="924"/>
      <c r="I332" s="922">
        <v>60</v>
      </c>
      <c r="J332" s="924"/>
      <c r="K332" s="922">
        <v>60</v>
      </c>
      <c r="L332" s="924"/>
      <c r="M332" s="922">
        <v>60</v>
      </c>
      <c r="N332" s="924"/>
      <c r="O332" s="922">
        <v>60</v>
      </c>
      <c r="P332" s="924"/>
      <c r="Q332" s="922">
        <v>60</v>
      </c>
      <c r="R332" s="924"/>
      <c r="S332" s="922">
        <v>60</v>
      </c>
      <c r="T332" s="924"/>
      <c r="U332" s="922">
        <v>60</v>
      </c>
      <c r="V332" s="924"/>
      <c r="W332" s="898">
        <v>60</v>
      </c>
      <c r="Y332" s="922">
        <v>60</v>
      </c>
      <c r="Z332" s="924"/>
      <c r="AA332" s="922">
        <v>60</v>
      </c>
      <c r="AB332" s="924"/>
      <c r="AC332" s="922">
        <v>60</v>
      </c>
      <c r="AD332" s="898">
        <f t="shared" si="22"/>
        <v>720</v>
      </c>
    </row>
    <row r="333" spans="1:30">
      <c r="A333" s="910">
        <v>329</v>
      </c>
      <c r="B333" s="830" t="s">
        <v>2884</v>
      </c>
      <c r="G333" s="922">
        <f>SUM(G319:G332)</f>
        <v>217611.31</v>
      </c>
      <c r="H333" s="922"/>
      <c r="I333" s="922">
        <f>SUM(I319:I332)</f>
        <v>221458.63</v>
      </c>
      <c r="J333" s="922"/>
      <c r="K333" s="922">
        <f>SUM(K319:K332)</f>
        <v>169864.04</v>
      </c>
      <c r="L333" s="922"/>
      <c r="M333" s="922">
        <f>SUM(M319:M332)</f>
        <v>186356.44999999998</v>
      </c>
      <c r="N333" s="922"/>
      <c r="O333" s="922">
        <f>SUM(O319:O332)</f>
        <v>171133.04</v>
      </c>
      <c r="P333" s="922"/>
      <c r="Q333" s="922">
        <f>SUM(Q319:Q332)</f>
        <v>155703.51</v>
      </c>
      <c r="R333" s="922"/>
      <c r="S333" s="922">
        <f>SUM(S319:S332)</f>
        <v>172710.13</v>
      </c>
      <c r="T333" s="922"/>
      <c r="U333" s="922">
        <f>SUM(U319:U332)</f>
        <v>218423.35999999996</v>
      </c>
      <c r="V333" s="922"/>
      <c r="W333" s="922">
        <f>SUM(W319:W332)</f>
        <v>229812.93999999994</v>
      </c>
      <c r="X333" s="922"/>
      <c r="Y333" s="922">
        <f>SUM(Y319:Y332)</f>
        <v>226313.36000000002</v>
      </c>
      <c r="Z333" s="922"/>
      <c r="AA333" s="922">
        <f>SUM(AA319:AA332)</f>
        <v>194908.77000000005</v>
      </c>
      <c r="AB333" s="922"/>
      <c r="AC333" s="922">
        <f>SUM(AC319:AC332)</f>
        <v>212548.39999999997</v>
      </c>
      <c r="AD333" s="898">
        <f t="shared" si="22"/>
        <v>2376843.94</v>
      </c>
    </row>
    <row r="334" spans="1:30">
      <c r="A334" s="910">
        <v>330</v>
      </c>
      <c r="B334" s="830" t="s">
        <v>2514</v>
      </c>
      <c r="G334" s="924">
        <v>14382579</v>
      </c>
      <c r="H334" s="924"/>
      <c r="I334" s="924">
        <v>14944499</v>
      </c>
      <c r="J334" s="924"/>
      <c r="K334" s="924">
        <v>7408861</v>
      </c>
      <c r="L334" s="924"/>
      <c r="M334" s="924">
        <v>9817659</v>
      </c>
      <c r="N334" s="924"/>
      <c r="O334" s="924">
        <v>7594206</v>
      </c>
      <c r="P334" s="926"/>
      <c r="Q334" s="924">
        <v>5340649</v>
      </c>
      <c r="R334" s="926"/>
      <c r="S334" s="924">
        <v>7824546</v>
      </c>
      <c r="T334" s="926"/>
      <c r="U334" s="924">
        <v>14501183</v>
      </c>
      <c r="V334" s="926"/>
      <c r="W334" s="899">
        <v>16164686</v>
      </c>
      <c r="X334" s="928"/>
      <c r="Y334" s="924">
        <v>15653555</v>
      </c>
      <c r="Z334" s="926"/>
      <c r="AA334" s="924">
        <v>11066763</v>
      </c>
      <c r="AB334" s="926"/>
      <c r="AC334" s="924">
        <v>12699045</v>
      </c>
      <c r="AD334" s="928">
        <f t="shared" si="22"/>
        <v>137398231</v>
      </c>
    </row>
    <row r="335" spans="1:30">
      <c r="A335" s="910">
        <v>331</v>
      </c>
      <c r="B335" s="830" t="s">
        <v>2885</v>
      </c>
      <c r="G335" s="924"/>
      <c r="H335" s="924"/>
      <c r="I335" s="924"/>
      <c r="J335" s="924"/>
      <c r="K335" s="924"/>
      <c r="L335" s="924"/>
      <c r="M335" s="924"/>
      <c r="N335" s="924"/>
      <c r="O335" s="924"/>
      <c r="P335" s="926"/>
      <c r="Q335" s="924"/>
      <c r="R335" s="926"/>
      <c r="S335" s="924"/>
      <c r="T335" s="926"/>
      <c r="U335" s="924"/>
      <c r="V335" s="926"/>
      <c r="W335" s="899"/>
      <c r="X335" s="928"/>
      <c r="Y335" s="924"/>
      <c r="Z335" s="926"/>
      <c r="AA335" s="899"/>
      <c r="AB335" s="928"/>
      <c r="AC335" s="924"/>
      <c r="AD335" s="928">
        <f t="shared" si="22"/>
        <v>0</v>
      </c>
    </row>
    <row r="336" spans="1:30">
      <c r="A336" s="910">
        <v>332</v>
      </c>
      <c r="B336" s="830" t="s">
        <v>2886</v>
      </c>
      <c r="G336" s="924">
        <f>SUM(G334:G335)</f>
        <v>14382579</v>
      </c>
      <c r="H336" s="924"/>
      <c r="I336" s="924">
        <f>SUM(I334:I335)</f>
        <v>14944499</v>
      </c>
      <c r="J336" s="924"/>
      <c r="K336" s="924">
        <f>SUM(K334:K335)</f>
        <v>7408861</v>
      </c>
      <c r="L336" s="924"/>
      <c r="M336" s="924">
        <f>SUM(M334:M335)</f>
        <v>9817659</v>
      </c>
      <c r="N336" s="924"/>
      <c r="O336" s="924">
        <f>SUM(O334:O335)</f>
        <v>7594206</v>
      </c>
      <c r="P336" s="926"/>
      <c r="Q336" s="924">
        <f>SUM(Q334:Q335)</f>
        <v>5340649</v>
      </c>
      <c r="R336" s="926"/>
      <c r="S336" s="924">
        <f>SUM(S334:S335)</f>
        <v>7824546</v>
      </c>
      <c r="T336" s="926"/>
      <c r="U336" s="924">
        <f>SUM(U334:U335)</f>
        <v>14501183</v>
      </c>
      <c r="V336" s="926"/>
      <c r="W336" s="924">
        <f>SUM(W334:W335)</f>
        <v>16164686</v>
      </c>
      <c r="X336" s="926"/>
      <c r="Y336" s="924">
        <f>SUM(Y334:Y335)</f>
        <v>15653555</v>
      </c>
      <c r="Z336" s="926"/>
      <c r="AA336" s="924">
        <f>SUM(AA334:AA335)</f>
        <v>11066763</v>
      </c>
      <c r="AB336" s="926"/>
      <c r="AC336" s="924">
        <f>SUM(AC334:AC335)</f>
        <v>12699045</v>
      </c>
      <c r="AD336" s="928">
        <f t="shared" si="22"/>
        <v>137398231</v>
      </c>
    </row>
    <row r="337" spans="1:30">
      <c r="A337" s="910">
        <v>333</v>
      </c>
      <c r="B337" s="837"/>
    </row>
    <row r="338" spans="1:30">
      <c r="A338" s="910">
        <v>334</v>
      </c>
      <c r="B338" s="851" t="s">
        <v>2753</v>
      </c>
    </row>
    <row r="339" spans="1:30">
      <c r="A339" s="910">
        <v>335</v>
      </c>
      <c r="B339" s="830" t="s">
        <v>2462</v>
      </c>
      <c r="C339" s="939">
        <v>625</v>
      </c>
      <c r="D339" s="939"/>
      <c r="E339" s="939"/>
      <c r="F339" s="899">
        <f>G339/$C$339</f>
        <v>1</v>
      </c>
      <c r="G339" s="922">
        <v>625</v>
      </c>
      <c r="H339" s="899">
        <f>I339/$C$339</f>
        <v>1</v>
      </c>
      <c r="I339" s="922">
        <v>625</v>
      </c>
      <c r="J339" s="899">
        <f>K339/$C$339</f>
        <v>1</v>
      </c>
      <c r="K339" s="922">
        <v>625</v>
      </c>
      <c r="L339" s="899">
        <f>M339/$C$339</f>
        <v>1</v>
      </c>
      <c r="M339" s="922">
        <v>625</v>
      </c>
      <c r="N339" s="899">
        <f>O339/$C$339</f>
        <v>1</v>
      </c>
      <c r="O339" s="922">
        <v>625</v>
      </c>
      <c r="P339" s="899">
        <f>Q339/$C$339</f>
        <v>1</v>
      </c>
      <c r="Q339" s="922">
        <v>625</v>
      </c>
      <c r="R339" s="899">
        <f>S339/$C$339</f>
        <v>1</v>
      </c>
      <c r="S339" s="922">
        <v>625</v>
      </c>
      <c r="T339" s="899">
        <f>U339/$C$339</f>
        <v>1</v>
      </c>
      <c r="U339" s="922">
        <v>625</v>
      </c>
      <c r="V339" s="899">
        <f>W339/$C$339</f>
        <v>1</v>
      </c>
      <c r="W339" s="923">
        <v>625</v>
      </c>
      <c r="X339" s="899">
        <f>Y339/$C$339</f>
        <v>1</v>
      </c>
      <c r="Y339" s="922">
        <v>625</v>
      </c>
      <c r="Z339" s="899">
        <f>AA339/$C$339</f>
        <v>1</v>
      </c>
      <c r="AA339" s="922">
        <v>625</v>
      </c>
      <c r="AB339" s="941">
        <f>AC339/$C$339</f>
        <v>1</v>
      </c>
      <c r="AC339" s="922">
        <v>625</v>
      </c>
      <c r="AD339" s="898">
        <f t="shared" ref="AD339:AD344" si="23">SUM(G339,I339,K339,M339,O339,Q339,S339,U339,W339,Y339,AA339,AC339)</f>
        <v>7500</v>
      </c>
    </row>
    <row r="340" spans="1:30">
      <c r="A340" s="910">
        <v>336</v>
      </c>
      <c r="B340" s="830" t="s">
        <v>2713</v>
      </c>
      <c r="C340" s="910">
        <v>0.2</v>
      </c>
      <c r="F340" s="899">
        <f>G340/$C$340</f>
        <v>520000</v>
      </c>
      <c r="G340" s="922">
        <v>104000</v>
      </c>
      <c r="H340" s="899">
        <f>I340/$C$340</f>
        <v>520000</v>
      </c>
      <c r="I340" s="922">
        <v>104000</v>
      </c>
      <c r="J340" s="899">
        <f>K340/$C$340</f>
        <v>520000</v>
      </c>
      <c r="K340" s="922">
        <v>104000</v>
      </c>
      <c r="L340" s="899">
        <f>M340/$C$340</f>
        <v>520000</v>
      </c>
      <c r="M340" s="922">
        <v>104000</v>
      </c>
      <c r="N340" s="899">
        <f>O340/$C$340</f>
        <v>520000</v>
      </c>
      <c r="O340" s="922">
        <v>104000</v>
      </c>
      <c r="P340" s="899">
        <f>Q340/$C$340</f>
        <v>520000</v>
      </c>
      <c r="Q340" s="922">
        <v>104000</v>
      </c>
      <c r="R340" s="899">
        <f>S340/$C$340</f>
        <v>520000</v>
      </c>
      <c r="S340" s="922">
        <v>104000</v>
      </c>
      <c r="T340" s="899">
        <f>U340/$C$340</f>
        <v>520000</v>
      </c>
      <c r="U340" s="922">
        <v>104000</v>
      </c>
      <c r="V340" s="899">
        <f>W340/$C$340</f>
        <v>520000</v>
      </c>
      <c r="W340" s="923">
        <v>104000</v>
      </c>
      <c r="X340" s="899">
        <f>Y340/$C$340</f>
        <v>520000</v>
      </c>
      <c r="Y340" s="922">
        <v>104000</v>
      </c>
      <c r="Z340" s="899">
        <f>AA340/$C$340</f>
        <v>520000</v>
      </c>
      <c r="AA340" s="922">
        <v>104000</v>
      </c>
      <c r="AB340" s="899">
        <f>AC340/$C$340</f>
        <v>520000</v>
      </c>
      <c r="AC340" s="922">
        <v>104000</v>
      </c>
      <c r="AD340" s="898">
        <f t="shared" si="23"/>
        <v>1248000</v>
      </c>
    </row>
    <row r="341" spans="1:30">
      <c r="A341" s="910">
        <v>337</v>
      </c>
      <c r="B341" s="830" t="s">
        <v>2714</v>
      </c>
      <c r="C341" s="910">
        <v>4.0000000000000002E-4</v>
      </c>
      <c r="F341" s="899">
        <f>G341/$C$341</f>
        <v>4450625</v>
      </c>
      <c r="G341" s="922">
        <v>1780.25</v>
      </c>
      <c r="H341" s="899">
        <f>I341/$C$341</f>
        <v>4088100</v>
      </c>
      <c r="I341" s="922">
        <v>1635.24</v>
      </c>
      <c r="J341" s="899">
        <f>K341/$C$341</f>
        <v>5846725</v>
      </c>
      <c r="K341" s="922">
        <v>2338.69</v>
      </c>
      <c r="L341" s="899">
        <f>M341/$C$341</f>
        <v>3088150</v>
      </c>
      <c r="M341" s="922">
        <v>1235.26</v>
      </c>
      <c r="N341" s="899">
        <f>O341/$C$341</f>
        <v>2551100</v>
      </c>
      <c r="O341" s="922">
        <v>1020.44</v>
      </c>
      <c r="P341" s="899">
        <f>Q341/$C$341</f>
        <v>381974.99999999994</v>
      </c>
      <c r="Q341" s="922">
        <v>152.79</v>
      </c>
      <c r="R341" s="899">
        <f>S341/$C$341</f>
        <v>6776825</v>
      </c>
      <c r="S341" s="922">
        <v>2710.73</v>
      </c>
      <c r="T341" s="899">
        <f>U341/$C$341</f>
        <v>14122850</v>
      </c>
      <c r="U341" s="922">
        <v>5649.14</v>
      </c>
      <c r="V341" s="899">
        <f>W341/$C$341</f>
        <v>15605299.999999998</v>
      </c>
      <c r="W341" s="923">
        <v>6242.12</v>
      </c>
      <c r="X341" s="899">
        <f>Y341/$C$341</f>
        <v>14512825</v>
      </c>
      <c r="Y341" s="922">
        <v>5805.13</v>
      </c>
      <c r="Z341" s="899">
        <f>AA341/$C$341</f>
        <v>667150</v>
      </c>
      <c r="AA341" s="922">
        <v>266.86</v>
      </c>
      <c r="AB341" s="899">
        <f>AC341/$C$341</f>
        <v>5956000</v>
      </c>
      <c r="AC341" s="922">
        <v>2382.4</v>
      </c>
      <c r="AD341" s="898">
        <f t="shared" si="23"/>
        <v>31219.050000000003</v>
      </c>
    </row>
    <row r="342" spans="1:30">
      <c r="A342" s="910">
        <v>338</v>
      </c>
      <c r="B342" s="830" t="s">
        <v>2716</v>
      </c>
      <c r="C342" s="910">
        <v>5.3310000000000003E-2</v>
      </c>
      <c r="F342" s="899">
        <f>G342/$C$342</f>
        <v>100000</v>
      </c>
      <c r="G342" s="922">
        <v>5331</v>
      </c>
      <c r="H342" s="899">
        <f>I342/$C$342</f>
        <v>100000</v>
      </c>
      <c r="I342" s="922">
        <v>5331</v>
      </c>
      <c r="J342" s="899">
        <f>K342/$C$342</f>
        <v>100000</v>
      </c>
      <c r="K342" s="922">
        <v>5331</v>
      </c>
      <c r="L342" s="899">
        <f>M342/$C$342</f>
        <v>100000</v>
      </c>
      <c r="M342" s="922">
        <v>5331</v>
      </c>
      <c r="N342" s="899">
        <f>O342/$C$342</f>
        <v>100000</v>
      </c>
      <c r="O342" s="922">
        <v>5331</v>
      </c>
      <c r="P342" s="899">
        <f>Q342/$C$342</f>
        <v>100000</v>
      </c>
      <c r="Q342" s="922">
        <v>5331</v>
      </c>
      <c r="R342" s="899">
        <f>S342/$C$342</f>
        <v>100000</v>
      </c>
      <c r="S342" s="922">
        <v>5331</v>
      </c>
      <c r="T342" s="899">
        <f>U342/$C$342</f>
        <v>100000</v>
      </c>
      <c r="U342" s="922">
        <v>5331</v>
      </c>
      <c r="V342" s="899">
        <f>W342/$C$342</f>
        <v>100000</v>
      </c>
      <c r="W342" s="923">
        <v>5331</v>
      </c>
      <c r="X342" s="899">
        <f>Y342/$C$342</f>
        <v>100000</v>
      </c>
      <c r="Y342" s="922">
        <v>5331</v>
      </c>
      <c r="Z342" s="899">
        <f>AA342/$C$342</f>
        <v>100000</v>
      </c>
      <c r="AA342" s="922">
        <v>5331</v>
      </c>
      <c r="AB342" s="899">
        <f>AC342/$C$342</f>
        <v>100000</v>
      </c>
      <c r="AC342" s="922">
        <v>5331</v>
      </c>
      <c r="AD342" s="898">
        <f t="shared" si="23"/>
        <v>63972</v>
      </c>
    </row>
    <row r="343" spans="1:30">
      <c r="A343" s="910">
        <v>339</v>
      </c>
      <c r="B343" s="830" t="s">
        <v>2494</v>
      </c>
      <c r="C343" s="910">
        <v>1.9449999999999999E-2</v>
      </c>
      <c r="F343" s="899">
        <f>G343/$C$343</f>
        <v>200000.00000000003</v>
      </c>
      <c r="G343" s="922">
        <v>3890</v>
      </c>
      <c r="H343" s="899">
        <f>I343/$C$343</f>
        <v>200000.00000000003</v>
      </c>
      <c r="I343" s="898">
        <v>3890</v>
      </c>
      <c r="J343" s="899">
        <f>K343/$C$343</f>
        <v>200000.00000000003</v>
      </c>
      <c r="K343" s="922">
        <v>3890</v>
      </c>
      <c r="L343" s="899">
        <f>M343/$C$343</f>
        <v>200000.00000000003</v>
      </c>
      <c r="M343" s="922">
        <v>3890</v>
      </c>
      <c r="N343" s="899">
        <f>O343/$C$343</f>
        <v>200000.00000000003</v>
      </c>
      <c r="O343" s="922">
        <v>3890</v>
      </c>
      <c r="P343" s="899">
        <f>Q343/$C$343</f>
        <v>200000.00000000003</v>
      </c>
      <c r="Q343" s="922">
        <v>3890</v>
      </c>
      <c r="R343" s="899">
        <f>S343/$C$343</f>
        <v>200000.00000000003</v>
      </c>
      <c r="S343" s="922">
        <v>3890</v>
      </c>
      <c r="T343" s="899">
        <f>U343/$C$343</f>
        <v>200000.00000000003</v>
      </c>
      <c r="U343" s="922">
        <v>3890</v>
      </c>
      <c r="V343" s="899">
        <f>W343/$C$343</f>
        <v>200000.00000000003</v>
      </c>
      <c r="W343" s="923">
        <v>3890</v>
      </c>
      <c r="X343" s="899">
        <f>Y343/$C$343</f>
        <v>200000.00000000003</v>
      </c>
      <c r="Y343" s="922">
        <v>3890</v>
      </c>
      <c r="Z343" s="899">
        <f>AA343/$C$343</f>
        <v>200000.00000000003</v>
      </c>
      <c r="AA343" s="922">
        <v>3890</v>
      </c>
      <c r="AB343" s="899">
        <f>AC343/$C$343</f>
        <v>200000.00000000003</v>
      </c>
      <c r="AC343" s="898">
        <v>3890</v>
      </c>
      <c r="AD343" s="898">
        <f t="shared" si="23"/>
        <v>46680</v>
      </c>
    </row>
    <row r="344" spans="1:30">
      <c r="A344" s="910">
        <v>340</v>
      </c>
      <c r="B344" s="830" t="s">
        <v>2494</v>
      </c>
      <c r="C344" s="910">
        <v>1.1820000000000001E-2</v>
      </c>
      <c r="F344" s="899">
        <f>G344/$C$344</f>
        <v>200000</v>
      </c>
      <c r="G344" s="922">
        <v>2364</v>
      </c>
      <c r="H344" s="899">
        <f>I344/$C$344</f>
        <v>200000</v>
      </c>
      <c r="I344" s="898">
        <v>2364</v>
      </c>
      <c r="J344" s="899">
        <f>K344/$C$344</f>
        <v>200000</v>
      </c>
      <c r="K344" s="922">
        <v>2364</v>
      </c>
      <c r="L344" s="899">
        <f>M344/$C$344</f>
        <v>200000</v>
      </c>
      <c r="M344" s="922">
        <v>2364</v>
      </c>
      <c r="N344" s="899">
        <f>O344/$C$344</f>
        <v>200000</v>
      </c>
      <c r="O344" s="922">
        <v>2364</v>
      </c>
      <c r="P344" s="899">
        <f>Q344/$C$344</f>
        <v>81981.387478849399</v>
      </c>
      <c r="Q344" s="922">
        <v>969.02</v>
      </c>
      <c r="R344" s="899">
        <f>S344/$C$344</f>
        <v>200000</v>
      </c>
      <c r="S344" s="922">
        <v>2364</v>
      </c>
      <c r="T344" s="899">
        <f>U344/$C$344</f>
        <v>200000</v>
      </c>
      <c r="U344" s="922">
        <v>2364</v>
      </c>
      <c r="V344" s="899">
        <f>W344/$C$344</f>
        <v>200000</v>
      </c>
      <c r="W344" s="923">
        <v>2364</v>
      </c>
      <c r="X344" s="899">
        <f>Y344/$C$344</f>
        <v>200000</v>
      </c>
      <c r="Y344" s="922">
        <v>2364</v>
      </c>
      <c r="Z344" s="899">
        <f>AA344/$C$344</f>
        <v>200000</v>
      </c>
      <c r="AA344" s="922">
        <v>2364</v>
      </c>
      <c r="AB344" s="899">
        <f>AC344/$C$344</f>
        <v>200000</v>
      </c>
      <c r="AC344" s="898">
        <v>2364</v>
      </c>
      <c r="AD344" s="898">
        <f t="shared" si="23"/>
        <v>26973.02</v>
      </c>
    </row>
    <row r="345" spans="1:30">
      <c r="A345" s="910">
        <v>341</v>
      </c>
      <c r="B345" s="830" t="s">
        <v>2717</v>
      </c>
      <c r="C345" s="910">
        <v>5.62E-3</v>
      </c>
      <c r="F345" s="899">
        <f>G345/$C$345</f>
        <v>3950624.555160142</v>
      </c>
      <c r="G345" s="922">
        <v>22202.51</v>
      </c>
      <c r="H345" s="899">
        <f>I345/$C$345</f>
        <v>3588087.1886120997</v>
      </c>
      <c r="I345" s="922">
        <v>20165.05</v>
      </c>
      <c r="J345" s="899">
        <f>K345/$C$345</f>
        <v>5346715.3024911033</v>
      </c>
      <c r="K345" s="922">
        <v>30048.54</v>
      </c>
      <c r="L345" s="899">
        <f>M345/$C$345</f>
        <v>2588142.3487544484</v>
      </c>
      <c r="M345" s="922">
        <v>14545.36</v>
      </c>
      <c r="N345" s="899">
        <f>O345/$C$345</f>
        <v>2051096.0854092527</v>
      </c>
      <c r="O345" s="922">
        <v>11527.16</v>
      </c>
      <c r="P345" s="899">
        <f>Q346/$C$345</f>
        <v>-42820.284697508898</v>
      </c>
      <c r="R345" s="899">
        <f>S345/$C$345</f>
        <v>6276820.2846975094</v>
      </c>
      <c r="S345" s="898">
        <v>35275.730000000003</v>
      </c>
      <c r="T345" s="899">
        <f>U345/$C$345</f>
        <v>13622838.078291817</v>
      </c>
      <c r="U345" s="922">
        <v>76560.350000000006</v>
      </c>
      <c r="V345" s="899">
        <f>W345/$C$345</f>
        <v>15105297.153024912</v>
      </c>
      <c r="W345" s="923">
        <v>84891.77</v>
      </c>
      <c r="X345" s="899">
        <f>Y345/$C$345</f>
        <v>14012834.519572955</v>
      </c>
      <c r="Y345" s="922">
        <v>78752.13</v>
      </c>
      <c r="Z345" s="899">
        <f>AA345/$C$345</f>
        <v>167138.79003558721</v>
      </c>
      <c r="AA345" s="922">
        <v>939.32</v>
      </c>
      <c r="AB345" s="899">
        <f>AC345/$C$345</f>
        <v>5456005.3380782921</v>
      </c>
      <c r="AC345" s="898">
        <v>30662.75</v>
      </c>
      <c r="AD345" s="898">
        <f>SUM(G345,I345,K345,M345,O345,Q345,S345,U345,W345,Y345,AA345,AC345)</f>
        <v>405570.67000000004</v>
      </c>
    </row>
    <row r="346" spans="1:30">
      <c r="A346" s="910">
        <v>342</v>
      </c>
      <c r="B346" s="830" t="s">
        <v>2658</v>
      </c>
      <c r="G346" s="922">
        <v>-2803.89</v>
      </c>
      <c r="H346" s="924"/>
      <c r="I346" s="922">
        <v>-2575.5</v>
      </c>
      <c r="J346" s="924"/>
      <c r="K346" s="922">
        <v>-3683.43</v>
      </c>
      <c r="L346" s="924"/>
      <c r="M346" s="922">
        <v>-1945.53</v>
      </c>
      <c r="N346" s="924"/>
      <c r="O346" s="922">
        <v>-1607.19</v>
      </c>
      <c r="P346" s="924"/>
      <c r="Q346" s="922">
        <v>-240.65</v>
      </c>
      <c r="R346" s="924"/>
      <c r="S346" s="898">
        <v>-4269.3999999999996</v>
      </c>
      <c r="U346" s="922">
        <v>-8897.39</v>
      </c>
      <c r="V346" s="924"/>
      <c r="W346" s="923">
        <v>-9831.34</v>
      </c>
      <c r="X346" s="925"/>
      <c r="Y346" s="922">
        <v>-9143.09</v>
      </c>
      <c r="Z346" s="924"/>
      <c r="AA346" s="922">
        <v>-420.3</v>
      </c>
      <c r="AB346" s="924"/>
      <c r="AC346" s="922">
        <v>-4228.76</v>
      </c>
      <c r="AD346" s="898">
        <f t="shared" ref="AD346:AD355" si="24">SUM(G346:AC346)</f>
        <v>-49646.470000000008</v>
      </c>
    </row>
    <row r="347" spans="1:30">
      <c r="A347" s="910">
        <v>343</v>
      </c>
      <c r="B347" s="830" t="s">
        <v>2659</v>
      </c>
      <c r="G347" s="922">
        <v>-1290.68</v>
      </c>
      <c r="H347" s="924"/>
      <c r="I347" s="922">
        <v>-1185.55</v>
      </c>
      <c r="J347" s="924"/>
      <c r="K347" s="922">
        <v>-1695.55</v>
      </c>
      <c r="L347" s="924"/>
      <c r="M347" s="922">
        <v>-895.56</v>
      </c>
      <c r="N347" s="924"/>
      <c r="O347" s="922">
        <v>-739.82</v>
      </c>
      <c r="P347" s="924"/>
      <c r="Q347" s="922">
        <v>-110.77</v>
      </c>
      <c r="R347" s="924"/>
      <c r="S347" s="898">
        <v>-1965.28</v>
      </c>
      <c r="U347" s="922">
        <v>-4095.62</v>
      </c>
      <c r="V347" s="924"/>
      <c r="W347" s="923">
        <v>-4525.54</v>
      </c>
      <c r="X347" s="925"/>
      <c r="Y347" s="922">
        <v>-4208.72</v>
      </c>
      <c r="Z347" s="924"/>
      <c r="AA347" s="922">
        <v>-193.47</v>
      </c>
      <c r="AB347" s="924"/>
      <c r="AC347" s="922">
        <v>-1554.52</v>
      </c>
      <c r="AD347" s="898">
        <f t="shared" si="24"/>
        <v>-22461.08</v>
      </c>
    </row>
    <row r="348" spans="1:30">
      <c r="A348" s="910">
        <v>344</v>
      </c>
      <c r="B348" s="830" t="s">
        <v>2660</v>
      </c>
      <c r="G348" s="922">
        <v>-2403.34</v>
      </c>
      <c r="H348" s="924"/>
      <c r="I348" s="922">
        <v>-2207.5700000000002</v>
      </c>
      <c r="J348" s="924"/>
      <c r="K348" s="922">
        <v>-3157.23</v>
      </c>
      <c r="L348" s="924"/>
      <c r="M348" s="922">
        <v>-1667.6</v>
      </c>
      <c r="N348" s="924"/>
      <c r="O348" s="922">
        <v>-1377.59</v>
      </c>
      <c r="P348" s="924"/>
      <c r="Q348" s="922">
        <v>-206.27</v>
      </c>
      <c r="R348" s="924"/>
      <c r="S348" s="898">
        <v>-3659.48</v>
      </c>
      <c r="U348" s="922">
        <v>-7626.33</v>
      </c>
      <c r="V348" s="924"/>
      <c r="W348" s="923">
        <v>-8426.86</v>
      </c>
      <c r="X348" s="925"/>
      <c r="Y348" s="922">
        <v>-7836.93</v>
      </c>
      <c r="Z348" s="924"/>
      <c r="AA348" s="922">
        <v>-360.25</v>
      </c>
      <c r="AB348" s="924"/>
      <c r="AC348" s="922"/>
      <c r="AD348" s="898">
        <f t="shared" si="24"/>
        <v>-38929.449999999997</v>
      </c>
    </row>
    <row r="349" spans="1:30">
      <c r="A349" s="910">
        <v>345</v>
      </c>
      <c r="B349" s="830" t="s">
        <v>2653</v>
      </c>
      <c r="G349" s="922">
        <v>1379.69</v>
      </c>
      <c r="H349" s="924"/>
      <c r="I349" s="922">
        <v>1267.31</v>
      </c>
      <c r="J349" s="924"/>
      <c r="K349" s="922">
        <v>1812.48</v>
      </c>
      <c r="L349" s="924"/>
      <c r="M349" s="922">
        <v>957.32</v>
      </c>
      <c r="N349" s="924"/>
      <c r="O349" s="922">
        <v>790.84</v>
      </c>
      <c r="P349" s="924"/>
      <c r="Q349" s="922">
        <v>118.41</v>
      </c>
      <c r="R349" s="924"/>
      <c r="S349" s="922">
        <v>2100.81</v>
      </c>
      <c r="T349" s="924"/>
      <c r="U349" s="922">
        <v>4378.08</v>
      </c>
      <c r="V349" s="924"/>
      <c r="W349" s="923">
        <v>4837.6400000000003</v>
      </c>
      <c r="X349" s="925"/>
      <c r="Y349" s="922">
        <v>4498.9799999999996</v>
      </c>
      <c r="Z349" s="924"/>
      <c r="AA349" s="922">
        <v>206.81</v>
      </c>
      <c r="AB349" s="924"/>
      <c r="AC349" s="922">
        <v>1786.8</v>
      </c>
      <c r="AD349" s="898">
        <f t="shared" si="24"/>
        <v>24135.17</v>
      </c>
    </row>
    <row r="350" spans="1:30">
      <c r="A350" s="910">
        <v>346</v>
      </c>
      <c r="B350" s="830" t="s">
        <v>2654</v>
      </c>
      <c r="G350" s="922">
        <v>7610.57</v>
      </c>
      <c r="H350" s="924"/>
      <c r="I350" s="922">
        <v>6990.63</v>
      </c>
      <c r="J350" s="924"/>
      <c r="K350" s="922">
        <v>9997.880000000001</v>
      </c>
      <c r="L350" s="924"/>
      <c r="M350" s="922">
        <v>5280.72</v>
      </c>
      <c r="N350" s="924"/>
      <c r="O350" s="922">
        <v>4362.37</v>
      </c>
      <c r="P350" s="924"/>
      <c r="Q350" s="922">
        <v>653.19000000000005</v>
      </c>
      <c r="R350" s="924"/>
      <c r="S350" s="922">
        <v>11588.36</v>
      </c>
      <c r="T350" s="924"/>
      <c r="U350" s="922">
        <v>24150.05</v>
      </c>
      <c r="V350" s="924"/>
      <c r="W350" s="923">
        <v>26685.06</v>
      </c>
      <c r="X350" s="925"/>
      <c r="Y350" s="922">
        <v>24816.95</v>
      </c>
      <c r="Z350" s="924"/>
      <c r="AA350" s="922">
        <v>1140.81</v>
      </c>
      <c r="AB350" s="924"/>
      <c r="AC350" s="922">
        <v>10363.450000000001</v>
      </c>
      <c r="AD350" s="898">
        <f t="shared" si="24"/>
        <v>133640.04</v>
      </c>
    </row>
    <row r="351" spans="1:30">
      <c r="A351" s="910">
        <v>347</v>
      </c>
      <c r="B351" s="830" t="s">
        <v>2719</v>
      </c>
      <c r="G351" s="922">
        <v>6211.94</v>
      </c>
      <c r="H351" s="924"/>
      <c r="I351" s="922">
        <v>6115.24</v>
      </c>
      <c r="J351" s="924"/>
      <c r="K351" s="922">
        <v>6584.34</v>
      </c>
      <c r="L351" s="924"/>
      <c r="M351" s="922">
        <v>5848.5</v>
      </c>
      <c r="N351" s="924"/>
      <c r="O351" s="922">
        <v>5705.25</v>
      </c>
      <c r="P351" s="924"/>
      <c r="Q351" s="922">
        <v>5094.22</v>
      </c>
      <c r="R351" s="924"/>
      <c r="S351" s="922">
        <v>6832.45</v>
      </c>
      <c r="T351" s="924"/>
      <c r="U351" s="922">
        <v>8791.9699999999993</v>
      </c>
      <c r="V351" s="924"/>
      <c r="W351" s="898">
        <v>9187.41</v>
      </c>
      <c r="Y351" s="922">
        <v>8896</v>
      </c>
      <c r="Z351" s="924"/>
      <c r="AA351" s="922">
        <v>5202.71</v>
      </c>
      <c r="AB351" s="924"/>
      <c r="AC351" s="922">
        <v>6613.5</v>
      </c>
      <c r="AD351" s="898">
        <f t="shared" si="24"/>
        <v>81083.53</v>
      </c>
    </row>
    <row r="352" spans="1:30">
      <c r="A352" s="910">
        <v>348</v>
      </c>
      <c r="B352" s="830" t="s">
        <v>2884</v>
      </c>
      <c r="G352" s="922">
        <f>SUM(G339:G351)</f>
        <v>148897.05000000002</v>
      </c>
      <c r="H352" s="922"/>
      <c r="I352" s="922">
        <f>SUM(I339:I351)</f>
        <v>146414.85</v>
      </c>
      <c r="J352" s="922"/>
      <c r="K352" s="922">
        <f>SUM(K339:K351)</f>
        <v>158455.72000000003</v>
      </c>
      <c r="L352" s="922"/>
      <c r="M352" s="922">
        <f>SUM(M339:M351)</f>
        <v>139568.47</v>
      </c>
      <c r="N352" s="922"/>
      <c r="O352" s="922">
        <f>SUM(O339:O351)</f>
        <v>135891.46</v>
      </c>
      <c r="P352" s="922"/>
      <c r="Q352" s="922">
        <f>SUM(Q339:Q351)</f>
        <v>120275.94</v>
      </c>
      <c r="R352" s="922"/>
      <c r="S352" s="922">
        <f>SUM(S339:S351)</f>
        <v>164823.91999999998</v>
      </c>
      <c r="T352" s="922"/>
      <c r="U352" s="922">
        <f>SUM(U339:U351)</f>
        <v>215120.24999999997</v>
      </c>
      <c r="V352" s="922"/>
      <c r="W352" s="922">
        <f>SUM(W339:W351)</f>
        <v>225270.26000000004</v>
      </c>
      <c r="X352" s="922"/>
      <c r="Y352" s="922">
        <f>SUM(Y339:Y351)</f>
        <v>217790.45000000004</v>
      </c>
      <c r="Z352" s="922"/>
      <c r="AA352" s="922">
        <f>SUM(AA339:AA351)</f>
        <v>122992.49</v>
      </c>
      <c r="AB352" s="922"/>
      <c r="AC352" s="922">
        <f>SUM(AC339:AC351)</f>
        <v>162235.62</v>
      </c>
      <c r="AD352" s="898">
        <f t="shared" si="24"/>
        <v>1957736.48</v>
      </c>
    </row>
    <row r="353" spans="1:30">
      <c r="A353" s="910">
        <v>349</v>
      </c>
      <c r="B353" s="830" t="s">
        <v>2514</v>
      </c>
      <c r="F353" s="928"/>
      <c r="G353" s="924">
        <v>4450625</v>
      </c>
      <c r="H353" s="924"/>
      <c r="I353" s="924">
        <v>4088088</v>
      </c>
      <c r="J353" s="924"/>
      <c r="K353" s="924">
        <v>5846716</v>
      </c>
      <c r="L353" s="924"/>
      <c r="M353" s="924">
        <v>3088142</v>
      </c>
      <c r="N353" s="924"/>
      <c r="O353" s="924">
        <v>2551096</v>
      </c>
      <c r="P353" s="924"/>
      <c r="Q353" s="924">
        <v>381981</v>
      </c>
      <c r="R353" s="926"/>
      <c r="S353" s="924">
        <v>6776820</v>
      </c>
      <c r="T353" s="926"/>
      <c r="U353" s="926">
        <v>14122838</v>
      </c>
      <c r="V353" s="926"/>
      <c r="W353" s="930">
        <v>15605297</v>
      </c>
      <c r="X353" s="931"/>
      <c r="Y353" s="924">
        <v>14512835</v>
      </c>
      <c r="Z353" s="926"/>
      <c r="AA353" s="924">
        <v>667138</v>
      </c>
      <c r="AB353" s="926"/>
      <c r="AC353" s="924">
        <v>5956005</v>
      </c>
      <c r="AD353" s="928">
        <f t="shared" si="24"/>
        <v>78047581</v>
      </c>
    </row>
    <row r="354" spans="1:30">
      <c r="A354" s="910">
        <v>350</v>
      </c>
      <c r="B354" s="830" t="s">
        <v>2885</v>
      </c>
      <c r="F354" s="928"/>
      <c r="G354" s="899"/>
      <c r="I354" s="899"/>
      <c r="K354" s="899"/>
      <c r="M354" s="899"/>
      <c r="O354" s="899"/>
      <c r="Q354" s="899"/>
      <c r="R354" s="928"/>
      <c r="S354" s="924"/>
      <c r="T354" s="926"/>
      <c r="U354" s="926"/>
      <c r="V354" s="926"/>
      <c r="W354" s="899"/>
      <c r="X354" s="928"/>
      <c r="Y354" s="924"/>
      <c r="Z354" s="926"/>
      <c r="AA354" s="924"/>
      <c r="AB354" s="926"/>
      <c r="AC354" s="924"/>
      <c r="AD354" s="928">
        <f t="shared" si="24"/>
        <v>0</v>
      </c>
    </row>
    <row r="355" spans="1:30">
      <c r="A355" s="910">
        <v>351</v>
      </c>
      <c r="B355" s="830" t="s">
        <v>2886</v>
      </c>
      <c r="F355" s="928"/>
      <c r="G355" s="924">
        <f>SUM(G353:G354)</f>
        <v>4450625</v>
      </c>
      <c r="H355" s="924"/>
      <c r="I355" s="924">
        <f>SUM(I353:I354)</f>
        <v>4088088</v>
      </c>
      <c r="J355" s="924"/>
      <c r="K355" s="924">
        <f>SUM(K353:K354)</f>
        <v>5846716</v>
      </c>
      <c r="L355" s="924"/>
      <c r="M355" s="924">
        <f>SUM(M353:M354)</f>
        <v>3088142</v>
      </c>
      <c r="N355" s="924"/>
      <c r="O355" s="924">
        <f>SUM(O353:O354)</f>
        <v>2551096</v>
      </c>
      <c r="P355" s="924"/>
      <c r="Q355" s="924">
        <f>SUM(Q353:Q354)</f>
        <v>381981</v>
      </c>
      <c r="R355" s="926"/>
      <c r="S355" s="924">
        <f>SUM(S353:S354)</f>
        <v>6776820</v>
      </c>
      <c r="T355" s="926"/>
      <c r="U355" s="926">
        <f>SUM(U353:U354)</f>
        <v>14122838</v>
      </c>
      <c r="V355" s="926"/>
      <c r="W355" s="924">
        <f>SUM(W353:W354)</f>
        <v>15605297</v>
      </c>
      <c r="X355" s="926"/>
      <c r="Y355" s="924">
        <f>SUM(Y353:Y354)</f>
        <v>14512835</v>
      </c>
      <c r="Z355" s="926"/>
      <c r="AA355" s="924">
        <f>SUM(AA353:AA354)</f>
        <v>667138</v>
      </c>
      <c r="AB355" s="926"/>
      <c r="AC355" s="924">
        <f>SUM(AC353:AC354)</f>
        <v>5956005</v>
      </c>
      <c r="AD355" s="928">
        <f t="shared" si="24"/>
        <v>78047581</v>
      </c>
    </row>
    <row r="356" spans="1:30">
      <c r="A356" s="910">
        <v>352</v>
      </c>
      <c r="B356" s="837"/>
    </row>
    <row r="357" spans="1:30">
      <c r="A357" s="910">
        <v>353</v>
      </c>
      <c r="B357" s="851" t="s">
        <v>2755</v>
      </c>
    </row>
    <row r="358" spans="1:30">
      <c r="A358" s="910">
        <v>354</v>
      </c>
      <c r="B358" s="830" t="s">
        <v>2462</v>
      </c>
      <c r="C358" s="939">
        <v>625</v>
      </c>
      <c r="D358" s="939"/>
      <c r="E358" s="939"/>
      <c r="F358" s="899">
        <f>G358/$C$358</f>
        <v>1</v>
      </c>
      <c r="G358" s="922">
        <v>625</v>
      </c>
      <c r="H358" s="899">
        <f>I358/$C$358</f>
        <v>1</v>
      </c>
      <c r="I358" s="922">
        <v>625</v>
      </c>
      <c r="J358" s="899">
        <f>K358/$C$358</f>
        <v>1</v>
      </c>
      <c r="K358" s="922">
        <v>625</v>
      </c>
      <c r="L358" s="899">
        <f>M358/$C$358</f>
        <v>1</v>
      </c>
      <c r="M358" s="922">
        <v>625</v>
      </c>
      <c r="N358" s="899">
        <f>O358/$C$358</f>
        <v>1</v>
      </c>
      <c r="O358" s="922">
        <v>625</v>
      </c>
      <c r="P358" s="899">
        <f>Q358/$C$358</f>
        <v>1</v>
      </c>
      <c r="Q358" s="922">
        <v>625</v>
      </c>
      <c r="R358" s="899">
        <f>S358/$C$358</f>
        <v>1</v>
      </c>
      <c r="S358" s="922">
        <v>625</v>
      </c>
      <c r="T358" s="899">
        <f>U358/$C$358</f>
        <v>1</v>
      </c>
      <c r="U358" s="922">
        <v>625</v>
      </c>
      <c r="V358" s="899">
        <f>W358/$C$358</f>
        <v>1</v>
      </c>
      <c r="W358" s="898">
        <v>625</v>
      </c>
      <c r="X358" s="899">
        <f>Y358/$C$358</f>
        <v>1</v>
      </c>
      <c r="Y358" s="922">
        <v>625</v>
      </c>
      <c r="Z358" s="899">
        <f>AA358/$C$358</f>
        <v>1</v>
      </c>
      <c r="AA358" s="922">
        <v>625</v>
      </c>
      <c r="AB358" s="941">
        <f>AC358/$C$358</f>
        <v>1</v>
      </c>
      <c r="AC358" s="922">
        <v>625</v>
      </c>
      <c r="AD358" s="898">
        <f t="shared" ref="AD358:AD363" si="25">SUM(G358,I358,K358,M358,O358,Q358,S358,U358,W358,Y358,AA358,AC358)</f>
        <v>7500</v>
      </c>
    </row>
    <row r="359" spans="1:30">
      <c r="A359" s="910">
        <v>355</v>
      </c>
      <c r="B359" s="830" t="s">
        <v>2714</v>
      </c>
      <c r="C359" s="910">
        <v>4.0000000000000002E-4</v>
      </c>
      <c r="F359" s="899">
        <f>G359/C359</f>
        <v>57474.999999999993</v>
      </c>
      <c r="G359" s="922">
        <v>22.99</v>
      </c>
      <c r="H359" s="899" t="e">
        <f>I359/E359</f>
        <v>#DIV/0!</v>
      </c>
      <c r="I359" s="922">
        <v>42.43</v>
      </c>
      <c r="J359" s="899">
        <f>K359/G359</f>
        <v>3.9791213571117883</v>
      </c>
      <c r="K359" s="922">
        <v>91.48</v>
      </c>
      <c r="L359" s="899">
        <f>M359/I359</f>
        <v>0</v>
      </c>
      <c r="N359" s="899">
        <f>O359/K359</f>
        <v>0.10614341932662878</v>
      </c>
      <c r="O359" s="922">
        <v>9.7100000000000009</v>
      </c>
      <c r="P359" s="899" t="e">
        <f>Q359/M359</f>
        <v>#DIV/0!</v>
      </c>
      <c r="Q359" s="922">
        <v>93.62</v>
      </c>
      <c r="R359" s="899">
        <f>S359/O359</f>
        <v>45.845520082389285</v>
      </c>
      <c r="S359" s="922">
        <v>445.16</v>
      </c>
      <c r="T359" s="899">
        <f>U359/Q359</f>
        <v>21.578722495193333</v>
      </c>
      <c r="U359" s="922">
        <v>2020.2</v>
      </c>
      <c r="V359" s="899">
        <f>W359/S359</f>
        <v>8.5371102524934859</v>
      </c>
      <c r="W359" s="898">
        <v>3800.38</v>
      </c>
      <c r="X359" s="899">
        <f>Y359/U359</f>
        <v>0.96081081081081077</v>
      </c>
      <c r="Y359" s="922">
        <v>1941.03</v>
      </c>
      <c r="Z359" s="899">
        <f>AA359/W359</f>
        <v>9.4453712523484487E-2</v>
      </c>
      <c r="AA359" s="922">
        <v>358.96</v>
      </c>
      <c r="AB359" s="899">
        <f>AC359/Y359</f>
        <v>4.3538739741271391E-2</v>
      </c>
      <c r="AC359" s="922">
        <v>84.51</v>
      </c>
      <c r="AD359" s="898">
        <f t="shared" si="25"/>
        <v>8910.4699999999993</v>
      </c>
    </row>
    <row r="360" spans="1:30">
      <c r="A360" s="910">
        <v>356</v>
      </c>
      <c r="B360" s="830" t="s">
        <v>2716</v>
      </c>
      <c r="C360" s="910">
        <v>5.3310000000000003E-2</v>
      </c>
      <c r="F360" s="899">
        <f>G360/$C$360</f>
        <v>57483.023822922529</v>
      </c>
      <c r="G360" s="922">
        <v>3064.42</v>
      </c>
      <c r="H360" s="899">
        <f>I360/$C$360</f>
        <v>100000</v>
      </c>
      <c r="I360" s="922">
        <v>5331</v>
      </c>
      <c r="J360" s="899">
        <f>K360/$C$360</f>
        <v>100000</v>
      </c>
      <c r="K360" s="922">
        <v>5331</v>
      </c>
      <c r="L360" s="899">
        <f>M360/$C$360</f>
        <v>0</v>
      </c>
      <c r="N360" s="899">
        <f>O360/$C$360</f>
        <v>24269.930594635149</v>
      </c>
      <c r="O360" s="922">
        <v>1293.83</v>
      </c>
      <c r="P360" s="899">
        <f>Q360/$C$360</f>
        <v>100000</v>
      </c>
      <c r="Q360" s="922">
        <v>5331</v>
      </c>
      <c r="R360" s="899">
        <f>S360/$C$360</f>
        <v>100000</v>
      </c>
      <c r="S360" s="922">
        <v>5331</v>
      </c>
      <c r="T360" s="899">
        <f>U360/$C$360</f>
        <v>100000</v>
      </c>
      <c r="U360" s="922">
        <v>5331</v>
      </c>
      <c r="V360" s="899">
        <f>W360/$C$360</f>
        <v>100000</v>
      </c>
      <c r="W360" s="898">
        <v>5331</v>
      </c>
      <c r="X360" s="899">
        <f>Y360/$C$360</f>
        <v>100000</v>
      </c>
      <c r="Y360" s="922">
        <v>5331</v>
      </c>
      <c r="Z360" s="899">
        <f>AA360/$C$360</f>
        <v>100000</v>
      </c>
      <c r="AA360" s="922">
        <v>5331</v>
      </c>
      <c r="AB360" s="899">
        <f>AC360/$C$360</f>
        <v>100000</v>
      </c>
      <c r="AC360" s="922">
        <v>5331</v>
      </c>
      <c r="AD360" s="898">
        <f t="shared" si="25"/>
        <v>52337.25</v>
      </c>
    </row>
    <row r="361" spans="1:30">
      <c r="A361" s="910">
        <v>357</v>
      </c>
      <c r="B361" s="830" t="s">
        <v>2494</v>
      </c>
      <c r="C361" s="910">
        <v>1.9449999999999999E-2</v>
      </c>
      <c r="F361" s="899">
        <f>G361/$C$361</f>
        <v>0</v>
      </c>
      <c r="H361" s="899">
        <f>I361/$C$361</f>
        <v>6085.8611825192811</v>
      </c>
      <c r="I361" s="922">
        <v>118.37</v>
      </c>
      <c r="J361" s="899">
        <f>K361/$C$361</f>
        <v>128696.1439588689</v>
      </c>
      <c r="K361" s="922">
        <v>2503.14</v>
      </c>
      <c r="L361" s="899">
        <f>M361/$C$361</f>
        <v>0</v>
      </c>
      <c r="N361" s="899">
        <f>O361/$C$361</f>
        <v>0</v>
      </c>
      <c r="P361" s="899">
        <f>Q361/$C$361</f>
        <v>134043.18766066839</v>
      </c>
      <c r="Q361" s="922">
        <v>2607.14</v>
      </c>
      <c r="R361" s="899">
        <f>S361/$C$361</f>
        <v>200000.00000000003</v>
      </c>
      <c r="S361" s="922">
        <v>3890</v>
      </c>
      <c r="T361" s="899">
        <f>U361/$C$361</f>
        <v>200000.00000000003</v>
      </c>
      <c r="U361" s="922">
        <v>3890</v>
      </c>
      <c r="V361" s="899">
        <f>W361/$C$361</f>
        <v>200000.00000000003</v>
      </c>
      <c r="W361" s="898">
        <v>3890</v>
      </c>
      <c r="X361" s="899">
        <f>Y361/$C$361</f>
        <v>200000.00000000003</v>
      </c>
      <c r="Y361" s="922">
        <v>3890</v>
      </c>
      <c r="Z361" s="899">
        <f>AA361/$C$361</f>
        <v>200000.00000000003</v>
      </c>
      <c r="AA361" s="922">
        <v>3890</v>
      </c>
      <c r="AB361" s="899">
        <f>AC361/$C$361</f>
        <v>111268.89460154242</v>
      </c>
      <c r="AC361" s="898">
        <v>2164.1799999999998</v>
      </c>
      <c r="AD361" s="898">
        <f t="shared" si="25"/>
        <v>26842.83</v>
      </c>
    </row>
    <row r="362" spans="1:30">
      <c r="A362" s="910">
        <v>358</v>
      </c>
      <c r="B362" s="830" t="s">
        <v>2494</v>
      </c>
      <c r="C362" s="910">
        <v>1.1820000000000001E-2</v>
      </c>
      <c r="F362" s="899">
        <f>G362/$C$362</f>
        <v>0</v>
      </c>
      <c r="H362" s="899">
        <f>I362/$C$362</f>
        <v>0</v>
      </c>
      <c r="J362" s="899">
        <f>K362/$C$362</f>
        <v>0</v>
      </c>
      <c r="L362" s="899">
        <f>M362/$C$362</f>
        <v>0</v>
      </c>
      <c r="N362" s="899">
        <f>O362/$C$362</f>
        <v>0</v>
      </c>
      <c r="P362" s="899">
        <f>Q362/$C$362</f>
        <v>0</v>
      </c>
      <c r="Q362" s="922"/>
      <c r="R362" s="899">
        <f>S362/$C$362</f>
        <v>200000</v>
      </c>
      <c r="S362" s="922">
        <v>2364</v>
      </c>
      <c r="T362" s="899">
        <f>U362/$C$362</f>
        <v>200000</v>
      </c>
      <c r="U362" s="922">
        <v>2364</v>
      </c>
      <c r="V362" s="899">
        <f>W362/$C$362</f>
        <v>200000</v>
      </c>
      <c r="W362" s="898">
        <v>2364</v>
      </c>
      <c r="X362" s="899">
        <f>Y362/$C$362</f>
        <v>200000</v>
      </c>
      <c r="Y362" s="922">
        <v>2364</v>
      </c>
      <c r="Z362" s="899">
        <f>AA362/$C$362</f>
        <v>200000</v>
      </c>
      <c r="AA362" s="922">
        <v>2364</v>
      </c>
      <c r="AB362" s="899">
        <f>AC362/$C$362</f>
        <v>0</v>
      </c>
      <c r="AD362" s="898">
        <f t="shared" si="25"/>
        <v>11820</v>
      </c>
    </row>
    <row r="363" spans="1:30">
      <c r="A363" s="910">
        <v>359</v>
      </c>
      <c r="B363" s="830" t="s">
        <v>2756</v>
      </c>
      <c r="C363" s="910">
        <v>5.62E-3</v>
      </c>
      <c r="F363" s="899">
        <f>G363/$C$363</f>
        <v>0</v>
      </c>
      <c r="H363" s="899">
        <f>I363/$C$363</f>
        <v>0</v>
      </c>
      <c r="J363" s="899">
        <f>K363/$C$363</f>
        <v>0</v>
      </c>
      <c r="L363" s="899">
        <f>M363/$C$363</f>
        <v>0</v>
      </c>
      <c r="N363" s="899">
        <f>O363/$C$363</f>
        <v>0</v>
      </c>
      <c r="P363" s="899">
        <f>Q363/$C$363</f>
        <v>0</v>
      </c>
      <c r="R363" s="899">
        <f>S363/$C$363</f>
        <v>612893.23843416374</v>
      </c>
      <c r="S363" s="922">
        <v>3444.46</v>
      </c>
      <c r="T363" s="899">
        <f>U363/$C$363</f>
        <v>4550507.1174377222</v>
      </c>
      <c r="U363" s="922">
        <v>25573.85</v>
      </c>
      <c r="V363" s="899">
        <f>W363/$C$363</f>
        <v>9000953.736654805</v>
      </c>
      <c r="W363" s="898">
        <v>50585.36</v>
      </c>
      <c r="X363" s="899">
        <f>Y363/$C$363</f>
        <v>4352567.6156583633</v>
      </c>
      <c r="Y363" s="922">
        <v>24461.43</v>
      </c>
      <c r="Z363" s="899">
        <f>AA363/$C$363</f>
        <v>397403.91459074733</v>
      </c>
      <c r="AA363" s="922">
        <v>2233.41</v>
      </c>
      <c r="AB363" s="899">
        <f>AC363/$C$363</f>
        <v>0</v>
      </c>
      <c r="AD363" s="898">
        <f t="shared" si="25"/>
        <v>106298.51000000001</v>
      </c>
    </row>
    <row r="364" spans="1:30">
      <c r="A364" s="910">
        <v>360</v>
      </c>
      <c r="B364" s="830" t="s">
        <v>2658</v>
      </c>
      <c r="G364" s="922">
        <v>-36.21</v>
      </c>
      <c r="H364" s="924"/>
      <c r="I364" s="898">
        <v>-66.83</v>
      </c>
      <c r="K364" s="922">
        <v>-144.08000000000001</v>
      </c>
      <c r="L364" s="924"/>
      <c r="O364" s="922">
        <v>-15.29</v>
      </c>
      <c r="Q364" s="898">
        <v>-147.44999999999999</v>
      </c>
      <c r="S364" s="922">
        <v>-701.12</v>
      </c>
      <c r="T364" s="924"/>
      <c r="U364" s="922">
        <v>-3181.82</v>
      </c>
      <c r="V364" s="924"/>
      <c r="W364" s="898">
        <v>-5985.6</v>
      </c>
      <c r="Y364" s="922">
        <v>-3057.12</v>
      </c>
      <c r="Z364" s="924"/>
      <c r="AA364" s="922">
        <v>-565.36</v>
      </c>
      <c r="AB364" s="924"/>
      <c r="AC364" s="922">
        <v>-150</v>
      </c>
      <c r="AD364" s="898">
        <f>SUM(G364:AC364)</f>
        <v>-14050.880000000001</v>
      </c>
    </row>
    <row r="365" spans="1:30">
      <c r="A365" s="910">
        <v>361</v>
      </c>
      <c r="B365" s="830" t="s">
        <v>2659</v>
      </c>
      <c r="G365" s="922">
        <v>-16.670000000000002</v>
      </c>
      <c r="H365" s="924"/>
      <c r="I365" s="898">
        <v>-30.76</v>
      </c>
      <c r="K365" s="922">
        <v>-66.320000000000007</v>
      </c>
      <c r="L365" s="924"/>
      <c r="O365" s="898">
        <v>-7.04</v>
      </c>
      <c r="Q365" s="898">
        <v>-67.87</v>
      </c>
      <c r="S365" s="922">
        <v>-322.74</v>
      </c>
      <c r="T365" s="924"/>
      <c r="U365" s="922">
        <v>-1464.65</v>
      </c>
      <c r="V365" s="924"/>
      <c r="W365" s="898">
        <v>-2755.28</v>
      </c>
      <c r="Y365" s="922">
        <v>-1407.24</v>
      </c>
      <c r="Z365" s="924"/>
      <c r="AA365" s="922">
        <v>-260.25</v>
      </c>
      <c r="AB365" s="924"/>
      <c r="AC365" s="922">
        <v>-55.14</v>
      </c>
      <c r="AD365" s="898">
        <f>SUM(G365:AC365)</f>
        <v>-6453.96</v>
      </c>
    </row>
    <row r="366" spans="1:30">
      <c r="A366" s="910">
        <v>362</v>
      </c>
      <c r="B366" s="830" t="s">
        <v>2660</v>
      </c>
      <c r="G366" s="922">
        <v>-31.04</v>
      </c>
      <c r="H366" s="924"/>
      <c r="I366" s="898">
        <v>-57.29</v>
      </c>
      <c r="K366" s="922">
        <v>-123.5</v>
      </c>
      <c r="L366" s="924"/>
      <c r="O366" s="898">
        <v>-13.11</v>
      </c>
      <c r="Q366" s="898">
        <v>-126.38</v>
      </c>
      <c r="S366" s="922">
        <v>-600.96</v>
      </c>
      <c r="T366" s="924"/>
      <c r="U366" s="922">
        <v>-2727.27</v>
      </c>
      <c r="V366" s="924"/>
      <c r="W366" s="898">
        <v>-5130.5200000000004</v>
      </c>
      <c r="Y366" s="922">
        <v>-2620.39</v>
      </c>
      <c r="Z366" s="924"/>
      <c r="AA366" s="922">
        <v>-484.6</v>
      </c>
      <c r="AB366" s="924"/>
      <c r="AC366" s="922"/>
      <c r="AD366" s="898">
        <f t="shared" ref="AD366:AD382" si="26">SUM(G366:AC366)</f>
        <v>-11915.06</v>
      </c>
    </row>
    <row r="367" spans="1:30">
      <c r="A367" s="910">
        <v>363</v>
      </c>
      <c r="B367" s="830" t="s">
        <v>2653</v>
      </c>
      <c r="G367" s="922">
        <v>17.82</v>
      </c>
      <c r="H367" s="924"/>
      <c r="I367" s="898">
        <v>32.89</v>
      </c>
      <c r="J367" s="924"/>
      <c r="K367" s="922">
        <v>70.900000000000006</v>
      </c>
      <c r="L367" s="924"/>
      <c r="M367" s="922"/>
      <c r="N367" s="924"/>
      <c r="O367" s="898">
        <v>7.52</v>
      </c>
      <c r="P367" s="924"/>
      <c r="Q367" s="922">
        <v>72.55</v>
      </c>
      <c r="R367" s="924"/>
      <c r="S367" s="922">
        <v>345</v>
      </c>
      <c r="T367" s="924"/>
      <c r="U367" s="922">
        <v>1565.66</v>
      </c>
      <c r="V367" s="924"/>
      <c r="W367" s="898">
        <v>2945.3</v>
      </c>
      <c r="Y367" s="922">
        <v>1504.3</v>
      </c>
      <c r="Z367" s="924"/>
      <c r="AA367" s="922">
        <v>278.2</v>
      </c>
      <c r="AB367" s="924"/>
      <c r="AC367" s="922">
        <v>63.38</v>
      </c>
      <c r="AD367" s="898">
        <f t="shared" si="26"/>
        <v>6903.52</v>
      </c>
    </row>
    <row r="368" spans="1:30">
      <c r="A368" s="910">
        <v>364</v>
      </c>
      <c r="B368" s="830" t="s">
        <v>2654</v>
      </c>
      <c r="G368" s="922">
        <v>98.3</v>
      </c>
      <c r="H368" s="924"/>
      <c r="I368" s="898">
        <v>181.41</v>
      </c>
      <c r="J368" s="924"/>
      <c r="K368" s="922">
        <v>391.07</v>
      </c>
      <c r="L368" s="924"/>
      <c r="M368" s="922"/>
      <c r="N368" s="924"/>
      <c r="O368" s="898">
        <v>41.5</v>
      </c>
      <c r="P368" s="924"/>
      <c r="Q368" s="922">
        <v>400.21</v>
      </c>
      <c r="R368" s="924"/>
      <c r="S368" s="922">
        <v>1903.05</v>
      </c>
      <c r="T368" s="924"/>
      <c r="U368" s="922">
        <v>8636.3700000000008</v>
      </c>
      <c r="V368" s="924"/>
      <c r="W368" s="898">
        <v>16246.63</v>
      </c>
      <c r="Y368" s="922">
        <v>8297.89</v>
      </c>
      <c r="Z368" s="924"/>
      <c r="AA368" s="922">
        <v>1534.56</v>
      </c>
      <c r="AB368" s="924"/>
      <c r="AC368" s="922">
        <v>367.61</v>
      </c>
      <c r="AD368" s="898">
        <f t="shared" si="26"/>
        <v>38098.6</v>
      </c>
    </row>
    <row r="369" spans="1:31">
      <c r="A369" s="910">
        <v>365</v>
      </c>
      <c r="B369" s="830" t="s">
        <v>2757</v>
      </c>
      <c r="G369" s="922">
        <v>-2982.22</v>
      </c>
      <c r="H369" s="924"/>
      <c r="I369" s="922">
        <v>-5188</v>
      </c>
      <c r="J369" s="924"/>
      <c r="K369" s="922">
        <v>-5188</v>
      </c>
      <c r="L369" s="924"/>
      <c r="M369" s="922"/>
      <c r="N369" s="924"/>
      <c r="O369" s="922">
        <v>-1259.1300000000001</v>
      </c>
      <c r="P369" s="924"/>
      <c r="Q369" s="922">
        <v>-5188</v>
      </c>
      <c r="R369" s="924"/>
      <c r="S369" s="922">
        <v>-5188</v>
      </c>
      <c r="T369" s="924"/>
      <c r="U369" s="922">
        <v>-5188</v>
      </c>
      <c r="V369" s="924"/>
      <c r="W369" s="922">
        <v>-5188</v>
      </c>
      <c r="X369" s="924"/>
      <c r="Y369" s="922">
        <v>-5188</v>
      </c>
      <c r="Z369" s="924"/>
      <c r="AA369" s="922">
        <v>-5188</v>
      </c>
      <c r="AB369" s="924"/>
      <c r="AC369" s="922"/>
      <c r="AD369" s="898">
        <f t="shared" si="26"/>
        <v>-45745.35</v>
      </c>
      <c r="AE369" s="950"/>
    </row>
    <row r="370" spans="1:31">
      <c r="A370" s="910">
        <v>366</v>
      </c>
      <c r="B370" s="830" t="s">
        <v>2758</v>
      </c>
      <c r="H370" s="924"/>
      <c r="I370" s="922">
        <v>-106.32</v>
      </c>
      <c r="J370" s="924"/>
      <c r="K370" s="922">
        <v>-2248.3200000000002</v>
      </c>
      <c r="L370" s="924"/>
      <c r="M370" s="922"/>
      <c r="N370" s="924"/>
      <c r="P370" s="924"/>
      <c r="Q370" s="922">
        <v>-2341.73</v>
      </c>
      <c r="R370" s="924"/>
      <c r="S370" s="922">
        <v>-3494</v>
      </c>
      <c r="T370" s="924"/>
      <c r="U370" s="922">
        <v>-3494</v>
      </c>
      <c r="V370" s="924"/>
      <c r="W370" s="922">
        <v>-3494</v>
      </c>
      <c r="X370" s="924"/>
      <c r="Y370" s="922">
        <v>-3494</v>
      </c>
      <c r="Z370" s="924"/>
      <c r="AA370" s="922">
        <v>-3494</v>
      </c>
      <c r="AB370" s="924"/>
      <c r="AD370" s="898">
        <f t="shared" si="26"/>
        <v>-22166.370000000003</v>
      </c>
      <c r="AE370" s="950"/>
    </row>
    <row r="371" spans="1:31">
      <c r="A371" s="910">
        <v>367</v>
      </c>
      <c r="B371" s="830" t="s">
        <v>2758</v>
      </c>
      <c r="H371" s="924"/>
      <c r="L371" s="924"/>
      <c r="Q371" s="922"/>
      <c r="R371" s="924"/>
      <c r="S371" s="922">
        <v>-1682</v>
      </c>
      <c r="T371" s="924"/>
      <c r="U371" s="922">
        <v>-1682</v>
      </c>
      <c r="V371" s="924"/>
      <c r="W371" s="922">
        <v>-1682</v>
      </c>
      <c r="X371" s="924"/>
      <c r="Y371" s="922">
        <v>-1682</v>
      </c>
      <c r="Z371" s="924"/>
      <c r="AA371" s="922">
        <v>-1682</v>
      </c>
      <c r="AB371" s="924"/>
      <c r="AD371" s="898">
        <f t="shared" si="26"/>
        <v>-8410</v>
      </c>
      <c r="AE371" s="950"/>
    </row>
    <row r="372" spans="1:31">
      <c r="A372" s="910">
        <v>368</v>
      </c>
      <c r="B372" s="830" t="s">
        <v>2759</v>
      </c>
      <c r="H372" s="924"/>
      <c r="K372" s="922"/>
      <c r="L372" s="924"/>
      <c r="S372" s="922">
        <v>-825</v>
      </c>
      <c r="T372" s="924"/>
      <c r="U372" s="922">
        <v>-825</v>
      </c>
      <c r="V372" s="924"/>
      <c r="W372" s="922">
        <v>-825</v>
      </c>
      <c r="X372" s="924"/>
      <c r="Y372" s="922">
        <v>-825</v>
      </c>
      <c r="Z372" s="924"/>
      <c r="AA372" s="922">
        <v>-825</v>
      </c>
      <c r="AB372" s="924"/>
      <c r="AD372" s="898">
        <f t="shared" si="26"/>
        <v>-4125</v>
      </c>
      <c r="AE372" s="950"/>
    </row>
    <row r="373" spans="1:31">
      <c r="A373" s="910">
        <v>369</v>
      </c>
      <c r="B373" s="830" t="s">
        <v>2760</v>
      </c>
      <c r="G373" s="922"/>
      <c r="H373" s="924"/>
      <c r="K373" s="922"/>
      <c r="L373" s="924"/>
      <c r="S373" s="922">
        <v>-1935</v>
      </c>
      <c r="T373" s="924"/>
      <c r="U373" s="922">
        <v>-1935</v>
      </c>
      <c r="V373" s="924"/>
      <c r="W373" s="922">
        <v>-1935</v>
      </c>
      <c r="X373" s="924"/>
      <c r="Y373" s="922">
        <v>-1935</v>
      </c>
      <c r="Z373" s="924"/>
      <c r="AA373" s="922">
        <v>-1918.26</v>
      </c>
      <c r="AB373" s="924"/>
      <c r="AD373" s="898">
        <f t="shared" si="26"/>
        <v>-9658.26</v>
      </c>
      <c r="AE373" s="950"/>
    </row>
    <row r="374" spans="1:31">
      <c r="A374" s="910">
        <v>370</v>
      </c>
      <c r="B374" s="830" t="s">
        <v>2761</v>
      </c>
      <c r="G374" s="922"/>
      <c r="H374" s="924"/>
      <c r="K374" s="922"/>
      <c r="L374" s="924"/>
      <c r="S374" s="922">
        <v>-958.02</v>
      </c>
      <c r="T374" s="924"/>
      <c r="U374" s="922">
        <v>-1800</v>
      </c>
      <c r="V374" s="924"/>
      <c r="W374" s="922">
        <v>-1800</v>
      </c>
      <c r="X374" s="924"/>
      <c r="Y374" s="922">
        <v>-1800</v>
      </c>
      <c r="Z374" s="924"/>
      <c r="AA374" s="922"/>
      <c r="AB374" s="924"/>
      <c r="AD374" s="898">
        <f t="shared" si="26"/>
        <v>-6358.02</v>
      </c>
      <c r="AE374" s="950"/>
    </row>
    <row r="375" spans="1:31">
      <c r="A375" s="910">
        <v>371</v>
      </c>
      <c r="B375" s="830" t="s">
        <v>2762</v>
      </c>
      <c r="G375" s="922"/>
      <c r="H375" s="924"/>
      <c r="K375" s="922"/>
      <c r="L375" s="924"/>
      <c r="S375" s="922"/>
      <c r="T375" s="924"/>
      <c r="U375" s="922">
        <v>-11251.52</v>
      </c>
      <c r="V375" s="924"/>
      <c r="W375" s="898">
        <v>-24602.86</v>
      </c>
      <c r="Y375" s="922">
        <v>-10657.7</v>
      </c>
      <c r="Z375" s="924"/>
      <c r="AA375" s="922"/>
      <c r="AB375" s="924"/>
      <c r="AC375" s="898">
        <v>-7131.87</v>
      </c>
      <c r="AD375" s="898">
        <f t="shared" si="26"/>
        <v>-53643.950000000004</v>
      </c>
      <c r="AE375" s="950"/>
    </row>
    <row r="376" spans="1:31">
      <c r="A376" s="910">
        <v>372</v>
      </c>
      <c r="B376" s="830" t="s">
        <v>2763</v>
      </c>
      <c r="G376" s="922">
        <v>120485</v>
      </c>
      <c r="H376" s="924"/>
      <c r="I376" s="922">
        <v>120485</v>
      </c>
      <c r="J376" s="924"/>
      <c r="K376" s="922">
        <v>120485</v>
      </c>
      <c r="L376" s="924"/>
      <c r="M376" s="922">
        <v>120485</v>
      </c>
      <c r="N376" s="924"/>
      <c r="O376" s="922">
        <v>120485</v>
      </c>
      <c r="P376" s="924"/>
      <c r="Q376" s="922">
        <v>120485</v>
      </c>
      <c r="R376" s="924"/>
      <c r="S376" s="922">
        <v>120485</v>
      </c>
      <c r="T376" s="924"/>
      <c r="U376" s="922">
        <v>120485</v>
      </c>
      <c r="V376" s="924"/>
      <c r="W376" s="898">
        <v>120485</v>
      </c>
      <c r="Y376" s="922">
        <v>120485</v>
      </c>
      <c r="Z376" s="924"/>
      <c r="AA376" s="922">
        <v>120485</v>
      </c>
      <c r="AB376" s="924"/>
      <c r="AC376" s="922">
        <v>120485</v>
      </c>
      <c r="AD376" s="898">
        <f t="shared" si="26"/>
        <v>1445820</v>
      </c>
    </row>
    <row r="377" spans="1:31">
      <c r="A377" s="910">
        <v>373</v>
      </c>
      <c r="B377" s="830" t="s">
        <v>2764</v>
      </c>
      <c r="G377" s="922">
        <v>-347.12</v>
      </c>
      <c r="H377" s="924"/>
      <c r="I377" s="922">
        <v>-347.12</v>
      </c>
      <c r="J377" s="924"/>
      <c r="K377" s="922">
        <v>-347.12</v>
      </c>
      <c r="L377" s="924"/>
      <c r="M377" s="922">
        <v>-347.12</v>
      </c>
      <c r="N377" s="924"/>
      <c r="O377" s="922">
        <v>-347.12</v>
      </c>
      <c r="P377" s="924"/>
      <c r="Q377" s="922">
        <v>-347.12</v>
      </c>
      <c r="R377" s="924"/>
      <c r="S377" s="922">
        <v>-347.12</v>
      </c>
      <c r="T377" s="924"/>
      <c r="U377" s="922">
        <v>-2753.15</v>
      </c>
      <c r="V377" s="924"/>
      <c r="W377" s="922">
        <v>-2753.15</v>
      </c>
      <c r="X377" s="924"/>
      <c r="Y377" s="922">
        <v>-2753.15</v>
      </c>
      <c r="Z377" s="924"/>
      <c r="AA377" s="922">
        <v>-2753.15</v>
      </c>
      <c r="AB377" s="924"/>
      <c r="AC377" s="922">
        <v>-2753.15</v>
      </c>
      <c r="AD377" s="898">
        <f t="shared" si="26"/>
        <v>-16195.589999999998</v>
      </c>
    </row>
    <row r="378" spans="1:31">
      <c r="A378" s="910">
        <v>374</v>
      </c>
      <c r="B378" s="830" t="s">
        <v>2719</v>
      </c>
      <c r="G378" s="922">
        <v>5355.66</v>
      </c>
      <c r="H378" s="924"/>
      <c r="I378" s="898">
        <v>5359.75</v>
      </c>
      <c r="J378" s="924"/>
      <c r="K378" s="922">
        <v>5372.68</v>
      </c>
      <c r="L378" s="924"/>
      <c r="M378" s="922">
        <v>5351</v>
      </c>
      <c r="N378" s="924"/>
      <c r="O378" s="922">
        <v>5352.97</v>
      </c>
      <c r="P378" s="924"/>
      <c r="Q378" s="922">
        <v>5373.25</v>
      </c>
      <c r="R378" s="924"/>
      <c r="S378" s="922">
        <v>5412.71</v>
      </c>
      <c r="T378" s="924"/>
      <c r="U378" s="922">
        <v>5820.58</v>
      </c>
      <c r="V378" s="924"/>
      <c r="W378" s="898">
        <v>6416.12</v>
      </c>
      <c r="Y378" s="922">
        <v>5794.09</v>
      </c>
      <c r="Z378" s="924"/>
      <c r="AA378" s="922">
        <v>5291.81</v>
      </c>
      <c r="AB378" s="924"/>
      <c r="AC378" s="922">
        <v>5264.23</v>
      </c>
      <c r="AD378" s="898">
        <f t="shared" si="26"/>
        <v>66164.850000000006</v>
      </c>
    </row>
    <row r="379" spans="1:31">
      <c r="A379" s="910">
        <v>375</v>
      </c>
      <c r="B379" s="830" t="s">
        <v>2884</v>
      </c>
      <c r="G379" s="922">
        <f>SUM(G358:G378)</f>
        <v>126255.93000000001</v>
      </c>
      <c r="H379" s="922"/>
      <c r="I379" s="922">
        <f>SUM(I358:I378)</f>
        <v>126379.53</v>
      </c>
      <c r="J379" s="922"/>
      <c r="K379" s="922">
        <f>SUM(K358:K378)</f>
        <v>126752.93</v>
      </c>
      <c r="L379" s="922"/>
      <c r="M379" s="922">
        <f>SUM(M358:M378)</f>
        <v>126113.88</v>
      </c>
      <c r="N379" s="922"/>
      <c r="O379" s="922">
        <f>SUM(O358:O378)</f>
        <v>126173.84000000001</v>
      </c>
      <c r="P379" s="922"/>
      <c r="Q379" s="922">
        <f>SUM(Q358:Q378)</f>
        <v>126769.22</v>
      </c>
      <c r="R379" s="922"/>
      <c r="S379" s="922">
        <f>SUM(S358:S378)</f>
        <v>128191.42000000001</v>
      </c>
      <c r="T379" s="922"/>
      <c r="U379" s="922">
        <f>SUM(U358:U378)</f>
        <v>140009.25</v>
      </c>
      <c r="V379" s="922"/>
      <c r="W379" s="922">
        <f>SUM(W358:W378)</f>
        <v>156537.38000000003</v>
      </c>
      <c r="X379" s="922"/>
      <c r="Y379" s="922">
        <f>SUM(Y358:Y378)</f>
        <v>139274.14000000001</v>
      </c>
      <c r="Z379" s="922"/>
      <c r="AA379" s="922">
        <f>SUM(AA358:AA378)</f>
        <v>125221.32</v>
      </c>
      <c r="AB379" s="922"/>
      <c r="AC379" s="922">
        <f>SUM(AC358:AC378)</f>
        <v>124294.75</v>
      </c>
      <c r="AD379" s="898">
        <f t="shared" si="26"/>
        <v>1571973.59</v>
      </c>
    </row>
    <row r="380" spans="1:31">
      <c r="A380" s="910">
        <v>376</v>
      </c>
      <c r="B380" s="830" t="s">
        <v>2514</v>
      </c>
      <c r="F380" s="928"/>
      <c r="G380" s="937">
        <v>57483</v>
      </c>
      <c r="H380" s="926"/>
      <c r="I380" s="924">
        <v>106086</v>
      </c>
      <c r="J380" s="924"/>
      <c r="K380" s="924">
        <v>228696</v>
      </c>
      <c r="L380" s="924"/>
      <c r="M380" s="926">
        <v>0</v>
      </c>
      <c r="N380" s="926"/>
      <c r="O380" s="924">
        <v>24270</v>
      </c>
      <c r="P380" s="926"/>
      <c r="Q380" s="924">
        <v>234043</v>
      </c>
      <c r="R380" s="926"/>
      <c r="S380" s="924">
        <v>1112893</v>
      </c>
      <c r="T380" s="926"/>
      <c r="U380" s="924">
        <v>5050508</v>
      </c>
      <c r="V380" s="926"/>
      <c r="W380" s="899">
        <v>9500954</v>
      </c>
      <c r="X380" s="928"/>
      <c r="Y380" s="924">
        <v>4852567</v>
      </c>
      <c r="Z380" s="926"/>
      <c r="AA380" s="924">
        <v>897404</v>
      </c>
      <c r="AB380" s="926"/>
      <c r="AC380" s="924">
        <v>211269</v>
      </c>
      <c r="AD380" s="928">
        <f t="shared" si="26"/>
        <v>22276173</v>
      </c>
    </row>
    <row r="381" spans="1:31">
      <c r="A381" s="910">
        <v>377</v>
      </c>
      <c r="B381" s="830" t="s">
        <v>2885</v>
      </c>
      <c r="F381" s="928"/>
      <c r="G381" s="928"/>
      <c r="H381" s="928"/>
      <c r="I381" s="899"/>
      <c r="K381" s="899"/>
      <c r="M381" s="928"/>
      <c r="N381" s="928"/>
      <c r="O381" s="899"/>
      <c r="P381" s="928"/>
      <c r="Q381" s="899"/>
      <c r="R381" s="928"/>
      <c r="S381" s="899"/>
      <c r="T381" s="928"/>
      <c r="U381" s="899"/>
      <c r="V381" s="928"/>
      <c r="W381" s="899"/>
      <c r="X381" s="928"/>
      <c r="Y381" s="899"/>
      <c r="Z381" s="928"/>
      <c r="AA381" s="899"/>
      <c r="AB381" s="928"/>
      <c r="AC381" s="899"/>
      <c r="AD381" s="928">
        <f t="shared" si="26"/>
        <v>0</v>
      </c>
    </row>
    <row r="382" spans="1:31">
      <c r="A382" s="910">
        <v>378</v>
      </c>
      <c r="B382" s="830" t="s">
        <v>2886</v>
      </c>
      <c r="F382" s="928"/>
      <c r="G382" s="926">
        <f>SUM(G380:G381)</f>
        <v>57483</v>
      </c>
      <c r="H382" s="926"/>
      <c r="I382" s="924">
        <f>SUM(I380:I381)</f>
        <v>106086</v>
      </c>
      <c r="J382" s="924"/>
      <c r="K382" s="924">
        <f>SUM(K380:K381)</f>
        <v>228696</v>
      </c>
      <c r="L382" s="924"/>
      <c r="M382" s="926">
        <f>SUM(M380:M381)</f>
        <v>0</v>
      </c>
      <c r="N382" s="926"/>
      <c r="O382" s="924">
        <f>SUM(O380:O381)</f>
        <v>24270</v>
      </c>
      <c r="P382" s="926"/>
      <c r="Q382" s="924">
        <f>SUM(Q380:Q381)</f>
        <v>234043</v>
      </c>
      <c r="R382" s="926"/>
      <c r="S382" s="924">
        <f>SUM(S380:S381)</f>
        <v>1112893</v>
      </c>
      <c r="T382" s="926"/>
      <c r="U382" s="924">
        <f>SUM(U380:U381)</f>
        <v>5050508</v>
      </c>
      <c r="V382" s="926"/>
      <c r="W382" s="924">
        <f>SUM(W380:W381)</f>
        <v>9500954</v>
      </c>
      <c r="X382" s="926"/>
      <c r="Y382" s="924">
        <f>SUM(Y380:Y381)</f>
        <v>4852567</v>
      </c>
      <c r="Z382" s="926"/>
      <c r="AA382" s="924">
        <f>SUM(AA380:AA381)</f>
        <v>897404</v>
      </c>
      <c r="AB382" s="926"/>
      <c r="AC382" s="924">
        <f>SUM(AC380:AC381)</f>
        <v>211269</v>
      </c>
      <c r="AD382" s="928">
        <f t="shared" si="26"/>
        <v>22276173</v>
      </c>
    </row>
    <row r="383" spans="1:31">
      <c r="A383" s="910">
        <v>379</v>
      </c>
      <c r="B383" s="830"/>
      <c r="F383" s="928"/>
      <c r="G383" s="928"/>
      <c r="H383" s="928"/>
      <c r="I383" s="928"/>
      <c r="J383" s="928"/>
      <c r="K383" s="928"/>
      <c r="L383" s="928"/>
      <c r="M383" s="928"/>
      <c r="N383" s="928"/>
      <c r="O383" s="928"/>
      <c r="P383" s="928"/>
      <c r="Q383" s="928"/>
      <c r="R383" s="928"/>
      <c r="S383" s="928"/>
      <c r="T383" s="928"/>
      <c r="U383" s="928"/>
      <c r="V383" s="928"/>
      <c r="W383" s="928"/>
      <c r="X383" s="928"/>
      <c r="Y383" s="928"/>
      <c r="Z383" s="928"/>
      <c r="AA383" s="928"/>
      <c r="AB383" s="928"/>
      <c r="AC383" s="928"/>
      <c r="AD383" s="928"/>
    </row>
    <row r="384" spans="1:31">
      <c r="A384" s="910">
        <v>380</v>
      </c>
      <c r="B384" s="851" t="s">
        <v>2766</v>
      </c>
    </row>
    <row r="385" spans="1:31">
      <c r="A385" s="910">
        <v>381</v>
      </c>
      <c r="B385" s="951" t="s">
        <v>2724</v>
      </c>
      <c r="G385" s="922">
        <v>625</v>
      </c>
      <c r="H385" s="924"/>
      <c r="I385" s="922">
        <v>625</v>
      </c>
      <c r="J385" s="924"/>
      <c r="K385" s="922">
        <v>625</v>
      </c>
      <c r="L385" s="924"/>
      <c r="M385" s="922">
        <v>625</v>
      </c>
      <c r="N385" s="924"/>
      <c r="O385" s="922">
        <v>625</v>
      </c>
      <c r="P385" s="924"/>
      <c r="Q385" s="922">
        <v>625</v>
      </c>
      <c r="R385" s="924"/>
      <c r="S385" s="922">
        <v>625</v>
      </c>
      <c r="T385" s="924"/>
      <c r="U385" s="922">
        <v>625</v>
      </c>
      <c r="V385" s="924"/>
      <c r="W385" s="898">
        <v>625</v>
      </c>
      <c r="Y385" s="922">
        <v>625</v>
      </c>
      <c r="Z385" s="924"/>
      <c r="AA385" s="922">
        <v>625</v>
      </c>
      <c r="AB385" s="924"/>
      <c r="AC385" s="922">
        <v>625</v>
      </c>
      <c r="AD385" s="898">
        <f t="shared" ref="AD385:AD396" si="27">SUM(G385:AC385)</f>
        <v>7500</v>
      </c>
    </row>
    <row r="386" spans="1:31">
      <c r="A386" s="910">
        <v>382</v>
      </c>
      <c r="B386" s="951" t="s">
        <v>2767</v>
      </c>
      <c r="G386" s="922">
        <v>20468.36</v>
      </c>
      <c r="H386" s="924"/>
      <c r="I386" s="922">
        <v>20468.36</v>
      </c>
      <c r="J386" s="924"/>
      <c r="K386" s="922">
        <v>20468.36</v>
      </c>
      <c r="L386" s="924"/>
      <c r="M386" s="922">
        <v>20468.36</v>
      </c>
      <c r="N386" s="924"/>
      <c r="O386" s="922">
        <v>20468.36</v>
      </c>
      <c r="P386" s="924"/>
      <c r="Q386" s="922">
        <v>20468.36</v>
      </c>
      <c r="R386" s="924"/>
      <c r="S386" s="922">
        <v>20468.36</v>
      </c>
      <c r="T386" s="924"/>
      <c r="U386" s="922">
        <v>20468.36</v>
      </c>
      <c r="V386" s="924"/>
      <c r="W386" s="898">
        <v>20673.04</v>
      </c>
      <c r="Y386" s="922">
        <v>20673.04</v>
      </c>
      <c r="Z386" s="924"/>
      <c r="AA386" s="922">
        <v>20673.04</v>
      </c>
      <c r="AB386" s="924"/>
      <c r="AC386" s="922">
        <v>20673.04</v>
      </c>
      <c r="AD386" s="898">
        <f t="shared" si="27"/>
        <v>246439.04000000004</v>
      </c>
    </row>
    <row r="387" spans="1:31">
      <c r="A387" s="910">
        <v>383</v>
      </c>
      <c r="B387" s="951" t="s">
        <v>2713</v>
      </c>
      <c r="H387" s="924"/>
      <c r="J387" s="924"/>
      <c r="L387" s="924"/>
      <c r="N387" s="924"/>
      <c r="P387" s="924"/>
      <c r="R387" s="924"/>
      <c r="S387" s="922"/>
      <c r="T387" s="924"/>
      <c r="U387" s="922"/>
      <c r="V387" s="924"/>
      <c r="AD387" s="898">
        <f t="shared" si="27"/>
        <v>0</v>
      </c>
    </row>
    <row r="388" spans="1:31">
      <c r="A388" s="910">
        <v>384</v>
      </c>
      <c r="B388" s="951" t="s">
        <v>2724</v>
      </c>
      <c r="H388" s="924"/>
      <c r="J388" s="924"/>
      <c r="L388" s="924"/>
      <c r="N388" s="924"/>
      <c r="P388" s="924"/>
      <c r="R388" s="924"/>
      <c r="S388" s="922"/>
      <c r="T388" s="924"/>
      <c r="U388" s="922"/>
      <c r="V388" s="924"/>
      <c r="AD388" s="898">
        <f t="shared" si="27"/>
        <v>0</v>
      </c>
    </row>
    <row r="389" spans="1:31">
      <c r="A389" s="910">
        <v>385</v>
      </c>
      <c r="B389" s="951" t="s">
        <v>2714</v>
      </c>
      <c r="G389" s="922">
        <v>3129.93</v>
      </c>
      <c r="H389" s="924"/>
      <c r="I389" s="922">
        <v>3071.81</v>
      </c>
      <c r="J389" s="924"/>
      <c r="K389" s="922">
        <v>3074.62</v>
      </c>
      <c r="L389" s="924"/>
      <c r="M389" s="922">
        <v>3725.17</v>
      </c>
      <c r="N389" s="924"/>
      <c r="O389" s="922">
        <v>3348.75</v>
      </c>
      <c r="P389" s="924"/>
      <c r="Q389" s="922">
        <v>2160.4899999999998</v>
      </c>
      <c r="R389" s="924"/>
      <c r="S389" s="922">
        <v>2269.48</v>
      </c>
      <c r="T389" s="924"/>
      <c r="U389" s="922">
        <v>2474.5</v>
      </c>
      <c r="V389" s="924"/>
      <c r="W389" s="898">
        <v>2630.26</v>
      </c>
      <c r="Y389" s="922">
        <v>2617.41</v>
      </c>
      <c r="Z389" s="924"/>
      <c r="AA389" s="922">
        <v>3194.37</v>
      </c>
      <c r="AB389" s="924"/>
      <c r="AC389" s="922">
        <v>2940.79</v>
      </c>
      <c r="AD389" s="898">
        <f t="shared" si="27"/>
        <v>34637.58</v>
      </c>
    </row>
    <row r="390" spans="1:31">
      <c r="A390" s="910">
        <v>386</v>
      </c>
      <c r="B390" s="951" t="s">
        <v>2897</v>
      </c>
      <c r="G390" s="922">
        <v>117451.47</v>
      </c>
      <c r="H390" s="924"/>
      <c r="I390" s="922">
        <v>115270.56</v>
      </c>
      <c r="J390" s="924"/>
      <c r="K390" s="922">
        <v>115375.96</v>
      </c>
      <c r="L390" s="924"/>
      <c r="M390" s="922">
        <v>139788</v>
      </c>
      <c r="N390" s="924"/>
      <c r="O390" s="922">
        <v>125662.82</v>
      </c>
      <c r="P390" s="924"/>
      <c r="Q390" s="922">
        <v>81073.11</v>
      </c>
      <c r="R390" s="924"/>
      <c r="S390" s="922">
        <v>85162.73</v>
      </c>
      <c r="T390" s="924"/>
      <c r="U390" s="922">
        <v>92856.320000000007</v>
      </c>
      <c r="V390" s="924"/>
      <c r="W390" s="898">
        <v>99688.29</v>
      </c>
      <c r="Y390" s="922">
        <v>99201.04</v>
      </c>
      <c r="Z390" s="924"/>
      <c r="AA390" s="922">
        <v>121068.28</v>
      </c>
      <c r="AB390" s="924"/>
      <c r="AC390" s="922">
        <v>111457.23</v>
      </c>
      <c r="AD390" s="898">
        <f t="shared" si="27"/>
        <v>1304055.81</v>
      </c>
    </row>
    <row r="391" spans="1:31">
      <c r="A391" s="910">
        <v>387</v>
      </c>
      <c r="B391" s="951" t="s">
        <v>2719</v>
      </c>
      <c r="G391" s="922">
        <v>6277.61</v>
      </c>
      <c r="H391" s="924"/>
      <c r="I391" s="922">
        <v>6178.4</v>
      </c>
      <c r="J391" s="924"/>
      <c r="K391" s="922">
        <v>6183.19</v>
      </c>
      <c r="L391" s="924"/>
      <c r="M391" s="922">
        <v>7293.72</v>
      </c>
      <c r="N391" s="924"/>
      <c r="O391" s="922">
        <v>6651.15</v>
      </c>
      <c r="P391" s="924"/>
      <c r="Q391" s="922">
        <v>4622.7299999999996</v>
      </c>
      <c r="R391" s="924"/>
      <c r="S391" s="922">
        <v>4808.7700000000004</v>
      </c>
      <c r="T391" s="924"/>
      <c r="U391" s="922">
        <v>5158.76</v>
      </c>
      <c r="V391" s="924"/>
      <c r="W391" s="898">
        <v>5477.45</v>
      </c>
      <c r="Y391" s="922">
        <v>5455.29</v>
      </c>
      <c r="Z391" s="924"/>
      <c r="AA391" s="922">
        <v>6449.79</v>
      </c>
      <c r="AB391" s="924"/>
      <c r="AC391" s="922">
        <v>6012.69</v>
      </c>
      <c r="AD391" s="898">
        <f t="shared" si="27"/>
        <v>70569.55</v>
      </c>
    </row>
    <row r="392" spans="1:31">
      <c r="A392" s="910">
        <v>388</v>
      </c>
      <c r="B392" s="951" t="s">
        <v>2677</v>
      </c>
      <c r="G392" s="922"/>
      <c r="H392" s="924"/>
      <c r="I392" s="922"/>
      <c r="J392" s="924"/>
      <c r="K392" s="922"/>
      <c r="L392" s="924"/>
      <c r="M392" s="922"/>
      <c r="N392" s="924"/>
      <c r="O392" s="922"/>
      <c r="P392" s="924"/>
      <c r="Q392" s="922"/>
      <c r="R392" s="924"/>
      <c r="S392" s="922"/>
      <c r="T392" s="924"/>
      <c r="U392" s="922"/>
      <c r="V392" s="924"/>
      <c r="AD392" s="898">
        <f t="shared" si="27"/>
        <v>0</v>
      </c>
    </row>
    <row r="393" spans="1:31">
      <c r="A393" s="910">
        <v>389</v>
      </c>
      <c r="B393" s="951" t="s">
        <v>2884</v>
      </c>
      <c r="G393" s="922">
        <f>SUM(G385:G392)</f>
        <v>147952.37</v>
      </c>
      <c r="H393" s="922"/>
      <c r="I393" s="922">
        <f>SUM(I385:I392)</f>
        <v>145614.13</v>
      </c>
      <c r="J393" s="922"/>
      <c r="K393" s="922">
        <f>SUM(K385:K392)</f>
        <v>145727.13</v>
      </c>
      <c r="L393" s="922"/>
      <c r="M393" s="922">
        <f>SUM(M385:M392)</f>
        <v>171900.25</v>
      </c>
      <c r="N393" s="922"/>
      <c r="O393" s="922">
        <f>SUM(O385:O392)</f>
        <v>156756.07999999999</v>
      </c>
      <c r="P393" s="922"/>
      <c r="Q393" s="922">
        <f>SUM(Q385:Q392)</f>
        <v>108949.68999999999</v>
      </c>
      <c r="R393" s="922"/>
      <c r="S393" s="922">
        <f>SUM(S385:S392)</f>
        <v>113334.34</v>
      </c>
      <c r="T393" s="922"/>
      <c r="U393" s="922">
        <f>SUM(U385:U392)</f>
        <v>121582.94</v>
      </c>
      <c r="V393" s="922"/>
      <c r="W393" s="922">
        <f>SUM(W385:W392)</f>
        <v>129094.04</v>
      </c>
      <c r="X393" s="922"/>
      <c r="Y393" s="922">
        <f>SUM(Y385:Y392)</f>
        <v>128571.77999999998</v>
      </c>
      <c r="Z393" s="922"/>
      <c r="AA393" s="922">
        <f>SUM(AA385:AA392)</f>
        <v>152010.48000000001</v>
      </c>
      <c r="AB393" s="922"/>
      <c r="AC393" s="922">
        <f>SUM(AC385:AC392)</f>
        <v>141708.75</v>
      </c>
      <c r="AD393" s="898">
        <f t="shared" si="27"/>
        <v>1663201.98</v>
      </c>
    </row>
    <row r="394" spans="1:31">
      <c r="A394" s="910">
        <v>390</v>
      </c>
      <c r="B394" s="951" t="s">
        <v>2514</v>
      </c>
      <c r="F394" s="928"/>
      <c r="G394" s="937">
        <v>7824829</v>
      </c>
      <c r="H394" s="926"/>
      <c r="I394" s="924">
        <v>7679533</v>
      </c>
      <c r="J394" s="924"/>
      <c r="K394" s="924">
        <v>7686555</v>
      </c>
      <c r="L394" s="924"/>
      <c r="M394" s="924">
        <v>9312929</v>
      </c>
      <c r="N394" s="924"/>
      <c r="O394" s="924">
        <v>8371884</v>
      </c>
      <c r="P394" s="924"/>
      <c r="Q394" s="924">
        <v>5401237</v>
      </c>
      <c r="R394" s="924"/>
      <c r="S394" s="924">
        <v>5673695</v>
      </c>
      <c r="T394" s="924"/>
      <c r="U394" s="924">
        <v>6186256</v>
      </c>
      <c r="V394" s="926"/>
      <c r="W394" s="899">
        <v>6575658</v>
      </c>
      <c r="X394" s="928"/>
      <c r="Y394" s="924">
        <v>6543518</v>
      </c>
      <c r="Z394" s="926"/>
      <c r="AA394" s="924">
        <v>7985929</v>
      </c>
      <c r="AB394" s="926"/>
      <c r="AC394" s="924">
        <v>7351963</v>
      </c>
      <c r="AD394" s="928">
        <f t="shared" si="27"/>
        <v>86593986</v>
      </c>
      <c r="AE394" s="928"/>
    </row>
    <row r="395" spans="1:31">
      <c r="A395" s="910">
        <v>391</v>
      </c>
      <c r="B395" s="951" t="s">
        <v>2885</v>
      </c>
      <c r="F395" s="928"/>
      <c r="G395" s="928"/>
      <c r="H395" s="928"/>
      <c r="I395" s="899"/>
      <c r="K395" s="899"/>
      <c r="M395" s="899"/>
      <c r="O395" s="899"/>
      <c r="Q395" s="899"/>
      <c r="S395" s="924"/>
      <c r="T395" s="924"/>
      <c r="U395" s="924"/>
      <c r="V395" s="926"/>
      <c r="W395" s="899"/>
      <c r="X395" s="928"/>
      <c r="Y395" s="924"/>
      <c r="Z395" s="926"/>
      <c r="AA395" s="924"/>
      <c r="AB395" s="926"/>
      <c r="AC395" s="924"/>
      <c r="AD395" s="928">
        <f t="shared" si="27"/>
        <v>0</v>
      </c>
      <c r="AE395" s="928"/>
    </row>
    <row r="396" spans="1:31">
      <c r="A396" s="910">
        <v>392</v>
      </c>
      <c r="B396" s="830" t="s">
        <v>2886</v>
      </c>
      <c r="F396" s="928"/>
      <c r="G396" s="926">
        <f>SUM(G394:G395)</f>
        <v>7824829</v>
      </c>
      <c r="H396" s="926"/>
      <c r="I396" s="924">
        <f>SUM(I394:I395)</f>
        <v>7679533</v>
      </c>
      <c r="J396" s="924"/>
      <c r="K396" s="924">
        <f>SUM(K394:K395)</f>
        <v>7686555</v>
      </c>
      <c r="L396" s="924"/>
      <c r="M396" s="924">
        <f>SUM(M394:M395)</f>
        <v>9312929</v>
      </c>
      <c r="N396" s="924"/>
      <c r="O396" s="924">
        <f>SUM(O394:O395)</f>
        <v>8371884</v>
      </c>
      <c r="P396" s="924"/>
      <c r="Q396" s="924">
        <f>SUM(Q394:Q395)</f>
        <v>5401237</v>
      </c>
      <c r="R396" s="924"/>
      <c r="S396" s="924">
        <f>SUM(S394:S395)</f>
        <v>5673695</v>
      </c>
      <c r="T396" s="924"/>
      <c r="U396" s="924">
        <f t="shared" ref="U396:AC396" si="28">SUM(U394:U395)</f>
        <v>6186256</v>
      </c>
      <c r="V396" s="926">
        <f t="shared" si="28"/>
        <v>0</v>
      </c>
      <c r="W396" s="924">
        <f t="shared" si="28"/>
        <v>6575658</v>
      </c>
      <c r="X396" s="926">
        <f t="shared" si="28"/>
        <v>0</v>
      </c>
      <c r="Y396" s="924">
        <f t="shared" si="28"/>
        <v>6543518</v>
      </c>
      <c r="Z396" s="926">
        <f t="shared" si="28"/>
        <v>0</v>
      </c>
      <c r="AA396" s="924">
        <f t="shared" si="28"/>
        <v>7985929</v>
      </c>
      <c r="AB396" s="926">
        <f t="shared" si="28"/>
        <v>0</v>
      </c>
      <c r="AC396" s="924">
        <f t="shared" si="28"/>
        <v>7351963</v>
      </c>
      <c r="AD396" s="928">
        <f t="shared" si="27"/>
        <v>86593986</v>
      </c>
      <c r="AE396" s="928"/>
    </row>
    <row r="397" spans="1:31">
      <c r="A397" s="910">
        <v>393</v>
      </c>
      <c r="B397" s="830"/>
    </row>
    <row r="398" spans="1:31">
      <c r="A398" s="910">
        <v>394</v>
      </c>
      <c r="B398" s="851" t="s">
        <v>2771</v>
      </c>
    </row>
    <row r="399" spans="1:31">
      <c r="A399" s="910">
        <v>395</v>
      </c>
      <c r="B399" s="830" t="s">
        <v>2724</v>
      </c>
      <c r="G399" s="922">
        <v>625</v>
      </c>
      <c r="H399" s="924"/>
      <c r="I399" s="922">
        <v>625</v>
      </c>
      <c r="J399" s="924"/>
      <c r="K399" s="922">
        <v>625</v>
      </c>
      <c r="L399" s="924"/>
      <c r="M399" s="922">
        <v>625</v>
      </c>
      <c r="N399" s="924"/>
      <c r="O399" s="922">
        <v>625</v>
      </c>
      <c r="P399" s="924"/>
      <c r="Q399" s="922">
        <v>625</v>
      </c>
      <c r="R399" s="924"/>
      <c r="S399" s="922">
        <v>625</v>
      </c>
      <c r="T399" s="924"/>
      <c r="U399" s="922">
        <v>625</v>
      </c>
      <c r="V399" s="924"/>
      <c r="W399" s="922">
        <v>625</v>
      </c>
      <c r="X399" s="924"/>
      <c r="Y399" s="922">
        <v>625</v>
      </c>
      <c r="Z399" s="924"/>
      <c r="AA399" s="922">
        <v>625</v>
      </c>
      <c r="AB399" s="924"/>
      <c r="AC399" s="922">
        <v>625</v>
      </c>
      <c r="AD399" s="898">
        <f t="shared" ref="AD399:AD412" si="29">SUM(G399:AC399)</f>
        <v>7500</v>
      </c>
    </row>
    <row r="400" spans="1:31">
      <c r="A400" s="910">
        <v>396</v>
      </c>
      <c r="B400" s="830" t="s">
        <v>2767</v>
      </c>
      <c r="G400" s="922">
        <v>14541.22</v>
      </c>
      <c r="H400" s="924"/>
      <c r="I400" s="922">
        <v>14541.22</v>
      </c>
      <c r="J400" s="924"/>
      <c r="K400" s="922">
        <v>14541.22</v>
      </c>
      <c r="L400" s="924"/>
      <c r="M400" s="922">
        <v>14541.22</v>
      </c>
      <c r="N400" s="924"/>
      <c r="O400" s="922">
        <v>14541.22</v>
      </c>
      <c r="P400" s="924"/>
      <c r="Q400" s="922">
        <v>14541.22</v>
      </c>
      <c r="R400" s="924"/>
      <c r="S400" s="922">
        <v>14541.22</v>
      </c>
      <c r="T400" s="924"/>
      <c r="U400" s="922">
        <v>14679.38</v>
      </c>
      <c r="V400" s="924"/>
      <c r="W400" s="922">
        <v>14679.38</v>
      </c>
      <c r="X400" s="924"/>
      <c r="Y400" s="922">
        <v>14679.38</v>
      </c>
      <c r="Z400" s="924"/>
      <c r="AA400" s="922">
        <v>14679.38</v>
      </c>
      <c r="AB400" s="924"/>
      <c r="AC400" s="922">
        <v>14679.38</v>
      </c>
      <c r="AD400" s="898">
        <f t="shared" si="29"/>
        <v>175185.44</v>
      </c>
    </row>
    <row r="401" spans="1:31">
      <c r="A401" s="910">
        <v>397</v>
      </c>
      <c r="B401" s="830" t="s">
        <v>2713</v>
      </c>
      <c r="H401" s="924"/>
      <c r="J401" s="924"/>
      <c r="L401" s="924"/>
      <c r="N401" s="924"/>
      <c r="P401" s="924"/>
      <c r="R401" s="924"/>
      <c r="S401" s="922"/>
      <c r="T401" s="924"/>
      <c r="AD401" s="898">
        <f t="shared" si="29"/>
        <v>0</v>
      </c>
    </row>
    <row r="402" spans="1:31">
      <c r="A402" s="910">
        <v>398</v>
      </c>
      <c r="B402" s="830" t="s">
        <v>2724</v>
      </c>
      <c r="H402" s="924"/>
      <c r="L402" s="924"/>
      <c r="N402" s="924"/>
      <c r="R402" s="924"/>
      <c r="S402" s="922"/>
      <c r="T402" s="924"/>
      <c r="V402" s="924"/>
      <c r="AD402" s="898">
        <f t="shared" si="29"/>
        <v>0</v>
      </c>
    </row>
    <row r="403" spans="1:31">
      <c r="A403" s="910">
        <v>399</v>
      </c>
      <c r="B403" s="830" t="s">
        <v>2714</v>
      </c>
      <c r="G403" s="922">
        <v>142.89000000000001</v>
      </c>
      <c r="H403" s="924"/>
      <c r="K403" s="922">
        <v>993.36</v>
      </c>
      <c r="L403" s="924"/>
      <c r="M403" s="922">
        <v>133.80000000000001</v>
      </c>
      <c r="N403" s="924"/>
      <c r="Q403" s="922">
        <v>203.97</v>
      </c>
      <c r="R403" s="924"/>
      <c r="S403" s="922">
        <v>40.07</v>
      </c>
      <c r="T403" s="924"/>
      <c r="U403" s="922">
        <v>3336.09</v>
      </c>
      <c r="V403" s="924"/>
      <c r="W403" s="898">
        <v>3647.29</v>
      </c>
      <c r="Y403" s="898">
        <v>2481.7600000000002</v>
      </c>
      <c r="AA403" s="898">
        <v>697.53</v>
      </c>
      <c r="AC403" s="922">
        <v>75.349999999999994</v>
      </c>
      <c r="AD403" s="898">
        <f t="shared" si="29"/>
        <v>11752.110000000002</v>
      </c>
    </row>
    <row r="404" spans="1:31">
      <c r="A404" s="910">
        <v>400</v>
      </c>
      <c r="B404" s="830" t="s">
        <v>2897</v>
      </c>
      <c r="G404" s="922">
        <v>5194.6400000000003</v>
      </c>
      <c r="H404" s="924"/>
      <c r="K404" s="922">
        <v>36111.67</v>
      </c>
      <c r="L404" s="924"/>
      <c r="M404" s="922">
        <v>4864.08</v>
      </c>
      <c r="N404" s="924"/>
      <c r="Q404" s="922">
        <v>7414.83</v>
      </c>
      <c r="R404" s="924"/>
      <c r="S404" s="922">
        <v>1001.69</v>
      </c>
      <c r="T404" s="924"/>
      <c r="U404" s="922">
        <v>122428.59</v>
      </c>
      <c r="V404" s="924"/>
      <c r="W404" s="898">
        <v>133849.01</v>
      </c>
      <c r="Y404" s="898">
        <v>91076.35</v>
      </c>
      <c r="AA404" s="898">
        <v>25598.28</v>
      </c>
      <c r="AC404" s="922">
        <v>2765.23</v>
      </c>
      <c r="AD404" s="898">
        <f t="shared" si="29"/>
        <v>430304.37</v>
      </c>
    </row>
    <row r="405" spans="1:31">
      <c r="A405" s="910">
        <v>401</v>
      </c>
      <c r="B405" s="830" t="s">
        <v>2719</v>
      </c>
      <c r="G405" s="922">
        <v>908.52</v>
      </c>
      <c r="H405" s="924"/>
      <c r="I405" s="922">
        <v>672.02</v>
      </c>
      <c r="J405" s="924"/>
      <c r="K405" s="922">
        <v>2316.14</v>
      </c>
      <c r="L405" s="924"/>
      <c r="M405" s="922">
        <v>893.47</v>
      </c>
      <c r="N405" s="924"/>
      <c r="O405" s="922">
        <v>672.02</v>
      </c>
      <c r="P405" s="924"/>
      <c r="Q405" s="922">
        <v>1009.6</v>
      </c>
      <c r="R405" s="924"/>
      <c r="S405" s="922">
        <v>1317.4</v>
      </c>
      <c r="T405" s="924"/>
      <c r="U405" s="922">
        <v>6250.77</v>
      </c>
      <c r="V405" s="924"/>
      <c r="W405" s="898">
        <v>6770.6</v>
      </c>
      <c r="Y405" s="922">
        <v>4823.7</v>
      </c>
      <c r="Z405" s="924"/>
      <c r="AA405" s="922">
        <v>1843.3</v>
      </c>
      <c r="AB405" s="924"/>
      <c r="AC405" s="922">
        <v>804</v>
      </c>
      <c r="AD405" s="898">
        <f t="shared" si="29"/>
        <v>28281.54</v>
      </c>
    </row>
    <row r="406" spans="1:31">
      <c r="A406" s="910">
        <v>402</v>
      </c>
      <c r="B406" s="830" t="s">
        <v>2661</v>
      </c>
      <c r="G406" s="922">
        <v>1366.75</v>
      </c>
      <c r="H406" s="924"/>
      <c r="I406" s="898">
        <v>1010.95</v>
      </c>
      <c r="J406" s="924"/>
      <c r="K406" s="922">
        <v>3484.31</v>
      </c>
      <c r="L406" s="924"/>
      <c r="M406" s="922">
        <v>1344.1</v>
      </c>
      <c r="N406" s="924"/>
      <c r="O406" s="898">
        <v>1010.95</v>
      </c>
      <c r="P406" s="924"/>
      <c r="Q406" s="922">
        <v>1518.81</v>
      </c>
      <c r="R406" s="924"/>
      <c r="S406" s="922">
        <v>1010.95</v>
      </c>
      <c r="T406" s="924"/>
      <c r="U406" s="922">
        <v>9403.42</v>
      </c>
      <c r="V406" s="924"/>
      <c r="W406" s="898">
        <v>10185.43</v>
      </c>
      <c r="Y406" s="922">
        <v>7256.59</v>
      </c>
      <c r="Z406" s="924"/>
      <c r="AA406" s="922">
        <v>2773</v>
      </c>
      <c r="AB406" s="924"/>
      <c r="AC406" s="922">
        <v>1209.51</v>
      </c>
      <c r="AD406" s="898">
        <f t="shared" si="29"/>
        <v>41574.770000000004</v>
      </c>
    </row>
    <row r="407" spans="1:31">
      <c r="A407" s="910">
        <v>403</v>
      </c>
      <c r="B407" s="830" t="s">
        <v>2774</v>
      </c>
      <c r="G407" s="922"/>
      <c r="H407" s="924"/>
      <c r="J407" s="924"/>
      <c r="K407" s="922"/>
      <c r="L407" s="924"/>
      <c r="M407" s="922"/>
      <c r="N407" s="924"/>
      <c r="P407" s="924"/>
      <c r="Q407" s="922"/>
      <c r="R407" s="924"/>
      <c r="S407" s="922">
        <v>12898.31</v>
      </c>
      <c r="T407" s="924"/>
      <c r="U407" s="922"/>
      <c r="V407" s="924"/>
      <c r="Y407" s="922"/>
      <c r="Z407" s="924"/>
      <c r="AA407" s="922"/>
      <c r="AB407" s="924"/>
      <c r="AC407" s="922"/>
      <c r="AD407" s="898">
        <f t="shared" si="29"/>
        <v>12898.31</v>
      </c>
    </row>
    <row r="408" spans="1:31">
      <c r="A408" s="910">
        <v>404</v>
      </c>
      <c r="B408" s="830" t="s">
        <v>2677</v>
      </c>
      <c r="G408" s="922"/>
      <c r="H408" s="924"/>
      <c r="I408" s="922"/>
      <c r="J408" s="924"/>
      <c r="K408" s="922"/>
      <c r="L408" s="924"/>
      <c r="N408" s="924"/>
      <c r="O408" s="922"/>
      <c r="P408" s="924"/>
      <c r="Q408" s="922"/>
      <c r="R408" s="924"/>
      <c r="S408" s="922"/>
      <c r="T408" s="924"/>
      <c r="U408" s="922"/>
      <c r="V408" s="924"/>
      <c r="AD408" s="898">
        <f t="shared" si="29"/>
        <v>0</v>
      </c>
    </row>
    <row r="409" spans="1:31">
      <c r="A409" s="910">
        <v>405</v>
      </c>
      <c r="B409" s="830" t="s">
        <v>2884</v>
      </c>
      <c r="G409" s="922">
        <f>SUM(G399:G408)</f>
        <v>22779.02</v>
      </c>
      <c r="H409" s="922"/>
      <c r="I409" s="922">
        <f>SUM(I399:I408)</f>
        <v>16849.189999999999</v>
      </c>
      <c r="J409" s="922"/>
      <c r="K409" s="922">
        <f>SUM(K399:K408)</f>
        <v>58071.7</v>
      </c>
      <c r="L409" s="922"/>
      <c r="M409" s="922">
        <f>SUM(M399:M406)</f>
        <v>22401.67</v>
      </c>
      <c r="N409" s="922"/>
      <c r="O409" s="922">
        <f>SUM(O399:O408)</f>
        <v>16849.189999999999</v>
      </c>
      <c r="P409" s="922"/>
      <c r="Q409" s="922">
        <f>SUM(Q399:Q408)</f>
        <v>25313.429999999997</v>
      </c>
      <c r="R409" s="922"/>
      <c r="S409" s="922">
        <f>SUM(S399:S408)</f>
        <v>31434.639999999999</v>
      </c>
      <c r="T409" s="922"/>
      <c r="U409" s="922">
        <f>SUM(U399:U408)</f>
        <v>156723.25</v>
      </c>
      <c r="V409" s="922"/>
      <c r="W409" s="922">
        <f>SUM(W399:W408)</f>
        <v>169756.71</v>
      </c>
      <c r="X409" s="922"/>
      <c r="Y409" s="922">
        <f>SUM(Y399:Y408)</f>
        <v>120942.78</v>
      </c>
      <c r="Z409" s="922"/>
      <c r="AA409" s="922">
        <f>SUM(AA399:AA408)</f>
        <v>46216.490000000005</v>
      </c>
      <c r="AB409" s="922"/>
      <c r="AC409" s="922">
        <f>SUM(AC399:AC408)</f>
        <v>20158.469999999998</v>
      </c>
      <c r="AD409" s="898">
        <f t="shared" si="29"/>
        <v>707496.53999999992</v>
      </c>
    </row>
    <row r="410" spans="1:31">
      <c r="A410" s="910">
        <v>406</v>
      </c>
      <c r="B410" s="830" t="s">
        <v>2514</v>
      </c>
      <c r="G410" s="924">
        <v>357236</v>
      </c>
      <c r="H410" s="924"/>
      <c r="I410" s="899"/>
      <c r="K410" s="924">
        <v>2483404</v>
      </c>
      <c r="L410" s="924"/>
      <c r="M410" s="924">
        <v>334503</v>
      </c>
      <c r="N410" s="924"/>
      <c r="O410" s="899"/>
      <c r="Q410" s="924">
        <v>509919</v>
      </c>
      <c r="R410" s="924"/>
      <c r="S410" s="924">
        <v>100169</v>
      </c>
      <c r="T410" s="924"/>
      <c r="U410" s="924">
        <v>8340220</v>
      </c>
      <c r="V410" s="924"/>
      <c r="W410" s="899">
        <v>9118215</v>
      </c>
      <c r="Y410" s="899">
        <v>6204407</v>
      </c>
      <c r="Z410" s="928"/>
      <c r="AA410" s="899">
        <v>1743835</v>
      </c>
      <c r="AB410" s="928"/>
      <c r="AC410" s="924">
        <v>188376</v>
      </c>
      <c r="AD410" s="928">
        <f t="shared" si="29"/>
        <v>29380284</v>
      </c>
      <c r="AE410" s="928"/>
    </row>
    <row r="411" spans="1:31">
      <c r="A411" s="910">
        <v>407</v>
      </c>
      <c r="B411" s="830" t="s">
        <v>2885</v>
      </c>
      <c r="G411" s="899"/>
      <c r="I411" s="899"/>
      <c r="K411" s="899"/>
      <c r="M411" s="899"/>
      <c r="O411" s="899"/>
      <c r="Q411" s="899"/>
      <c r="S411" s="924"/>
      <c r="T411" s="924"/>
      <c r="U411" s="924"/>
      <c r="V411" s="924"/>
      <c r="W411" s="899"/>
      <c r="Y411" s="899"/>
      <c r="Z411" s="928"/>
      <c r="AA411" s="899"/>
      <c r="AB411" s="928"/>
      <c r="AC411" s="899"/>
      <c r="AD411" s="928">
        <f t="shared" si="29"/>
        <v>0</v>
      </c>
      <c r="AE411" s="928"/>
    </row>
    <row r="412" spans="1:31">
      <c r="A412" s="910">
        <v>408</v>
      </c>
      <c r="B412" s="830" t="s">
        <v>2886</v>
      </c>
      <c r="G412" s="924">
        <f>SUM(G410:G411)</f>
        <v>357236</v>
      </c>
      <c r="H412" s="924"/>
      <c r="I412" s="924">
        <f>SUM(I410:I411)</f>
        <v>0</v>
      </c>
      <c r="J412" s="924"/>
      <c r="K412" s="924">
        <f>SUM(K410:K411)</f>
        <v>2483404</v>
      </c>
      <c r="L412" s="924"/>
      <c r="M412" s="924">
        <f>SUM(M410:M411)</f>
        <v>334503</v>
      </c>
      <c r="N412" s="924"/>
      <c r="O412" s="924">
        <f>SUM(O410:O411)</f>
        <v>0</v>
      </c>
      <c r="P412" s="924"/>
      <c r="Q412" s="924">
        <f>SUM(Q410:Q411)</f>
        <v>509919</v>
      </c>
      <c r="R412" s="924"/>
      <c r="S412" s="924">
        <f>SUM(S410:S411)</f>
        <v>100169</v>
      </c>
      <c r="T412" s="924"/>
      <c r="U412" s="924">
        <f>SUM(U410:U411)</f>
        <v>8340220</v>
      </c>
      <c r="V412" s="924"/>
      <c r="W412" s="924">
        <f>SUM(W410:W411)</f>
        <v>9118215</v>
      </c>
      <c r="X412" s="924"/>
      <c r="Y412" s="924">
        <f>SUM(Y410:Y411)</f>
        <v>6204407</v>
      </c>
      <c r="Z412" s="926"/>
      <c r="AA412" s="924">
        <f>SUM(AA410:AA411)</f>
        <v>1743835</v>
      </c>
      <c r="AB412" s="926"/>
      <c r="AC412" s="924">
        <f>SUM(AC410:AC411)</f>
        <v>188376</v>
      </c>
      <c r="AD412" s="928">
        <f t="shared" si="29"/>
        <v>29380284</v>
      </c>
      <c r="AE412" s="928"/>
    </row>
    <row r="413" spans="1:31">
      <c r="A413" s="910">
        <v>409</v>
      </c>
      <c r="B413" s="830"/>
    </row>
    <row r="414" spans="1:31">
      <c r="A414" s="910">
        <v>410</v>
      </c>
      <c r="B414" s="851" t="s">
        <v>2776</v>
      </c>
    </row>
    <row r="415" spans="1:31">
      <c r="A415" s="910">
        <v>411</v>
      </c>
      <c r="B415" s="830"/>
      <c r="G415" s="922"/>
      <c r="H415" s="924"/>
      <c r="I415" s="922"/>
      <c r="J415" s="924"/>
      <c r="K415" s="922"/>
      <c r="L415" s="924"/>
      <c r="M415" s="922"/>
      <c r="N415" s="924"/>
      <c r="O415" s="922"/>
      <c r="P415" s="924"/>
      <c r="Q415" s="922"/>
      <c r="R415" s="924"/>
      <c r="S415" s="922"/>
      <c r="T415" s="924"/>
      <c r="U415" s="922"/>
      <c r="V415" s="924"/>
      <c r="W415" s="922"/>
      <c r="X415" s="924"/>
      <c r="Y415" s="922"/>
      <c r="Z415" s="924"/>
      <c r="AA415" s="922"/>
      <c r="AB415" s="924"/>
      <c r="AC415" s="922"/>
      <c r="AD415" s="898">
        <f t="shared" ref="AD415:AD425" si="30">SUM(G415:AC415)</f>
        <v>0</v>
      </c>
    </row>
    <row r="416" spans="1:31">
      <c r="A416" s="910">
        <v>412</v>
      </c>
      <c r="B416" s="830" t="s">
        <v>2724</v>
      </c>
      <c r="G416" s="922">
        <v>625</v>
      </c>
      <c r="H416" s="924"/>
      <c r="I416" s="922">
        <v>625</v>
      </c>
      <c r="J416" s="924"/>
      <c r="K416" s="922">
        <v>625</v>
      </c>
      <c r="L416" s="924"/>
      <c r="M416" s="922">
        <v>625</v>
      </c>
      <c r="N416" s="924"/>
      <c r="O416" s="922">
        <v>625</v>
      </c>
      <c r="P416" s="924"/>
      <c r="Q416" s="922">
        <v>625</v>
      </c>
      <c r="R416" s="924"/>
      <c r="S416" s="922">
        <v>625</v>
      </c>
      <c r="T416" s="924"/>
      <c r="U416" s="922">
        <v>625</v>
      </c>
      <c r="V416" s="924"/>
      <c r="W416" s="898">
        <v>625</v>
      </c>
      <c r="Y416" s="898">
        <v>625</v>
      </c>
      <c r="AA416" s="898">
        <v>625</v>
      </c>
      <c r="AC416" s="898">
        <v>625</v>
      </c>
      <c r="AD416" s="898">
        <f t="shared" si="30"/>
        <v>7500</v>
      </c>
    </row>
    <row r="417" spans="1:31">
      <c r="A417" s="910">
        <v>413</v>
      </c>
      <c r="B417" s="830" t="s">
        <v>2714</v>
      </c>
      <c r="G417" s="922">
        <v>32.99</v>
      </c>
      <c r="H417" s="924"/>
      <c r="J417" s="924"/>
      <c r="K417" s="922">
        <v>15.68</v>
      </c>
      <c r="L417" s="924"/>
      <c r="M417" s="922">
        <v>44.94</v>
      </c>
      <c r="N417" s="924"/>
      <c r="O417" s="922">
        <v>3.5</v>
      </c>
      <c r="P417" s="924"/>
      <c r="Q417" s="922">
        <v>84.02</v>
      </c>
      <c r="R417" s="924"/>
      <c r="S417" s="922"/>
      <c r="T417" s="924"/>
      <c r="U417" s="922"/>
      <c r="V417" s="924"/>
      <c r="W417" s="898">
        <v>58.9</v>
      </c>
      <c r="Y417" s="922">
        <v>180.54</v>
      </c>
      <c r="Z417" s="924"/>
      <c r="AA417" s="922">
        <v>23.61</v>
      </c>
      <c r="AB417" s="924"/>
      <c r="AC417" s="922">
        <v>23.13</v>
      </c>
      <c r="AD417" s="898">
        <f t="shared" si="30"/>
        <v>467.31</v>
      </c>
    </row>
    <row r="418" spans="1:31">
      <c r="A418" s="910">
        <v>414</v>
      </c>
      <c r="B418" s="830" t="s">
        <v>2777</v>
      </c>
      <c r="G418" s="922">
        <v>824.68</v>
      </c>
      <c r="H418" s="924"/>
      <c r="J418" s="924"/>
      <c r="K418" s="922">
        <v>392.01</v>
      </c>
      <c r="L418" s="924"/>
      <c r="M418" s="922">
        <v>1123.5</v>
      </c>
      <c r="N418" s="924"/>
      <c r="O418" s="922">
        <v>87.45</v>
      </c>
      <c r="P418" s="924"/>
      <c r="Q418" s="922">
        <v>2100.6</v>
      </c>
      <c r="R418" s="924"/>
      <c r="S418" s="922"/>
      <c r="T418" s="924"/>
      <c r="U418" s="922"/>
      <c r="V418" s="924"/>
      <c r="W418" s="898">
        <v>1472.5</v>
      </c>
      <c r="Y418" s="922">
        <v>4513.49</v>
      </c>
      <c r="Z418" s="924"/>
      <c r="AA418" s="922">
        <v>590.22</v>
      </c>
      <c r="AB418" s="924"/>
      <c r="AC418" s="922">
        <v>578.19000000000005</v>
      </c>
      <c r="AD418" s="898">
        <f t="shared" si="30"/>
        <v>11682.64</v>
      </c>
    </row>
    <row r="419" spans="1:31">
      <c r="A419" s="910">
        <v>415</v>
      </c>
      <c r="B419" s="830" t="s">
        <v>2774</v>
      </c>
      <c r="G419" s="922">
        <v>13075.32</v>
      </c>
      <c r="H419" s="924"/>
      <c r="I419" s="922">
        <v>13900</v>
      </c>
      <c r="J419" s="924"/>
      <c r="K419" s="922">
        <v>13507.99</v>
      </c>
      <c r="L419" s="924"/>
      <c r="M419" s="922">
        <v>12776.5</v>
      </c>
      <c r="N419" s="924"/>
      <c r="O419" s="922">
        <v>13812.55</v>
      </c>
      <c r="P419" s="924"/>
      <c r="Q419" s="898">
        <v>11799.4</v>
      </c>
      <c r="S419" s="922"/>
      <c r="T419" s="924"/>
      <c r="U419" s="898">
        <v>13900</v>
      </c>
      <c r="W419" s="898">
        <v>12427.5</v>
      </c>
      <c r="Y419" s="922">
        <v>9386.51</v>
      </c>
      <c r="Z419" s="924"/>
      <c r="AA419" s="922">
        <v>13309.78</v>
      </c>
      <c r="AB419" s="924"/>
      <c r="AC419" s="922">
        <v>13321.81</v>
      </c>
      <c r="AD419" s="898">
        <f t="shared" si="30"/>
        <v>141217.35999999999</v>
      </c>
    </row>
    <row r="420" spans="1:31">
      <c r="A420" s="910">
        <v>416</v>
      </c>
      <c r="B420" s="830" t="s">
        <v>2719</v>
      </c>
      <c r="G420" s="922">
        <v>645.06000000000006</v>
      </c>
      <c r="H420" s="924"/>
      <c r="I420" s="922">
        <v>643.6</v>
      </c>
      <c r="J420" s="924"/>
      <c r="K420" s="922">
        <v>644.30000000000007</v>
      </c>
      <c r="L420" s="924"/>
      <c r="M420" s="922">
        <v>645.59</v>
      </c>
      <c r="N420" s="924"/>
      <c r="O420" s="922">
        <v>643.76</v>
      </c>
      <c r="P420" s="924"/>
      <c r="Q420" s="922">
        <v>647.33000000000004</v>
      </c>
      <c r="R420" s="924"/>
      <c r="S420" s="922"/>
      <c r="T420" s="924"/>
      <c r="U420" s="922">
        <v>643.6</v>
      </c>
      <c r="V420" s="924"/>
      <c r="W420" s="898">
        <v>646.21</v>
      </c>
      <c r="Y420" s="922">
        <v>651.6</v>
      </c>
      <c r="Z420" s="924"/>
      <c r="AA420" s="922">
        <v>644.65</v>
      </c>
      <c r="AB420" s="924"/>
      <c r="AC420" s="922">
        <v>644.63</v>
      </c>
      <c r="AD420" s="898">
        <f t="shared" si="30"/>
        <v>7100.3300000000008</v>
      </c>
    </row>
    <row r="421" spans="1:31">
      <c r="A421" s="910">
        <v>417</v>
      </c>
      <c r="B421" s="830" t="s">
        <v>2677</v>
      </c>
      <c r="G421" s="922"/>
      <c r="H421" s="924"/>
      <c r="I421" s="922"/>
      <c r="J421" s="924"/>
      <c r="K421" s="922"/>
      <c r="L421" s="924"/>
      <c r="M421" s="922"/>
      <c r="N421" s="924"/>
      <c r="O421" s="922"/>
      <c r="P421" s="924"/>
      <c r="Q421" s="922"/>
      <c r="R421" s="924"/>
      <c r="S421" s="922"/>
      <c r="T421" s="924"/>
      <c r="U421" s="922"/>
      <c r="V421" s="924"/>
      <c r="AD421" s="898">
        <f t="shared" si="30"/>
        <v>0</v>
      </c>
    </row>
    <row r="422" spans="1:31">
      <c r="A422" s="910">
        <v>418</v>
      </c>
      <c r="B422" s="830" t="s">
        <v>2884</v>
      </c>
      <c r="G422" s="922">
        <f>SUM(G416:G421)</f>
        <v>15203.05</v>
      </c>
      <c r="H422" s="922"/>
      <c r="I422" s="922">
        <f>SUM(I416:I421)</f>
        <v>15168.6</v>
      </c>
      <c r="J422" s="922"/>
      <c r="K422" s="922">
        <f>SUM(K416:K421)</f>
        <v>15184.98</v>
      </c>
      <c r="L422" s="922"/>
      <c r="M422" s="922">
        <f>SUM(M416:M421)</f>
        <v>15215.53</v>
      </c>
      <c r="N422" s="922"/>
      <c r="O422" s="922">
        <f>SUM(O416:O421)</f>
        <v>15172.26</v>
      </c>
      <c r="P422" s="922"/>
      <c r="Q422" s="922">
        <f>SUM(Q416:Q421)</f>
        <v>15256.35</v>
      </c>
      <c r="R422" s="922"/>
      <c r="S422" s="922">
        <f>SUM(S416:S421)</f>
        <v>625</v>
      </c>
      <c r="T422" s="922"/>
      <c r="U422" s="922">
        <f>SUM(U416:U421)</f>
        <v>15168.6</v>
      </c>
      <c r="V422" s="922"/>
      <c r="W422" s="922">
        <f>SUM(W416:W421)</f>
        <v>15230.11</v>
      </c>
      <c r="X422" s="922"/>
      <c r="Y422" s="922">
        <f>SUM(Y416:Y421)</f>
        <v>15357.140000000001</v>
      </c>
      <c r="Z422" s="922"/>
      <c r="AA422" s="922">
        <f>SUM(AA416:AA421)</f>
        <v>15193.26</v>
      </c>
      <c r="AB422" s="922"/>
      <c r="AC422" s="922">
        <f>SUM(AC416:AC421)</f>
        <v>15192.759999999998</v>
      </c>
      <c r="AD422" s="898">
        <f t="shared" si="30"/>
        <v>167967.64000000004</v>
      </c>
    </row>
    <row r="423" spans="1:31">
      <c r="A423" s="910">
        <v>419</v>
      </c>
      <c r="B423" s="830" t="s">
        <v>2514</v>
      </c>
      <c r="F423" s="928"/>
      <c r="G423" s="937">
        <v>82468</v>
      </c>
      <c r="H423" s="926"/>
      <c r="I423" s="926"/>
      <c r="J423" s="926"/>
      <c r="K423" s="924">
        <v>39201</v>
      </c>
      <c r="L423" s="924"/>
      <c r="M423" s="924">
        <v>112350</v>
      </c>
      <c r="N423" s="924"/>
      <c r="O423" s="924">
        <v>8745</v>
      </c>
      <c r="P423" s="926"/>
      <c r="Q423" s="924">
        <v>210060</v>
      </c>
      <c r="R423" s="926"/>
      <c r="S423" s="926"/>
      <c r="T423" s="926"/>
      <c r="U423" s="926"/>
      <c r="V423" s="926"/>
      <c r="W423" s="899">
        <v>147250</v>
      </c>
      <c r="X423" s="928"/>
      <c r="Y423" s="899">
        <v>451349</v>
      </c>
      <c r="Z423" s="928"/>
      <c r="AA423" s="924">
        <v>59022</v>
      </c>
      <c r="AB423" s="926"/>
      <c r="AC423" s="924">
        <v>57819</v>
      </c>
      <c r="AD423" s="928">
        <f t="shared" si="30"/>
        <v>1168264</v>
      </c>
      <c r="AE423" s="928"/>
    </row>
    <row r="424" spans="1:31">
      <c r="A424" s="910">
        <v>420</v>
      </c>
      <c r="B424" s="830" t="s">
        <v>2885</v>
      </c>
      <c r="F424" s="928"/>
      <c r="G424" s="928"/>
      <c r="H424" s="928"/>
      <c r="I424" s="928"/>
      <c r="J424" s="928"/>
      <c r="K424" s="899"/>
      <c r="M424" s="899"/>
      <c r="O424" s="899"/>
      <c r="P424" s="928"/>
      <c r="Q424" s="928"/>
      <c r="R424" s="928"/>
      <c r="S424" s="926"/>
      <c r="T424" s="926"/>
      <c r="U424" s="926"/>
      <c r="V424" s="926"/>
      <c r="W424" s="899"/>
      <c r="X424" s="928"/>
      <c r="Y424" s="899"/>
      <c r="Z424" s="928"/>
      <c r="AA424" s="899"/>
      <c r="AB424" s="928"/>
      <c r="AC424" s="899"/>
      <c r="AD424" s="928">
        <f t="shared" si="30"/>
        <v>0</v>
      </c>
      <c r="AE424" s="928"/>
    </row>
    <row r="425" spans="1:31">
      <c r="A425" s="910">
        <v>421</v>
      </c>
      <c r="B425" s="830" t="s">
        <v>2886</v>
      </c>
      <c r="F425" s="928"/>
      <c r="G425" s="924">
        <f>SUM(G423:G424)</f>
        <v>82468</v>
      </c>
      <c r="H425" s="926"/>
      <c r="I425" s="926">
        <f>SUM(I423:I424)</f>
        <v>0</v>
      </c>
      <c r="J425" s="926"/>
      <c r="K425" s="924">
        <f>SUM(K423:K424)</f>
        <v>39201</v>
      </c>
      <c r="L425" s="924"/>
      <c r="M425" s="924">
        <f>SUM(M423:M424)</f>
        <v>112350</v>
      </c>
      <c r="N425" s="924"/>
      <c r="O425" s="924">
        <f>SUM(O423:O424)</f>
        <v>8745</v>
      </c>
      <c r="P425" s="926"/>
      <c r="Q425" s="924">
        <f>SUM(Q423:Q424)</f>
        <v>210060</v>
      </c>
      <c r="R425" s="926"/>
      <c r="S425" s="926">
        <f>SUM(S423:S424)</f>
        <v>0</v>
      </c>
      <c r="T425" s="926"/>
      <c r="U425" s="926">
        <f>SUM(U423:U424)</f>
        <v>0</v>
      </c>
      <c r="V425" s="926"/>
      <c r="W425" s="924">
        <f>SUM(W423:W424)</f>
        <v>147250</v>
      </c>
      <c r="X425" s="926"/>
      <c r="Y425" s="924">
        <f>SUM(Y423:Y424)</f>
        <v>451349</v>
      </c>
      <c r="Z425" s="926"/>
      <c r="AA425" s="924">
        <f>SUM(AA423:AA424)</f>
        <v>59022</v>
      </c>
      <c r="AB425" s="926"/>
      <c r="AC425" s="924">
        <f>SUM(AC423:AC424)</f>
        <v>57819</v>
      </c>
      <c r="AD425" s="928">
        <f t="shared" si="30"/>
        <v>1168264</v>
      </c>
      <c r="AE425" s="928"/>
    </row>
    <row r="426" spans="1:31">
      <c r="A426" s="910">
        <v>422</v>
      </c>
      <c r="B426" s="830"/>
    </row>
    <row r="427" spans="1:31">
      <c r="A427" s="910">
        <v>423</v>
      </c>
    </row>
    <row r="428" spans="1:31">
      <c r="A428" s="910">
        <v>424</v>
      </c>
      <c r="G428" s="898">
        <f>SUM(G422,G409,G393,G379,G352,G333,G313,G299,G285,G271,G257,G243,G214,G193,G43,G174,G122,G68,G24,G95,G148)</f>
        <v>29321342.359999992</v>
      </c>
      <c r="H428" s="898"/>
      <c r="I428" s="898">
        <f>SUM(I422,I409,I393,I379,I352,I333,I313,I299,I285,I271,I257,I243,I214,I193,I43,I174,I122,I68,I24,I95,I148)</f>
        <v>31207132.84</v>
      </c>
      <c r="J428" s="898"/>
      <c r="K428" s="898">
        <f>SUM(K422,K409,K393,K379,K352,K333,K313,K299,K285,K271,K257,K243,K214,K193,K43,K174,K122,K68,K24,K95,K148)</f>
        <v>33981997.990000002</v>
      </c>
      <c r="L428" s="898"/>
      <c r="M428" s="898">
        <f>SUM(M422,M409,M393,M379,M352,M333,M313,M299,M285,M271,M257,M243,M214,M193,M43,M174,M122,M68,M24,M95,M148)</f>
        <v>21313581.369999997</v>
      </c>
      <c r="N428" s="898"/>
      <c r="O428" s="898">
        <f>SUM(O422,O409,O393,O379,O352,O333,O313,O299,O285,O271,O257,O243,O214,O193,O43,O174,O122,O68,O24,O95,O148)</f>
        <v>14959410.870000001</v>
      </c>
      <c r="P428" s="898"/>
      <c r="Q428" s="898">
        <f>SUM(Q422,Q409,Q393,Q379,Q352,Q333,Q313,Q299,Q285,Q271,Q257,Q243,Q214,Q193,Q43,Q174,Q122,Q68,Q24,Q95,Q148)</f>
        <v>10293675.379999999</v>
      </c>
      <c r="R428" s="898"/>
      <c r="S428" s="898">
        <f>SUM(S422,S409,S393,S379,S352,S333,S313,S299,S285,S271,S257,S243,S214,S193,S43,S174,S122,S68,S24,S95,S148)</f>
        <v>9248163.6600000001</v>
      </c>
      <c r="T428" s="898"/>
      <c r="U428" s="898">
        <f>SUM(U422,U409,U393,U379,U352,U333,U313,U299,U285,U271,U257,U243,U214,U193,U43,U174,U122,U68,U24,U95,U148)</f>
        <v>8947469.3900000062</v>
      </c>
      <c r="V428" s="898"/>
      <c r="W428" s="898">
        <f>SUM(W422,W409,W393,W379,W352,W333,W313,W299,W285,W271,W257,W243,W214,W193,W43,W174,W122,W68,W24,W95,W148)</f>
        <v>8854782.6900000069</v>
      </c>
      <c r="X428" s="898"/>
      <c r="Y428" s="898">
        <f>SUM(Y422,Y409,Y393,Y379,Y352,Y333,Y313,Y299,Y285,Y271,Y257,Y243,Y214,Y193,Y43,Y174,Y122,Y68,Y24,Y95,Y148)</f>
        <v>14346444.619999999</v>
      </c>
      <c r="Z428" s="898"/>
      <c r="AA428" s="898">
        <f>SUM(AA422,AA409,AA393,AA379,AA352,AA333,AA313,AA299,AA285,AA271,AA257,AA243,AA214,AA193,AA43,AA174,AA122,AA68,AA24,AA95,AA148)</f>
        <v>22762623.07000003</v>
      </c>
      <c r="AB428" s="898"/>
      <c r="AC428" s="898">
        <f>SUM(AC422,AC409,AC393,AC379,AC352,AC333,AC313,AC299,AC285,AC271,AC257,AC243,AC214,AC193,AC43,AC174,AC122,AC68,AC24,AC95,AC148)</f>
        <v>33891699.530000024</v>
      </c>
    </row>
    <row r="429" spans="1:31">
      <c r="A429" s="910">
        <v>425</v>
      </c>
      <c r="B429" s="910" t="s">
        <v>2899</v>
      </c>
      <c r="G429" s="898">
        <v>29321342.359999999</v>
      </c>
      <c r="I429" s="898">
        <v>31207117.949999999</v>
      </c>
      <c r="K429" s="898">
        <v>33981997.990000002</v>
      </c>
      <c r="L429" s="952"/>
      <c r="M429" s="898">
        <v>21313581.370000001</v>
      </c>
      <c r="O429" s="898">
        <v>14959410.869999999</v>
      </c>
      <c r="Q429" s="898">
        <v>10293675.380000001</v>
      </c>
      <c r="S429" s="898">
        <v>9248163.6600000001</v>
      </c>
      <c r="U429" s="898">
        <v>8947469.3900000006</v>
      </c>
      <c r="W429" s="898">
        <v>8854782.6899999995</v>
      </c>
      <c r="Y429" s="898">
        <v>14346444.619999999</v>
      </c>
      <c r="AA429" s="898">
        <v>22762623.07</v>
      </c>
      <c r="AC429" s="898">
        <v>33891699.530000001</v>
      </c>
    </row>
    <row r="430" spans="1:31">
      <c r="A430" s="910">
        <v>426</v>
      </c>
      <c r="G430" s="898">
        <f>G428-G429</f>
        <v>0</v>
      </c>
      <c r="I430" s="898">
        <f>I428-I429</f>
        <v>14.890000000596046</v>
      </c>
      <c r="K430" s="898">
        <f>K428-K429</f>
        <v>0</v>
      </c>
      <c r="M430" s="898">
        <f>M428-M429</f>
        <v>0</v>
      </c>
      <c r="O430" s="898">
        <f>O428-O429</f>
        <v>0</v>
      </c>
      <c r="Q430" s="898">
        <f>Q428-Q429</f>
        <v>0</v>
      </c>
      <c r="S430" s="898">
        <f>S428-S429</f>
        <v>0</v>
      </c>
      <c r="U430" s="898">
        <f>U428-U429</f>
        <v>0</v>
      </c>
      <c r="W430" s="898">
        <f>W428-W429</f>
        <v>0</v>
      </c>
      <c r="Y430" s="898">
        <f>Y428-Y429</f>
        <v>0</v>
      </c>
      <c r="AA430" s="898">
        <f>AA428-AA429</f>
        <v>2.9802322387695313E-8</v>
      </c>
      <c r="AC430" s="898">
        <f>AC428-AC429</f>
        <v>0</v>
      </c>
    </row>
    <row r="431" spans="1:31">
      <c r="C431" s="953"/>
      <c r="D431" s="953"/>
    </row>
    <row r="432" spans="1:31">
      <c r="C432" s="830"/>
      <c r="D432" s="830"/>
    </row>
    <row r="433" spans="2:30">
      <c r="C433" s="830"/>
      <c r="D433" s="830"/>
    </row>
    <row r="434" spans="2:30">
      <c r="C434" s="830"/>
      <c r="D434" s="830"/>
      <c r="F434" s="899">
        <f>SUM('1501 Summary'!F220,'1501 Summary'!F319,'1501 Summary'!F339,'1501 Summary'!F358,'1501 Summary'!F249, F74)</f>
        <v>191</v>
      </c>
      <c r="H434" s="899">
        <f>SUM('1501 Summary'!H220,'1501 Summary'!H319,'1501 Summary'!H339,'1501 Summary'!H358,'1501 Summary'!H249, H74)</f>
        <v>191</v>
      </c>
      <c r="J434" s="899">
        <f>SUM('1501 Summary'!J220,'1501 Summary'!J319,'1501 Summary'!J339,'1501 Summary'!J358,'1501 Summary'!J249, J74)</f>
        <v>190</v>
      </c>
      <c r="L434" s="899">
        <f>SUM('1501 Summary'!L220,'1501 Summary'!L319,'1501 Summary'!L339,'1501 Summary'!L358,'1501 Summary'!L249, L74)</f>
        <v>190</v>
      </c>
      <c r="N434" s="899">
        <f>SUM('1501 Summary'!N220,'1501 Summary'!N319,'1501 Summary'!N339,'1501 Summary'!N358,'1501 Summary'!N249, N74)</f>
        <v>192</v>
      </c>
      <c r="P434" s="899">
        <f>SUM('1501 Summary'!P220,'1501 Summary'!P319,'1501 Summary'!P339,'1501 Summary'!P358,'1501 Summary'!P249, P74)</f>
        <v>194</v>
      </c>
      <c r="R434" s="899">
        <f>SUM('1501 Summary'!R220,'1501 Summary'!R319,'1501 Summary'!R339,'1501 Summary'!R358,'1501 Summary'!R249, R74)</f>
        <v>193</v>
      </c>
      <c r="T434" s="899">
        <f>SUM('1501 Summary'!T220,'1501 Summary'!T319,'1501 Summary'!T339,'1501 Summary'!T358,'1501 Summary'!T249, T74)</f>
        <v>193</v>
      </c>
      <c r="V434" s="899">
        <f>SUM('1501 Summary'!V220,'1501 Summary'!V319,'1501 Summary'!V339,'1501 Summary'!V358,'1501 Summary'!V249, V74)</f>
        <v>192</v>
      </c>
      <c r="X434" s="899">
        <f>SUM('1501 Summary'!X220,'1501 Summary'!X319,'1501 Summary'!X339,'1501 Summary'!X358,'1501 Summary'!X249, X74)</f>
        <v>191</v>
      </c>
      <c r="Z434" s="899">
        <f>SUM('1501 Summary'!Z220,'1501 Summary'!Z319,'1501 Summary'!Z339,'1501 Summary'!Z358,'1501 Summary'!Z249, Z74)</f>
        <v>191</v>
      </c>
      <c r="AB434" s="899">
        <f>SUM('1501 Summary'!AB220,'1501 Summary'!AB319,'1501 Summary'!AB339,'1501 Summary'!AB358,'1501 Summary'!AB249, AB74)</f>
        <v>193</v>
      </c>
      <c r="AD434" s="899"/>
    </row>
    <row r="435" spans="2:30">
      <c r="C435" s="897"/>
      <c r="D435" s="897"/>
      <c r="F435" s="899">
        <f>F434</f>
        <v>191</v>
      </c>
      <c r="H435" s="899">
        <f>H434</f>
        <v>191</v>
      </c>
      <c r="J435" s="899">
        <f>J434</f>
        <v>190</v>
      </c>
      <c r="L435" s="899">
        <f>L434</f>
        <v>190</v>
      </c>
      <c r="N435" s="899">
        <f>N434</f>
        <v>192</v>
      </c>
      <c r="P435" s="899">
        <f>P434</f>
        <v>194</v>
      </c>
      <c r="R435" s="899">
        <f>R434</f>
        <v>193</v>
      </c>
      <c r="T435" s="899">
        <f>T434</f>
        <v>193</v>
      </c>
      <c r="V435" s="899">
        <f>V434</f>
        <v>192</v>
      </c>
      <c r="X435" s="899">
        <f>X434</f>
        <v>191</v>
      </c>
      <c r="Z435" s="899">
        <f>Z434</f>
        <v>191</v>
      </c>
      <c r="AB435" s="899">
        <f>AB434</f>
        <v>193</v>
      </c>
    </row>
    <row r="436" spans="2:30">
      <c r="C436" s="830"/>
      <c r="D436" s="830"/>
      <c r="F436" s="899">
        <f>SUM('1501 Summary'!F220,'1501 Summary'!F319,'1501 Summary'!F339,'1501 Summary'!F358, F74)</f>
        <v>190</v>
      </c>
      <c r="H436" s="899">
        <f>SUM('1501 Summary'!H220,'1501 Summary'!H319,'1501 Summary'!H339,'1501 Summary'!H358, H74)</f>
        <v>190</v>
      </c>
      <c r="J436" s="899">
        <f>SUM('1501 Summary'!J220,'1501 Summary'!J319,'1501 Summary'!J339,'1501 Summary'!J358, J74)</f>
        <v>189</v>
      </c>
      <c r="L436" s="899">
        <f>SUM('1501 Summary'!L220,'1501 Summary'!L319,'1501 Summary'!L339,'1501 Summary'!L358, L74)</f>
        <v>189</v>
      </c>
      <c r="N436" s="899">
        <f>SUM('1501 Summary'!N220,'1501 Summary'!N319,'1501 Summary'!N339,'1501 Summary'!N358, N74)</f>
        <v>191</v>
      </c>
      <c r="P436" s="899">
        <f>SUM('1501 Summary'!P220,'1501 Summary'!P319,'1501 Summary'!P339,'1501 Summary'!P358, P74)</f>
        <v>193</v>
      </c>
      <c r="R436" s="899">
        <f>SUM('1501 Summary'!R220,'1501 Summary'!R319,'1501 Summary'!R339,'1501 Summary'!R358, R74)</f>
        <v>192</v>
      </c>
      <c r="T436" s="899">
        <f>SUM('1501 Summary'!T220,'1501 Summary'!T319,'1501 Summary'!T339,'1501 Summary'!T358, T74)</f>
        <v>192</v>
      </c>
      <c r="V436" s="899">
        <f>SUM('1501 Summary'!V220,'1501 Summary'!V319,'1501 Summary'!V339,'1501 Summary'!V358, V74)</f>
        <v>191</v>
      </c>
      <c r="X436" s="899">
        <f>SUM('1501 Summary'!X220,'1501 Summary'!X319,'1501 Summary'!X339,'1501 Summary'!X358, X74)</f>
        <v>190</v>
      </c>
      <c r="Z436" s="899">
        <f>SUM('1501 Summary'!Z220,'1501 Summary'!Z319,'1501 Summary'!Z339,'1501 Summary'!Z358, Z74)</f>
        <v>190</v>
      </c>
      <c r="AB436" s="899">
        <f>SUM('1501 Summary'!AB220,'1501 Summary'!AB319,'1501 Summary'!AB339,'1501 Summary'!AB358, AB74)</f>
        <v>192</v>
      </c>
    </row>
    <row r="437" spans="2:30">
      <c r="C437" s="830"/>
      <c r="D437" s="830"/>
    </row>
    <row r="438" spans="2:30">
      <c r="C438" s="830"/>
      <c r="D438" s="830"/>
    </row>
    <row r="439" spans="2:30">
      <c r="C439" s="830"/>
      <c r="D439" s="830"/>
    </row>
    <row r="440" spans="2:30">
      <c r="C440" s="830"/>
      <c r="D440" s="830"/>
    </row>
    <row r="441" spans="2:30">
      <c r="C441" s="830"/>
      <c r="D441" s="830"/>
    </row>
    <row r="442" spans="2:30">
      <c r="C442" s="830"/>
      <c r="D442" s="830"/>
    </row>
    <row r="443" spans="2:30">
      <c r="B443" s="942"/>
      <c r="C443" s="898"/>
      <c r="D443" s="898"/>
      <c r="E443" s="939"/>
    </row>
    <row r="444" spans="2:30">
      <c r="B444" s="942"/>
      <c r="C444" s="898"/>
      <c r="D444" s="898"/>
      <c r="E444" s="939"/>
    </row>
    <row r="445" spans="2:30">
      <c r="B445" s="942"/>
      <c r="C445" s="893"/>
      <c r="D445" s="893"/>
      <c r="E445" s="939"/>
    </row>
    <row r="446" spans="2:30">
      <c r="B446" s="830"/>
      <c r="C446" s="830"/>
      <c r="D446" s="830"/>
      <c r="E446" s="939"/>
    </row>
    <row r="447" spans="2:30">
      <c r="B447" s="942"/>
      <c r="C447" s="898"/>
      <c r="D447" s="898"/>
      <c r="E447" s="939"/>
    </row>
    <row r="448" spans="2:30">
      <c r="B448" s="830"/>
      <c r="C448" s="830"/>
      <c r="D448" s="830"/>
      <c r="E448" s="939"/>
    </row>
    <row r="449" spans="2:5">
      <c r="B449" s="954"/>
      <c r="C449" s="830"/>
      <c r="D449" s="830"/>
      <c r="E449" s="939"/>
    </row>
    <row r="450" spans="2:5">
      <c r="B450" s="830"/>
      <c r="C450" s="898"/>
      <c r="D450" s="898"/>
      <c r="E450" s="939"/>
    </row>
    <row r="451" spans="2:5">
      <c r="B451" s="830"/>
      <c r="C451" s="898"/>
      <c r="D451" s="898"/>
      <c r="E451" s="939"/>
    </row>
    <row r="452" spans="2:5">
      <c r="B452" s="830"/>
      <c r="C452" s="898"/>
      <c r="D452" s="898"/>
      <c r="E452" s="939"/>
    </row>
    <row r="453" spans="2:5">
      <c r="B453" s="830"/>
      <c r="C453" s="898"/>
      <c r="D453" s="898"/>
      <c r="E453" s="939"/>
    </row>
    <row r="454" spans="2:5">
      <c r="B454" s="830"/>
      <c r="C454" s="898"/>
      <c r="D454" s="898"/>
      <c r="E454" s="939"/>
    </row>
    <row r="455" spans="2:5">
      <c r="B455" s="951"/>
      <c r="C455" s="898"/>
      <c r="D455" s="898"/>
      <c r="E455" s="939"/>
    </row>
    <row r="456" spans="2:5">
      <c r="B456" s="951"/>
      <c r="C456" s="898"/>
      <c r="D456" s="898"/>
      <c r="E456" s="939"/>
    </row>
    <row r="457" spans="2:5">
      <c r="B457" s="951"/>
      <c r="C457" s="898"/>
      <c r="D457" s="898"/>
      <c r="E457" s="939"/>
    </row>
    <row r="458" spans="2:5">
      <c r="B458" s="942"/>
      <c r="C458" s="898"/>
      <c r="D458" s="898"/>
    </row>
    <row r="459" spans="2:5">
      <c r="B459" s="942"/>
      <c r="C459" s="898"/>
      <c r="D459" s="898"/>
      <c r="E459" s="939"/>
    </row>
    <row r="460" spans="2:5">
      <c r="B460" s="942"/>
      <c r="C460" s="898"/>
      <c r="D460" s="898"/>
    </row>
    <row r="461" spans="2:5">
      <c r="B461" s="942"/>
      <c r="C461" s="898"/>
      <c r="D461" s="898"/>
      <c r="E461" s="939"/>
    </row>
    <row r="462" spans="2:5">
      <c r="B462" s="830"/>
      <c r="C462" s="898"/>
      <c r="D462" s="898"/>
      <c r="E462" s="939"/>
    </row>
    <row r="463" spans="2:5">
      <c r="B463" s="942"/>
      <c r="C463" s="898"/>
      <c r="D463" s="898"/>
      <c r="E463" s="939"/>
    </row>
    <row r="464" spans="2:5">
      <c r="B464" s="942"/>
      <c r="C464" s="898"/>
      <c r="D464" s="898"/>
      <c r="E464" s="939"/>
    </row>
    <row r="465" spans="2:41">
      <c r="B465" s="942"/>
      <c r="C465" s="898"/>
      <c r="D465" s="898"/>
      <c r="E465" s="939"/>
    </row>
    <row r="466" spans="2:41">
      <c r="B466" s="942"/>
      <c r="C466" s="898"/>
      <c r="D466" s="898"/>
      <c r="E466" s="939"/>
    </row>
    <row r="467" spans="2:41">
      <c r="B467" s="942"/>
      <c r="C467" s="898"/>
      <c r="D467" s="898"/>
      <c r="E467" s="939"/>
    </row>
    <row r="468" spans="2:41">
      <c r="B468" s="942"/>
      <c r="C468" s="898"/>
      <c r="D468" s="898"/>
      <c r="E468" s="939"/>
    </row>
    <row r="469" spans="2:41">
      <c r="B469" s="942"/>
      <c r="C469" s="898"/>
      <c r="D469" s="898"/>
      <c r="E469" s="939"/>
    </row>
    <row r="470" spans="2:41">
      <c r="B470" s="942"/>
      <c r="C470" s="898"/>
      <c r="D470" s="898"/>
      <c r="E470" s="939"/>
    </row>
    <row r="471" spans="2:41">
      <c r="B471" s="942"/>
      <c r="C471" s="898"/>
      <c r="D471" s="898"/>
      <c r="E471" s="939"/>
    </row>
    <row r="472" spans="2:41">
      <c r="B472" s="942"/>
      <c r="C472" s="898"/>
      <c r="D472" s="898"/>
      <c r="E472" s="939"/>
    </row>
    <row r="473" spans="2:41">
      <c r="B473" s="942"/>
      <c r="C473" s="898"/>
      <c r="D473" s="898"/>
      <c r="E473" s="939"/>
      <c r="G473" s="910"/>
      <c r="I473" s="910"/>
      <c r="K473" s="910"/>
      <c r="M473" s="910"/>
      <c r="O473" s="910"/>
      <c r="Q473" s="910"/>
      <c r="S473" s="910"/>
      <c r="U473" s="910"/>
      <c r="W473" s="910"/>
      <c r="Y473" s="910"/>
      <c r="AA473" s="910"/>
      <c r="AC473" s="910"/>
      <c r="AD473" s="910"/>
      <c r="AE473" s="910"/>
      <c r="AF473" s="910"/>
      <c r="AG473" s="910"/>
      <c r="AH473" s="910"/>
      <c r="AI473" s="910"/>
      <c r="AJ473" s="910"/>
      <c r="AK473" s="910"/>
      <c r="AL473" s="910"/>
      <c r="AM473" s="910"/>
      <c r="AN473" s="910"/>
      <c r="AO473" s="910"/>
    </row>
    <row r="474" spans="2:41">
      <c r="B474" s="942"/>
      <c r="C474" s="898"/>
      <c r="D474" s="898"/>
      <c r="E474" s="939"/>
    </row>
    <row r="475" spans="2:41">
      <c r="B475" s="942"/>
      <c r="C475" s="898"/>
      <c r="D475" s="898"/>
      <c r="E475" s="939"/>
      <c r="G475" s="910"/>
      <c r="I475" s="910"/>
      <c r="K475" s="910"/>
      <c r="M475" s="910"/>
      <c r="O475" s="910"/>
      <c r="Q475" s="910"/>
      <c r="S475" s="910"/>
      <c r="U475" s="910"/>
      <c r="W475" s="910"/>
      <c r="Y475" s="910"/>
      <c r="AA475" s="910"/>
      <c r="AC475" s="910"/>
      <c r="AD475" s="910"/>
      <c r="AE475" s="910"/>
      <c r="AF475" s="910"/>
      <c r="AG475" s="910"/>
      <c r="AH475" s="910"/>
      <c r="AI475" s="910"/>
      <c r="AJ475" s="910"/>
      <c r="AK475" s="910"/>
      <c r="AL475" s="910"/>
      <c r="AM475" s="910"/>
      <c r="AN475" s="910"/>
      <c r="AO475" s="910"/>
    </row>
    <row r="476" spans="2:41">
      <c r="B476" s="942"/>
      <c r="C476" s="898"/>
      <c r="D476" s="898"/>
      <c r="E476" s="939"/>
      <c r="G476" s="910"/>
      <c r="I476" s="910"/>
      <c r="K476" s="910"/>
      <c r="M476" s="910"/>
      <c r="O476" s="910"/>
      <c r="Q476" s="910"/>
      <c r="S476" s="910"/>
      <c r="U476" s="910"/>
      <c r="W476" s="910"/>
      <c r="Y476" s="910"/>
      <c r="AA476" s="910"/>
      <c r="AC476" s="910"/>
      <c r="AD476" s="910"/>
      <c r="AE476" s="910"/>
      <c r="AF476" s="910"/>
      <c r="AG476" s="910"/>
      <c r="AH476" s="910"/>
      <c r="AI476" s="910"/>
      <c r="AJ476" s="910"/>
      <c r="AK476" s="910"/>
      <c r="AL476" s="910"/>
      <c r="AM476" s="910"/>
      <c r="AN476" s="910"/>
      <c r="AO476" s="910"/>
    </row>
    <row r="477" spans="2:41">
      <c r="B477" s="942"/>
      <c r="C477" s="898"/>
      <c r="D477" s="898"/>
      <c r="E477" s="939"/>
    </row>
    <row r="478" spans="2:41">
      <c r="B478" s="942"/>
      <c r="C478" s="898"/>
      <c r="D478" s="898"/>
      <c r="E478" s="939"/>
    </row>
    <row r="479" spans="2:41">
      <c r="B479" s="830"/>
      <c r="C479" s="898"/>
      <c r="D479" s="898"/>
      <c r="E479" s="939"/>
      <c r="F479" s="924"/>
      <c r="G479" s="922"/>
      <c r="H479" s="924"/>
      <c r="I479" s="922"/>
      <c r="J479" s="924"/>
      <c r="K479" s="922"/>
      <c r="L479" s="924"/>
      <c r="M479" s="922"/>
      <c r="N479" s="924"/>
      <c r="O479" s="922"/>
      <c r="P479" s="924"/>
      <c r="Q479" s="922"/>
      <c r="R479" s="924"/>
      <c r="S479" s="922"/>
      <c r="T479" s="924"/>
      <c r="V479" s="924"/>
      <c r="W479" s="922"/>
      <c r="AD479" s="955"/>
      <c r="AE479" s="955"/>
      <c r="AF479" s="955"/>
      <c r="AG479" s="950"/>
      <c r="AH479" s="950"/>
      <c r="AI479" s="950"/>
      <c r="AJ479" s="950"/>
      <c r="AL479" s="950"/>
    </row>
    <row r="480" spans="2:41">
      <c r="B480" s="942"/>
      <c r="C480" s="898"/>
      <c r="D480" s="898"/>
      <c r="E480" s="939"/>
    </row>
    <row r="481" spans="2:5">
      <c r="B481" s="942"/>
      <c r="C481" s="898"/>
      <c r="D481" s="898"/>
      <c r="E481" s="939"/>
    </row>
    <row r="482" spans="2:5">
      <c r="B482" s="942"/>
      <c r="C482" s="898"/>
      <c r="D482" s="898"/>
      <c r="E482" s="939"/>
    </row>
    <row r="483" spans="2:5">
      <c r="E483" s="939"/>
    </row>
    <row r="484" spans="2:5">
      <c r="C484" s="939"/>
      <c r="D484" s="939"/>
      <c r="E484" s="939"/>
    </row>
    <row r="486" spans="2:5">
      <c r="E486" s="939"/>
    </row>
    <row r="487" spans="2:5">
      <c r="E487" s="939"/>
    </row>
    <row r="488" spans="2:5">
      <c r="E488" s="939"/>
    </row>
    <row r="489" spans="2:5">
      <c r="E489" s="939"/>
    </row>
    <row r="492" spans="2:5">
      <c r="E492" s="939"/>
    </row>
    <row r="493" spans="2:5">
      <c r="E493" s="939"/>
    </row>
  </sheetData>
  <printOptions horizontalCentered="1"/>
  <pageMargins left="0.5" right="0.5" top="1" bottom="0.75" header="0.5" footer="0.3"/>
  <pageSetup scale="25" fitToHeight="0" orientation="landscape" horizontalDpi="1200" verticalDpi="1200" r:id="rId1"/>
  <headerFooter scaleWithDoc="0">
    <oddHeader>&amp;C&amp;9Cascade Natural Gas Corporation
1501 Summary
IDM WP-1.1&amp;R&amp;9Page &amp;P of &amp;N</oddHeader>
    <oddFooter>&amp;L&amp;A</oddFooter>
  </headerFooter>
  <rowBreaks count="4" manualBreakCount="4">
    <brk id="84" max="30" man="1"/>
    <brk id="176" max="30" man="1"/>
    <brk id="265" max="30" man="1"/>
    <brk id="364" max="30" man="1"/>
  </rowBreaks>
  <colBreaks count="1" manualBreakCount="1">
    <brk id="15" max="463"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21734-349B-4E44-8E7A-C56A6F5AECFC}">
  <sheetPr codeName="Sheet52">
    <tabColor theme="8" tint="0.79998168889431442"/>
    <pageSetUpPr fitToPage="1"/>
  </sheetPr>
  <dimension ref="A1:U449"/>
  <sheetViews>
    <sheetView zoomScale="80" zoomScaleNormal="80" workbookViewId="0">
      <pane xSplit="4" ySplit="4" topLeftCell="L5" activePane="bottomRight" state="frozen"/>
      <selection activeCell="F27" sqref="F27"/>
      <selection pane="topRight" activeCell="F27" sqref="F27"/>
      <selection pane="bottomLeft" activeCell="F27" sqref="F27"/>
      <selection pane="bottomRight" activeCell="F27" sqref="F27"/>
    </sheetView>
  </sheetViews>
  <sheetFormatPr defaultColWidth="7.5546875" defaultRowHeight="14.4"/>
  <cols>
    <col min="1" max="1" width="12.5546875" style="901" bestFit="1" customWidth="1"/>
    <col min="2" max="2" width="26.88671875" style="901" customWidth="1"/>
    <col min="3" max="4" width="7.5546875" style="956" customWidth="1"/>
    <col min="5" max="5" width="15.88671875" style="901" bestFit="1" customWidth="1"/>
    <col min="6" max="6" width="14" style="901" customWidth="1"/>
    <col min="7" max="7" width="14.88671875" style="901" customWidth="1"/>
    <col min="8" max="8" width="16.6640625" style="901" customWidth="1"/>
    <col min="9" max="9" width="16.88671875" style="901" customWidth="1"/>
    <col min="10" max="10" width="12.88671875" style="901" bestFit="1" customWidth="1"/>
    <col min="11" max="11" width="15.6640625" style="901" customWidth="1"/>
    <col min="12" max="12" width="14.5546875" style="901" customWidth="1"/>
    <col min="13" max="13" width="14.88671875" style="901" customWidth="1"/>
    <col min="14" max="14" width="16.44140625" style="901" customWidth="1"/>
    <col min="15" max="15" width="16.5546875" style="901" customWidth="1"/>
    <col min="16" max="16" width="17.6640625" style="901" customWidth="1"/>
    <col min="17" max="17" width="13.5546875" style="901" bestFit="1" customWidth="1"/>
    <col min="18" max="18" width="6.5546875" style="901" customWidth="1"/>
    <col min="19" max="19" width="7.5546875" style="901"/>
    <col min="20" max="20" width="12.5546875" style="901" bestFit="1" customWidth="1"/>
    <col min="21" max="21" width="18.88671875" style="901" bestFit="1" customWidth="1"/>
    <col min="22" max="16384" width="7.5546875" style="901"/>
  </cols>
  <sheetData>
    <row r="1" spans="1:21">
      <c r="A1" s="896" t="s">
        <v>2900</v>
      </c>
    </row>
    <row r="2" spans="1:21">
      <c r="E2" s="957" t="s">
        <v>2901</v>
      </c>
      <c r="F2" s="957" t="s">
        <v>2902</v>
      </c>
      <c r="G2" s="957" t="s">
        <v>2903</v>
      </c>
      <c r="H2" s="957" t="s">
        <v>2904</v>
      </c>
      <c r="I2" s="957" t="s">
        <v>2905</v>
      </c>
      <c r="J2" s="957" t="s">
        <v>2906</v>
      </c>
      <c r="K2" s="957" t="s">
        <v>2907</v>
      </c>
      <c r="L2" s="957" t="s">
        <v>2908</v>
      </c>
      <c r="M2" s="957" t="s">
        <v>2909</v>
      </c>
      <c r="N2" s="957" t="s">
        <v>2910</v>
      </c>
      <c r="O2" s="957" t="s">
        <v>2911</v>
      </c>
      <c r="P2" s="957" t="s">
        <v>2912</v>
      </c>
    </row>
    <row r="4" spans="1:21">
      <c r="E4" s="958">
        <v>43466</v>
      </c>
      <c r="F4" s="958">
        <v>43497</v>
      </c>
      <c r="G4" s="958">
        <v>43525</v>
      </c>
      <c r="H4" s="958">
        <v>43556</v>
      </c>
      <c r="I4" s="958">
        <v>43586</v>
      </c>
      <c r="J4" s="958">
        <v>43617</v>
      </c>
      <c r="K4" s="958">
        <v>43647</v>
      </c>
      <c r="L4" s="958">
        <v>43678</v>
      </c>
      <c r="M4" s="958">
        <v>43709</v>
      </c>
      <c r="N4" s="958">
        <v>43739</v>
      </c>
      <c r="O4" s="958">
        <v>43770</v>
      </c>
      <c r="P4" s="958">
        <v>43800</v>
      </c>
      <c r="Q4" s="959" t="s">
        <v>51</v>
      </c>
    </row>
    <row r="5" spans="1:21">
      <c r="A5" s="901" t="s">
        <v>2913</v>
      </c>
      <c r="B5" s="960" t="s">
        <v>2914</v>
      </c>
      <c r="C5" s="956" t="s">
        <v>777</v>
      </c>
      <c r="D5" s="956">
        <v>64</v>
      </c>
      <c r="E5" s="961"/>
      <c r="F5" s="961"/>
      <c r="G5" s="961"/>
      <c r="H5" s="961"/>
      <c r="I5" s="961"/>
      <c r="J5" s="961"/>
      <c r="K5" s="961"/>
      <c r="L5" s="961"/>
      <c r="M5" s="961"/>
      <c r="N5" s="961"/>
      <c r="O5" s="961"/>
      <c r="P5" s="961"/>
      <c r="R5" s="962"/>
    </row>
    <row r="6" spans="1:21">
      <c r="B6" s="901" t="s">
        <v>2514</v>
      </c>
      <c r="C6" s="956" t="s">
        <v>780</v>
      </c>
      <c r="D6" s="956">
        <v>64</v>
      </c>
      <c r="E6" s="963">
        <v>19425579</v>
      </c>
      <c r="F6" s="963">
        <v>20826493</v>
      </c>
      <c r="G6" s="963">
        <v>22406676</v>
      </c>
      <c r="H6" s="963">
        <v>12262358</v>
      </c>
      <c r="I6" s="963">
        <v>7409569</v>
      </c>
      <c r="J6" s="963">
        <v>4046705</v>
      </c>
      <c r="K6" s="963">
        <v>3217527</v>
      </c>
      <c r="L6" s="963">
        <v>2775098</v>
      </c>
      <c r="M6" s="963">
        <v>2691847</v>
      </c>
      <c r="N6" s="963">
        <v>6366467</v>
      </c>
      <c r="O6" s="963">
        <v>11628968</v>
      </c>
      <c r="P6" s="963">
        <v>17650518</v>
      </c>
      <c r="Q6" s="963">
        <f>SUM(E6:P6)</f>
        <v>130707805</v>
      </c>
      <c r="R6" s="962"/>
    </row>
    <row r="7" spans="1:21">
      <c r="B7" s="901" t="s">
        <v>2915</v>
      </c>
      <c r="C7" s="956" t="s">
        <v>781</v>
      </c>
      <c r="D7" s="956">
        <v>64</v>
      </c>
      <c r="E7" s="963">
        <v>13677389</v>
      </c>
      <c r="F7" s="963">
        <v>17127329</v>
      </c>
      <c r="G7" s="963">
        <v>11032733</v>
      </c>
      <c r="H7" s="963">
        <v>5722513</v>
      </c>
      <c r="I7" s="963">
        <v>3331371</v>
      </c>
      <c r="J7" s="963">
        <v>2187188</v>
      </c>
      <c r="K7" s="963">
        <v>2058587</v>
      </c>
      <c r="L7" s="963">
        <v>1100941</v>
      </c>
      <c r="M7" s="963">
        <v>2696601</v>
      </c>
      <c r="N7" s="963">
        <v>7415550</v>
      </c>
      <c r="O7" s="963">
        <v>11690320</v>
      </c>
      <c r="P7" s="963">
        <v>13833214</v>
      </c>
      <c r="Q7" s="963">
        <f t="shared" ref="Q7:Q90" si="0">SUM(E7:P7)</f>
        <v>91873736</v>
      </c>
      <c r="R7" s="962"/>
    </row>
    <row r="8" spans="1:21">
      <c r="B8" s="901" t="s">
        <v>2916</v>
      </c>
      <c r="C8" s="956" t="s">
        <v>782</v>
      </c>
      <c r="D8" s="956">
        <v>64</v>
      </c>
      <c r="E8" s="963">
        <v>13675573</v>
      </c>
      <c r="F8" s="963">
        <v>13677389</v>
      </c>
      <c r="G8" s="963">
        <v>17127329</v>
      </c>
      <c r="H8" s="963">
        <v>11032733</v>
      </c>
      <c r="I8" s="963">
        <v>5722513</v>
      </c>
      <c r="J8" s="963">
        <v>3331371</v>
      </c>
      <c r="K8" s="963">
        <v>2187188</v>
      </c>
      <c r="L8" s="963">
        <v>2058587</v>
      </c>
      <c r="M8" s="963">
        <v>1100941</v>
      </c>
      <c r="N8" s="963">
        <v>2696601</v>
      </c>
      <c r="O8" s="963">
        <v>7415550</v>
      </c>
      <c r="P8" s="963">
        <v>11690320</v>
      </c>
      <c r="Q8" s="963">
        <f t="shared" si="0"/>
        <v>91716095</v>
      </c>
      <c r="R8" s="962"/>
    </row>
    <row r="9" spans="1:21">
      <c r="B9" s="901" t="s">
        <v>2917</v>
      </c>
      <c r="C9" s="956" t="s">
        <v>787</v>
      </c>
      <c r="D9" s="956">
        <v>64</v>
      </c>
      <c r="E9" s="963">
        <v>0</v>
      </c>
      <c r="F9" s="963">
        <v>0</v>
      </c>
      <c r="G9" s="963">
        <v>0</v>
      </c>
      <c r="H9" s="963">
        <v>0</v>
      </c>
      <c r="I9" s="963">
        <v>0</v>
      </c>
      <c r="J9" s="963">
        <v>0</v>
      </c>
      <c r="K9" s="963">
        <v>0</v>
      </c>
      <c r="L9" s="963">
        <v>0</v>
      </c>
      <c r="M9" s="963">
        <v>0</v>
      </c>
      <c r="N9" s="963">
        <v>0</v>
      </c>
      <c r="O9" s="963">
        <v>0</v>
      </c>
      <c r="P9" s="963">
        <v>0</v>
      </c>
      <c r="Q9" s="963">
        <f t="shared" si="0"/>
        <v>0</v>
      </c>
      <c r="R9" s="962"/>
    </row>
    <row r="10" spans="1:21">
      <c r="B10" s="901" t="s">
        <v>2918</v>
      </c>
      <c r="C10" s="956" t="s">
        <v>788</v>
      </c>
      <c r="D10" s="956">
        <v>64</v>
      </c>
      <c r="E10" s="963">
        <v>0</v>
      </c>
      <c r="F10" s="963">
        <v>0</v>
      </c>
      <c r="G10" s="963">
        <v>0</v>
      </c>
      <c r="H10" s="963">
        <v>0</v>
      </c>
      <c r="I10" s="963">
        <v>0</v>
      </c>
      <c r="J10" s="963">
        <v>0</v>
      </c>
      <c r="K10" s="963">
        <v>0</v>
      </c>
      <c r="L10" s="963">
        <v>0</v>
      </c>
      <c r="M10" s="963">
        <v>0</v>
      </c>
      <c r="N10" s="963">
        <v>0</v>
      </c>
      <c r="O10" s="963">
        <v>0</v>
      </c>
      <c r="P10" s="963">
        <v>0</v>
      </c>
      <c r="Q10" s="963">
        <f t="shared" si="0"/>
        <v>0</v>
      </c>
      <c r="R10" s="962"/>
    </row>
    <row r="11" spans="1:21">
      <c r="B11" s="901" t="s">
        <v>2886</v>
      </c>
      <c r="C11" s="956" t="s">
        <v>789</v>
      </c>
      <c r="D11" s="956">
        <v>64</v>
      </c>
      <c r="E11" s="963">
        <v>19427395</v>
      </c>
      <c r="F11" s="963">
        <v>24276433</v>
      </c>
      <c r="G11" s="963">
        <v>16312080</v>
      </c>
      <c r="H11" s="963">
        <v>6952138</v>
      </c>
      <c r="I11" s="963">
        <v>5018427</v>
      </c>
      <c r="J11" s="963">
        <v>2902522</v>
      </c>
      <c r="K11" s="963">
        <v>3088926</v>
      </c>
      <c r="L11" s="963">
        <v>1817452</v>
      </c>
      <c r="M11" s="963">
        <v>4287507</v>
      </c>
      <c r="N11" s="963">
        <v>11085416</v>
      </c>
      <c r="O11" s="963">
        <v>15903739</v>
      </c>
      <c r="P11" s="963">
        <v>19793411</v>
      </c>
      <c r="Q11" s="963">
        <f t="shared" si="0"/>
        <v>130865446</v>
      </c>
      <c r="R11" s="962"/>
    </row>
    <row r="12" spans="1:21">
      <c r="B12" s="964" t="s">
        <v>2673</v>
      </c>
      <c r="E12" s="963"/>
      <c r="F12" s="963"/>
      <c r="G12" s="963"/>
      <c r="H12" s="963"/>
      <c r="I12" s="963"/>
      <c r="J12" s="963"/>
      <c r="K12" s="963"/>
      <c r="L12" s="963"/>
      <c r="M12" s="963"/>
      <c r="N12" s="963"/>
      <c r="O12" s="963"/>
      <c r="P12" s="963"/>
      <c r="Q12" s="963">
        <f t="shared" si="0"/>
        <v>0</v>
      </c>
      <c r="R12" s="962"/>
    </row>
    <row r="13" spans="1:21">
      <c r="B13" s="901" t="s">
        <v>2919</v>
      </c>
      <c r="C13" s="956" t="s">
        <v>780</v>
      </c>
      <c r="D13" s="956">
        <v>108</v>
      </c>
      <c r="E13" s="965">
        <v>15637268.01</v>
      </c>
      <c r="F13" s="963">
        <v>16698186.09</v>
      </c>
      <c r="G13" s="963">
        <v>17907019.800000001</v>
      </c>
      <c r="H13" s="963">
        <v>10523482.32</v>
      </c>
      <c r="I13" s="963">
        <v>7164907.2400000002</v>
      </c>
      <c r="J13" s="963">
        <v>4380059.21</v>
      </c>
      <c r="K13" s="963">
        <v>3691214.31</v>
      </c>
      <c r="L13" s="963">
        <v>3324054.46</v>
      </c>
      <c r="M13" s="963">
        <v>3251037.15</v>
      </c>
      <c r="N13" s="901">
        <v>6308256.6299999999</v>
      </c>
      <c r="O13" s="963">
        <v>11119945.76</v>
      </c>
      <c r="P13" s="963">
        <v>17568222.149999999</v>
      </c>
      <c r="Q13" s="963">
        <f t="shared" si="0"/>
        <v>117573653.13</v>
      </c>
      <c r="R13" s="962"/>
      <c r="T13" s="963"/>
    </row>
    <row r="14" spans="1:21">
      <c r="B14" s="901" t="s">
        <v>2920</v>
      </c>
      <c r="C14" s="956" t="s">
        <v>781</v>
      </c>
      <c r="D14" s="956">
        <v>108</v>
      </c>
      <c r="E14" s="965">
        <v>10123456.25</v>
      </c>
      <c r="F14" s="963">
        <v>12676963.83</v>
      </c>
      <c r="G14" s="963">
        <v>8165987.6600000001</v>
      </c>
      <c r="H14" s="963">
        <v>4671344.59</v>
      </c>
      <c r="I14" s="963">
        <v>2719431.4699999997</v>
      </c>
      <c r="J14" s="963">
        <v>1785423.4400000002</v>
      </c>
      <c r="K14" s="963">
        <v>1680445.1500000001</v>
      </c>
      <c r="L14" s="963">
        <v>898709.14</v>
      </c>
      <c r="M14" s="963">
        <v>2201262.37</v>
      </c>
      <c r="N14" s="965">
        <v>6053387.6200000001</v>
      </c>
      <c r="O14" s="963">
        <v>10248494.380000001</v>
      </c>
      <c r="P14" s="963">
        <v>12127094.550000001</v>
      </c>
      <c r="Q14" s="963">
        <f t="shared" si="0"/>
        <v>73352000.449999988</v>
      </c>
      <c r="R14" s="962"/>
      <c r="T14" s="963">
        <f t="shared" ref="T14:T19" si="1">SUMIF($B$5:$B$422, U14, $Q$5:$Q$422)</f>
        <v>129396303.09999999</v>
      </c>
      <c r="U14" s="901" t="s">
        <v>2920</v>
      </c>
    </row>
    <row r="15" spans="1:21">
      <c r="B15" s="901" t="s">
        <v>2921</v>
      </c>
      <c r="C15" s="956" t="s">
        <v>782</v>
      </c>
      <c r="D15" s="956">
        <v>108</v>
      </c>
      <c r="E15" s="963">
        <v>-10122112.119999999</v>
      </c>
      <c r="F15" s="963">
        <v>-10123456.25</v>
      </c>
      <c r="G15" s="963">
        <v>-12676963.83</v>
      </c>
      <c r="H15" s="963">
        <v>-8165987.6600000001</v>
      </c>
      <c r="I15" s="963">
        <v>-4671344.59</v>
      </c>
      <c r="J15" s="963">
        <v>-2719431.4699999997</v>
      </c>
      <c r="K15" s="963">
        <v>-1785423.4400000002</v>
      </c>
      <c r="L15" s="963">
        <v>-1680445.1500000001</v>
      </c>
      <c r="M15" s="963">
        <v>-898709.14</v>
      </c>
      <c r="N15" s="963">
        <v>-2201262.37</v>
      </c>
      <c r="O15" s="963">
        <v>-6053387.6200000001</v>
      </c>
      <c r="P15" s="963">
        <v>-10248494.380000001</v>
      </c>
      <c r="Q15" s="963">
        <f t="shared" si="0"/>
        <v>-71347018.019999996</v>
      </c>
      <c r="R15" s="962"/>
      <c r="T15" s="963">
        <f t="shared" si="1"/>
        <v>-124960716.72</v>
      </c>
      <c r="U15" s="901" t="s">
        <v>2921</v>
      </c>
    </row>
    <row r="16" spans="1:21">
      <c r="B16" s="901" t="s">
        <v>2922</v>
      </c>
      <c r="C16" s="956" t="s">
        <v>783</v>
      </c>
      <c r="D16" s="956">
        <v>108</v>
      </c>
      <c r="E16" s="965">
        <v>506033.06</v>
      </c>
      <c r="F16" s="963">
        <v>-2341075.2799999998</v>
      </c>
      <c r="G16" s="842">
        <v>-534499.81999999995</v>
      </c>
      <c r="H16" s="963">
        <v>501222.69</v>
      </c>
      <c r="I16" s="963">
        <v>-4168.84</v>
      </c>
      <c r="J16" s="963">
        <v>104941.75</v>
      </c>
      <c r="K16" s="963">
        <v>-39684.15</v>
      </c>
      <c r="L16" s="963">
        <v>172900.08</v>
      </c>
      <c r="M16" s="963">
        <v>-177401.85</v>
      </c>
      <c r="N16" s="965">
        <v>-522468.18</v>
      </c>
      <c r="O16" s="963">
        <v>323885.8</v>
      </c>
      <c r="P16" s="963">
        <v>812396.77</v>
      </c>
      <c r="Q16" s="963">
        <f t="shared" si="0"/>
        <v>-1197917.9699999995</v>
      </c>
      <c r="R16" s="962"/>
      <c r="T16" s="963">
        <f t="shared" si="1"/>
        <v>-4221975.1099999985</v>
      </c>
      <c r="U16" s="901" t="s">
        <v>2922</v>
      </c>
    </row>
    <row r="17" spans="1:21">
      <c r="B17" s="901" t="s">
        <v>2750</v>
      </c>
      <c r="C17" s="956" t="s">
        <v>784</v>
      </c>
      <c r="D17" s="956">
        <v>108</v>
      </c>
      <c r="E17" s="965">
        <v>439212.34</v>
      </c>
      <c r="F17" s="963">
        <v>470887</v>
      </c>
      <c r="G17" s="963">
        <v>506614.94</v>
      </c>
      <c r="H17" s="963">
        <v>277251.90999999997</v>
      </c>
      <c r="I17" s="963">
        <v>167530.35999999999</v>
      </c>
      <c r="J17" s="963">
        <v>91496</v>
      </c>
      <c r="K17" s="963">
        <v>72748.28</v>
      </c>
      <c r="L17" s="963">
        <v>62744.959999999999</v>
      </c>
      <c r="M17" s="963">
        <v>60862.66</v>
      </c>
      <c r="N17" s="965">
        <v>143945.82</v>
      </c>
      <c r="O17" s="963">
        <v>103899.73</v>
      </c>
      <c r="P17" s="963">
        <v>-301470.84999999998</v>
      </c>
      <c r="Q17" s="963">
        <f t="shared" si="0"/>
        <v>2095723.1499999994</v>
      </c>
      <c r="R17" s="962"/>
      <c r="T17" s="963">
        <f t="shared" si="1"/>
        <v>4818520.51</v>
      </c>
      <c r="U17" s="901" t="s">
        <v>2750</v>
      </c>
    </row>
    <row r="18" spans="1:21">
      <c r="B18" s="901" t="s">
        <v>2751</v>
      </c>
      <c r="C18" s="956" t="s">
        <v>785</v>
      </c>
      <c r="D18" s="956">
        <v>108</v>
      </c>
      <c r="E18" s="965">
        <v>0</v>
      </c>
      <c r="F18" s="963">
        <v>0</v>
      </c>
      <c r="G18" s="963">
        <v>0</v>
      </c>
      <c r="H18" s="963">
        <v>0</v>
      </c>
      <c r="I18" s="963">
        <v>0</v>
      </c>
      <c r="J18" s="963">
        <v>0</v>
      </c>
      <c r="K18" s="963">
        <v>0</v>
      </c>
      <c r="L18" s="963">
        <v>0</v>
      </c>
      <c r="M18" s="963">
        <v>0</v>
      </c>
      <c r="N18" s="965">
        <v>0</v>
      </c>
      <c r="O18" s="963">
        <v>0</v>
      </c>
      <c r="P18" s="963">
        <v>0</v>
      </c>
      <c r="Q18" s="963">
        <f t="shared" si="0"/>
        <v>0</v>
      </c>
      <c r="R18" s="962"/>
      <c r="T18" s="963">
        <f t="shared" si="1"/>
        <v>51429.03</v>
      </c>
      <c r="U18" s="901" t="s">
        <v>2751</v>
      </c>
    </row>
    <row r="19" spans="1:21">
      <c r="B19" s="901" t="s">
        <v>2451</v>
      </c>
      <c r="C19" s="956" t="s">
        <v>786</v>
      </c>
      <c r="D19" s="956">
        <v>108</v>
      </c>
      <c r="E19" s="901">
        <v>-0.43</v>
      </c>
      <c r="F19" s="965">
        <v>-14.89</v>
      </c>
      <c r="G19" s="963">
        <v>0</v>
      </c>
      <c r="H19" s="963">
        <v>-1.04</v>
      </c>
      <c r="I19" s="963">
        <v>0</v>
      </c>
      <c r="J19" s="963">
        <v>0</v>
      </c>
      <c r="K19" s="963">
        <v>0</v>
      </c>
      <c r="L19" s="963">
        <v>0</v>
      </c>
      <c r="M19" s="963">
        <v>0</v>
      </c>
      <c r="N19" s="965">
        <v>0</v>
      </c>
      <c r="O19" s="963">
        <v>2</v>
      </c>
      <c r="P19" s="963">
        <v>0</v>
      </c>
      <c r="Q19" s="963">
        <f>SUM(E19:P19)</f>
        <v>-14.36</v>
      </c>
      <c r="R19" s="962"/>
      <c r="T19" s="963">
        <f t="shared" si="1"/>
        <v>-12.229999999999563</v>
      </c>
      <c r="U19" s="901" t="s">
        <v>2451</v>
      </c>
    </row>
    <row r="20" spans="1:21">
      <c r="B20" s="901" t="s">
        <v>2697</v>
      </c>
      <c r="C20" s="956" t="s">
        <v>787</v>
      </c>
      <c r="D20" s="956">
        <v>108</v>
      </c>
      <c r="E20" s="965">
        <v>0</v>
      </c>
      <c r="F20" s="963">
        <v>0</v>
      </c>
      <c r="G20" s="963">
        <v>0</v>
      </c>
      <c r="H20" s="963">
        <v>0</v>
      </c>
      <c r="I20" s="963">
        <v>0</v>
      </c>
      <c r="J20" s="963">
        <v>0</v>
      </c>
      <c r="K20" s="963">
        <v>0</v>
      </c>
      <c r="L20" s="963">
        <v>0</v>
      </c>
      <c r="M20" s="963">
        <v>0</v>
      </c>
      <c r="N20" s="965">
        <v>0</v>
      </c>
      <c r="O20" s="963">
        <v>0</v>
      </c>
      <c r="P20" s="963">
        <v>0</v>
      </c>
      <c r="Q20" s="963">
        <f t="shared" si="0"/>
        <v>0</v>
      </c>
      <c r="R20" s="962"/>
      <c r="T20" s="963">
        <f>SUMIF($B$5:$B$422, U20, $Q$5:$Q$422)</f>
        <v>-26814502.649999999</v>
      </c>
      <c r="U20" s="901" t="s">
        <v>2697</v>
      </c>
    </row>
    <row r="21" spans="1:21">
      <c r="B21" s="901" t="s">
        <v>2698</v>
      </c>
      <c r="C21" s="956" t="s">
        <v>788</v>
      </c>
      <c r="D21" s="956">
        <v>108</v>
      </c>
      <c r="E21" s="965">
        <v>0</v>
      </c>
      <c r="F21" s="963">
        <v>0</v>
      </c>
      <c r="G21" s="963">
        <v>0</v>
      </c>
      <c r="H21" s="963">
        <v>0</v>
      </c>
      <c r="I21" s="963">
        <v>0</v>
      </c>
      <c r="J21" s="963">
        <v>0</v>
      </c>
      <c r="K21" s="963">
        <v>0</v>
      </c>
      <c r="L21" s="963">
        <v>0</v>
      </c>
      <c r="M21" s="963">
        <v>0</v>
      </c>
      <c r="N21" s="965">
        <v>0</v>
      </c>
      <c r="O21" s="963">
        <v>0</v>
      </c>
      <c r="P21" s="963">
        <v>0</v>
      </c>
      <c r="Q21" s="963">
        <f t="shared" si="0"/>
        <v>0</v>
      </c>
      <c r="R21" s="962"/>
      <c r="T21" s="963">
        <f>SUMIF($B$5:$B$422, U21, $Q$5:$Q$422)</f>
        <v>28178858.199999996</v>
      </c>
      <c r="U21" s="901" t="s">
        <v>2698</v>
      </c>
    </row>
    <row r="22" spans="1:21">
      <c r="B22" s="901" t="s">
        <v>2884</v>
      </c>
      <c r="C22" s="956" t="s">
        <v>789</v>
      </c>
      <c r="D22" s="956">
        <v>108</v>
      </c>
      <c r="E22" s="963">
        <f>SUM(E13:E21)</f>
        <v>16583857.109999999</v>
      </c>
      <c r="F22" s="963">
        <f t="shared" ref="F22:P22" si="2">SUM(F13:F21)</f>
        <v>17381490.5</v>
      </c>
      <c r="G22" s="963">
        <f t="shared" si="2"/>
        <v>13368158.75</v>
      </c>
      <c r="H22" s="963">
        <f t="shared" si="2"/>
        <v>7807312.8100000005</v>
      </c>
      <c r="I22" s="963">
        <f t="shared" si="2"/>
        <v>5376355.6400000015</v>
      </c>
      <c r="J22" s="963">
        <f t="shared" si="2"/>
        <v>3642488.9300000006</v>
      </c>
      <c r="K22" s="963">
        <f t="shared" si="2"/>
        <v>3619300.1499999994</v>
      </c>
      <c r="L22" s="963">
        <f t="shared" si="2"/>
        <v>2777963.4899999993</v>
      </c>
      <c r="M22" s="963">
        <f t="shared" si="2"/>
        <v>4437051.1900000004</v>
      </c>
      <c r="N22" s="963">
        <f t="shared" si="2"/>
        <v>9781859.5199999996</v>
      </c>
      <c r="O22" s="963">
        <f t="shared" si="2"/>
        <v>15742840.050000001</v>
      </c>
      <c r="P22" s="963">
        <f t="shared" si="2"/>
        <v>19957748.239999998</v>
      </c>
      <c r="Q22" s="963">
        <f t="shared" si="0"/>
        <v>120476426.37999998</v>
      </c>
      <c r="R22" s="962"/>
      <c r="T22" s="962"/>
    </row>
    <row r="23" spans="1:21">
      <c r="B23" s="964" t="s">
        <v>2673</v>
      </c>
      <c r="Q23" s="963">
        <f>SUM(E15:P15)</f>
        <v>-71347018.019999996</v>
      </c>
      <c r="R23" s="962"/>
    </row>
    <row r="24" spans="1:21">
      <c r="Q24" s="963">
        <f t="shared" si="0"/>
        <v>0</v>
      </c>
      <c r="R24" s="962"/>
    </row>
    <row r="25" spans="1:21">
      <c r="A25" s="903" t="s">
        <v>2923</v>
      </c>
      <c r="B25" s="960" t="s">
        <v>2924</v>
      </c>
      <c r="C25" s="956" t="s">
        <v>777</v>
      </c>
      <c r="D25" s="956">
        <v>71</v>
      </c>
      <c r="E25" s="961"/>
      <c r="F25" s="961"/>
      <c r="G25" s="961"/>
      <c r="H25" s="961"/>
      <c r="I25" s="961"/>
      <c r="J25" s="961"/>
      <c r="K25" s="961"/>
      <c r="L25" s="961"/>
      <c r="M25" s="961"/>
      <c r="N25" s="961"/>
      <c r="O25" s="961"/>
      <c r="P25" s="961"/>
      <c r="Q25" s="963"/>
      <c r="R25" s="962"/>
    </row>
    <row r="26" spans="1:21">
      <c r="B26" s="901" t="s">
        <v>2514</v>
      </c>
      <c r="C26" s="956" t="s">
        <v>780</v>
      </c>
      <c r="D26" s="956">
        <v>71</v>
      </c>
      <c r="E26" s="963">
        <v>13117967</v>
      </c>
      <c r="F26" s="963">
        <v>13988227</v>
      </c>
      <c r="G26" s="963">
        <v>15941825</v>
      </c>
      <c r="H26" s="963">
        <v>9096547</v>
      </c>
      <c r="I26" s="963">
        <v>5370530</v>
      </c>
      <c r="J26" s="963">
        <v>3465484</v>
      </c>
      <c r="K26" s="963">
        <v>3054528</v>
      </c>
      <c r="L26" s="963">
        <v>2791770</v>
      </c>
      <c r="M26" s="963">
        <v>2672689</v>
      </c>
      <c r="N26" s="963">
        <v>4853452</v>
      </c>
      <c r="O26" s="963">
        <v>7908670</v>
      </c>
      <c r="P26" s="963">
        <v>11976706</v>
      </c>
      <c r="Q26" s="963">
        <f>SUM(E26:P26)</f>
        <v>94238395</v>
      </c>
      <c r="R26" s="962"/>
    </row>
    <row r="27" spans="1:21">
      <c r="B27" s="901" t="s">
        <v>2915</v>
      </c>
      <c r="C27" s="956" t="s">
        <v>781</v>
      </c>
      <c r="D27" s="956">
        <v>71</v>
      </c>
      <c r="E27" s="963">
        <v>10187002</v>
      </c>
      <c r="F27" s="963">
        <v>12666270</v>
      </c>
      <c r="G27" s="963">
        <v>8619566</v>
      </c>
      <c r="H27" s="963">
        <v>4713041</v>
      </c>
      <c r="I27" s="963">
        <v>2695771</v>
      </c>
      <c r="J27" s="963">
        <v>2099565</v>
      </c>
      <c r="K27" s="963">
        <v>2183931</v>
      </c>
      <c r="L27" s="963">
        <v>1243727</v>
      </c>
      <c r="M27" s="963">
        <v>2978172</v>
      </c>
      <c r="N27" s="963">
        <v>6393900</v>
      </c>
      <c r="O27" s="963">
        <v>10324809</v>
      </c>
      <c r="P27" s="963">
        <v>11506709</v>
      </c>
      <c r="Q27" s="963">
        <f t="shared" ref="Q27:Q42" si="3">SUM(E27:P27)</f>
        <v>75612463</v>
      </c>
      <c r="R27" s="962"/>
    </row>
    <row r="28" spans="1:21">
      <c r="B28" s="901" t="s">
        <v>2916</v>
      </c>
      <c r="C28" s="956" t="s">
        <v>782</v>
      </c>
      <c r="D28" s="956">
        <v>71</v>
      </c>
      <c r="E28" s="963">
        <v>10228218</v>
      </c>
      <c r="F28" s="963">
        <v>10187002</v>
      </c>
      <c r="G28" s="963">
        <v>12666270</v>
      </c>
      <c r="H28" s="963">
        <v>8619566</v>
      </c>
      <c r="I28" s="963">
        <v>4713041</v>
      </c>
      <c r="J28" s="963">
        <v>2695771</v>
      </c>
      <c r="K28" s="963">
        <v>2099565</v>
      </c>
      <c r="L28" s="963">
        <v>2183931</v>
      </c>
      <c r="M28" s="963">
        <v>1243727</v>
      </c>
      <c r="N28" s="963">
        <v>2978172</v>
      </c>
      <c r="O28" s="963">
        <v>6393900</v>
      </c>
      <c r="P28" s="963">
        <v>10324809</v>
      </c>
      <c r="Q28" s="963">
        <f t="shared" si="3"/>
        <v>74333972</v>
      </c>
      <c r="R28" s="962"/>
    </row>
    <row r="29" spans="1:21">
      <c r="B29" s="901" t="s">
        <v>2917</v>
      </c>
      <c r="C29" s="956" t="s">
        <v>787</v>
      </c>
      <c r="D29" s="956">
        <v>71</v>
      </c>
      <c r="E29" s="963">
        <v>0</v>
      </c>
      <c r="F29" s="963">
        <v>0</v>
      </c>
      <c r="G29" s="963">
        <v>0</v>
      </c>
      <c r="H29" s="963">
        <v>0</v>
      </c>
      <c r="I29" s="963">
        <v>0</v>
      </c>
      <c r="J29" s="963">
        <v>0</v>
      </c>
      <c r="K29" s="963">
        <v>0</v>
      </c>
      <c r="L29" s="963">
        <v>0</v>
      </c>
      <c r="M29" s="963">
        <v>0</v>
      </c>
      <c r="N29" s="963">
        <v>0</v>
      </c>
      <c r="O29" s="963">
        <v>0</v>
      </c>
      <c r="P29" s="963">
        <v>0</v>
      </c>
      <c r="Q29" s="963">
        <f t="shared" si="3"/>
        <v>0</v>
      </c>
      <c r="R29" s="962"/>
    </row>
    <row r="30" spans="1:21">
      <c r="B30" s="901" t="s">
        <v>2918</v>
      </c>
      <c r="C30" s="956" t="s">
        <v>788</v>
      </c>
      <c r="D30" s="956">
        <v>71</v>
      </c>
      <c r="E30" s="963">
        <v>0</v>
      </c>
      <c r="F30" s="963">
        <v>0</v>
      </c>
      <c r="G30" s="963">
        <v>0</v>
      </c>
      <c r="H30" s="963">
        <v>0</v>
      </c>
      <c r="I30" s="963">
        <v>0</v>
      </c>
      <c r="J30" s="963">
        <v>0</v>
      </c>
      <c r="K30" s="963">
        <v>0</v>
      </c>
      <c r="L30" s="963">
        <v>0</v>
      </c>
      <c r="M30" s="963">
        <v>0</v>
      </c>
      <c r="N30" s="963">
        <v>0</v>
      </c>
      <c r="O30" s="963">
        <v>0</v>
      </c>
      <c r="P30" s="963">
        <v>0</v>
      </c>
      <c r="Q30" s="963">
        <f t="shared" si="3"/>
        <v>0</v>
      </c>
      <c r="R30" s="962"/>
    </row>
    <row r="31" spans="1:21">
      <c r="B31" s="901" t="s">
        <v>2886</v>
      </c>
      <c r="C31" s="956" t="s">
        <v>789</v>
      </c>
      <c r="D31" s="956">
        <v>71</v>
      </c>
      <c r="E31" s="963">
        <v>13076751</v>
      </c>
      <c r="F31" s="963">
        <v>16467495</v>
      </c>
      <c r="G31" s="963">
        <v>11895121</v>
      </c>
      <c r="H31" s="963">
        <v>5190022</v>
      </c>
      <c r="I31" s="963">
        <v>3353260</v>
      </c>
      <c r="J31" s="963">
        <v>2869278</v>
      </c>
      <c r="K31" s="963">
        <v>3138894</v>
      </c>
      <c r="L31" s="963">
        <v>1851566</v>
      </c>
      <c r="M31" s="963">
        <v>4407134</v>
      </c>
      <c r="N31" s="963">
        <v>8269180</v>
      </c>
      <c r="O31" s="963">
        <v>11839581</v>
      </c>
      <c r="P31" s="963">
        <v>13158604</v>
      </c>
      <c r="Q31" s="963">
        <f t="shared" si="3"/>
        <v>95516886</v>
      </c>
      <c r="R31" s="962"/>
    </row>
    <row r="32" spans="1:21">
      <c r="B32" s="964" t="s">
        <v>2673</v>
      </c>
      <c r="E32" s="963"/>
      <c r="F32" s="963"/>
      <c r="G32" s="963"/>
      <c r="H32" s="963"/>
      <c r="I32" s="963"/>
      <c r="J32" s="963"/>
      <c r="K32" s="963"/>
      <c r="L32" s="963"/>
      <c r="M32" s="963"/>
      <c r="N32" s="963"/>
      <c r="O32" s="963"/>
      <c r="P32" s="963"/>
      <c r="Q32" s="963">
        <f t="shared" si="3"/>
        <v>0</v>
      </c>
      <c r="R32" s="962"/>
    </row>
    <row r="33" spans="2:18">
      <c r="B33" s="901" t="s">
        <v>2919</v>
      </c>
      <c r="C33" s="956" t="s">
        <v>780</v>
      </c>
      <c r="D33" s="956">
        <v>115</v>
      </c>
      <c r="E33" s="963">
        <v>9637380.1400000006</v>
      </c>
      <c r="F33" s="963">
        <v>10251488.609999999</v>
      </c>
      <c r="G33" s="963">
        <v>11641801.439999999</v>
      </c>
      <c r="H33" s="963">
        <v>6976728.2699999996</v>
      </c>
      <c r="I33" s="963">
        <v>4576454.0199999996</v>
      </c>
      <c r="J33" s="963">
        <v>3092889.59</v>
      </c>
      <c r="K33" s="963">
        <v>2768947.4</v>
      </c>
      <c r="L33" s="963">
        <v>2558491.81</v>
      </c>
      <c r="M33" s="963">
        <v>2466127.17</v>
      </c>
      <c r="N33" s="963">
        <v>4172746.79</v>
      </c>
      <c r="O33" s="963">
        <v>6828194.6100000003</v>
      </c>
      <c r="P33" s="963">
        <v>10904193.51</v>
      </c>
      <c r="Q33" s="963">
        <f t="shared" si="3"/>
        <v>75875443.359999999</v>
      </c>
      <c r="R33" s="962"/>
    </row>
    <row r="34" spans="2:18">
      <c r="B34" s="901" t="s">
        <v>2920</v>
      </c>
      <c r="C34" s="956" t="s">
        <v>781</v>
      </c>
      <c r="D34" s="956">
        <v>115</v>
      </c>
      <c r="E34" s="963">
        <v>6934563.9700000007</v>
      </c>
      <c r="F34" s="963">
        <v>8627699.0099999998</v>
      </c>
      <c r="G34" s="963">
        <v>5877431.1799999997</v>
      </c>
      <c r="H34" s="963">
        <v>3566921.87</v>
      </c>
      <c r="I34" s="963">
        <v>2035004.9800000002</v>
      </c>
      <c r="J34" s="963">
        <v>1582523.2799999998</v>
      </c>
      <c r="K34" s="963">
        <v>1647558.22</v>
      </c>
      <c r="L34" s="963">
        <v>936695.25</v>
      </c>
      <c r="M34" s="963">
        <v>2247869.71</v>
      </c>
      <c r="N34" s="963">
        <v>4818052.63</v>
      </c>
      <c r="O34" s="963">
        <v>8386968.5899999999</v>
      </c>
      <c r="P34" s="963">
        <v>9383013.959999999</v>
      </c>
      <c r="Q34" s="963">
        <f t="shared" si="3"/>
        <v>56044302.649999999</v>
      </c>
      <c r="R34" s="962"/>
    </row>
    <row r="35" spans="2:18">
      <c r="B35" s="901" t="s">
        <v>2921</v>
      </c>
      <c r="C35" s="956" t="s">
        <v>782</v>
      </c>
      <c r="D35" s="956">
        <v>115</v>
      </c>
      <c r="E35" s="963">
        <v>-6952410.0099999998</v>
      </c>
      <c r="F35" s="963">
        <v>-6934563.9699999997</v>
      </c>
      <c r="G35" s="963">
        <v>-8627699.0099999998</v>
      </c>
      <c r="H35" s="963">
        <v>-5877431.1799999997</v>
      </c>
      <c r="I35" s="963">
        <v>-3566921.87</v>
      </c>
      <c r="J35" s="963">
        <v>-2035004.98</v>
      </c>
      <c r="K35" s="963">
        <v>-1582523.28</v>
      </c>
      <c r="L35" s="963">
        <v>-1647558.22</v>
      </c>
      <c r="M35" s="963">
        <v>-936695.25</v>
      </c>
      <c r="N35" s="963">
        <v>-2247869.71</v>
      </c>
      <c r="O35" s="963">
        <v>-4818052.63</v>
      </c>
      <c r="P35" s="963">
        <v>-8386968.5899999999</v>
      </c>
      <c r="Q35" s="963">
        <f t="shared" si="3"/>
        <v>-53613698.700000003</v>
      </c>
      <c r="R35" s="962"/>
    </row>
    <row r="36" spans="2:18">
      <c r="B36" s="901" t="s">
        <v>2922</v>
      </c>
      <c r="C36" s="956" t="s">
        <v>783</v>
      </c>
      <c r="D36" s="956">
        <v>115</v>
      </c>
      <c r="E36" s="963">
        <v>338523.6</v>
      </c>
      <c r="F36" s="963">
        <v>-1271341.06</v>
      </c>
      <c r="G36" s="963">
        <v>-781551.47</v>
      </c>
      <c r="H36" s="963">
        <v>-9554.52</v>
      </c>
      <c r="I36" s="963">
        <v>2935.79</v>
      </c>
      <c r="J36" s="963">
        <v>-51604.79</v>
      </c>
      <c r="K36" s="963">
        <v>-86285.27</v>
      </c>
      <c r="L36" s="963">
        <v>113181.37</v>
      </c>
      <c r="M36" s="963">
        <v>-136300.1</v>
      </c>
      <c r="N36" s="963">
        <v>-238529.48</v>
      </c>
      <c r="O36" s="963">
        <v>-252475.49</v>
      </c>
      <c r="P36" s="963">
        <v>330031.12</v>
      </c>
      <c r="Q36" s="963">
        <f t="shared" si="3"/>
        <v>-2042970.2999999998</v>
      </c>
      <c r="R36" s="962"/>
    </row>
    <row r="37" spans="2:18">
      <c r="B37" s="901" t="s">
        <v>2750</v>
      </c>
      <c r="C37" s="956" t="s">
        <v>784</v>
      </c>
      <c r="D37" s="956">
        <v>115</v>
      </c>
      <c r="E37" s="963">
        <v>365073.03</v>
      </c>
      <c r="F37" s="963">
        <v>389292.36</v>
      </c>
      <c r="G37" s="963">
        <v>443660.99</v>
      </c>
      <c r="H37" s="963">
        <v>253156.9</v>
      </c>
      <c r="I37" s="963">
        <v>149461.85</v>
      </c>
      <c r="J37" s="963">
        <v>96444.42</v>
      </c>
      <c r="K37" s="963">
        <v>85007.52</v>
      </c>
      <c r="L37" s="963">
        <v>77694.960000000006</v>
      </c>
      <c r="M37" s="963">
        <v>74380.929999999993</v>
      </c>
      <c r="N37" s="963">
        <v>135071.57</v>
      </c>
      <c r="O37" s="963">
        <v>139278.99</v>
      </c>
      <c r="P37" s="963">
        <v>-40481.26</v>
      </c>
      <c r="Q37" s="963">
        <f t="shared" si="3"/>
        <v>2168042.2599999998</v>
      </c>
      <c r="R37" s="962"/>
    </row>
    <row r="38" spans="2:18">
      <c r="B38" s="901" t="s">
        <v>2751</v>
      </c>
      <c r="C38" s="956" t="s">
        <v>785</v>
      </c>
      <c r="D38" s="956">
        <v>115</v>
      </c>
      <c r="E38" s="966">
        <v>3344.32</v>
      </c>
      <c r="F38" s="966">
        <v>4158.97</v>
      </c>
      <c r="G38" s="966">
        <v>2564.84</v>
      </c>
      <c r="H38" s="966">
        <v>0</v>
      </c>
      <c r="I38" s="966">
        <v>0</v>
      </c>
      <c r="J38" s="966">
        <v>2760.22</v>
      </c>
      <c r="K38" s="966">
        <v>0</v>
      </c>
      <c r="L38" s="966">
        <v>5832.9</v>
      </c>
      <c r="M38" s="966">
        <v>0</v>
      </c>
      <c r="N38" s="966">
        <v>28981.53</v>
      </c>
      <c r="O38" s="966">
        <v>0</v>
      </c>
      <c r="P38" s="966">
        <v>3786.25</v>
      </c>
      <c r="Q38" s="963">
        <f t="shared" si="3"/>
        <v>51429.03</v>
      </c>
      <c r="R38" s="962"/>
    </row>
    <row r="39" spans="2:18">
      <c r="B39" s="901" t="s">
        <v>2451</v>
      </c>
      <c r="C39" s="956" t="s">
        <v>786</v>
      </c>
      <c r="D39" s="956">
        <v>115</v>
      </c>
      <c r="E39" s="963">
        <v>-0.3</v>
      </c>
      <c r="F39" s="963">
        <v>0.3</v>
      </c>
      <c r="G39" s="963">
        <v>0</v>
      </c>
      <c r="H39" s="963">
        <v>1.05</v>
      </c>
      <c r="I39" s="963">
        <v>0</v>
      </c>
      <c r="J39" s="963">
        <v>0</v>
      </c>
      <c r="K39" s="963">
        <v>0</v>
      </c>
      <c r="L39" s="963">
        <v>1.08</v>
      </c>
      <c r="M39" s="963">
        <v>0</v>
      </c>
      <c r="N39" s="963">
        <v>0</v>
      </c>
      <c r="O39" s="963">
        <v>0</v>
      </c>
      <c r="P39" s="963">
        <v>0</v>
      </c>
      <c r="Q39" s="963">
        <f t="shared" si="3"/>
        <v>2.13</v>
      </c>
      <c r="R39" s="962"/>
    </row>
    <row r="40" spans="2:18">
      <c r="B40" s="901" t="s">
        <v>2697</v>
      </c>
      <c r="C40" s="956" t="s">
        <v>787</v>
      </c>
      <c r="D40" s="956">
        <v>115</v>
      </c>
      <c r="E40" s="963">
        <v>0</v>
      </c>
      <c r="F40" s="963">
        <v>0</v>
      </c>
      <c r="G40" s="963">
        <v>0</v>
      </c>
      <c r="H40" s="963">
        <v>0</v>
      </c>
      <c r="I40" s="963">
        <v>0</v>
      </c>
      <c r="J40" s="963">
        <v>0</v>
      </c>
      <c r="K40" s="963">
        <v>0</v>
      </c>
      <c r="L40" s="963">
        <v>0</v>
      </c>
      <c r="M40" s="963">
        <v>0</v>
      </c>
      <c r="N40" s="963">
        <v>0</v>
      </c>
      <c r="O40" s="963">
        <v>0</v>
      </c>
      <c r="P40" s="963">
        <v>0</v>
      </c>
      <c r="Q40" s="963">
        <f t="shared" si="3"/>
        <v>0</v>
      </c>
      <c r="R40" s="962"/>
    </row>
    <row r="41" spans="2:18">
      <c r="B41" s="901" t="s">
        <v>2698</v>
      </c>
      <c r="C41" s="956" t="s">
        <v>788</v>
      </c>
      <c r="D41" s="956">
        <v>115</v>
      </c>
      <c r="E41" s="963">
        <v>0</v>
      </c>
      <c r="F41" s="963">
        <v>0</v>
      </c>
      <c r="G41" s="963">
        <v>0</v>
      </c>
      <c r="H41" s="963">
        <v>0</v>
      </c>
      <c r="I41" s="963">
        <v>0</v>
      </c>
      <c r="J41" s="963">
        <v>0</v>
      </c>
      <c r="K41" s="963">
        <v>0</v>
      </c>
      <c r="L41" s="963">
        <v>0</v>
      </c>
      <c r="M41" s="963">
        <v>0</v>
      </c>
      <c r="N41" s="963">
        <v>0</v>
      </c>
      <c r="O41" s="963">
        <v>0</v>
      </c>
      <c r="P41" s="963">
        <v>0</v>
      </c>
      <c r="Q41" s="963">
        <f t="shared" si="3"/>
        <v>0</v>
      </c>
      <c r="R41" s="962"/>
    </row>
    <row r="42" spans="2:18">
      <c r="B42" s="901" t="s">
        <v>2884</v>
      </c>
      <c r="C42" s="956" t="s">
        <v>789</v>
      </c>
      <c r="D42" s="956">
        <v>115</v>
      </c>
      <c r="E42" s="963">
        <v>10326474.75</v>
      </c>
      <c r="F42" s="963">
        <v>11066734.219999997</v>
      </c>
      <c r="G42" s="963">
        <v>8556207.9699999969</v>
      </c>
      <c r="H42" s="963">
        <v>4909822.3900000015</v>
      </c>
      <c r="I42" s="963">
        <v>3196934.77</v>
      </c>
      <c r="J42" s="963">
        <v>2688007.7399999988</v>
      </c>
      <c r="K42" s="963">
        <v>2832704.5900000003</v>
      </c>
      <c r="L42" s="963">
        <v>2044339.15</v>
      </c>
      <c r="M42" s="963">
        <v>3715382.46</v>
      </c>
      <c r="N42" s="963">
        <v>6668453.3300000001</v>
      </c>
      <c r="O42" s="963">
        <v>10283914.07</v>
      </c>
      <c r="P42" s="963">
        <v>12193574.989999998</v>
      </c>
      <c r="Q42" s="963">
        <f t="shared" si="3"/>
        <v>78482550.430000007</v>
      </c>
      <c r="R42" s="962"/>
    </row>
    <row r="43" spans="2:18">
      <c r="B43" s="964" t="s">
        <v>2673</v>
      </c>
      <c r="E43" s="963">
        <f>SUM(E33:E39)</f>
        <v>10326474.75</v>
      </c>
      <c r="F43" s="963">
        <f t="shared" ref="F43:P43" si="4">SUM(F33:F39)</f>
        <v>11066734.219999999</v>
      </c>
      <c r="G43" s="963">
        <f t="shared" si="4"/>
        <v>8556207.9699999969</v>
      </c>
      <c r="H43" s="963">
        <f t="shared" si="4"/>
        <v>4909822.3900000015</v>
      </c>
      <c r="I43" s="963">
        <f t="shared" si="4"/>
        <v>3196934.77</v>
      </c>
      <c r="J43" s="963">
        <f t="shared" si="4"/>
        <v>2688007.7399999993</v>
      </c>
      <c r="K43" s="963">
        <f t="shared" si="4"/>
        <v>2832704.59</v>
      </c>
      <c r="L43" s="963">
        <f t="shared" si="4"/>
        <v>2044339.15</v>
      </c>
      <c r="M43" s="963">
        <f t="shared" si="4"/>
        <v>3715382.46</v>
      </c>
      <c r="N43" s="963">
        <f t="shared" si="4"/>
        <v>6668453.3300000001</v>
      </c>
      <c r="O43" s="963">
        <f t="shared" si="4"/>
        <v>10283914.07</v>
      </c>
      <c r="P43" s="963">
        <f t="shared" si="4"/>
        <v>12193574.989999998</v>
      </c>
      <c r="Q43" s="963"/>
      <c r="R43" s="962"/>
    </row>
    <row r="44" spans="2:18">
      <c r="B44" s="964"/>
      <c r="E44" s="963">
        <f>E42-E43</f>
        <v>0</v>
      </c>
      <c r="F44" s="963">
        <f t="shared" ref="F44:P44" si="5">F42-F43</f>
        <v>0</v>
      </c>
      <c r="G44" s="963">
        <f t="shared" si="5"/>
        <v>0</v>
      </c>
      <c r="H44" s="965">
        <f t="shared" si="5"/>
        <v>0</v>
      </c>
      <c r="I44" s="963">
        <f t="shared" si="5"/>
        <v>0</v>
      </c>
      <c r="J44" s="963">
        <f t="shared" si="5"/>
        <v>0</v>
      </c>
      <c r="K44" s="963">
        <f t="shared" si="5"/>
        <v>0</v>
      </c>
      <c r="L44" s="965">
        <f t="shared" si="5"/>
        <v>0</v>
      </c>
      <c r="M44" s="963">
        <f t="shared" si="5"/>
        <v>0</v>
      </c>
      <c r="N44" s="963">
        <f t="shared" si="5"/>
        <v>0</v>
      </c>
      <c r="O44" s="963">
        <f t="shared" si="5"/>
        <v>0</v>
      </c>
      <c r="P44" s="963">
        <f t="shared" si="5"/>
        <v>0</v>
      </c>
      <c r="Q44" s="963"/>
      <c r="R44" s="962"/>
    </row>
    <row r="45" spans="2:18">
      <c r="B45" s="960" t="s">
        <v>2925</v>
      </c>
      <c r="E45" s="963"/>
      <c r="F45" s="963"/>
      <c r="G45" s="963"/>
      <c r="H45" s="963"/>
      <c r="I45" s="963"/>
      <c r="J45" s="963"/>
      <c r="K45" s="963"/>
      <c r="L45" s="963"/>
      <c r="M45" s="963"/>
      <c r="N45" s="963"/>
      <c r="O45" s="963"/>
      <c r="P45" s="963"/>
      <c r="Q45" s="963"/>
      <c r="R45" s="962"/>
    </row>
    <row r="46" spans="2:18">
      <c r="B46" s="901" t="s">
        <v>2514</v>
      </c>
      <c r="E46" s="963"/>
      <c r="F46" s="963"/>
      <c r="G46" s="963"/>
      <c r="H46" s="963"/>
      <c r="I46" s="963"/>
      <c r="J46" s="963"/>
      <c r="K46" s="963"/>
      <c r="L46" s="963"/>
      <c r="M46" s="963"/>
      <c r="N46" s="963"/>
      <c r="O46" s="963">
        <v>1347361</v>
      </c>
      <c r="P46" s="963">
        <v>1498743</v>
      </c>
      <c r="Q46" s="963">
        <f t="shared" si="0"/>
        <v>2846104</v>
      </c>
      <c r="R46" s="962"/>
    </row>
    <row r="47" spans="2:18">
      <c r="B47" s="901" t="s">
        <v>2915</v>
      </c>
      <c r="E47" s="963"/>
      <c r="F47" s="963"/>
      <c r="G47" s="963"/>
      <c r="H47" s="963"/>
      <c r="I47" s="963"/>
      <c r="J47" s="963"/>
      <c r="K47" s="963"/>
      <c r="L47" s="963"/>
      <c r="M47" s="963"/>
      <c r="N47" s="963"/>
      <c r="O47" s="963"/>
      <c r="P47" s="963"/>
      <c r="Q47" s="963">
        <f t="shared" si="0"/>
        <v>0</v>
      </c>
      <c r="R47" s="962"/>
    </row>
    <row r="48" spans="2:18">
      <c r="B48" s="901" t="s">
        <v>2916</v>
      </c>
      <c r="Q48" s="963">
        <f t="shared" si="0"/>
        <v>0</v>
      </c>
      <c r="R48" s="962"/>
    </row>
    <row r="49" spans="2:18">
      <c r="B49" s="901" t="s">
        <v>2917</v>
      </c>
      <c r="E49" s="963"/>
      <c r="F49" s="963"/>
      <c r="G49" s="963"/>
      <c r="H49" s="963"/>
      <c r="I49" s="963"/>
      <c r="J49" s="963"/>
      <c r="K49" s="963"/>
      <c r="L49" s="963"/>
      <c r="M49" s="963"/>
      <c r="N49" s="963"/>
      <c r="O49" s="963">
        <v>-1347361</v>
      </c>
      <c r="P49" s="963">
        <v>-1498743</v>
      </c>
      <c r="Q49" s="963">
        <f t="shared" si="0"/>
        <v>-2846104</v>
      </c>
      <c r="R49" s="962"/>
    </row>
    <row r="50" spans="2:18">
      <c r="B50" s="901" t="s">
        <v>2918</v>
      </c>
      <c r="E50" s="963"/>
      <c r="F50" s="963"/>
      <c r="G50" s="963"/>
      <c r="H50" s="963"/>
      <c r="I50" s="963"/>
      <c r="J50" s="963"/>
      <c r="K50" s="963"/>
      <c r="L50" s="963"/>
      <c r="M50" s="963"/>
      <c r="N50" s="963">
        <v>1347361</v>
      </c>
      <c r="O50" s="963">
        <v>1498743</v>
      </c>
      <c r="P50" s="963">
        <v>1688999</v>
      </c>
      <c r="Q50" s="963">
        <f t="shared" si="0"/>
        <v>4535103</v>
      </c>
      <c r="R50" s="962"/>
    </row>
    <row r="51" spans="2:18">
      <c r="B51" s="901" t="s">
        <v>2886</v>
      </c>
      <c r="E51" s="963"/>
      <c r="F51" s="963"/>
      <c r="G51" s="963"/>
      <c r="H51" s="963"/>
      <c r="I51" s="963"/>
      <c r="J51" s="963"/>
      <c r="K51" s="963"/>
      <c r="L51" s="963"/>
      <c r="M51" s="963"/>
      <c r="N51" s="963">
        <f>SUM(N46:N50)</f>
        <v>1347361</v>
      </c>
      <c r="O51" s="963">
        <f>SUM(O46:O50)</f>
        <v>1498743</v>
      </c>
      <c r="P51" s="963">
        <f>SUM(P46:P50)</f>
        <v>1688999</v>
      </c>
      <c r="Q51" s="963">
        <f t="shared" si="0"/>
        <v>4535103</v>
      </c>
      <c r="R51" s="962"/>
    </row>
    <row r="52" spans="2:18">
      <c r="B52" s="964" t="s">
        <v>2673</v>
      </c>
      <c r="E52" s="963"/>
      <c r="F52" s="963"/>
      <c r="G52" s="963"/>
      <c r="H52" s="963"/>
      <c r="I52" s="963"/>
      <c r="J52" s="963"/>
      <c r="K52" s="963"/>
      <c r="L52" s="963"/>
      <c r="M52" s="963"/>
      <c r="N52" s="963"/>
      <c r="O52" s="963"/>
      <c r="P52" s="963"/>
      <c r="Q52" s="963">
        <f t="shared" si="0"/>
        <v>0</v>
      </c>
      <c r="R52" s="962"/>
    </row>
    <row r="53" spans="2:18">
      <c r="B53" s="901" t="s">
        <v>2919</v>
      </c>
      <c r="N53" s="901">
        <v>0</v>
      </c>
      <c r="O53" s="901">
        <v>753779.36</v>
      </c>
      <c r="P53" s="901">
        <v>973161.6</v>
      </c>
      <c r="Q53" s="963">
        <f t="shared" si="0"/>
        <v>1726940.96</v>
      </c>
      <c r="R53" s="962"/>
    </row>
    <row r="54" spans="2:18">
      <c r="B54" s="901" t="s">
        <v>2920</v>
      </c>
      <c r="E54" s="963"/>
      <c r="F54" s="963"/>
      <c r="G54" s="963"/>
      <c r="H54" s="963"/>
      <c r="I54" s="963"/>
      <c r="J54" s="963"/>
      <c r="K54" s="963"/>
      <c r="L54" s="963"/>
      <c r="M54" s="963"/>
      <c r="N54" s="963"/>
      <c r="O54" s="963"/>
      <c r="P54" s="963"/>
      <c r="Q54" s="963">
        <f t="shared" si="0"/>
        <v>0</v>
      </c>
      <c r="R54" s="962"/>
    </row>
    <row r="55" spans="2:18">
      <c r="B55" s="901" t="s">
        <v>2921</v>
      </c>
      <c r="E55" s="963"/>
      <c r="F55" s="963"/>
      <c r="G55" s="963"/>
      <c r="H55" s="963"/>
      <c r="I55" s="963"/>
      <c r="J55" s="963"/>
      <c r="K55" s="963"/>
      <c r="L55" s="963"/>
      <c r="M55" s="963"/>
      <c r="N55" s="963"/>
      <c r="O55" s="963"/>
      <c r="P55" s="963"/>
      <c r="Q55" s="963">
        <f t="shared" si="0"/>
        <v>0</v>
      </c>
      <c r="R55" s="962"/>
    </row>
    <row r="56" spans="2:18">
      <c r="B56" s="901" t="s">
        <v>2922</v>
      </c>
      <c r="E56" s="963"/>
      <c r="F56" s="963"/>
      <c r="G56" s="963"/>
      <c r="H56" s="963"/>
      <c r="I56" s="963"/>
      <c r="J56" s="963"/>
      <c r="K56" s="963"/>
      <c r="L56" s="963"/>
      <c r="M56" s="963"/>
      <c r="N56" s="963">
        <v>-72073.100000000006</v>
      </c>
      <c r="O56" s="963">
        <v>-78267.73</v>
      </c>
      <c r="P56" s="963">
        <v>-80229.440000000002</v>
      </c>
      <c r="Q56" s="963">
        <f t="shared" si="0"/>
        <v>-230570.27000000002</v>
      </c>
      <c r="R56" s="962"/>
    </row>
    <row r="57" spans="2:18">
      <c r="B57" s="901" t="s">
        <v>2750</v>
      </c>
      <c r="E57" s="963"/>
      <c r="F57" s="963"/>
      <c r="G57" s="963"/>
      <c r="H57" s="963"/>
      <c r="I57" s="963"/>
      <c r="J57" s="963"/>
      <c r="K57" s="963"/>
      <c r="L57" s="963"/>
      <c r="M57" s="963"/>
      <c r="N57" s="963"/>
      <c r="O57" s="963"/>
      <c r="P57" s="963"/>
      <c r="Q57" s="963">
        <f t="shared" si="0"/>
        <v>0</v>
      </c>
      <c r="R57" s="962"/>
    </row>
    <row r="58" spans="2:18">
      <c r="B58" s="901" t="s">
        <v>2751</v>
      </c>
      <c r="Q58" s="963">
        <f t="shared" si="0"/>
        <v>0</v>
      </c>
      <c r="R58" s="962"/>
    </row>
    <row r="59" spans="2:18">
      <c r="B59" s="901" t="s">
        <v>2451</v>
      </c>
      <c r="E59" s="963"/>
      <c r="F59" s="963"/>
      <c r="G59" s="963"/>
      <c r="H59" s="963"/>
      <c r="I59" s="963"/>
      <c r="J59" s="963"/>
      <c r="K59" s="963"/>
      <c r="L59" s="963"/>
      <c r="M59" s="963"/>
      <c r="N59" s="963"/>
      <c r="O59" s="963"/>
      <c r="P59" s="963"/>
      <c r="Q59" s="963">
        <f t="shared" si="0"/>
        <v>0</v>
      </c>
      <c r="R59" s="962"/>
    </row>
    <row r="60" spans="2:18">
      <c r="B60" s="901" t="s">
        <v>2697</v>
      </c>
      <c r="E60" s="963"/>
      <c r="F60" s="963"/>
      <c r="G60" s="963"/>
      <c r="H60" s="963"/>
      <c r="I60" s="963"/>
      <c r="J60" s="963"/>
      <c r="K60" s="963"/>
      <c r="L60" s="963"/>
      <c r="M60" s="963"/>
      <c r="N60" s="963"/>
      <c r="O60" s="963">
        <v>-751839.15</v>
      </c>
      <c r="P60" s="963">
        <v>-971048.36</v>
      </c>
      <c r="Q60" s="963">
        <f t="shared" si="0"/>
        <v>-1722887.51</v>
      </c>
      <c r="R60" s="962"/>
    </row>
    <row r="61" spans="2:18">
      <c r="B61" s="901" t="s">
        <v>2698</v>
      </c>
      <c r="E61" s="963"/>
      <c r="F61" s="963"/>
      <c r="G61" s="963"/>
      <c r="H61" s="963"/>
      <c r="I61" s="963"/>
      <c r="J61" s="963"/>
      <c r="K61" s="963"/>
      <c r="L61" s="963"/>
      <c r="M61" s="963"/>
      <c r="N61" s="963">
        <v>751839.15</v>
      </c>
      <c r="O61" s="963">
        <v>971048.36</v>
      </c>
      <c r="P61" s="963">
        <v>1090474.7</v>
      </c>
      <c r="Q61" s="963">
        <f t="shared" si="0"/>
        <v>2813362.21</v>
      </c>
      <c r="R61" s="962"/>
    </row>
    <row r="62" spans="2:18">
      <c r="B62" s="901" t="s">
        <v>2884</v>
      </c>
      <c r="E62" s="963"/>
      <c r="F62" s="963"/>
      <c r="G62" s="963"/>
      <c r="H62" s="963"/>
      <c r="I62" s="963"/>
      <c r="J62" s="963"/>
      <c r="K62" s="963"/>
      <c r="L62" s="963"/>
      <c r="M62" s="963"/>
      <c r="N62" s="963">
        <f>SUM(N53:N61)</f>
        <v>679766.05</v>
      </c>
      <c r="O62" s="963">
        <f>SUM(O53:O61)</f>
        <v>894720.84</v>
      </c>
      <c r="P62" s="963">
        <f>SUM(P53:P61)</f>
        <v>1012358.4999999999</v>
      </c>
      <c r="Q62" s="963">
        <f>SUM(E62:P62)</f>
        <v>2586845.39</v>
      </c>
      <c r="R62" s="962"/>
    </row>
    <row r="63" spans="2:18">
      <c r="B63" s="964" t="s">
        <v>2673</v>
      </c>
      <c r="Q63" s="963"/>
      <c r="R63" s="962"/>
    </row>
    <row r="64" spans="2:18">
      <c r="B64" s="964"/>
      <c r="Q64" s="963"/>
      <c r="R64" s="962"/>
    </row>
    <row r="65" spans="1:18">
      <c r="A65" s="903" t="s">
        <v>2926</v>
      </c>
      <c r="B65" s="960" t="s">
        <v>2927</v>
      </c>
      <c r="C65" s="956" t="s">
        <v>777</v>
      </c>
      <c r="D65" s="956">
        <v>67</v>
      </c>
      <c r="E65" s="961"/>
      <c r="F65" s="961"/>
      <c r="G65" s="961"/>
      <c r="H65" s="961"/>
      <c r="I65" s="961"/>
      <c r="J65" s="961"/>
      <c r="K65" s="961"/>
      <c r="L65" s="961"/>
      <c r="M65" s="961"/>
      <c r="N65" s="961"/>
      <c r="O65" s="961"/>
      <c r="P65" s="961"/>
      <c r="Q65" s="963"/>
      <c r="R65" s="962"/>
    </row>
    <row r="66" spans="1:18">
      <c r="B66" s="901" t="s">
        <v>2514</v>
      </c>
      <c r="C66" s="956" t="s">
        <v>780</v>
      </c>
      <c r="D66" s="956">
        <v>67</v>
      </c>
      <c r="E66" s="963">
        <v>1433715</v>
      </c>
      <c r="F66" s="963">
        <v>1616149</v>
      </c>
      <c r="G66" s="963">
        <v>1794729</v>
      </c>
      <c r="H66" s="963">
        <v>1331310</v>
      </c>
      <c r="I66" s="963">
        <v>789879</v>
      </c>
      <c r="J66" s="963">
        <v>579038</v>
      </c>
      <c r="K66" s="963">
        <v>537168</v>
      </c>
      <c r="L66" s="963">
        <v>564404</v>
      </c>
      <c r="M66" s="963">
        <v>651984</v>
      </c>
      <c r="N66" s="963">
        <v>1274354</v>
      </c>
      <c r="O66" s="963">
        <v>1158623</v>
      </c>
      <c r="P66" s="963">
        <v>1422636</v>
      </c>
      <c r="Q66" s="963">
        <f t="shared" si="0"/>
        <v>13153989</v>
      </c>
      <c r="R66" s="962"/>
    </row>
    <row r="67" spans="1:18">
      <c r="B67" s="901" t="s">
        <v>2915</v>
      </c>
      <c r="C67" s="956" t="s">
        <v>781</v>
      </c>
      <c r="D67" s="956">
        <v>67</v>
      </c>
      <c r="E67" s="963">
        <v>0</v>
      </c>
      <c r="F67" s="963">
        <v>0</v>
      </c>
      <c r="G67" s="963">
        <v>0</v>
      </c>
      <c r="H67" s="963">
        <v>0</v>
      </c>
      <c r="I67" s="963">
        <v>0</v>
      </c>
      <c r="J67" s="963">
        <v>0</v>
      </c>
      <c r="K67" s="963">
        <v>0</v>
      </c>
      <c r="L67" s="963">
        <v>0</v>
      </c>
      <c r="M67" s="963">
        <v>0</v>
      </c>
      <c r="N67" s="963">
        <v>0</v>
      </c>
      <c r="O67" s="963">
        <v>0</v>
      </c>
      <c r="P67" s="963">
        <v>0</v>
      </c>
      <c r="Q67" s="963">
        <f t="shared" si="0"/>
        <v>0</v>
      </c>
      <c r="R67" s="962"/>
    </row>
    <row r="68" spans="1:18">
      <c r="B68" s="901" t="s">
        <v>2916</v>
      </c>
      <c r="C68" s="956" t="s">
        <v>782</v>
      </c>
      <c r="D68" s="956">
        <v>67</v>
      </c>
      <c r="E68" s="963">
        <v>0</v>
      </c>
      <c r="F68" s="963">
        <v>0</v>
      </c>
      <c r="G68" s="963">
        <v>0</v>
      </c>
      <c r="H68" s="963">
        <v>0</v>
      </c>
      <c r="I68" s="963">
        <v>0</v>
      </c>
      <c r="J68" s="963">
        <v>0</v>
      </c>
      <c r="K68" s="963">
        <v>0</v>
      </c>
      <c r="L68" s="963">
        <v>0</v>
      </c>
      <c r="M68" s="963">
        <v>0</v>
      </c>
      <c r="N68" s="963">
        <v>0</v>
      </c>
      <c r="O68" s="963">
        <v>0</v>
      </c>
      <c r="P68" s="963">
        <v>0</v>
      </c>
      <c r="Q68" s="963">
        <f t="shared" si="0"/>
        <v>0</v>
      </c>
      <c r="R68" s="962"/>
    </row>
    <row r="69" spans="1:18">
      <c r="B69" s="901" t="s">
        <v>2917</v>
      </c>
      <c r="C69" s="956" t="s">
        <v>787</v>
      </c>
      <c r="D69" s="956">
        <v>67</v>
      </c>
      <c r="E69" s="963">
        <v>0</v>
      </c>
      <c r="F69" s="963">
        <v>0</v>
      </c>
      <c r="G69" s="963">
        <v>0</v>
      </c>
      <c r="H69" s="963">
        <v>0</v>
      </c>
      <c r="I69" s="963">
        <v>0</v>
      </c>
      <c r="J69" s="963">
        <v>0</v>
      </c>
      <c r="K69" s="963">
        <v>0</v>
      </c>
      <c r="L69" s="963">
        <v>0</v>
      </c>
      <c r="M69" s="963">
        <v>0</v>
      </c>
      <c r="N69" s="963">
        <v>0</v>
      </c>
      <c r="O69" s="963">
        <v>0</v>
      </c>
      <c r="P69" s="963">
        <v>0</v>
      </c>
      <c r="Q69" s="963">
        <f t="shared" si="0"/>
        <v>0</v>
      </c>
      <c r="R69" s="962"/>
    </row>
    <row r="70" spans="1:18">
      <c r="B70" s="901" t="s">
        <v>2918</v>
      </c>
      <c r="C70" s="956" t="s">
        <v>788</v>
      </c>
      <c r="D70" s="956">
        <v>67</v>
      </c>
      <c r="E70" s="963">
        <v>0</v>
      </c>
      <c r="F70" s="963">
        <v>0</v>
      </c>
      <c r="G70" s="963">
        <v>0</v>
      </c>
      <c r="H70" s="963">
        <v>0</v>
      </c>
      <c r="I70" s="963">
        <v>0</v>
      </c>
      <c r="J70" s="963">
        <v>0</v>
      </c>
      <c r="K70" s="963">
        <v>0</v>
      </c>
      <c r="L70" s="963">
        <v>0</v>
      </c>
      <c r="M70" s="963">
        <v>0</v>
      </c>
      <c r="N70" s="963">
        <v>0</v>
      </c>
      <c r="O70" s="963">
        <v>0</v>
      </c>
      <c r="P70" s="963">
        <v>0</v>
      </c>
      <c r="Q70" s="963">
        <f t="shared" si="0"/>
        <v>0</v>
      </c>
      <c r="R70" s="962"/>
    </row>
    <row r="71" spans="1:18">
      <c r="B71" s="901" t="s">
        <v>2886</v>
      </c>
      <c r="C71" s="956" t="s">
        <v>789</v>
      </c>
      <c r="D71" s="956">
        <v>67</v>
      </c>
      <c r="E71" s="963">
        <v>1433715</v>
      </c>
      <c r="F71" s="963">
        <v>1616149</v>
      </c>
      <c r="G71" s="963">
        <v>1794729</v>
      </c>
      <c r="H71" s="963">
        <v>1331310</v>
      </c>
      <c r="I71" s="963">
        <v>789879</v>
      </c>
      <c r="J71" s="963">
        <v>579038</v>
      </c>
      <c r="K71" s="963">
        <v>537168</v>
      </c>
      <c r="L71" s="963">
        <v>564404</v>
      </c>
      <c r="M71" s="963">
        <v>651984</v>
      </c>
      <c r="N71" s="963">
        <v>1274354</v>
      </c>
      <c r="O71" s="963">
        <v>1158623</v>
      </c>
      <c r="P71" s="963">
        <v>1422636</v>
      </c>
      <c r="Q71" s="963">
        <f t="shared" si="0"/>
        <v>13153989</v>
      </c>
      <c r="R71" s="962"/>
    </row>
    <row r="72" spans="1:18">
      <c r="B72" s="964" t="s">
        <v>2673</v>
      </c>
      <c r="E72" s="963"/>
      <c r="F72" s="963"/>
      <c r="G72" s="963"/>
      <c r="H72" s="963"/>
      <c r="I72" s="963"/>
      <c r="J72" s="963"/>
      <c r="K72" s="963"/>
      <c r="L72" s="963"/>
      <c r="M72" s="963"/>
      <c r="N72" s="963"/>
      <c r="O72" s="963"/>
      <c r="P72" s="963"/>
      <c r="Q72" s="963">
        <f t="shared" si="0"/>
        <v>0</v>
      </c>
      <c r="R72" s="962"/>
    </row>
    <row r="73" spans="1:18">
      <c r="B73" s="901" t="s">
        <v>2919</v>
      </c>
      <c r="C73" s="956" t="s">
        <v>780</v>
      </c>
      <c r="D73" s="956">
        <v>111</v>
      </c>
      <c r="E73" s="963">
        <v>936888.66</v>
      </c>
      <c r="F73" s="963">
        <v>1049392.1399999999</v>
      </c>
      <c r="G73" s="963">
        <v>1164185.93</v>
      </c>
      <c r="H73" s="963">
        <v>896883.68</v>
      </c>
      <c r="I73" s="963">
        <v>591706.77</v>
      </c>
      <c r="J73" s="963">
        <v>443240.55</v>
      </c>
      <c r="K73" s="963">
        <v>411665.08</v>
      </c>
      <c r="L73" s="963">
        <v>431235.45</v>
      </c>
      <c r="M73" s="963">
        <v>488654.76</v>
      </c>
      <c r="N73" s="963">
        <v>918719.51</v>
      </c>
      <c r="O73" s="963">
        <v>869878.78</v>
      </c>
      <c r="P73" s="963">
        <v>1111820.51</v>
      </c>
      <c r="Q73" s="963">
        <f t="shared" si="0"/>
        <v>9314271.8200000003</v>
      </c>
      <c r="R73" s="962"/>
    </row>
    <row r="74" spans="1:18">
      <c r="B74" s="901" t="s">
        <v>2920</v>
      </c>
      <c r="C74" s="956" t="s">
        <v>781</v>
      </c>
      <c r="D74" s="956">
        <v>111</v>
      </c>
      <c r="E74" s="963">
        <v>0</v>
      </c>
      <c r="F74" s="963">
        <v>0</v>
      </c>
      <c r="G74" s="963">
        <v>0</v>
      </c>
      <c r="H74" s="963">
        <v>0</v>
      </c>
      <c r="I74" s="963">
        <v>0</v>
      </c>
      <c r="J74" s="963">
        <v>0</v>
      </c>
      <c r="K74" s="963">
        <v>0</v>
      </c>
      <c r="L74" s="963">
        <v>0</v>
      </c>
      <c r="M74" s="963">
        <v>0</v>
      </c>
      <c r="N74" s="963">
        <v>0</v>
      </c>
      <c r="O74" s="963">
        <v>0</v>
      </c>
      <c r="P74" s="963">
        <v>0</v>
      </c>
      <c r="Q74" s="963">
        <f t="shared" si="0"/>
        <v>0</v>
      </c>
      <c r="R74" s="962"/>
    </row>
    <row r="75" spans="1:18">
      <c r="B75" s="901" t="s">
        <v>2921</v>
      </c>
      <c r="C75" s="956" t="s">
        <v>782</v>
      </c>
      <c r="D75" s="956">
        <v>111</v>
      </c>
      <c r="E75" s="963">
        <v>0</v>
      </c>
      <c r="F75" s="963">
        <v>0</v>
      </c>
      <c r="G75" s="963">
        <v>0</v>
      </c>
      <c r="H75" s="963">
        <v>0</v>
      </c>
      <c r="I75" s="963">
        <v>0</v>
      </c>
      <c r="J75" s="963">
        <v>0</v>
      </c>
      <c r="K75" s="963">
        <v>0</v>
      </c>
      <c r="L75" s="963">
        <v>0</v>
      </c>
      <c r="M75" s="963">
        <v>0</v>
      </c>
      <c r="N75" s="963">
        <v>0</v>
      </c>
      <c r="O75" s="963">
        <v>0</v>
      </c>
      <c r="P75" s="963">
        <v>0</v>
      </c>
      <c r="Q75" s="963">
        <f t="shared" si="0"/>
        <v>0</v>
      </c>
      <c r="R75" s="962"/>
    </row>
    <row r="76" spans="1:18">
      <c r="B76" s="901" t="s">
        <v>2922</v>
      </c>
      <c r="C76" s="956" t="s">
        <v>783</v>
      </c>
      <c r="D76" s="956">
        <v>111</v>
      </c>
      <c r="E76" s="963">
        <v>25729.21</v>
      </c>
      <c r="F76" s="963">
        <v>-33933.46</v>
      </c>
      <c r="G76" s="963">
        <v>-72068.69</v>
      </c>
      <c r="H76" s="963">
        <v>-57172.43</v>
      </c>
      <c r="I76" s="963">
        <v>-17312.7</v>
      </c>
      <c r="J76" s="963">
        <v>4196.7299999999996</v>
      </c>
      <c r="K76" s="963">
        <v>-6871.89</v>
      </c>
      <c r="L76" s="963">
        <v>-6235.57</v>
      </c>
      <c r="M76" s="963">
        <v>4695.5</v>
      </c>
      <c r="N76" s="963">
        <v>-12962</v>
      </c>
      <c r="O76" s="963">
        <v>-22893.87</v>
      </c>
      <c r="P76" s="963">
        <v>-3052.33</v>
      </c>
      <c r="Q76" s="963">
        <f>SUM(E76:P76)</f>
        <v>-197881.5</v>
      </c>
      <c r="R76" s="962"/>
    </row>
    <row r="77" spans="1:18">
      <c r="B77" s="901" t="s">
        <v>2750</v>
      </c>
      <c r="C77" s="956" t="s">
        <v>784</v>
      </c>
      <c r="D77" s="956">
        <v>111</v>
      </c>
      <c r="E77" s="963">
        <v>-6924.85</v>
      </c>
      <c r="F77" s="963">
        <v>-7806</v>
      </c>
      <c r="G77" s="963">
        <v>-8668.5400000000009</v>
      </c>
      <c r="H77" s="963">
        <v>-6430.23</v>
      </c>
      <c r="I77" s="963">
        <v>-3815.11</v>
      </c>
      <c r="J77" s="963">
        <v>-2796.75</v>
      </c>
      <c r="K77" s="963">
        <v>-2594.52</v>
      </c>
      <c r="L77" s="963">
        <v>-2726.07</v>
      </c>
      <c r="M77" s="963">
        <v>-3149.08</v>
      </c>
      <c r="N77" s="963">
        <v>-6155.13</v>
      </c>
      <c r="O77" s="963">
        <v>-2398.44</v>
      </c>
      <c r="P77" s="963">
        <v>6046.2</v>
      </c>
      <c r="Q77" s="963">
        <f>SUM(E77:P77)</f>
        <v>-47418.52</v>
      </c>
      <c r="R77" s="962"/>
    </row>
    <row r="78" spans="1:18">
      <c r="B78" s="901" t="s">
        <v>2751</v>
      </c>
      <c r="C78" s="956" t="s">
        <v>785</v>
      </c>
      <c r="D78" s="956">
        <v>111</v>
      </c>
      <c r="E78" s="963">
        <v>0</v>
      </c>
      <c r="F78" s="963">
        <v>0</v>
      </c>
      <c r="G78" s="963">
        <v>0</v>
      </c>
      <c r="H78" s="963">
        <v>0</v>
      </c>
      <c r="I78" s="963">
        <v>0</v>
      </c>
      <c r="J78" s="963">
        <v>0</v>
      </c>
      <c r="K78" s="963">
        <v>0</v>
      </c>
      <c r="L78" s="963">
        <v>0</v>
      </c>
      <c r="M78" s="963">
        <v>0</v>
      </c>
      <c r="N78" s="963">
        <v>0</v>
      </c>
      <c r="O78" s="963">
        <v>0</v>
      </c>
      <c r="P78" s="963">
        <v>0</v>
      </c>
      <c r="Q78" s="963">
        <f t="shared" si="0"/>
        <v>0</v>
      </c>
      <c r="R78" s="962"/>
    </row>
    <row r="79" spans="1:18">
      <c r="B79" s="901" t="s">
        <v>2451</v>
      </c>
      <c r="C79" s="956" t="s">
        <v>786</v>
      </c>
      <c r="D79" s="956">
        <v>111</v>
      </c>
      <c r="E79" s="963">
        <v>0</v>
      </c>
      <c r="F79" s="963">
        <v>0</v>
      </c>
      <c r="G79" s="963">
        <v>0</v>
      </c>
      <c r="H79" s="963">
        <v>0</v>
      </c>
      <c r="I79" s="963">
        <v>0</v>
      </c>
      <c r="J79" s="963">
        <v>0</v>
      </c>
      <c r="K79" s="963">
        <v>0</v>
      </c>
      <c r="L79" s="963">
        <v>0</v>
      </c>
      <c r="M79" s="963">
        <v>0</v>
      </c>
      <c r="N79" s="963">
        <v>0</v>
      </c>
      <c r="O79" s="963">
        <v>0</v>
      </c>
      <c r="P79" s="963">
        <v>0</v>
      </c>
      <c r="Q79" s="963">
        <f t="shared" si="0"/>
        <v>0</v>
      </c>
      <c r="R79" s="962"/>
    </row>
    <row r="80" spans="1:18">
      <c r="B80" s="901" t="s">
        <v>2697</v>
      </c>
      <c r="C80" s="956" t="s">
        <v>787</v>
      </c>
      <c r="D80" s="956">
        <v>111</v>
      </c>
      <c r="E80" s="963">
        <v>0</v>
      </c>
      <c r="F80" s="963">
        <v>0</v>
      </c>
      <c r="G80" s="963">
        <v>0</v>
      </c>
      <c r="H80" s="963">
        <v>0</v>
      </c>
      <c r="I80" s="963">
        <v>0</v>
      </c>
      <c r="J80" s="963">
        <v>0</v>
      </c>
      <c r="K80" s="963">
        <v>0</v>
      </c>
      <c r="L80" s="963">
        <v>0</v>
      </c>
      <c r="M80" s="963">
        <v>0</v>
      </c>
      <c r="N80" s="963">
        <v>0</v>
      </c>
      <c r="O80" s="963">
        <v>0</v>
      </c>
      <c r="P80" s="963">
        <v>0</v>
      </c>
      <c r="Q80" s="963">
        <f t="shared" si="0"/>
        <v>0</v>
      </c>
      <c r="R80" s="962"/>
    </row>
    <row r="81" spans="1:18">
      <c r="B81" s="901" t="s">
        <v>2698</v>
      </c>
      <c r="C81" s="956" t="s">
        <v>788</v>
      </c>
      <c r="D81" s="956">
        <v>111</v>
      </c>
      <c r="E81" s="963">
        <v>0</v>
      </c>
      <c r="F81" s="963">
        <v>0</v>
      </c>
      <c r="G81" s="963">
        <v>0</v>
      </c>
      <c r="H81" s="963">
        <v>0</v>
      </c>
      <c r="I81" s="963">
        <v>0</v>
      </c>
      <c r="J81" s="963">
        <v>0</v>
      </c>
      <c r="K81" s="963">
        <v>0</v>
      </c>
      <c r="L81" s="963">
        <v>0</v>
      </c>
      <c r="M81" s="963">
        <v>0</v>
      </c>
      <c r="N81" s="963">
        <v>0</v>
      </c>
      <c r="O81" s="963">
        <v>0</v>
      </c>
      <c r="P81" s="963">
        <v>0</v>
      </c>
      <c r="Q81" s="963">
        <f t="shared" si="0"/>
        <v>0</v>
      </c>
      <c r="R81" s="962"/>
    </row>
    <row r="82" spans="1:18">
      <c r="B82" s="901" t="s">
        <v>2884</v>
      </c>
      <c r="C82" s="956" t="s">
        <v>789</v>
      </c>
      <c r="D82" s="956">
        <v>111</v>
      </c>
      <c r="E82" s="963">
        <v>955693.02</v>
      </c>
      <c r="F82" s="963">
        <v>1007652.6799999999</v>
      </c>
      <c r="G82" s="963">
        <v>1083448.7</v>
      </c>
      <c r="H82" s="963">
        <v>833281.02</v>
      </c>
      <c r="I82" s="963">
        <v>570578.96000000008</v>
      </c>
      <c r="J82" s="963">
        <v>444640.52999999997</v>
      </c>
      <c r="K82" s="963">
        <v>402198.67</v>
      </c>
      <c r="L82" s="963">
        <v>422273.81</v>
      </c>
      <c r="M82" s="963">
        <v>490201.18</v>
      </c>
      <c r="N82" s="963">
        <v>899602.38</v>
      </c>
      <c r="O82" s="963">
        <v>844586.47000000009</v>
      </c>
      <c r="P82" s="963">
        <v>1114814.3799999999</v>
      </c>
      <c r="Q82" s="963">
        <f t="shared" si="0"/>
        <v>9068971.7999999989</v>
      </c>
      <c r="R82" s="962"/>
    </row>
    <row r="83" spans="1:18">
      <c r="B83" s="964" t="s">
        <v>2673</v>
      </c>
      <c r="E83" s="963"/>
      <c r="F83" s="963"/>
      <c r="G83" s="963"/>
      <c r="H83" s="963"/>
      <c r="I83" s="963"/>
      <c r="J83" s="963"/>
      <c r="K83" s="963"/>
      <c r="L83" s="963"/>
      <c r="M83" s="963"/>
      <c r="N83" s="963"/>
      <c r="O83" s="963"/>
      <c r="P83" s="963"/>
      <c r="Q83" s="963">
        <f t="shared" si="0"/>
        <v>0</v>
      </c>
      <c r="R83" s="962"/>
    </row>
    <row r="84" spans="1:18">
      <c r="Q84" s="963">
        <f t="shared" si="0"/>
        <v>0</v>
      </c>
      <c r="R84" s="962"/>
    </row>
    <row r="85" spans="1:18">
      <c r="A85" s="901" t="s">
        <v>2830</v>
      </c>
      <c r="B85" s="960" t="s">
        <v>2928</v>
      </c>
      <c r="C85" s="956" t="s">
        <v>777</v>
      </c>
      <c r="D85" s="956">
        <v>72</v>
      </c>
      <c r="E85" s="961"/>
      <c r="F85" s="961"/>
      <c r="G85" s="961"/>
      <c r="H85" s="961"/>
      <c r="I85" s="961"/>
      <c r="J85" s="961"/>
      <c r="K85" s="961"/>
      <c r="L85" s="961"/>
      <c r="M85" s="961"/>
      <c r="N85" s="961"/>
      <c r="O85" s="961"/>
      <c r="P85" s="961"/>
      <c r="Q85" s="963"/>
      <c r="R85" s="962"/>
    </row>
    <row r="86" spans="1:18">
      <c r="B86" s="901" t="s">
        <v>2514</v>
      </c>
      <c r="C86" s="956" t="s">
        <v>780</v>
      </c>
      <c r="D86" s="956">
        <v>72</v>
      </c>
      <c r="E86" s="963">
        <v>1477641</v>
      </c>
      <c r="F86" s="963">
        <v>1527495</v>
      </c>
      <c r="G86" s="963">
        <v>1650107</v>
      </c>
      <c r="H86" s="963">
        <v>1028839</v>
      </c>
      <c r="I86" s="963">
        <v>692205</v>
      </c>
      <c r="J86" s="963">
        <v>479946</v>
      </c>
      <c r="K86" s="963">
        <v>406093</v>
      </c>
      <c r="L86" s="963">
        <v>400926</v>
      </c>
      <c r="M86" s="963">
        <v>346838</v>
      </c>
      <c r="N86" s="963">
        <v>680358</v>
      </c>
      <c r="O86" s="963">
        <v>1037028</v>
      </c>
      <c r="P86" s="963">
        <v>1270156</v>
      </c>
      <c r="Q86" s="963">
        <f t="shared" si="0"/>
        <v>10997632</v>
      </c>
      <c r="R86" s="962"/>
    </row>
    <row r="87" spans="1:18">
      <c r="B87" s="901" t="s">
        <v>2915</v>
      </c>
      <c r="C87" s="956" t="s">
        <v>781</v>
      </c>
      <c r="D87" s="956">
        <v>72</v>
      </c>
      <c r="E87" s="963">
        <v>0</v>
      </c>
      <c r="F87" s="963">
        <v>0</v>
      </c>
      <c r="G87" s="963">
        <v>0</v>
      </c>
      <c r="H87" s="963">
        <v>0</v>
      </c>
      <c r="I87" s="963">
        <v>0</v>
      </c>
      <c r="J87" s="963">
        <v>0</v>
      </c>
      <c r="K87" s="963">
        <v>0</v>
      </c>
      <c r="L87" s="963">
        <v>0</v>
      </c>
      <c r="M87" s="963">
        <v>0</v>
      </c>
      <c r="N87" s="963">
        <v>0</v>
      </c>
      <c r="O87" s="963">
        <v>0</v>
      </c>
      <c r="P87" s="963">
        <v>0</v>
      </c>
      <c r="Q87" s="963">
        <f t="shared" si="0"/>
        <v>0</v>
      </c>
      <c r="R87" s="962"/>
    </row>
    <row r="88" spans="1:18">
      <c r="B88" s="901" t="s">
        <v>2916</v>
      </c>
      <c r="C88" s="956" t="s">
        <v>782</v>
      </c>
      <c r="D88" s="956">
        <v>72</v>
      </c>
      <c r="E88" s="963">
        <v>0</v>
      </c>
      <c r="F88" s="963">
        <v>0</v>
      </c>
      <c r="G88" s="963">
        <v>0</v>
      </c>
      <c r="H88" s="963">
        <v>0</v>
      </c>
      <c r="I88" s="963">
        <v>0</v>
      </c>
      <c r="J88" s="963">
        <v>0</v>
      </c>
      <c r="K88" s="963">
        <v>0</v>
      </c>
      <c r="L88" s="963">
        <v>0</v>
      </c>
      <c r="M88" s="963">
        <v>0</v>
      </c>
      <c r="N88" s="963">
        <v>0</v>
      </c>
      <c r="O88" s="963">
        <v>0</v>
      </c>
      <c r="P88" s="963">
        <v>0</v>
      </c>
      <c r="Q88" s="963">
        <f t="shared" si="0"/>
        <v>0</v>
      </c>
      <c r="R88" s="962"/>
    </row>
    <row r="89" spans="1:18">
      <c r="B89" s="901" t="s">
        <v>2917</v>
      </c>
      <c r="C89" s="956" t="s">
        <v>787</v>
      </c>
      <c r="D89" s="956">
        <v>72</v>
      </c>
      <c r="E89" s="963">
        <v>0</v>
      </c>
      <c r="F89" s="963">
        <v>0</v>
      </c>
      <c r="G89" s="963">
        <v>0</v>
      </c>
      <c r="H89" s="963">
        <v>0</v>
      </c>
      <c r="I89" s="963">
        <v>0</v>
      </c>
      <c r="J89" s="963">
        <v>0</v>
      </c>
      <c r="K89" s="963">
        <v>0</v>
      </c>
      <c r="L89" s="963">
        <v>0</v>
      </c>
      <c r="M89" s="963">
        <v>0</v>
      </c>
      <c r="N89" s="963">
        <v>0</v>
      </c>
      <c r="O89" s="963">
        <v>0</v>
      </c>
      <c r="P89" s="963">
        <v>0</v>
      </c>
      <c r="Q89" s="963">
        <f t="shared" si="0"/>
        <v>0</v>
      </c>
      <c r="R89" s="962"/>
    </row>
    <row r="90" spans="1:18">
      <c r="B90" s="901" t="s">
        <v>2918</v>
      </c>
      <c r="C90" s="956" t="s">
        <v>788</v>
      </c>
      <c r="D90" s="956">
        <v>72</v>
      </c>
      <c r="E90" s="963">
        <v>0</v>
      </c>
      <c r="F90" s="963">
        <v>0</v>
      </c>
      <c r="G90" s="963">
        <v>0</v>
      </c>
      <c r="H90" s="963">
        <v>0</v>
      </c>
      <c r="I90" s="963">
        <v>0</v>
      </c>
      <c r="J90" s="963">
        <v>0</v>
      </c>
      <c r="K90" s="963">
        <v>0</v>
      </c>
      <c r="L90" s="963">
        <v>0</v>
      </c>
      <c r="M90" s="963">
        <v>0</v>
      </c>
      <c r="N90" s="963">
        <v>0</v>
      </c>
      <c r="O90" s="963">
        <v>0</v>
      </c>
      <c r="P90" s="963">
        <v>0</v>
      </c>
      <c r="Q90" s="963">
        <f t="shared" si="0"/>
        <v>0</v>
      </c>
      <c r="R90" s="962"/>
    </row>
    <row r="91" spans="1:18">
      <c r="B91" s="901" t="s">
        <v>2886</v>
      </c>
      <c r="C91" s="956" t="s">
        <v>789</v>
      </c>
      <c r="D91" s="956">
        <v>72</v>
      </c>
      <c r="E91" s="963">
        <v>1477641</v>
      </c>
      <c r="F91" s="963">
        <v>1527495</v>
      </c>
      <c r="G91" s="963">
        <v>1650107</v>
      </c>
      <c r="H91" s="963">
        <v>1028839</v>
      </c>
      <c r="I91" s="963">
        <v>692205</v>
      </c>
      <c r="J91" s="963">
        <v>479946</v>
      </c>
      <c r="K91" s="963">
        <v>406093</v>
      </c>
      <c r="L91" s="963">
        <v>400926</v>
      </c>
      <c r="M91" s="963">
        <v>346838</v>
      </c>
      <c r="N91" s="963">
        <v>680358</v>
      </c>
      <c r="O91" s="963">
        <v>1037028</v>
      </c>
      <c r="P91" s="963">
        <v>1270156</v>
      </c>
      <c r="Q91" s="963">
        <f t="shared" ref="Q91:Q174" si="6">SUM(E91:P91)</f>
        <v>10997632</v>
      </c>
      <c r="R91" s="962"/>
    </row>
    <row r="92" spans="1:18">
      <c r="B92" s="964" t="s">
        <v>2673</v>
      </c>
      <c r="E92" s="963"/>
      <c r="F92" s="963"/>
      <c r="G92" s="963"/>
      <c r="H92" s="963"/>
      <c r="I92" s="963"/>
      <c r="J92" s="963"/>
      <c r="K92" s="963"/>
      <c r="L92" s="963"/>
      <c r="M92" s="963"/>
      <c r="N92" s="963"/>
      <c r="O92" s="963"/>
      <c r="P92" s="963"/>
      <c r="Q92" s="963">
        <f t="shared" si="6"/>
        <v>0</v>
      </c>
      <c r="R92" s="962"/>
    </row>
    <row r="93" spans="1:18">
      <c r="B93" s="901" t="s">
        <v>2919</v>
      </c>
      <c r="C93" s="956" t="s">
        <v>780</v>
      </c>
      <c r="D93" s="956">
        <v>116</v>
      </c>
      <c r="E93" s="963">
        <v>822203.04</v>
      </c>
      <c r="F93" s="963">
        <v>849600.63</v>
      </c>
      <c r="G93" s="963">
        <v>914449.75</v>
      </c>
      <c r="H93" s="963">
        <v>603443.46</v>
      </c>
      <c r="I93" s="963">
        <v>448412.25</v>
      </c>
      <c r="J93" s="963">
        <v>314956.52</v>
      </c>
      <c r="K93" s="963">
        <v>267558.89</v>
      </c>
      <c r="L93" s="963">
        <v>262242.84999999998</v>
      </c>
      <c r="M93" s="963">
        <v>230387.74</v>
      </c>
      <c r="N93" s="963">
        <v>438604.01</v>
      </c>
      <c r="O93" s="963">
        <v>695593.82</v>
      </c>
      <c r="P93" s="963">
        <v>929583.21</v>
      </c>
      <c r="Q93" s="963">
        <f t="shared" si="6"/>
        <v>6777036.1699999999</v>
      </c>
      <c r="R93" s="962"/>
    </row>
    <row r="94" spans="1:18">
      <c r="B94" s="901" t="s">
        <v>2920</v>
      </c>
      <c r="C94" s="956" t="s">
        <v>781</v>
      </c>
      <c r="D94" s="956">
        <v>116</v>
      </c>
      <c r="E94" s="963">
        <v>0</v>
      </c>
      <c r="F94" s="963">
        <v>0</v>
      </c>
      <c r="G94" s="963">
        <v>0</v>
      </c>
      <c r="H94" s="963">
        <v>0</v>
      </c>
      <c r="I94" s="963">
        <v>0</v>
      </c>
      <c r="J94" s="963">
        <v>0</v>
      </c>
      <c r="K94" s="963">
        <v>0</v>
      </c>
      <c r="L94" s="963">
        <v>0</v>
      </c>
      <c r="M94" s="963">
        <v>0</v>
      </c>
      <c r="N94" s="963">
        <v>0</v>
      </c>
      <c r="O94" s="963">
        <v>0</v>
      </c>
      <c r="P94" s="963">
        <v>0</v>
      </c>
      <c r="Q94" s="963">
        <f t="shared" si="6"/>
        <v>0</v>
      </c>
      <c r="R94" s="962"/>
    </row>
    <row r="95" spans="1:18">
      <c r="B95" s="901" t="s">
        <v>2921</v>
      </c>
      <c r="C95" s="956" t="s">
        <v>782</v>
      </c>
      <c r="D95" s="956">
        <v>116</v>
      </c>
      <c r="E95" s="963">
        <v>0</v>
      </c>
      <c r="F95" s="963">
        <v>0</v>
      </c>
      <c r="G95" s="963">
        <v>0</v>
      </c>
      <c r="H95" s="963">
        <v>0</v>
      </c>
      <c r="I95" s="963">
        <v>0</v>
      </c>
      <c r="J95" s="963">
        <v>0</v>
      </c>
      <c r="K95" s="963">
        <v>0</v>
      </c>
      <c r="L95" s="963">
        <v>0</v>
      </c>
      <c r="M95" s="963">
        <v>0</v>
      </c>
      <c r="N95" s="963">
        <v>0</v>
      </c>
      <c r="O95" s="963">
        <v>0</v>
      </c>
      <c r="P95" s="963">
        <v>0</v>
      </c>
      <c r="Q95" s="963">
        <f t="shared" si="6"/>
        <v>0</v>
      </c>
      <c r="R95" s="962"/>
    </row>
    <row r="96" spans="1:18">
      <c r="B96" s="901" t="s">
        <v>2922</v>
      </c>
      <c r="C96" s="956" t="s">
        <v>783</v>
      </c>
      <c r="D96" s="956">
        <v>116</v>
      </c>
      <c r="E96" s="963">
        <v>-17428.68</v>
      </c>
      <c r="F96" s="963">
        <v>-84690.62</v>
      </c>
      <c r="G96" s="963">
        <v>3014.39</v>
      </c>
      <c r="H96" s="963">
        <v>95.74</v>
      </c>
      <c r="I96" s="963">
        <v>-13837.17</v>
      </c>
      <c r="J96" s="963">
        <v>5149.33</v>
      </c>
      <c r="K96" s="963">
        <v>-11560.95</v>
      </c>
      <c r="L96" s="963">
        <v>18053.38</v>
      </c>
      <c r="M96" s="963">
        <v>-9861.26</v>
      </c>
      <c r="N96" s="963">
        <v>-70860.75</v>
      </c>
      <c r="O96" s="963">
        <v>-87846.34</v>
      </c>
      <c r="P96" s="963">
        <v>-8942.39</v>
      </c>
      <c r="Q96" s="963">
        <f t="shared" si="6"/>
        <v>-278715.31999999995</v>
      </c>
      <c r="R96" s="962"/>
    </row>
    <row r="97" spans="1:18">
      <c r="B97" s="901" t="s">
        <v>2750</v>
      </c>
      <c r="C97" s="956" t="s">
        <v>784</v>
      </c>
      <c r="D97" s="956">
        <v>116</v>
      </c>
      <c r="E97" s="963">
        <v>72847.710000000006</v>
      </c>
      <c r="F97" s="963">
        <v>75305.509999999995</v>
      </c>
      <c r="G97" s="963">
        <v>81350.27</v>
      </c>
      <c r="H97" s="963">
        <v>50721.77</v>
      </c>
      <c r="I97" s="963">
        <v>34125.71</v>
      </c>
      <c r="J97" s="963">
        <v>23661.33</v>
      </c>
      <c r="K97" s="963">
        <v>20020.38</v>
      </c>
      <c r="L97" s="963">
        <v>19765.650000000001</v>
      </c>
      <c r="M97" s="963">
        <v>17099.11</v>
      </c>
      <c r="N97" s="963">
        <v>101825.91</v>
      </c>
      <c r="O97" s="963">
        <v>65791.55</v>
      </c>
      <c r="P97" s="963">
        <v>54083.88</v>
      </c>
      <c r="Q97" s="963">
        <f t="shared" si="6"/>
        <v>616598.78000000014</v>
      </c>
      <c r="R97" s="962"/>
    </row>
    <row r="98" spans="1:18">
      <c r="B98" s="901" t="s">
        <v>2751</v>
      </c>
      <c r="C98" s="956" t="s">
        <v>785</v>
      </c>
      <c r="D98" s="956">
        <v>116</v>
      </c>
      <c r="E98" s="963">
        <v>0</v>
      </c>
      <c r="F98" s="963">
        <v>0</v>
      </c>
      <c r="G98" s="963">
        <v>0</v>
      </c>
      <c r="H98" s="963">
        <v>0</v>
      </c>
      <c r="I98" s="963">
        <v>0</v>
      </c>
      <c r="J98" s="963">
        <v>0</v>
      </c>
      <c r="K98" s="963">
        <v>0</v>
      </c>
      <c r="L98" s="963">
        <v>0</v>
      </c>
      <c r="M98" s="963">
        <v>0</v>
      </c>
      <c r="N98" s="963">
        <v>0</v>
      </c>
      <c r="O98" s="963">
        <v>0</v>
      </c>
      <c r="P98" s="963">
        <v>0</v>
      </c>
      <c r="Q98" s="963">
        <f t="shared" si="6"/>
        <v>0</v>
      </c>
      <c r="R98" s="962"/>
    </row>
    <row r="99" spans="1:18">
      <c r="B99" s="901" t="s">
        <v>2451</v>
      </c>
      <c r="C99" s="956" t="s">
        <v>786</v>
      </c>
      <c r="D99" s="956">
        <v>116</v>
      </c>
      <c r="E99" s="963">
        <v>0</v>
      </c>
      <c r="F99" s="963">
        <v>0</v>
      </c>
      <c r="G99" s="963">
        <v>0</v>
      </c>
      <c r="H99" s="963">
        <v>0</v>
      </c>
      <c r="I99" s="963">
        <v>0</v>
      </c>
      <c r="J99" s="963">
        <v>0</v>
      </c>
      <c r="K99" s="963">
        <v>0</v>
      </c>
      <c r="L99" s="963">
        <v>0</v>
      </c>
      <c r="M99" s="963">
        <v>0</v>
      </c>
      <c r="N99" s="963">
        <v>0</v>
      </c>
      <c r="O99" s="963">
        <v>0</v>
      </c>
      <c r="P99" s="963">
        <v>0</v>
      </c>
      <c r="Q99" s="963">
        <f t="shared" si="6"/>
        <v>0</v>
      </c>
      <c r="R99" s="962"/>
    </row>
    <row r="100" spans="1:18">
      <c r="B100" s="901" t="s">
        <v>2697</v>
      </c>
      <c r="C100" s="956" t="s">
        <v>787</v>
      </c>
      <c r="D100" s="956">
        <v>116</v>
      </c>
      <c r="E100" s="963">
        <v>0</v>
      </c>
      <c r="F100" s="963">
        <v>0</v>
      </c>
      <c r="G100" s="963">
        <v>0</v>
      </c>
      <c r="H100" s="963">
        <v>0</v>
      </c>
      <c r="I100" s="963">
        <v>0</v>
      </c>
      <c r="J100" s="963">
        <v>0</v>
      </c>
      <c r="K100" s="963">
        <v>0</v>
      </c>
      <c r="L100" s="963">
        <v>0</v>
      </c>
      <c r="M100" s="963">
        <v>0</v>
      </c>
      <c r="N100" s="963">
        <v>0</v>
      </c>
      <c r="O100" s="963">
        <v>0</v>
      </c>
      <c r="P100" s="963">
        <v>0</v>
      </c>
      <c r="Q100" s="963">
        <f t="shared" si="6"/>
        <v>0</v>
      </c>
      <c r="R100" s="962"/>
    </row>
    <row r="101" spans="1:18">
      <c r="B101" s="901" t="s">
        <v>2698</v>
      </c>
      <c r="C101" s="956" t="s">
        <v>788</v>
      </c>
      <c r="D101" s="956">
        <v>116</v>
      </c>
      <c r="E101" s="963">
        <v>0</v>
      </c>
      <c r="F101" s="963">
        <v>0</v>
      </c>
      <c r="G101" s="963">
        <v>0</v>
      </c>
      <c r="H101" s="963">
        <v>0</v>
      </c>
      <c r="I101" s="963">
        <v>0</v>
      </c>
      <c r="J101" s="963">
        <v>0</v>
      </c>
      <c r="K101" s="963">
        <v>0</v>
      </c>
      <c r="L101" s="963">
        <v>0</v>
      </c>
      <c r="M101" s="963">
        <v>0</v>
      </c>
      <c r="N101" s="963">
        <v>0</v>
      </c>
      <c r="O101" s="963">
        <v>0</v>
      </c>
      <c r="P101" s="963">
        <v>0</v>
      </c>
      <c r="Q101" s="963">
        <f t="shared" si="6"/>
        <v>0</v>
      </c>
      <c r="R101" s="962"/>
    </row>
    <row r="102" spans="1:18">
      <c r="B102" s="901" t="s">
        <v>2884</v>
      </c>
      <c r="C102" s="956" t="s">
        <v>789</v>
      </c>
      <c r="D102" s="956">
        <v>116</v>
      </c>
      <c r="E102" s="963">
        <v>877622.07</v>
      </c>
      <c r="F102" s="963">
        <v>840215.52</v>
      </c>
      <c r="G102" s="963">
        <v>998814.41</v>
      </c>
      <c r="H102" s="963">
        <v>654260.97</v>
      </c>
      <c r="I102" s="963">
        <v>468700.79000000004</v>
      </c>
      <c r="J102" s="963">
        <v>343767.18000000005</v>
      </c>
      <c r="K102" s="963">
        <v>276018.32</v>
      </c>
      <c r="L102" s="963">
        <v>300061.88</v>
      </c>
      <c r="M102" s="963">
        <v>237625.58999999997</v>
      </c>
      <c r="N102" s="963">
        <v>469569.17000000004</v>
      </c>
      <c r="O102" s="963">
        <v>673539.03</v>
      </c>
      <c r="P102" s="963">
        <v>974724.7</v>
      </c>
      <c r="Q102" s="963">
        <f t="shared" si="6"/>
        <v>7114919.6299999999</v>
      </c>
      <c r="R102" s="962"/>
    </row>
    <row r="103" spans="1:18">
      <c r="B103" s="964" t="s">
        <v>2673</v>
      </c>
      <c r="E103" s="963"/>
      <c r="F103" s="963"/>
      <c r="G103" s="963"/>
      <c r="H103" s="963"/>
      <c r="I103" s="963"/>
      <c r="J103" s="963"/>
      <c r="K103" s="963"/>
      <c r="L103" s="963"/>
      <c r="M103" s="963"/>
      <c r="N103" s="963"/>
      <c r="O103" s="963"/>
      <c r="P103" s="963"/>
      <c r="Q103" s="963">
        <f t="shared" si="6"/>
        <v>0</v>
      </c>
      <c r="R103" s="962"/>
    </row>
    <row r="104" spans="1:18">
      <c r="B104" s="964"/>
      <c r="E104" s="963"/>
      <c r="F104" s="963"/>
      <c r="G104" s="963"/>
      <c r="H104" s="963"/>
      <c r="I104" s="963"/>
      <c r="J104" s="963"/>
      <c r="K104" s="963"/>
      <c r="L104" s="963"/>
      <c r="M104" s="963"/>
      <c r="N104" s="963"/>
      <c r="O104" s="963"/>
      <c r="P104" s="963"/>
      <c r="Q104" s="963">
        <f t="shared" si="6"/>
        <v>0</v>
      </c>
      <c r="R104" s="962"/>
    </row>
    <row r="105" spans="1:18">
      <c r="A105" s="901" t="s">
        <v>2929</v>
      </c>
      <c r="B105" s="960" t="s">
        <v>2928</v>
      </c>
      <c r="E105" s="963"/>
      <c r="F105" s="963"/>
      <c r="G105" s="963"/>
      <c r="H105" s="963"/>
      <c r="I105" s="963"/>
      <c r="J105" s="963"/>
      <c r="K105" s="963"/>
      <c r="L105" s="963"/>
      <c r="M105" s="963"/>
      <c r="N105" s="963"/>
      <c r="O105" s="963"/>
      <c r="P105" s="963"/>
      <c r="Q105" s="963">
        <f t="shared" si="6"/>
        <v>0</v>
      </c>
      <c r="R105" s="962"/>
    </row>
    <row r="106" spans="1:18">
      <c r="B106" s="901" t="s">
        <v>2514</v>
      </c>
      <c r="E106" s="963">
        <v>330955</v>
      </c>
      <c r="F106" s="963">
        <v>325966</v>
      </c>
      <c r="G106" s="963">
        <v>344448</v>
      </c>
      <c r="H106" s="963">
        <v>339049</v>
      </c>
      <c r="I106" s="963">
        <v>267660</v>
      </c>
      <c r="J106" s="963">
        <v>275040</v>
      </c>
      <c r="K106" s="963">
        <v>315197</v>
      </c>
      <c r="L106" s="963">
        <v>350812</v>
      </c>
      <c r="M106" s="963">
        <v>310612</v>
      </c>
      <c r="N106" s="963">
        <v>413276</v>
      </c>
      <c r="O106" s="963">
        <v>484916</v>
      </c>
      <c r="P106" s="963">
        <v>368658</v>
      </c>
      <c r="Q106" s="963">
        <f t="shared" si="6"/>
        <v>4126589</v>
      </c>
      <c r="R106" s="962"/>
    </row>
    <row r="107" spans="1:18">
      <c r="B107" s="901" t="s">
        <v>2915</v>
      </c>
      <c r="E107" s="963"/>
      <c r="F107" s="963"/>
      <c r="G107" s="963"/>
      <c r="H107" s="963"/>
      <c r="I107" s="963"/>
      <c r="J107" s="963"/>
      <c r="K107" s="963"/>
      <c r="L107" s="963"/>
      <c r="M107" s="963"/>
      <c r="N107" s="963">
        <v>0</v>
      </c>
      <c r="O107" s="963">
        <v>0</v>
      </c>
      <c r="P107" s="963">
        <v>0</v>
      </c>
      <c r="Q107" s="963">
        <f t="shared" si="6"/>
        <v>0</v>
      </c>
      <c r="R107" s="962"/>
    </row>
    <row r="108" spans="1:18">
      <c r="B108" s="901" t="s">
        <v>2916</v>
      </c>
      <c r="E108" s="963"/>
      <c r="F108" s="963"/>
      <c r="G108" s="963"/>
      <c r="H108" s="963"/>
      <c r="I108" s="963"/>
      <c r="J108" s="963"/>
      <c r="K108" s="963"/>
      <c r="L108" s="963"/>
      <c r="M108" s="963"/>
      <c r="N108" s="963">
        <v>0</v>
      </c>
      <c r="O108" s="963">
        <v>0</v>
      </c>
      <c r="P108" s="963">
        <v>0</v>
      </c>
      <c r="Q108" s="963">
        <f t="shared" si="6"/>
        <v>0</v>
      </c>
      <c r="R108" s="962"/>
    </row>
    <row r="109" spans="1:18">
      <c r="B109" s="901" t="s">
        <v>2917</v>
      </c>
      <c r="E109" s="963"/>
      <c r="F109" s="963"/>
      <c r="G109" s="963"/>
      <c r="H109" s="963"/>
      <c r="I109" s="963"/>
      <c r="J109" s="963"/>
      <c r="K109" s="963"/>
      <c r="L109" s="963"/>
      <c r="M109" s="963"/>
      <c r="N109" s="963">
        <v>0</v>
      </c>
      <c r="O109" s="963">
        <v>0</v>
      </c>
      <c r="P109" s="963">
        <v>0</v>
      </c>
      <c r="Q109" s="963">
        <f t="shared" si="6"/>
        <v>0</v>
      </c>
      <c r="R109" s="962"/>
    </row>
    <row r="110" spans="1:18">
      <c r="B110" s="901" t="s">
        <v>2918</v>
      </c>
      <c r="E110" s="963"/>
      <c r="F110" s="963"/>
      <c r="G110" s="963"/>
      <c r="H110" s="963"/>
      <c r="I110" s="963"/>
      <c r="J110" s="963"/>
      <c r="K110" s="963"/>
      <c r="L110" s="963"/>
      <c r="M110" s="963"/>
      <c r="N110" s="963">
        <v>0</v>
      </c>
      <c r="O110" s="963">
        <v>0</v>
      </c>
      <c r="P110" s="963">
        <v>0</v>
      </c>
      <c r="Q110" s="963">
        <f t="shared" si="6"/>
        <v>0</v>
      </c>
      <c r="R110" s="962"/>
    </row>
    <row r="111" spans="1:18">
      <c r="B111" s="901" t="s">
        <v>2886</v>
      </c>
      <c r="E111" s="963">
        <v>330955</v>
      </c>
      <c r="F111" s="963">
        <v>325966</v>
      </c>
      <c r="G111" s="963">
        <v>344448</v>
      </c>
      <c r="H111" s="963">
        <v>339049</v>
      </c>
      <c r="I111" s="963">
        <v>267660</v>
      </c>
      <c r="J111" s="963">
        <v>275040</v>
      </c>
      <c r="K111" s="963">
        <v>315197</v>
      </c>
      <c r="L111" s="963">
        <v>350812</v>
      </c>
      <c r="M111" s="963">
        <v>310612</v>
      </c>
      <c r="N111" s="963">
        <v>413276</v>
      </c>
      <c r="O111" s="963">
        <v>484916</v>
      </c>
      <c r="P111" s="963">
        <v>368658</v>
      </c>
      <c r="Q111" s="963">
        <f t="shared" si="6"/>
        <v>4126589</v>
      </c>
      <c r="R111" s="962"/>
    </row>
    <row r="112" spans="1:18">
      <c r="B112" s="964" t="s">
        <v>2673</v>
      </c>
      <c r="E112" s="963"/>
      <c r="F112" s="963"/>
      <c r="G112" s="963"/>
      <c r="H112" s="963"/>
      <c r="I112" s="963"/>
      <c r="J112" s="963"/>
      <c r="K112" s="963"/>
      <c r="L112" s="963"/>
      <c r="M112" s="963"/>
      <c r="N112" s="963"/>
      <c r="O112" s="963"/>
      <c r="P112" s="963"/>
      <c r="Q112" s="963">
        <f t="shared" si="6"/>
        <v>0</v>
      </c>
      <c r="R112" s="962"/>
    </row>
    <row r="113" spans="2:18">
      <c r="B113" s="901" t="s">
        <v>2919</v>
      </c>
      <c r="E113" s="963">
        <v>184213.48</v>
      </c>
      <c r="F113" s="963">
        <v>181507.72</v>
      </c>
      <c r="G113" s="963">
        <v>191768.49</v>
      </c>
      <c r="H113" s="963">
        <v>194310.17</v>
      </c>
      <c r="I113" s="963">
        <v>166180.85999999999</v>
      </c>
      <c r="J113" s="963">
        <v>167617.04</v>
      </c>
      <c r="K113" s="963">
        <v>189840.93</v>
      </c>
      <c r="L113" s="963">
        <v>212236</v>
      </c>
      <c r="M113" s="963">
        <v>190231.28</v>
      </c>
      <c r="N113" s="963">
        <v>253502.47</v>
      </c>
      <c r="O113" s="963">
        <v>320763.87</v>
      </c>
      <c r="P113" s="963">
        <v>263633.78000000003</v>
      </c>
      <c r="Q113" s="963">
        <f t="shared" si="6"/>
        <v>2515806.09</v>
      </c>
      <c r="R113" s="962"/>
    </row>
    <row r="114" spans="2:18">
      <c r="B114" s="901" t="s">
        <v>2920</v>
      </c>
      <c r="E114" s="963"/>
      <c r="F114" s="963"/>
      <c r="G114" s="963"/>
      <c r="H114" s="963"/>
      <c r="I114" s="963"/>
      <c r="J114" s="963"/>
      <c r="K114" s="963"/>
      <c r="L114" s="963"/>
      <c r="M114" s="963"/>
      <c r="N114" s="963">
        <v>0</v>
      </c>
      <c r="O114" s="963">
        <v>0</v>
      </c>
      <c r="P114" s="963">
        <v>0</v>
      </c>
      <c r="Q114" s="963">
        <f t="shared" si="6"/>
        <v>0</v>
      </c>
      <c r="R114" s="962"/>
    </row>
    <row r="115" spans="2:18">
      <c r="B115" s="901" t="s">
        <v>2921</v>
      </c>
      <c r="E115" s="963"/>
      <c r="F115" s="963"/>
      <c r="G115" s="963"/>
      <c r="H115" s="963"/>
      <c r="I115" s="963"/>
      <c r="J115" s="963"/>
      <c r="K115" s="963"/>
      <c r="L115" s="963"/>
      <c r="M115" s="963"/>
      <c r="N115" s="963">
        <v>0</v>
      </c>
      <c r="O115" s="963">
        <v>0</v>
      </c>
      <c r="P115" s="963">
        <v>0</v>
      </c>
      <c r="Q115" s="963">
        <f t="shared" si="6"/>
        <v>0</v>
      </c>
      <c r="R115" s="962"/>
    </row>
    <row r="116" spans="2:18">
      <c r="B116" s="901" t="s">
        <v>2922</v>
      </c>
      <c r="E116" s="963">
        <v>-14586.86</v>
      </c>
      <c r="F116" s="963">
        <v>-19348.759999999998</v>
      </c>
      <c r="G116" s="963">
        <v>-16470.099999999999</v>
      </c>
      <c r="H116" s="963">
        <v>-25332.91</v>
      </c>
      <c r="I116" s="963">
        <v>-23752.29</v>
      </c>
      <c r="J116" s="963">
        <v>-21053.38</v>
      </c>
      <c r="K116" s="963">
        <v>-27015.77</v>
      </c>
      <c r="L116" s="963">
        <v>-26775.25</v>
      </c>
      <c r="M116" s="963">
        <v>-25925.77</v>
      </c>
      <c r="N116" s="963">
        <v>-38073.53</v>
      </c>
      <c r="O116" s="963">
        <v>-36062.339999999997</v>
      </c>
      <c r="P116" s="963">
        <v>-16919</v>
      </c>
      <c r="Q116" s="963">
        <f t="shared" si="6"/>
        <v>-291315.95999999996</v>
      </c>
      <c r="R116" s="962"/>
    </row>
    <row r="117" spans="2:18">
      <c r="B117" s="901" t="s">
        <v>2750</v>
      </c>
      <c r="E117" s="963">
        <v>16316.08</v>
      </c>
      <c r="F117" s="963">
        <v>16070.13</v>
      </c>
      <c r="G117" s="963">
        <v>16981.28</v>
      </c>
      <c r="H117" s="963">
        <v>16715.12</v>
      </c>
      <c r="I117" s="963">
        <v>13195.64</v>
      </c>
      <c r="J117" s="963">
        <v>13559.47</v>
      </c>
      <c r="K117" s="963">
        <v>15539.21</v>
      </c>
      <c r="L117" s="963">
        <v>17295.03</v>
      </c>
      <c r="M117" s="963">
        <v>15313.18</v>
      </c>
      <c r="N117" s="963">
        <v>20374.509999999998</v>
      </c>
      <c r="O117" s="963">
        <v>17913.14</v>
      </c>
      <c r="P117" s="963">
        <v>6705.89</v>
      </c>
      <c r="Q117" s="963">
        <f t="shared" si="6"/>
        <v>185978.68</v>
      </c>
      <c r="R117" s="962"/>
    </row>
    <row r="118" spans="2:18">
      <c r="B118" s="901" t="s">
        <v>2751</v>
      </c>
      <c r="E118" s="963"/>
      <c r="F118" s="963"/>
      <c r="G118" s="963"/>
      <c r="H118" s="963"/>
      <c r="I118" s="963"/>
      <c r="J118" s="963"/>
      <c r="K118" s="963"/>
      <c r="L118" s="963"/>
      <c r="M118" s="963"/>
      <c r="N118" s="963">
        <v>0</v>
      </c>
      <c r="O118" s="963">
        <v>0</v>
      </c>
      <c r="P118" s="963">
        <v>0</v>
      </c>
      <c r="Q118" s="963">
        <f t="shared" si="6"/>
        <v>0</v>
      </c>
      <c r="R118" s="962"/>
    </row>
    <row r="119" spans="2:18">
      <c r="B119" s="901" t="s">
        <v>2451</v>
      </c>
      <c r="E119" s="963"/>
      <c r="F119" s="963"/>
      <c r="G119" s="963"/>
      <c r="H119" s="963"/>
      <c r="I119" s="963"/>
      <c r="J119" s="963"/>
      <c r="K119" s="963"/>
      <c r="L119" s="963"/>
      <c r="M119" s="963"/>
      <c r="N119" s="963">
        <v>0</v>
      </c>
      <c r="O119" s="963">
        <v>0</v>
      </c>
      <c r="P119" s="963">
        <v>0</v>
      </c>
      <c r="Q119" s="963">
        <f t="shared" si="6"/>
        <v>0</v>
      </c>
      <c r="R119" s="962"/>
    </row>
    <row r="120" spans="2:18">
      <c r="B120" s="901" t="s">
        <v>2697</v>
      </c>
      <c r="E120" s="963"/>
      <c r="F120" s="963"/>
      <c r="G120" s="963"/>
      <c r="H120" s="963"/>
      <c r="I120" s="963"/>
      <c r="J120" s="963"/>
      <c r="K120" s="963"/>
      <c r="L120" s="963"/>
      <c r="M120" s="963"/>
      <c r="N120" s="963">
        <v>0</v>
      </c>
      <c r="O120" s="963">
        <v>0</v>
      </c>
      <c r="P120" s="963">
        <v>0</v>
      </c>
      <c r="Q120" s="963">
        <f t="shared" si="6"/>
        <v>0</v>
      </c>
      <c r="R120" s="962"/>
    </row>
    <row r="121" spans="2:18">
      <c r="B121" s="901" t="s">
        <v>2698</v>
      </c>
      <c r="E121" s="963"/>
      <c r="F121" s="963"/>
      <c r="G121" s="963"/>
      <c r="H121" s="963"/>
      <c r="I121" s="963"/>
      <c r="J121" s="963"/>
      <c r="K121" s="963"/>
      <c r="L121" s="963"/>
      <c r="M121" s="963"/>
      <c r="N121" s="963">
        <v>0</v>
      </c>
      <c r="O121" s="963">
        <v>0</v>
      </c>
      <c r="P121" s="963">
        <v>0</v>
      </c>
      <c r="Q121" s="963">
        <f t="shared" si="6"/>
        <v>0</v>
      </c>
      <c r="R121" s="962"/>
    </row>
    <row r="122" spans="2:18">
      <c r="B122" s="901" t="s">
        <v>2884</v>
      </c>
      <c r="E122" s="963">
        <f t="shared" ref="E122:M122" si="7">SUM(E113:E121)</f>
        <v>185942.69999999998</v>
      </c>
      <c r="F122" s="963">
        <f t="shared" si="7"/>
        <v>178229.09</v>
      </c>
      <c r="G122" s="963">
        <f t="shared" si="7"/>
        <v>192279.66999999998</v>
      </c>
      <c r="H122" s="963">
        <f t="shared" si="7"/>
        <v>185692.38</v>
      </c>
      <c r="I122" s="963">
        <f t="shared" si="7"/>
        <v>155624.20999999996</v>
      </c>
      <c r="J122" s="963">
        <f t="shared" si="7"/>
        <v>160123.13</v>
      </c>
      <c r="K122" s="963">
        <f t="shared" si="7"/>
        <v>178364.37</v>
      </c>
      <c r="L122" s="963">
        <f t="shared" si="7"/>
        <v>202755.78</v>
      </c>
      <c r="M122" s="963">
        <f t="shared" si="7"/>
        <v>179618.69</v>
      </c>
      <c r="N122" s="963">
        <f>SUM(N113:N121)</f>
        <v>235803.45</v>
      </c>
      <c r="O122" s="963">
        <f>SUM(O113:O121)</f>
        <v>302614.67000000004</v>
      </c>
      <c r="P122" s="963">
        <f>SUM(P113:P121)</f>
        <v>253420.67000000004</v>
      </c>
      <c r="Q122" s="963">
        <f t="shared" si="6"/>
        <v>2410468.8099999996</v>
      </c>
      <c r="R122" s="962"/>
    </row>
    <row r="123" spans="2:18">
      <c r="B123" s="964" t="s">
        <v>2673</v>
      </c>
      <c r="E123" s="963"/>
      <c r="F123" s="963"/>
      <c r="G123" s="963"/>
      <c r="H123" s="963"/>
      <c r="I123" s="963"/>
      <c r="J123" s="963"/>
      <c r="K123" s="963"/>
      <c r="L123" s="963"/>
      <c r="M123" s="963"/>
      <c r="N123" s="963"/>
      <c r="O123" s="963"/>
      <c r="P123" s="963"/>
      <c r="Q123" s="963">
        <f t="shared" si="6"/>
        <v>0</v>
      </c>
      <c r="R123" s="962"/>
    </row>
    <row r="124" spans="2:18">
      <c r="B124" s="964"/>
      <c r="E124" s="963"/>
      <c r="F124" s="963"/>
      <c r="G124" s="963"/>
      <c r="H124" s="963"/>
      <c r="I124" s="963"/>
      <c r="J124" s="963"/>
      <c r="K124" s="963"/>
      <c r="L124" s="963"/>
      <c r="M124" s="963"/>
      <c r="N124" s="963"/>
      <c r="O124" s="963"/>
      <c r="P124" s="963"/>
      <c r="Q124" s="963">
        <f t="shared" si="6"/>
        <v>0</v>
      </c>
      <c r="R124" s="962"/>
    </row>
    <row r="125" spans="2:18">
      <c r="B125" s="960" t="s">
        <v>2930</v>
      </c>
      <c r="E125" s="967"/>
      <c r="F125" s="967"/>
      <c r="G125" s="967"/>
      <c r="H125" s="967"/>
      <c r="I125" s="967"/>
      <c r="J125" s="967"/>
      <c r="K125" s="967"/>
      <c r="L125" s="967"/>
      <c r="M125" s="967"/>
      <c r="N125" s="967"/>
      <c r="O125" s="967"/>
      <c r="P125" s="967"/>
      <c r="Q125" s="963">
        <f t="shared" si="6"/>
        <v>0</v>
      </c>
      <c r="R125" s="962"/>
    </row>
    <row r="126" spans="2:18">
      <c r="B126" s="901" t="s">
        <v>2514</v>
      </c>
      <c r="C126" s="956" t="s">
        <v>780</v>
      </c>
      <c r="D126" s="956">
        <v>69</v>
      </c>
      <c r="E126" s="963">
        <v>4915</v>
      </c>
      <c r="F126" s="963">
        <v>4626</v>
      </c>
      <c r="G126" s="963">
        <v>5486</v>
      </c>
      <c r="H126" s="963">
        <v>3527</v>
      </c>
      <c r="I126" s="963">
        <v>2258</v>
      </c>
      <c r="J126" s="963">
        <v>645</v>
      </c>
      <c r="K126" s="963">
        <v>367</v>
      </c>
      <c r="L126" s="963">
        <v>155</v>
      </c>
      <c r="M126" s="963">
        <v>138</v>
      </c>
      <c r="N126" s="963">
        <v>619</v>
      </c>
      <c r="O126" s="963">
        <v>2955</v>
      </c>
      <c r="P126" s="963">
        <v>3958</v>
      </c>
      <c r="Q126" s="963">
        <f t="shared" si="6"/>
        <v>29649</v>
      </c>
      <c r="R126" s="962"/>
    </row>
    <row r="127" spans="2:18">
      <c r="B127" s="901" t="s">
        <v>2915</v>
      </c>
      <c r="C127" s="956" t="s">
        <v>781</v>
      </c>
      <c r="D127" s="956">
        <v>69</v>
      </c>
      <c r="E127" s="963">
        <v>0</v>
      </c>
      <c r="F127" s="963">
        <v>0</v>
      </c>
      <c r="G127" s="963">
        <v>0</v>
      </c>
      <c r="H127" s="963">
        <v>0</v>
      </c>
      <c r="I127" s="963">
        <v>0</v>
      </c>
      <c r="J127" s="963">
        <v>0</v>
      </c>
      <c r="K127" s="963">
        <v>0</v>
      </c>
      <c r="L127" s="963">
        <v>0</v>
      </c>
      <c r="M127" s="963">
        <v>0</v>
      </c>
      <c r="N127" s="963">
        <v>0</v>
      </c>
      <c r="O127" s="963">
        <v>0</v>
      </c>
      <c r="P127" s="963">
        <v>0</v>
      </c>
      <c r="Q127" s="963">
        <f t="shared" si="6"/>
        <v>0</v>
      </c>
      <c r="R127" s="962"/>
    </row>
    <row r="128" spans="2:18">
      <c r="B128" s="901" t="s">
        <v>2916</v>
      </c>
      <c r="C128" s="956" t="s">
        <v>782</v>
      </c>
      <c r="D128" s="956">
        <v>69</v>
      </c>
      <c r="E128" s="963">
        <v>0</v>
      </c>
      <c r="F128" s="963">
        <v>0</v>
      </c>
      <c r="G128" s="963">
        <v>0</v>
      </c>
      <c r="H128" s="963">
        <v>0</v>
      </c>
      <c r="I128" s="963">
        <v>0</v>
      </c>
      <c r="J128" s="963">
        <v>0</v>
      </c>
      <c r="K128" s="963">
        <v>0</v>
      </c>
      <c r="L128" s="963">
        <v>0</v>
      </c>
      <c r="M128" s="963">
        <v>0</v>
      </c>
      <c r="N128" s="963">
        <v>0</v>
      </c>
      <c r="O128" s="963">
        <v>0</v>
      </c>
      <c r="P128" s="963">
        <v>0</v>
      </c>
      <c r="Q128" s="963">
        <f t="shared" si="6"/>
        <v>0</v>
      </c>
      <c r="R128" s="962"/>
    </row>
    <row r="129" spans="2:18">
      <c r="B129" s="901" t="s">
        <v>2917</v>
      </c>
      <c r="C129" s="956" t="s">
        <v>787</v>
      </c>
      <c r="D129" s="956">
        <v>69</v>
      </c>
      <c r="E129" s="963">
        <v>4915</v>
      </c>
      <c r="F129" s="963">
        <v>4626</v>
      </c>
      <c r="G129" s="963">
        <v>5486</v>
      </c>
      <c r="H129" s="963">
        <v>3527</v>
      </c>
      <c r="I129" s="963">
        <v>2258</v>
      </c>
      <c r="J129" s="963">
        <v>645</v>
      </c>
      <c r="K129" s="963">
        <v>367</v>
      </c>
      <c r="L129" s="963">
        <v>155</v>
      </c>
      <c r="M129" s="963">
        <v>138</v>
      </c>
      <c r="N129" s="963">
        <v>619</v>
      </c>
      <c r="O129" s="963">
        <v>2955</v>
      </c>
      <c r="P129" s="963">
        <v>3958</v>
      </c>
      <c r="Q129" s="963">
        <f t="shared" si="6"/>
        <v>29649</v>
      </c>
      <c r="R129" s="962"/>
    </row>
    <row r="130" spans="2:18">
      <c r="B130" s="901" t="s">
        <v>2918</v>
      </c>
      <c r="C130" s="956" t="s">
        <v>788</v>
      </c>
      <c r="D130" s="956">
        <v>69</v>
      </c>
      <c r="E130" s="963">
        <v>4626</v>
      </c>
      <c r="F130" s="963">
        <v>5486</v>
      </c>
      <c r="G130" s="963">
        <v>3527</v>
      </c>
      <c r="H130" s="963">
        <v>2258</v>
      </c>
      <c r="I130" s="963">
        <v>645</v>
      </c>
      <c r="J130" s="963">
        <v>367</v>
      </c>
      <c r="K130" s="963">
        <v>155</v>
      </c>
      <c r="L130" s="963">
        <v>138</v>
      </c>
      <c r="M130" s="963">
        <v>619</v>
      </c>
      <c r="N130" s="963">
        <v>2955</v>
      </c>
      <c r="O130" s="963">
        <v>3958</v>
      </c>
      <c r="P130" s="963">
        <v>4552</v>
      </c>
      <c r="Q130" s="963">
        <f t="shared" si="6"/>
        <v>29286</v>
      </c>
      <c r="R130" s="962"/>
    </row>
    <row r="131" spans="2:18">
      <c r="B131" s="901" t="s">
        <v>2886</v>
      </c>
      <c r="C131" s="956" t="s">
        <v>789</v>
      </c>
      <c r="D131" s="956">
        <v>69</v>
      </c>
      <c r="E131" s="963">
        <v>4626</v>
      </c>
      <c r="F131" s="963">
        <v>5486</v>
      </c>
      <c r="G131" s="963">
        <v>3527</v>
      </c>
      <c r="H131" s="963">
        <v>2258</v>
      </c>
      <c r="I131" s="963">
        <v>645</v>
      </c>
      <c r="J131" s="963">
        <v>367</v>
      </c>
      <c r="K131" s="963">
        <v>155</v>
      </c>
      <c r="L131" s="963">
        <v>138</v>
      </c>
      <c r="M131" s="963">
        <v>619</v>
      </c>
      <c r="N131" s="963">
        <v>2955</v>
      </c>
      <c r="O131" s="963">
        <v>3958</v>
      </c>
      <c r="P131" s="963">
        <v>4552</v>
      </c>
      <c r="Q131" s="963">
        <f t="shared" si="6"/>
        <v>29286</v>
      </c>
      <c r="R131" s="962"/>
    </row>
    <row r="132" spans="2:18">
      <c r="B132" s="964" t="s">
        <v>2673</v>
      </c>
      <c r="E132" s="963"/>
      <c r="F132" s="963"/>
      <c r="G132" s="963"/>
      <c r="H132" s="963"/>
      <c r="I132" s="963"/>
      <c r="J132" s="963"/>
      <c r="K132" s="963"/>
      <c r="L132" s="963"/>
      <c r="M132" s="963"/>
      <c r="N132" s="963"/>
      <c r="O132" s="963"/>
      <c r="P132" s="963"/>
      <c r="Q132" s="963">
        <f t="shared" si="6"/>
        <v>0</v>
      </c>
      <c r="R132" s="962"/>
    </row>
    <row r="133" spans="2:18">
      <c r="B133" s="901" t="s">
        <v>2919</v>
      </c>
      <c r="C133" s="956" t="s">
        <v>780</v>
      </c>
      <c r="D133" s="956">
        <v>113</v>
      </c>
      <c r="E133" s="963">
        <v>3496.4</v>
      </c>
      <c r="F133" s="963">
        <v>3291.63</v>
      </c>
      <c r="G133" s="963">
        <v>3900.98</v>
      </c>
      <c r="H133" s="963">
        <v>2512.89</v>
      </c>
      <c r="I133" s="963">
        <v>1796.01</v>
      </c>
      <c r="J133" s="963">
        <v>522.88</v>
      </c>
      <c r="K133" s="963">
        <v>303.45999999999998</v>
      </c>
      <c r="L133" s="963">
        <v>136.11000000000001</v>
      </c>
      <c r="M133" s="963">
        <v>122.71</v>
      </c>
      <c r="N133" s="963">
        <v>502.37</v>
      </c>
      <c r="O133" s="963">
        <v>2346.13</v>
      </c>
      <c r="P133" s="963">
        <v>3511.89</v>
      </c>
      <c r="Q133" s="963">
        <f t="shared" si="6"/>
        <v>22443.46</v>
      </c>
      <c r="R133" s="962"/>
    </row>
    <row r="134" spans="2:18">
      <c r="B134" s="901" t="s">
        <v>2920</v>
      </c>
      <c r="C134" s="956" t="s">
        <v>781</v>
      </c>
      <c r="D134" s="956">
        <v>113</v>
      </c>
      <c r="E134" s="963">
        <v>0</v>
      </c>
      <c r="F134" s="963">
        <v>0</v>
      </c>
      <c r="G134" s="963">
        <v>0</v>
      </c>
      <c r="H134" s="963">
        <v>0</v>
      </c>
      <c r="I134" s="963">
        <v>0</v>
      </c>
      <c r="J134" s="963">
        <v>0</v>
      </c>
      <c r="K134" s="963">
        <v>0</v>
      </c>
      <c r="L134" s="963">
        <v>0</v>
      </c>
      <c r="M134" s="963">
        <v>0</v>
      </c>
      <c r="N134" s="963">
        <v>0</v>
      </c>
      <c r="O134" s="963">
        <v>0</v>
      </c>
      <c r="P134" s="963">
        <v>0</v>
      </c>
      <c r="Q134" s="963">
        <f t="shared" si="6"/>
        <v>0</v>
      </c>
      <c r="R134" s="962"/>
    </row>
    <row r="135" spans="2:18">
      <c r="B135" s="901" t="s">
        <v>2921</v>
      </c>
      <c r="C135" s="956" t="s">
        <v>782</v>
      </c>
      <c r="D135" s="956">
        <v>113</v>
      </c>
      <c r="E135" s="963">
        <v>0</v>
      </c>
      <c r="F135" s="963">
        <v>0</v>
      </c>
      <c r="G135" s="963">
        <v>0</v>
      </c>
      <c r="H135" s="963">
        <v>0</v>
      </c>
      <c r="I135" s="963">
        <v>0</v>
      </c>
      <c r="J135" s="963">
        <v>0</v>
      </c>
      <c r="K135" s="963">
        <v>0</v>
      </c>
      <c r="L135" s="963">
        <v>0</v>
      </c>
      <c r="M135" s="963">
        <v>0</v>
      </c>
      <c r="N135" s="963">
        <v>0</v>
      </c>
      <c r="O135" s="963">
        <v>0</v>
      </c>
      <c r="P135" s="963">
        <v>0</v>
      </c>
      <c r="Q135" s="963">
        <f t="shared" si="6"/>
        <v>0</v>
      </c>
      <c r="R135" s="962"/>
    </row>
    <row r="136" spans="2:18">
      <c r="B136" s="901" t="s">
        <v>2922</v>
      </c>
      <c r="C136" s="956" t="s">
        <v>783</v>
      </c>
      <c r="D136" s="956">
        <v>113</v>
      </c>
      <c r="E136" s="963">
        <v>-942.9</v>
      </c>
      <c r="F136" s="963">
        <v>-1175.6400000000001</v>
      </c>
      <c r="G136" s="963">
        <v>-737.9</v>
      </c>
      <c r="H136" s="963">
        <v>-474.31</v>
      </c>
      <c r="I136" s="963">
        <v>-118.05</v>
      </c>
      <c r="J136" s="963">
        <v>-61.08</v>
      </c>
      <c r="K136" s="963">
        <v>-11.42</v>
      </c>
      <c r="L136" s="963">
        <v>-10.34</v>
      </c>
      <c r="M136" s="963">
        <v>-111.2</v>
      </c>
      <c r="N136" s="963">
        <v>-624.46</v>
      </c>
      <c r="O136" s="963">
        <v>-826.12</v>
      </c>
      <c r="P136" s="963">
        <v>-926.42</v>
      </c>
      <c r="Q136" s="963">
        <f t="shared" si="6"/>
        <v>-6019.84</v>
      </c>
      <c r="R136" s="962"/>
    </row>
    <row r="137" spans="2:18">
      <c r="B137" s="901" t="s">
        <v>2750</v>
      </c>
      <c r="C137" s="956" t="s">
        <v>784</v>
      </c>
      <c r="D137" s="956">
        <v>113</v>
      </c>
      <c r="E137" s="963">
        <v>127.98</v>
      </c>
      <c r="F137" s="963">
        <v>154.93</v>
      </c>
      <c r="G137" s="963">
        <v>93.03</v>
      </c>
      <c r="H137" s="963">
        <v>59.52</v>
      </c>
      <c r="I137" s="963">
        <v>13.72</v>
      </c>
      <c r="J137" s="963">
        <v>9.49</v>
      </c>
      <c r="K137" s="963">
        <v>3.76</v>
      </c>
      <c r="L137" s="963">
        <v>3.79</v>
      </c>
      <c r="M137" s="963">
        <v>18.489999999999998</v>
      </c>
      <c r="N137" s="963">
        <v>88.36</v>
      </c>
      <c r="O137" s="963">
        <v>-10.95</v>
      </c>
      <c r="P137" s="963">
        <v>-13.86</v>
      </c>
      <c r="Q137" s="963">
        <f t="shared" si="6"/>
        <v>548.26</v>
      </c>
      <c r="R137" s="962"/>
    </row>
    <row r="138" spans="2:18">
      <c r="B138" s="901" t="s">
        <v>2751</v>
      </c>
      <c r="C138" s="956" t="s">
        <v>785</v>
      </c>
      <c r="D138" s="956">
        <v>113</v>
      </c>
      <c r="Q138" s="963">
        <f t="shared" si="6"/>
        <v>0</v>
      </c>
      <c r="R138" s="962"/>
    </row>
    <row r="139" spans="2:18">
      <c r="B139" s="901" t="s">
        <v>2451</v>
      </c>
      <c r="C139" s="956" t="s">
        <v>786</v>
      </c>
      <c r="D139" s="956">
        <v>113</v>
      </c>
      <c r="Q139" s="963">
        <f t="shared" si="6"/>
        <v>0</v>
      </c>
      <c r="R139" s="962"/>
    </row>
    <row r="140" spans="2:18">
      <c r="B140" s="901" t="s">
        <v>2697</v>
      </c>
      <c r="C140" s="956" t="s">
        <v>787</v>
      </c>
      <c r="D140" s="956">
        <v>113</v>
      </c>
      <c r="E140" s="963">
        <v>3482.9300000000003</v>
      </c>
      <c r="F140" s="963">
        <v>3278.9500000000003</v>
      </c>
      <c r="G140" s="963">
        <v>3885.95</v>
      </c>
      <c r="H140" s="963">
        <v>2503.23</v>
      </c>
      <c r="I140" s="963">
        <v>1789.82</v>
      </c>
      <c r="J140" s="963">
        <v>521.11</v>
      </c>
      <c r="K140" s="963">
        <v>302.45</v>
      </c>
      <c r="L140" s="963">
        <v>135.69000000000003</v>
      </c>
      <c r="M140" s="963">
        <v>122.33</v>
      </c>
      <c r="N140" s="963">
        <v>500.67</v>
      </c>
      <c r="O140" s="963">
        <v>2338.0300000000002</v>
      </c>
      <c r="P140" s="963">
        <v>3501.24</v>
      </c>
      <c r="Q140" s="963">
        <f>-SUM(E140:P140)</f>
        <v>-22362.400000000001</v>
      </c>
      <c r="R140" s="962"/>
    </row>
    <row r="141" spans="2:18">
      <c r="B141" s="901" t="s">
        <v>2698</v>
      </c>
      <c r="C141" s="956" t="s">
        <v>788</v>
      </c>
      <c r="D141" s="956">
        <v>113</v>
      </c>
      <c r="E141" s="963">
        <v>3278.9500000000003</v>
      </c>
      <c r="F141" s="963">
        <v>3885.95</v>
      </c>
      <c r="G141" s="963">
        <v>2503.23</v>
      </c>
      <c r="H141" s="963">
        <v>1789.82</v>
      </c>
      <c r="I141" s="963">
        <v>521.11</v>
      </c>
      <c r="J141" s="963">
        <v>302.45</v>
      </c>
      <c r="K141" s="963">
        <v>135.69000000000003</v>
      </c>
      <c r="L141" s="963">
        <v>122.33</v>
      </c>
      <c r="M141" s="963">
        <v>500.67</v>
      </c>
      <c r="N141" s="963">
        <v>2338.0300000000002</v>
      </c>
      <c r="O141" s="963">
        <v>3501.24</v>
      </c>
      <c r="P141" s="963">
        <v>4024.61</v>
      </c>
      <c r="Q141" s="963">
        <f t="shared" si="6"/>
        <v>22904.080000000002</v>
      </c>
      <c r="R141" s="962"/>
    </row>
    <row r="142" spans="2:18">
      <c r="B142" s="901" t="s">
        <v>2884</v>
      </c>
      <c r="C142" s="956" t="s">
        <v>789</v>
      </c>
      <c r="D142" s="956">
        <v>113</v>
      </c>
      <c r="E142" s="963">
        <v>2477.5</v>
      </c>
      <c r="F142" s="963">
        <v>2877.9199999999992</v>
      </c>
      <c r="G142" s="963">
        <v>1873.3900000000003</v>
      </c>
      <c r="H142" s="963">
        <v>1384.6899999999998</v>
      </c>
      <c r="I142" s="963">
        <v>422.97000000000014</v>
      </c>
      <c r="J142" s="963">
        <v>252.63</v>
      </c>
      <c r="K142" s="963">
        <v>129.04</v>
      </c>
      <c r="L142" s="963">
        <v>116.19999999999997</v>
      </c>
      <c r="M142" s="963">
        <v>408.34000000000003</v>
      </c>
      <c r="N142" s="963">
        <v>1803.63</v>
      </c>
      <c r="O142" s="963">
        <v>2672.2699999999995</v>
      </c>
      <c r="P142" s="963">
        <v>3094.98</v>
      </c>
      <c r="Q142" s="963">
        <f t="shared" si="6"/>
        <v>17513.560000000001</v>
      </c>
      <c r="R142" s="962"/>
    </row>
    <row r="143" spans="2:18">
      <c r="B143" s="964" t="s">
        <v>2673</v>
      </c>
      <c r="E143" s="963"/>
      <c r="F143" s="963"/>
      <c r="G143" s="963"/>
      <c r="H143" s="963"/>
      <c r="I143" s="963"/>
      <c r="J143" s="963"/>
      <c r="K143" s="963"/>
      <c r="L143" s="963"/>
      <c r="M143" s="963"/>
      <c r="N143" s="963"/>
      <c r="O143" s="963"/>
      <c r="P143" s="963"/>
      <c r="Q143" s="963">
        <f t="shared" si="6"/>
        <v>0</v>
      </c>
      <c r="R143" s="962"/>
    </row>
    <row r="144" spans="2:18">
      <c r="B144" s="964"/>
      <c r="E144" s="963"/>
      <c r="F144" s="963"/>
      <c r="G144" s="963"/>
      <c r="H144" s="963"/>
      <c r="I144" s="963"/>
      <c r="J144" s="963"/>
      <c r="K144" s="963"/>
      <c r="L144" s="963"/>
      <c r="M144" s="963"/>
      <c r="N144" s="963"/>
      <c r="O144" s="963"/>
      <c r="P144" s="963"/>
      <c r="Q144" s="963">
        <f t="shared" si="6"/>
        <v>0</v>
      </c>
      <c r="R144" s="962"/>
    </row>
    <row r="145" spans="2:18">
      <c r="B145" s="960" t="s">
        <v>2931</v>
      </c>
      <c r="E145" s="967"/>
      <c r="F145" s="967"/>
      <c r="G145" s="967"/>
      <c r="H145" s="967"/>
      <c r="I145" s="967"/>
      <c r="J145" s="967"/>
      <c r="K145" s="967"/>
      <c r="L145" s="967"/>
      <c r="M145" s="967"/>
      <c r="N145" s="967"/>
      <c r="O145" s="967"/>
      <c r="P145" s="967"/>
      <c r="Q145" s="963">
        <f t="shared" si="6"/>
        <v>0</v>
      </c>
      <c r="R145" s="962"/>
    </row>
    <row r="146" spans="2:18">
      <c r="B146" s="901" t="s">
        <v>2514</v>
      </c>
      <c r="C146" s="956" t="s">
        <v>780</v>
      </c>
      <c r="D146" s="956">
        <v>75</v>
      </c>
      <c r="E146" s="963">
        <v>79</v>
      </c>
      <c r="F146" s="963">
        <v>7</v>
      </c>
      <c r="G146" s="963">
        <v>0</v>
      </c>
      <c r="H146" s="963">
        <v>0</v>
      </c>
      <c r="I146" s="963">
        <v>128</v>
      </c>
      <c r="J146" s="963">
        <v>151</v>
      </c>
      <c r="K146" s="963">
        <v>0</v>
      </c>
      <c r="L146" s="963">
        <v>163</v>
      </c>
      <c r="M146" s="963">
        <v>0</v>
      </c>
      <c r="N146" s="963">
        <v>0</v>
      </c>
      <c r="O146" s="963">
        <v>0</v>
      </c>
      <c r="P146" s="963">
        <v>0</v>
      </c>
      <c r="Q146" s="963">
        <f t="shared" si="6"/>
        <v>528</v>
      </c>
      <c r="R146" s="962"/>
    </row>
    <row r="147" spans="2:18">
      <c r="B147" s="901" t="s">
        <v>2915</v>
      </c>
      <c r="C147" s="956" t="s">
        <v>781</v>
      </c>
      <c r="D147" s="956">
        <v>75</v>
      </c>
      <c r="E147" s="963">
        <v>0</v>
      </c>
      <c r="F147" s="963">
        <v>0</v>
      </c>
      <c r="G147" s="963">
        <v>0</v>
      </c>
      <c r="H147" s="963">
        <v>0</v>
      </c>
      <c r="I147" s="963">
        <v>0</v>
      </c>
      <c r="J147" s="963">
        <v>0</v>
      </c>
      <c r="K147" s="963">
        <v>0</v>
      </c>
      <c r="L147" s="963">
        <v>0</v>
      </c>
      <c r="M147" s="963">
        <v>0</v>
      </c>
      <c r="N147" s="963">
        <v>0</v>
      </c>
      <c r="O147" s="963">
        <v>0</v>
      </c>
      <c r="P147" s="963">
        <v>0</v>
      </c>
      <c r="Q147" s="963">
        <f t="shared" si="6"/>
        <v>0</v>
      </c>
      <c r="R147" s="962"/>
    </row>
    <row r="148" spans="2:18">
      <c r="B148" s="901" t="s">
        <v>2916</v>
      </c>
      <c r="C148" s="956" t="s">
        <v>782</v>
      </c>
      <c r="D148" s="956">
        <v>75</v>
      </c>
      <c r="E148" s="963">
        <v>0</v>
      </c>
      <c r="F148" s="963">
        <v>0</v>
      </c>
      <c r="G148" s="963">
        <v>0</v>
      </c>
      <c r="H148" s="965">
        <v>0</v>
      </c>
      <c r="I148" s="965">
        <v>0</v>
      </c>
      <c r="J148" s="965">
        <v>0</v>
      </c>
      <c r="K148" s="965">
        <v>0</v>
      </c>
      <c r="L148" s="965">
        <v>0</v>
      </c>
      <c r="M148" s="965">
        <v>0</v>
      </c>
      <c r="N148" s="965">
        <v>0</v>
      </c>
      <c r="O148" s="965">
        <v>0</v>
      </c>
      <c r="P148" s="965">
        <v>0</v>
      </c>
      <c r="Q148" s="963">
        <f t="shared" si="6"/>
        <v>0</v>
      </c>
      <c r="R148" s="962"/>
    </row>
    <row r="149" spans="2:18">
      <c r="B149" s="901" t="s">
        <v>2917</v>
      </c>
      <c r="C149" s="956" t="s">
        <v>787</v>
      </c>
      <c r="D149" s="956">
        <v>75</v>
      </c>
      <c r="E149" s="963">
        <v>79</v>
      </c>
      <c r="F149" s="963">
        <v>7</v>
      </c>
      <c r="G149" s="963">
        <v>0</v>
      </c>
      <c r="H149" s="965">
        <v>0</v>
      </c>
      <c r="I149" s="965">
        <v>128</v>
      </c>
      <c r="J149" s="965">
        <v>151</v>
      </c>
      <c r="K149" s="965">
        <v>0</v>
      </c>
      <c r="L149" s="965">
        <v>163</v>
      </c>
      <c r="M149" s="965">
        <v>0</v>
      </c>
      <c r="N149" s="965">
        <v>0</v>
      </c>
      <c r="O149" s="965">
        <v>0</v>
      </c>
      <c r="P149" s="965">
        <v>0</v>
      </c>
      <c r="Q149" s="963">
        <f t="shared" si="6"/>
        <v>528</v>
      </c>
      <c r="R149" s="962"/>
    </row>
    <row r="150" spans="2:18">
      <c r="B150" s="901" t="s">
        <v>2918</v>
      </c>
      <c r="C150" s="956" t="s">
        <v>788</v>
      </c>
      <c r="D150" s="956">
        <v>75</v>
      </c>
      <c r="E150" s="963">
        <v>7</v>
      </c>
      <c r="F150" s="963">
        <v>0</v>
      </c>
      <c r="G150" s="963">
        <v>0</v>
      </c>
      <c r="H150" s="965">
        <v>128</v>
      </c>
      <c r="I150" s="965">
        <v>151</v>
      </c>
      <c r="J150" s="965">
        <v>0</v>
      </c>
      <c r="K150" s="965">
        <v>163</v>
      </c>
      <c r="L150" s="965">
        <v>0</v>
      </c>
      <c r="M150" s="965">
        <v>411</v>
      </c>
      <c r="N150" s="965">
        <v>0</v>
      </c>
      <c r="O150" s="965">
        <v>0</v>
      </c>
      <c r="P150" s="965">
        <v>0</v>
      </c>
      <c r="Q150" s="963">
        <f t="shared" si="6"/>
        <v>860</v>
      </c>
      <c r="R150" s="962"/>
    </row>
    <row r="151" spans="2:18">
      <c r="B151" s="901" t="s">
        <v>2886</v>
      </c>
      <c r="C151" s="956" t="s">
        <v>789</v>
      </c>
      <c r="D151" s="956">
        <v>75</v>
      </c>
      <c r="E151" s="963">
        <v>7</v>
      </c>
      <c r="F151" s="963">
        <v>0</v>
      </c>
      <c r="G151" s="963">
        <v>0</v>
      </c>
      <c r="H151" s="965">
        <v>128</v>
      </c>
      <c r="I151" s="965">
        <v>151</v>
      </c>
      <c r="J151" s="965">
        <v>0</v>
      </c>
      <c r="K151" s="965">
        <v>163</v>
      </c>
      <c r="L151" s="965">
        <v>0</v>
      </c>
      <c r="M151" s="965">
        <v>411</v>
      </c>
      <c r="N151" s="965">
        <v>0</v>
      </c>
      <c r="O151" s="965">
        <v>0</v>
      </c>
      <c r="P151" s="965">
        <v>0</v>
      </c>
      <c r="Q151" s="963">
        <f t="shared" si="6"/>
        <v>860</v>
      </c>
      <c r="R151" s="962"/>
    </row>
    <row r="152" spans="2:18">
      <c r="B152" s="964" t="s">
        <v>2673</v>
      </c>
      <c r="E152" s="963"/>
      <c r="F152" s="963"/>
      <c r="G152" s="963"/>
      <c r="H152" s="965"/>
      <c r="I152" s="965"/>
      <c r="J152" s="965"/>
      <c r="K152" s="965"/>
      <c r="L152" s="965"/>
      <c r="M152" s="965"/>
      <c r="N152" s="965"/>
      <c r="O152" s="965"/>
      <c r="P152" s="965"/>
      <c r="Q152" s="963">
        <f t="shared" si="6"/>
        <v>0</v>
      </c>
      <c r="R152" s="962"/>
    </row>
    <row r="153" spans="2:18">
      <c r="B153" s="901" t="s">
        <v>2919</v>
      </c>
      <c r="C153" s="956" t="s">
        <v>780</v>
      </c>
      <c r="D153" s="956">
        <v>110</v>
      </c>
      <c r="E153" s="963">
        <v>110.31</v>
      </c>
      <c r="F153" s="963">
        <v>64.459999999999994</v>
      </c>
      <c r="G153" s="963">
        <v>60</v>
      </c>
      <c r="H153" s="965">
        <v>60</v>
      </c>
      <c r="I153" s="965">
        <v>151.29</v>
      </c>
      <c r="J153" s="965">
        <v>167.68</v>
      </c>
      <c r="K153" s="965">
        <v>60</v>
      </c>
      <c r="L153" s="965">
        <v>176.24</v>
      </c>
      <c r="M153" s="965">
        <v>60</v>
      </c>
      <c r="N153" s="965">
        <v>353.09</v>
      </c>
      <c r="O153" s="965">
        <v>286.06</v>
      </c>
      <c r="P153" s="965">
        <v>433.68</v>
      </c>
      <c r="Q153" s="963">
        <f t="shared" si="6"/>
        <v>1982.81</v>
      </c>
      <c r="R153" s="962"/>
    </row>
    <row r="154" spans="2:18">
      <c r="B154" s="901" t="s">
        <v>2920</v>
      </c>
      <c r="C154" s="956" t="s">
        <v>781</v>
      </c>
      <c r="D154" s="956">
        <v>110</v>
      </c>
      <c r="E154" s="963">
        <v>0</v>
      </c>
      <c r="F154" s="963">
        <v>0</v>
      </c>
      <c r="G154" s="963">
        <v>0</v>
      </c>
      <c r="H154" s="965">
        <v>0</v>
      </c>
      <c r="I154" s="965">
        <v>0</v>
      </c>
      <c r="J154" s="965">
        <v>0</v>
      </c>
      <c r="K154" s="965">
        <v>0</v>
      </c>
      <c r="L154" s="965">
        <v>0</v>
      </c>
      <c r="M154" s="965">
        <v>0</v>
      </c>
      <c r="N154" s="965">
        <v>0</v>
      </c>
      <c r="O154" s="965">
        <v>0</v>
      </c>
      <c r="P154" s="965">
        <v>0</v>
      </c>
      <c r="Q154" s="963">
        <f t="shared" si="6"/>
        <v>0</v>
      </c>
      <c r="R154" s="962"/>
    </row>
    <row r="155" spans="2:18">
      <c r="B155" s="901" t="s">
        <v>2921</v>
      </c>
      <c r="C155" s="956" t="s">
        <v>782</v>
      </c>
      <c r="D155" s="956">
        <v>110</v>
      </c>
      <c r="E155" s="963">
        <v>0</v>
      </c>
      <c r="F155" s="963">
        <v>0</v>
      </c>
      <c r="G155" s="963">
        <v>0</v>
      </c>
      <c r="H155" s="965">
        <v>0</v>
      </c>
      <c r="I155" s="965">
        <v>0</v>
      </c>
      <c r="J155" s="965">
        <v>0</v>
      </c>
      <c r="K155" s="965">
        <v>0</v>
      </c>
      <c r="L155" s="965">
        <v>0</v>
      </c>
      <c r="M155" s="965">
        <v>0</v>
      </c>
      <c r="N155" s="965">
        <v>0</v>
      </c>
      <c r="O155" s="965">
        <v>0</v>
      </c>
      <c r="P155" s="965">
        <v>0</v>
      </c>
      <c r="Q155" s="963">
        <f t="shared" si="6"/>
        <v>0</v>
      </c>
      <c r="R155" s="962"/>
    </row>
    <row r="156" spans="2:18">
      <c r="B156" s="901" t="s">
        <v>2922</v>
      </c>
      <c r="C156" s="956" t="s">
        <v>783</v>
      </c>
      <c r="D156" s="956">
        <v>110</v>
      </c>
      <c r="E156" s="963">
        <v>496.98</v>
      </c>
      <c r="F156" s="963">
        <v>423.12</v>
      </c>
      <c r="G156" s="963">
        <v>397.9</v>
      </c>
      <c r="H156" s="965">
        <v>266.26</v>
      </c>
      <c r="I156" s="965">
        <v>183.26</v>
      </c>
      <c r="J156" s="965">
        <v>189.53</v>
      </c>
      <c r="K156" s="965">
        <v>123.4</v>
      </c>
      <c r="L156" s="965">
        <v>161.43</v>
      </c>
      <c r="M156" s="965">
        <v>136.33000000000001</v>
      </c>
      <c r="N156" s="965">
        <v>374.05</v>
      </c>
      <c r="O156" s="965">
        <v>220.38</v>
      </c>
      <c r="P156" s="965">
        <v>383.84</v>
      </c>
      <c r="Q156" s="963">
        <f t="shared" si="6"/>
        <v>3356.48</v>
      </c>
      <c r="R156" s="962"/>
    </row>
    <row r="157" spans="2:18">
      <c r="B157" s="901" t="s">
        <v>2750</v>
      </c>
      <c r="C157" s="956" t="s">
        <v>784</v>
      </c>
      <c r="D157" s="956">
        <v>110</v>
      </c>
      <c r="E157" s="963">
        <v>-0.15</v>
      </c>
      <c r="F157" s="963">
        <v>-0.01</v>
      </c>
      <c r="G157" s="963">
        <v>0</v>
      </c>
      <c r="H157" s="965">
        <v>-0.41</v>
      </c>
      <c r="I157" s="965">
        <v>-0.69</v>
      </c>
      <c r="J157" s="965">
        <v>-0.24</v>
      </c>
      <c r="K157" s="965">
        <v>-0.52</v>
      </c>
      <c r="L157" s="965">
        <v>-0.26</v>
      </c>
      <c r="M157" s="965">
        <v>-1.32</v>
      </c>
      <c r="N157" s="965">
        <v>-1.69</v>
      </c>
      <c r="O157" s="965">
        <v>2.36</v>
      </c>
      <c r="P157" s="965">
        <v>0.74</v>
      </c>
      <c r="Q157" s="963">
        <f t="shared" si="6"/>
        <v>-2.1899999999999995</v>
      </c>
      <c r="R157" s="962"/>
    </row>
    <row r="158" spans="2:18">
      <c r="B158" s="901" t="s">
        <v>2751</v>
      </c>
      <c r="C158" s="956" t="s">
        <v>785</v>
      </c>
      <c r="D158" s="956">
        <v>110</v>
      </c>
      <c r="E158" s="963">
        <v>0</v>
      </c>
      <c r="F158" s="963">
        <v>0</v>
      </c>
      <c r="G158" s="963">
        <v>0</v>
      </c>
      <c r="H158" s="965">
        <v>0</v>
      </c>
      <c r="I158" s="965">
        <v>0</v>
      </c>
      <c r="J158" s="965">
        <v>0</v>
      </c>
      <c r="K158" s="965">
        <v>0</v>
      </c>
      <c r="L158" s="965">
        <v>0</v>
      </c>
      <c r="M158" s="965">
        <v>0</v>
      </c>
      <c r="N158" s="965">
        <v>0</v>
      </c>
      <c r="O158" s="965">
        <v>0</v>
      </c>
      <c r="P158" s="965">
        <v>0</v>
      </c>
      <c r="Q158" s="963">
        <f t="shared" si="6"/>
        <v>0</v>
      </c>
      <c r="R158" s="962"/>
    </row>
    <row r="159" spans="2:18">
      <c r="B159" s="901" t="s">
        <v>2451</v>
      </c>
      <c r="C159" s="956" t="s">
        <v>786</v>
      </c>
      <c r="D159" s="956">
        <v>110</v>
      </c>
      <c r="E159" s="963">
        <v>0</v>
      </c>
      <c r="F159" s="963">
        <v>0</v>
      </c>
      <c r="G159" s="963">
        <v>0</v>
      </c>
      <c r="H159" s="965">
        <v>0</v>
      </c>
      <c r="I159" s="965">
        <v>0</v>
      </c>
      <c r="J159" s="965">
        <v>0</v>
      </c>
      <c r="K159" s="965">
        <v>0</v>
      </c>
      <c r="L159" s="965">
        <v>0</v>
      </c>
      <c r="M159" s="965">
        <v>24</v>
      </c>
      <c r="N159" s="965">
        <v>-24</v>
      </c>
      <c r="O159" s="965">
        <v>0</v>
      </c>
      <c r="P159" s="965">
        <v>0</v>
      </c>
      <c r="Q159" s="963">
        <f t="shared" si="6"/>
        <v>0</v>
      </c>
      <c r="R159" s="962"/>
    </row>
    <row r="160" spans="2:18">
      <c r="B160" s="901" t="s">
        <v>2697</v>
      </c>
      <c r="C160" s="956" t="s">
        <v>787</v>
      </c>
      <c r="D160" s="956">
        <v>110</v>
      </c>
      <c r="E160" s="963">
        <v>-110.18</v>
      </c>
      <c r="F160" s="963">
        <v>-64.45</v>
      </c>
      <c r="G160" s="963">
        <v>-60</v>
      </c>
      <c r="H160" s="965">
        <v>-60</v>
      </c>
      <c r="I160" s="965">
        <v>-151.07</v>
      </c>
      <c r="J160" s="965">
        <v>-167.42</v>
      </c>
      <c r="K160" s="965">
        <v>-60</v>
      </c>
      <c r="L160" s="965">
        <v>-175.96</v>
      </c>
      <c r="M160" s="965">
        <v>-60</v>
      </c>
      <c r="N160" s="965">
        <v>-352.39</v>
      </c>
      <c r="O160" s="965">
        <v>-285.52</v>
      </c>
      <c r="P160" s="965">
        <v>-432.86</v>
      </c>
      <c r="Q160" s="963">
        <f t="shared" si="6"/>
        <v>-1979.85</v>
      </c>
      <c r="R160" s="962"/>
    </row>
    <row r="161" spans="2:18">
      <c r="B161" s="901" t="s">
        <v>2698</v>
      </c>
      <c r="C161" s="956" t="s">
        <v>788</v>
      </c>
      <c r="D161" s="956">
        <v>110</v>
      </c>
      <c r="E161" s="963">
        <v>64.45</v>
      </c>
      <c r="F161" s="963">
        <v>60</v>
      </c>
      <c r="G161" s="963">
        <v>60</v>
      </c>
      <c r="H161" s="965">
        <v>151.07</v>
      </c>
      <c r="I161" s="965">
        <v>167.42</v>
      </c>
      <c r="J161" s="965">
        <v>60</v>
      </c>
      <c r="K161" s="965">
        <v>175.96</v>
      </c>
      <c r="L161" s="965">
        <v>60</v>
      </c>
      <c r="M161" s="965">
        <v>352.39</v>
      </c>
      <c r="N161" s="965">
        <v>285.52</v>
      </c>
      <c r="O161" s="965">
        <v>432.86</v>
      </c>
      <c r="P161" s="965">
        <v>258.19</v>
      </c>
      <c r="Q161" s="963">
        <f t="shared" si="6"/>
        <v>2127.86</v>
      </c>
      <c r="R161" s="962"/>
    </row>
    <row r="162" spans="2:18">
      <c r="B162" s="901" t="s">
        <v>2884</v>
      </c>
      <c r="C162" s="956" t="s">
        <v>789</v>
      </c>
      <c r="D162" s="956">
        <v>110</v>
      </c>
      <c r="E162" s="963">
        <f>SUM(E153:E161)</f>
        <v>561.41</v>
      </c>
      <c r="F162" s="963">
        <f t="shared" ref="F162:P162" si="8">SUM(F153:F161)</f>
        <v>483.12</v>
      </c>
      <c r="G162" s="963">
        <f t="shared" si="8"/>
        <v>457.9</v>
      </c>
      <c r="H162" s="965">
        <f>SUM(H153:H161)</f>
        <v>416.91999999999996</v>
      </c>
      <c r="I162" s="965">
        <f t="shared" si="8"/>
        <v>350.20999999999992</v>
      </c>
      <c r="J162" s="965">
        <f t="shared" si="8"/>
        <v>249.55000000000004</v>
      </c>
      <c r="K162" s="965">
        <f t="shared" si="8"/>
        <v>298.84000000000003</v>
      </c>
      <c r="L162" s="965">
        <f t="shared" si="8"/>
        <v>221.45000000000002</v>
      </c>
      <c r="M162" s="965">
        <f t="shared" si="8"/>
        <v>511.4</v>
      </c>
      <c r="N162" s="965">
        <f t="shared" si="8"/>
        <v>634.57999999999993</v>
      </c>
      <c r="O162" s="965">
        <f t="shared" si="8"/>
        <v>656.1400000000001</v>
      </c>
      <c r="P162" s="965">
        <f t="shared" si="8"/>
        <v>643.58999999999992</v>
      </c>
      <c r="Q162" s="963">
        <f>SUM(E162:P162)</f>
        <v>5485.1100000000006</v>
      </c>
      <c r="R162" s="962"/>
    </row>
    <row r="163" spans="2:18">
      <c r="B163" s="964" t="s">
        <v>2673</v>
      </c>
      <c r="E163" s="963"/>
      <c r="F163" s="963"/>
      <c r="G163" s="963"/>
      <c r="H163" s="965"/>
      <c r="I163" s="965"/>
      <c r="J163" s="965"/>
      <c r="K163" s="965"/>
      <c r="L163" s="965"/>
      <c r="M163" s="965"/>
      <c r="N163" s="965"/>
      <c r="O163" s="965"/>
      <c r="P163" s="965"/>
      <c r="Q163" s="963">
        <f t="shared" si="6"/>
        <v>0</v>
      </c>
      <c r="R163" s="962"/>
    </row>
    <row r="164" spans="2:18">
      <c r="B164" s="964"/>
      <c r="E164" s="963"/>
      <c r="F164" s="963"/>
      <c r="G164" s="963"/>
      <c r="H164" s="963"/>
      <c r="I164" s="963"/>
      <c r="J164" s="963"/>
      <c r="K164" s="963"/>
      <c r="L164" s="963"/>
      <c r="M164" s="963"/>
      <c r="N164" s="963"/>
      <c r="O164" s="963"/>
      <c r="P164" s="963"/>
      <c r="Q164" s="963"/>
      <c r="R164" s="962"/>
    </row>
    <row r="165" spans="2:18">
      <c r="B165" s="960" t="s">
        <v>2932</v>
      </c>
      <c r="E165" s="961"/>
      <c r="F165" s="961"/>
      <c r="G165" s="961"/>
      <c r="H165" s="961"/>
      <c r="I165" s="961"/>
      <c r="J165" s="961"/>
      <c r="K165" s="961"/>
      <c r="L165" s="961"/>
      <c r="M165" s="961"/>
      <c r="N165" s="961"/>
      <c r="O165" s="961"/>
      <c r="P165" s="961"/>
      <c r="Q165" s="963">
        <f t="shared" si="6"/>
        <v>0</v>
      </c>
      <c r="R165" s="962"/>
    </row>
    <row r="166" spans="2:18">
      <c r="B166" s="901" t="s">
        <v>2514</v>
      </c>
      <c r="C166" s="956" t="s">
        <v>780</v>
      </c>
      <c r="D166" s="956">
        <v>77</v>
      </c>
      <c r="E166" s="963">
        <v>260482</v>
      </c>
      <c r="F166" s="963">
        <v>258811</v>
      </c>
      <c r="G166" s="963">
        <v>270184</v>
      </c>
      <c r="H166" s="963">
        <v>248145</v>
      </c>
      <c r="I166" s="963">
        <v>191467</v>
      </c>
      <c r="J166" s="963">
        <v>142256</v>
      </c>
      <c r="K166" s="963">
        <v>110987</v>
      </c>
      <c r="L166" s="963">
        <v>120028</v>
      </c>
      <c r="M166" s="963">
        <v>93626</v>
      </c>
      <c r="N166" s="963">
        <v>111442</v>
      </c>
      <c r="O166" s="963">
        <v>232820</v>
      </c>
      <c r="P166" s="963">
        <v>230233</v>
      </c>
      <c r="Q166" s="963">
        <f t="shared" si="6"/>
        <v>2270481</v>
      </c>
      <c r="R166" s="962"/>
    </row>
    <row r="167" spans="2:18">
      <c r="B167" s="901" t="s">
        <v>2915</v>
      </c>
      <c r="C167" s="956" t="s">
        <v>781</v>
      </c>
      <c r="D167" s="956">
        <v>77</v>
      </c>
      <c r="E167" s="963">
        <v>0</v>
      </c>
      <c r="F167" s="963">
        <v>0</v>
      </c>
      <c r="G167" s="963">
        <v>0</v>
      </c>
      <c r="H167" s="963">
        <v>0</v>
      </c>
      <c r="I167" s="963">
        <v>0</v>
      </c>
      <c r="J167" s="963">
        <v>0</v>
      </c>
      <c r="K167" s="963">
        <v>0</v>
      </c>
      <c r="L167" s="963">
        <v>0</v>
      </c>
      <c r="M167" s="963">
        <v>0</v>
      </c>
      <c r="N167" s="963">
        <v>0</v>
      </c>
      <c r="O167" s="963">
        <v>0</v>
      </c>
      <c r="P167" s="963">
        <v>0</v>
      </c>
      <c r="Q167" s="963">
        <f t="shared" si="6"/>
        <v>0</v>
      </c>
      <c r="R167" s="962"/>
    </row>
    <row r="168" spans="2:18">
      <c r="B168" s="901" t="s">
        <v>2916</v>
      </c>
      <c r="C168" s="956" t="s">
        <v>782</v>
      </c>
      <c r="D168" s="956">
        <v>77</v>
      </c>
      <c r="E168" s="963">
        <v>0</v>
      </c>
      <c r="F168" s="963">
        <v>0</v>
      </c>
      <c r="G168" s="963">
        <v>0</v>
      </c>
      <c r="H168" s="963">
        <v>0</v>
      </c>
      <c r="I168" s="963">
        <v>0</v>
      </c>
      <c r="J168" s="963">
        <v>0</v>
      </c>
      <c r="K168" s="963">
        <v>0</v>
      </c>
      <c r="L168" s="963">
        <v>0</v>
      </c>
      <c r="M168" s="963">
        <v>0</v>
      </c>
      <c r="N168" s="963">
        <v>0</v>
      </c>
      <c r="O168" s="963">
        <v>0</v>
      </c>
      <c r="P168" s="963">
        <v>0</v>
      </c>
      <c r="Q168" s="963">
        <f t="shared" si="6"/>
        <v>0</v>
      </c>
      <c r="R168" s="962"/>
    </row>
    <row r="169" spans="2:18">
      <c r="B169" s="901" t="s">
        <v>2917</v>
      </c>
      <c r="C169" s="956" t="s">
        <v>787</v>
      </c>
      <c r="D169" s="956">
        <v>77</v>
      </c>
      <c r="E169" s="963">
        <v>260482</v>
      </c>
      <c r="F169" s="963">
        <v>258811</v>
      </c>
      <c r="G169" s="963">
        <v>270184</v>
      </c>
      <c r="H169" s="963">
        <v>248145</v>
      </c>
      <c r="I169" s="963">
        <v>191467</v>
      </c>
      <c r="J169" s="963">
        <v>142256</v>
      </c>
      <c r="K169" s="963">
        <v>110987</v>
      </c>
      <c r="L169" s="963">
        <v>120028</v>
      </c>
      <c r="M169" s="963">
        <v>93626</v>
      </c>
      <c r="N169" s="963">
        <v>111442</v>
      </c>
      <c r="O169" s="963">
        <v>232820</v>
      </c>
      <c r="P169" s="963">
        <v>230233</v>
      </c>
      <c r="Q169" s="963">
        <f t="shared" si="6"/>
        <v>2270481</v>
      </c>
      <c r="R169" s="962"/>
    </row>
    <row r="170" spans="2:18">
      <c r="B170" s="901" t="s">
        <v>2918</v>
      </c>
      <c r="C170" s="956" t="s">
        <v>788</v>
      </c>
      <c r="D170" s="956">
        <v>77</v>
      </c>
      <c r="E170" s="963">
        <v>258811</v>
      </c>
      <c r="F170" s="963">
        <v>270184</v>
      </c>
      <c r="G170" s="963">
        <v>248145</v>
      </c>
      <c r="H170" s="963">
        <v>191467</v>
      </c>
      <c r="I170" s="963">
        <v>142256</v>
      </c>
      <c r="J170" s="963">
        <v>110987</v>
      </c>
      <c r="K170" s="963">
        <v>120028</v>
      </c>
      <c r="L170" s="963">
        <v>93626</v>
      </c>
      <c r="M170" s="963">
        <v>111442</v>
      </c>
      <c r="N170" s="963">
        <v>232820</v>
      </c>
      <c r="O170" s="963">
        <v>230233</v>
      </c>
      <c r="P170" s="963">
        <v>254015</v>
      </c>
      <c r="Q170" s="963">
        <f t="shared" si="6"/>
        <v>2264014</v>
      </c>
      <c r="R170" s="962"/>
    </row>
    <row r="171" spans="2:18">
      <c r="B171" s="901" t="s">
        <v>2886</v>
      </c>
      <c r="C171" s="956" t="s">
        <v>789</v>
      </c>
      <c r="D171" s="956">
        <v>77</v>
      </c>
      <c r="E171" s="963">
        <v>258811</v>
      </c>
      <c r="F171" s="963">
        <v>270184</v>
      </c>
      <c r="G171" s="963">
        <v>248145</v>
      </c>
      <c r="H171" s="963">
        <v>191467</v>
      </c>
      <c r="I171" s="963">
        <v>142256</v>
      </c>
      <c r="J171" s="963">
        <v>110987</v>
      </c>
      <c r="K171" s="963">
        <v>120028</v>
      </c>
      <c r="L171" s="963">
        <v>93626</v>
      </c>
      <c r="M171" s="963">
        <v>111442</v>
      </c>
      <c r="N171" s="963">
        <v>232820</v>
      </c>
      <c r="O171" s="963">
        <v>230234</v>
      </c>
      <c r="P171" s="963">
        <v>254014</v>
      </c>
      <c r="Q171" s="963">
        <f t="shared" si="6"/>
        <v>2264014</v>
      </c>
      <c r="R171" s="962"/>
    </row>
    <row r="172" spans="2:18">
      <c r="B172" s="964" t="s">
        <v>2673</v>
      </c>
      <c r="E172" s="963"/>
      <c r="F172" s="963"/>
      <c r="G172" s="963"/>
      <c r="H172" s="963"/>
      <c r="I172" s="963"/>
      <c r="J172" s="963"/>
      <c r="K172" s="963"/>
      <c r="L172" s="963"/>
      <c r="M172" s="963"/>
      <c r="N172" s="963"/>
      <c r="O172" s="963"/>
      <c r="P172" s="963"/>
      <c r="Q172" s="963">
        <f t="shared" si="6"/>
        <v>0</v>
      </c>
      <c r="R172" s="962"/>
    </row>
    <row r="173" spans="2:18">
      <c r="B173" s="901" t="s">
        <v>2919</v>
      </c>
      <c r="C173" s="956" t="s">
        <v>780</v>
      </c>
      <c r="D173" s="956">
        <v>121</v>
      </c>
      <c r="E173" s="963">
        <v>133452.63</v>
      </c>
      <c r="F173" s="963">
        <v>132641.73000000001</v>
      </c>
      <c r="G173" s="963">
        <v>138156.16</v>
      </c>
      <c r="H173" s="963">
        <v>127236.72</v>
      </c>
      <c r="I173" s="963">
        <v>113617.97</v>
      </c>
      <c r="J173" s="963">
        <v>85436.04</v>
      </c>
      <c r="K173" s="963">
        <v>67458.759999999995</v>
      </c>
      <c r="L173" s="963">
        <v>74035.460000000006</v>
      </c>
      <c r="M173" s="963">
        <v>57805.31</v>
      </c>
      <c r="N173" s="963">
        <v>67921.81</v>
      </c>
      <c r="O173" s="963">
        <v>138946.76999999999</v>
      </c>
      <c r="P173" s="963">
        <v>151680.69</v>
      </c>
      <c r="Q173" s="963">
        <f t="shared" si="6"/>
        <v>1288390.05</v>
      </c>
      <c r="R173" s="962"/>
    </row>
    <row r="174" spans="2:18">
      <c r="B174" s="901" t="s">
        <v>2920</v>
      </c>
      <c r="C174" s="956" t="s">
        <v>781</v>
      </c>
      <c r="D174" s="956">
        <v>121</v>
      </c>
      <c r="E174" s="963">
        <v>0</v>
      </c>
      <c r="F174" s="963">
        <v>0</v>
      </c>
      <c r="G174" s="963">
        <v>0</v>
      </c>
      <c r="H174" s="963">
        <v>0</v>
      </c>
      <c r="I174" s="963">
        <v>0</v>
      </c>
      <c r="J174" s="963">
        <v>0</v>
      </c>
      <c r="K174" s="963">
        <v>0</v>
      </c>
      <c r="L174" s="963">
        <v>0</v>
      </c>
      <c r="M174" s="963">
        <v>0</v>
      </c>
      <c r="N174" s="963">
        <v>0</v>
      </c>
      <c r="O174" s="963">
        <v>0</v>
      </c>
      <c r="P174" s="963">
        <v>0</v>
      </c>
      <c r="Q174" s="963">
        <f t="shared" si="6"/>
        <v>0</v>
      </c>
      <c r="R174" s="962"/>
    </row>
    <row r="175" spans="2:18">
      <c r="B175" s="901" t="s">
        <v>2921</v>
      </c>
      <c r="C175" s="956" t="s">
        <v>782</v>
      </c>
      <c r="D175" s="956">
        <v>121</v>
      </c>
      <c r="E175" s="963">
        <v>0</v>
      </c>
      <c r="F175" s="963">
        <v>0</v>
      </c>
      <c r="G175" s="963">
        <v>0</v>
      </c>
      <c r="H175" s="963">
        <v>0</v>
      </c>
      <c r="I175" s="963">
        <v>0</v>
      </c>
      <c r="J175" s="963">
        <v>0</v>
      </c>
      <c r="K175" s="963">
        <v>0</v>
      </c>
      <c r="L175" s="963">
        <v>0</v>
      </c>
      <c r="M175" s="963">
        <v>0</v>
      </c>
      <c r="N175" s="963">
        <v>0</v>
      </c>
      <c r="O175" s="963">
        <v>0</v>
      </c>
      <c r="P175" s="963">
        <v>0</v>
      </c>
      <c r="Q175" s="963">
        <f t="shared" ref="Q175:Q238" si="9">SUM(E175:P175)</f>
        <v>0</v>
      </c>
      <c r="R175" s="962"/>
    </row>
    <row r="176" spans="2:18">
      <c r="B176" s="901" t="s">
        <v>2922</v>
      </c>
      <c r="C176" s="956" t="s">
        <v>783</v>
      </c>
      <c r="D176" s="956">
        <v>121</v>
      </c>
      <c r="E176" s="963">
        <v>6134.82</v>
      </c>
      <c r="F176" s="963">
        <v>5877.68</v>
      </c>
      <c r="G176" s="963">
        <v>1311.99</v>
      </c>
      <c r="H176" s="963">
        <v>3377.2</v>
      </c>
      <c r="I176" s="963">
        <v>1427.35</v>
      </c>
      <c r="J176" s="963">
        <v>1049.79</v>
      </c>
      <c r="K176" s="963">
        <v>-778.55</v>
      </c>
      <c r="L176" s="963">
        <v>2424.73</v>
      </c>
      <c r="M176" s="963">
        <v>-1380.48</v>
      </c>
      <c r="N176" s="963">
        <v>17308.79</v>
      </c>
      <c r="O176" s="963">
        <v>-18739.09</v>
      </c>
      <c r="P176" s="963">
        <v>2045.34</v>
      </c>
      <c r="Q176" s="963">
        <f t="shared" si="9"/>
        <v>20059.57</v>
      </c>
      <c r="R176" s="962"/>
    </row>
    <row r="177" spans="1:18">
      <c r="B177" s="901" t="s">
        <v>2750</v>
      </c>
      <c r="C177" s="956" t="s">
        <v>784</v>
      </c>
      <c r="D177" s="956">
        <v>121</v>
      </c>
      <c r="E177" s="963">
        <v>-2071.31</v>
      </c>
      <c r="F177" s="963">
        <v>-2155.9</v>
      </c>
      <c r="G177" s="963">
        <v>-1995.96</v>
      </c>
      <c r="H177" s="963">
        <v>-1559.51</v>
      </c>
      <c r="I177" s="963">
        <v>-1162.1600000000001</v>
      </c>
      <c r="J177" s="963">
        <v>-903.22</v>
      </c>
      <c r="K177" s="963">
        <v>-955.79</v>
      </c>
      <c r="L177" s="963">
        <v>-761.94</v>
      </c>
      <c r="M177" s="963">
        <v>-882.81</v>
      </c>
      <c r="N177" s="963">
        <v>-1803.09</v>
      </c>
      <c r="O177" s="963">
        <v>-4502.32</v>
      </c>
      <c r="P177" s="963">
        <v>-4952.04</v>
      </c>
      <c r="Q177" s="963">
        <f t="shared" si="9"/>
        <v>-23706.05</v>
      </c>
      <c r="R177" s="962"/>
    </row>
    <row r="178" spans="1:18">
      <c r="B178" s="901" t="s">
        <v>2751</v>
      </c>
      <c r="C178" s="956" t="s">
        <v>785</v>
      </c>
      <c r="D178" s="956">
        <v>121</v>
      </c>
      <c r="E178" s="963">
        <v>0</v>
      </c>
      <c r="F178" s="963">
        <v>0</v>
      </c>
      <c r="G178" s="963">
        <v>0</v>
      </c>
      <c r="H178" s="963">
        <v>0</v>
      </c>
      <c r="I178" s="963">
        <v>0</v>
      </c>
      <c r="J178" s="963">
        <v>0</v>
      </c>
      <c r="K178" s="963">
        <v>0</v>
      </c>
      <c r="L178" s="963">
        <v>0</v>
      </c>
      <c r="M178" s="963">
        <v>0</v>
      </c>
      <c r="N178" s="963">
        <v>0</v>
      </c>
      <c r="O178" s="963">
        <v>0</v>
      </c>
      <c r="P178" s="963">
        <v>0</v>
      </c>
      <c r="Q178" s="963">
        <f t="shared" si="9"/>
        <v>0</v>
      </c>
      <c r="R178" s="962"/>
    </row>
    <row r="179" spans="1:18">
      <c r="B179" s="901" t="s">
        <v>2451</v>
      </c>
      <c r="C179" s="956" t="s">
        <v>786</v>
      </c>
      <c r="D179" s="956">
        <v>121</v>
      </c>
      <c r="E179" s="963">
        <v>0</v>
      </c>
      <c r="F179" s="963">
        <v>0</v>
      </c>
      <c r="G179" s="963">
        <v>0</v>
      </c>
      <c r="H179" s="963">
        <v>0</v>
      </c>
      <c r="I179" s="963">
        <v>0</v>
      </c>
      <c r="J179" s="963">
        <v>0</v>
      </c>
      <c r="K179" s="963">
        <v>0</v>
      </c>
      <c r="L179" s="963">
        <v>0</v>
      </c>
      <c r="M179" s="963">
        <v>0</v>
      </c>
      <c r="N179" s="963">
        <v>0</v>
      </c>
      <c r="O179" s="963">
        <v>0</v>
      </c>
      <c r="P179" s="963">
        <v>0</v>
      </c>
      <c r="Q179" s="963">
        <f t="shared" si="9"/>
        <v>0</v>
      </c>
      <c r="R179" s="962"/>
    </row>
    <row r="180" spans="1:18">
      <c r="B180" s="901" t="s">
        <v>2697</v>
      </c>
      <c r="C180" s="956" t="s">
        <v>787</v>
      </c>
      <c r="D180" s="956">
        <v>121</v>
      </c>
      <c r="E180" s="963">
        <v>133319.79</v>
      </c>
      <c r="F180" s="963">
        <v>132509.73000000001</v>
      </c>
      <c r="G180" s="963">
        <v>138018.36000000002</v>
      </c>
      <c r="H180" s="963">
        <v>126942.28</v>
      </c>
      <c r="I180" s="963">
        <v>113520.33</v>
      </c>
      <c r="J180" s="963">
        <v>85363.5</v>
      </c>
      <c r="K180" s="963">
        <v>67402.159999999989</v>
      </c>
      <c r="L180" s="963">
        <v>73974.240000000005</v>
      </c>
      <c r="M180" s="963">
        <v>57757.549999999996</v>
      </c>
      <c r="N180" s="963">
        <v>67864.97</v>
      </c>
      <c r="O180" s="963">
        <v>138828.03</v>
      </c>
      <c r="P180" s="963">
        <v>151565.56</v>
      </c>
      <c r="Q180" s="963">
        <f>-SUM(E180:P180)</f>
        <v>-1287066.5</v>
      </c>
      <c r="R180" s="962"/>
    </row>
    <row r="181" spans="1:18">
      <c r="B181" s="901" t="s">
        <v>2698</v>
      </c>
      <c r="C181" s="956" t="s">
        <v>788</v>
      </c>
      <c r="D181" s="956">
        <v>121</v>
      </c>
      <c r="E181" s="963">
        <v>132509.73000000001</v>
      </c>
      <c r="F181" s="963">
        <v>138018.36000000002</v>
      </c>
      <c r="G181" s="963">
        <v>126942.28</v>
      </c>
      <c r="H181" s="963">
        <v>113520.33</v>
      </c>
      <c r="I181" s="963">
        <v>85363.5</v>
      </c>
      <c r="J181" s="963">
        <v>67402.159999999989</v>
      </c>
      <c r="K181" s="963">
        <v>73974.240000000005</v>
      </c>
      <c r="L181" s="963">
        <v>57757.549999999996</v>
      </c>
      <c r="M181" s="963">
        <v>67864.97</v>
      </c>
      <c r="N181" s="963">
        <v>138828.03</v>
      </c>
      <c r="O181" s="963">
        <v>151565.56</v>
      </c>
      <c r="P181" s="963">
        <v>166995.06999999998</v>
      </c>
      <c r="Q181" s="963">
        <f t="shared" si="9"/>
        <v>1320741.78</v>
      </c>
      <c r="R181" s="962"/>
    </row>
    <row r="182" spans="1:18">
      <c r="B182" s="901" t="s">
        <v>2884</v>
      </c>
      <c r="C182" s="956" t="s">
        <v>789</v>
      </c>
      <c r="D182" s="956">
        <v>121</v>
      </c>
      <c r="E182" s="963">
        <v>136706.08000000002</v>
      </c>
      <c r="F182" s="963">
        <v>141872.14000000001</v>
      </c>
      <c r="G182" s="963">
        <v>126396.10999999999</v>
      </c>
      <c r="H182" s="963">
        <v>115632.46</v>
      </c>
      <c r="I182" s="963">
        <v>85726.33</v>
      </c>
      <c r="J182" s="963">
        <v>67621.269999999975</v>
      </c>
      <c r="K182" s="963">
        <v>72296.500000000015</v>
      </c>
      <c r="L182" s="963">
        <v>59481.55999999999</v>
      </c>
      <c r="M182" s="963">
        <v>65649.440000000002</v>
      </c>
      <c r="N182" s="963">
        <v>154390.57</v>
      </c>
      <c r="O182" s="963">
        <v>128442.88999999998</v>
      </c>
      <c r="P182" s="963">
        <v>164203.49999999997</v>
      </c>
      <c r="Q182" s="963">
        <f t="shared" si="9"/>
        <v>1318418.8499999999</v>
      </c>
      <c r="R182" s="962"/>
    </row>
    <row r="183" spans="1:18">
      <c r="B183" s="964" t="s">
        <v>2673</v>
      </c>
      <c r="E183" s="963"/>
      <c r="F183" s="963"/>
      <c r="G183" s="963"/>
      <c r="H183" s="963"/>
      <c r="I183" s="963"/>
      <c r="J183" s="963"/>
      <c r="K183" s="963"/>
      <c r="L183" s="963"/>
      <c r="M183" s="963"/>
      <c r="N183" s="963"/>
      <c r="O183" s="963"/>
      <c r="P183" s="963"/>
      <c r="Q183" s="963"/>
      <c r="R183" s="962"/>
    </row>
    <row r="184" spans="1:18">
      <c r="B184" s="964"/>
      <c r="E184" s="963"/>
      <c r="F184" s="963"/>
      <c r="G184" s="963"/>
      <c r="H184" s="963"/>
      <c r="I184" s="963"/>
      <c r="J184" s="963"/>
      <c r="K184" s="963"/>
      <c r="L184" s="963"/>
      <c r="M184" s="963"/>
      <c r="N184" s="963"/>
      <c r="O184" s="963"/>
      <c r="P184" s="963"/>
      <c r="Q184" s="963"/>
      <c r="R184" s="962"/>
    </row>
    <row r="185" spans="1:18">
      <c r="A185" s="968" t="s">
        <v>2847</v>
      </c>
      <c r="B185" s="960" t="s">
        <v>2933</v>
      </c>
      <c r="C185" s="956" t="s">
        <v>777</v>
      </c>
      <c r="D185" s="956">
        <v>79</v>
      </c>
      <c r="E185" s="969"/>
      <c r="F185" s="969"/>
      <c r="G185" s="969"/>
      <c r="H185" s="969"/>
      <c r="I185" s="969"/>
      <c r="J185" s="969"/>
      <c r="K185" s="969"/>
      <c r="L185" s="969"/>
      <c r="M185" s="969"/>
      <c r="N185" s="969"/>
      <c r="O185" s="969"/>
      <c r="P185" s="969"/>
      <c r="Q185" s="963"/>
      <c r="R185" s="962"/>
    </row>
    <row r="186" spans="1:18">
      <c r="A186" s="968" t="s">
        <v>2934</v>
      </c>
      <c r="B186" s="901" t="s">
        <v>2514</v>
      </c>
      <c r="C186" s="956" t="s">
        <v>780</v>
      </c>
      <c r="D186" s="956">
        <v>79</v>
      </c>
      <c r="E186" s="963">
        <v>29346851</v>
      </c>
      <c r="F186" s="963">
        <v>31076934</v>
      </c>
      <c r="G186" s="963">
        <v>30225230</v>
      </c>
      <c r="H186" s="963">
        <v>29413222</v>
      </c>
      <c r="I186" s="963">
        <v>27861922</v>
      </c>
      <c r="J186" s="963">
        <v>29822871</v>
      </c>
      <c r="K186" s="963">
        <v>27060192</v>
      </c>
      <c r="L186" s="963">
        <v>26087226</v>
      </c>
      <c r="M186" s="963">
        <v>28179207</v>
      </c>
      <c r="N186" s="963">
        <v>32200088</v>
      </c>
      <c r="O186" s="963">
        <v>33622269</v>
      </c>
      <c r="P186" s="963">
        <v>29817626</v>
      </c>
      <c r="Q186" s="963">
        <f t="shared" si="9"/>
        <v>354713638</v>
      </c>
      <c r="R186" s="962"/>
    </row>
    <row r="187" spans="1:18">
      <c r="A187" s="970">
        <v>4861</v>
      </c>
      <c r="B187" s="901" t="s">
        <v>2915</v>
      </c>
      <c r="C187" s="956" t="s">
        <v>781</v>
      </c>
      <c r="D187" s="956">
        <v>79</v>
      </c>
      <c r="E187" s="963">
        <v>0</v>
      </c>
      <c r="F187" s="963">
        <v>0</v>
      </c>
      <c r="G187" s="963">
        <v>0</v>
      </c>
      <c r="H187" s="963">
        <v>0</v>
      </c>
      <c r="I187" s="963">
        <v>0</v>
      </c>
      <c r="J187" s="963">
        <v>0</v>
      </c>
      <c r="K187" s="963">
        <v>0</v>
      </c>
      <c r="L187" s="963">
        <v>0</v>
      </c>
      <c r="M187" s="963">
        <v>0</v>
      </c>
      <c r="N187" s="963">
        <v>0</v>
      </c>
      <c r="O187" s="963">
        <v>0</v>
      </c>
      <c r="P187" s="963">
        <v>0</v>
      </c>
      <c r="Q187" s="963">
        <f t="shared" si="9"/>
        <v>0</v>
      </c>
      <c r="R187" s="962"/>
    </row>
    <row r="188" spans="1:18">
      <c r="B188" s="901" t="s">
        <v>2916</v>
      </c>
      <c r="C188" s="956" t="s">
        <v>782</v>
      </c>
      <c r="D188" s="956">
        <v>79</v>
      </c>
      <c r="E188" s="963">
        <v>0</v>
      </c>
      <c r="F188" s="963">
        <v>0</v>
      </c>
      <c r="G188" s="963">
        <v>0</v>
      </c>
      <c r="H188" s="963">
        <v>0</v>
      </c>
      <c r="I188" s="963">
        <v>0</v>
      </c>
      <c r="J188" s="963">
        <v>0</v>
      </c>
      <c r="K188" s="963">
        <v>0</v>
      </c>
      <c r="L188" s="963">
        <v>0</v>
      </c>
      <c r="M188" s="963">
        <v>0</v>
      </c>
      <c r="N188" s="963">
        <v>0</v>
      </c>
      <c r="O188" s="963">
        <v>0</v>
      </c>
      <c r="P188" s="963">
        <v>0</v>
      </c>
      <c r="Q188" s="963">
        <f t="shared" si="9"/>
        <v>0</v>
      </c>
      <c r="R188" s="962"/>
    </row>
    <row r="189" spans="1:18">
      <c r="B189" s="901" t="s">
        <v>2917</v>
      </c>
      <c r="C189" s="956" t="s">
        <v>787</v>
      </c>
      <c r="D189" s="956">
        <v>79</v>
      </c>
      <c r="E189" s="963">
        <v>29346851</v>
      </c>
      <c r="F189" s="963">
        <v>31076934</v>
      </c>
      <c r="G189" s="963">
        <v>30225230</v>
      </c>
      <c r="H189" s="963">
        <v>29441177</v>
      </c>
      <c r="I189" s="963">
        <v>27861922</v>
      </c>
      <c r="J189" s="963">
        <v>29822871</v>
      </c>
      <c r="K189" s="963">
        <v>27060192</v>
      </c>
      <c r="L189" s="963">
        <v>26075307</v>
      </c>
      <c r="M189" s="963">
        <v>28179207</v>
      </c>
      <c r="N189" s="963">
        <v>31412664</v>
      </c>
      <c r="O189" s="963">
        <v>33622137</v>
      </c>
      <c r="P189" s="963">
        <v>29790523</v>
      </c>
      <c r="Q189" s="963">
        <f t="shared" si="9"/>
        <v>353915015</v>
      </c>
      <c r="R189" s="962"/>
    </row>
    <row r="190" spans="1:18">
      <c r="B190" s="901" t="s">
        <v>2918</v>
      </c>
      <c r="C190" s="956" t="s">
        <v>788</v>
      </c>
      <c r="D190" s="956">
        <v>79</v>
      </c>
      <c r="E190" s="963">
        <v>31076934</v>
      </c>
      <c r="F190" s="963">
        <v>30225230</v>
      </c>
      <c r="G190" s="963">
        <v>29441177</v>
      </c>
      <c r="H190" s="963">
        <v>27861922</v>
      </c>
      <c r="I190" s="963">
        <v>29822871</v>
      </c>
      <c r="J190" s="963">
        <v>27060192</v>
      </c>
      <c r="K190" s="963">
        <v>26075307</v>
      </c>
      <c r="L190" s="963">
        <v>28179207</v>
      </c>
      <c r="M190" s="963">
        <v>31412664</v>
      </c>
      <c r="N190" s="963">
        <v>33622137</v>
      </c>
      <c r="O190" s="963">
        <v>29790523</v>
      </c>
      <c r="P190" s="963">
        <v>31590271</v>
      </c>
      <c r="Q190" s="963">
        <f t="shared" si="9"/>
        <v>356158435</v>
      </c>
      <c r="R190" s="962"/>
    </row>
    <row r="191" spans="1:18">
      <c r="B191" s="901" t="s">
        <v>2886</v>
      </c>
      <c r="C191" s="956" t="s">
        <v>789</v>
      </c>
      <c r="D191" s="956">
        <v>79</v>
      </c>
      <c r="E191" s="963">
        <v>31076934</v>
      </c>
      <c r="F191" s="963">
        <v>30225230</v>
      </c>
      <c r="G191" s="963">
        <v>29441177</v>
      </c>
      <c r="H191" s="963">
        <v>27833967</v>
      </c>
      <c r="I191" s="963">
        <v>29822871</v>
      </c>
      <c r="J191" s="963">
        <v>27060192</v>
      </c>
      <c r="K191" s="963">
        <v>26075307</v>
      </c>
      <c r="L191" s="963">
        <v>28191126</v>
      </c>
      <c r="M191" s="963">
        <v>31412664</v>
      </c>
      <c r="N191" s="963">
        <v>34409561</v>
      </c>
      <c r="O191" s="963">
        <v>29790656</v>
      </c>
      <c r="P191" s="963">
        <v>31617373</v>
      </c>
      <c r="Q191" s="963">
        <f t="shared" si="9"/>
        <v>356957058</v>
      </c>
      <c r="R191" s="962"/>
    </row>
    <row r="192" spans="1:18">
      <c r="B192" s="964" t="s">
        <v>2673</v>
      </c>
      <c r="E192" s="963"/>
      <c r="F192" s="963"/>
      <c r="G192" s="963"/>
      <c r="H192" s="963"/>
      <c r="I192" s="963"/>
      <c r="J192" s="963"/>
      <c r="K192" s="963"/>
      <c r="L192" s="963"/>
      <c r="M192" s="963"/>
      <c r="N192" s="963"/>
      <c r="O192" s="963"/>
      <c r="P192" s="963"/>
      <c r="Q192" s="963">
        <f t="shared" si="9"/>
        <v>0</v>
      </c>
      <c r="R192" s="962"/>
    </row>
    <row r="193" spans="1:18">
      <c r="B193" s="901" t="s">
        <v>2919</v>
      </c>
      <c r="C193" s="956" t="s">
        <v>780</v>
      </c>
      <c r="D193" s="956">
        <v>123</v>
      </c>
      <c r="E193" s="963">
        <v>1164258.1200000001</v>
      </c>
      <c r="F193" s="963">
        <v>1214333.8799999999</v>
      </c>
      <c r="G193" s="963">
        <v>1204288.18</v>
      </c>
      <c r="H193" s="963">
        <v>1180255.27</v>
      </c>
      <c r="I193" s="963">
        <v>1129778.7</v>
      </c>
      <c r="J193" s="963">
        <v>1129080.8400000001</v>
      </c>
      <c r="K193" s="963">
        <v>1108647.58</v>
      </c>
      <c r="L193" s="963">
        <v>1072997.6499999999</v>
      </c>
      <c r="M193" s="963">
        <v>1103921.6100000001</v>
      </c>
      <c r="N193" s="963">
        <v>1201377.8799999999</v>
      </c>
      <c r="O193" s="963">
        <v>1222339.1399999999</v>
      </c>
      <c r="P193" s="963">
        <v>1151276.54</v>
      </c>
      <c r="Q193" s="963">
        <f t="shared" si="9"/>
        <v>13882555.389999997</v>
      </c>
      <c r="R193" s="962"/>
    </row>
    <row r="194" spans="1:18">
      <c r="B194" s="901" t="s">
        <v>2920</v>
      </c>
      <c r="C194" s="956" t="s">
        <v>781</v>
      </c>
      <c r="D194" s="956">
        <v>123</v>
      </c>
      <c r="E194" s="963">
        <v>0</v>
      </c>
      <c r="F194" s="963">
        <v>0</v>
      </c>
      <c r="G194" s="963">
        <v>0</v>
      </c>
      <c r="H194" s="963">
        <v>0</v>
      </c>
      <c r="I194" s="963">
        <v>0</v>
      </c>
      <c r="J194" s="963">
        <v>0</v>
      </c>
      <c r="K194" s="963">
        <v>0</v>
      </c>
      <c r="L194" s="963">
        <v>0</v>
      </c>
      <c r="M194" s="963">
        <v>0</v>
      </c>
      <c r="N194" s="963">
        <v>0</v>
      </c>
      <c r="O194" s="963">
        <v>0</v>
      </c>
      <c r="P194" s="963">
        <v>0</v>
      </c>
      <c r="Q194" s="963">
        <f t="shared" si="9"/>
        <v>0</v>
      </c>
      <c r="R194" s="962"/>
    </row>
    <row r="195" spans="1:18">
      <c r="B195" s="901" t="s">
        <v>2921</v>
      </c>
      <c r="C195" s="956" t="s">
        <v>782</v>
      </c>
      <c r="D195" s="956">
        <v>123</v>
      </c>
      <c r="E195" s="963">
        <v>0</v>
      </c>
      <c r="F195" s="963">
        <v>0</v>
      </c>
      <c r="G195" s="963">
        <v>0</v>
      </c>
      <c r="H195" s="963">
        <v>0</v>
      </c>
      <c r="I195" s="963">
        <v>0</v>
      </c>
      <c r="J195" s="963">
        <v>0</v>
      </c>
      <c r="K195" s="963">
        <v>0</v>
      </c>
      <c r="L195" s="963">
        <v>0</v>
      </c>
      <c r="M195" s="963">
        <v>0</v>
      </c>
      <c r="N195" s="963">
        <v>0</v>
      </c>
      <c r="O195" s="963">
        <v>0</v>
      </c>
      <c r="P195" s="963">
        <v>0</v>
      </c>
      <c r="Q195" s="963">
        <f t="shared" si="9"/>
        <v>0</v>
      </c>
      <c r="R195" s="962"/>
    </row>
    <row r="196" spans="1:18">
      <c r="B196" s="901" t="s">
        <v>2922</v>
      </c>
      <c r="C196" s="956" t="s">
        <v>783</v>
      </c>
      <c r="D196" s="956">
        <v>123</v>
      </c>
      <c r="E196" s="963">
        <v>0</v>
      </c>
      <c r="F196" s="963">
        <v>0</v>
      </c>
      <c r="G196" s="963">
        <v>0</v>
      </c>
      <c r="H196" s="963">
        <v>0</v>
      </c>
      <c r="I196" s="963">
        <v>0</v>
      </c>
      <c r="J196" s="963">
        <v>0</v>
      </c>
      <c r="K196" s="963">
        <v>0</v>
      </c>
      <c r="L196" s="963">
        <v>0</v>
      </c>
      <c r="M196" s="963">
        <v>0</v>
      </c>
      <c r="N196" s="963">
        <v>0</v>
      </c>
      <c r="O196" s="963">
        <v>0</v>
      </c>
      <c r="P196" s="963">
        <v>0</v>
      </c>
      <c r="Q196" s="963">
        <f t="shared" si="9"/>
        <v>0</v>
      </c>
      <c r="R196" s="962"/>
    </row>
    <row r="197" spans="1:18">
      <c r="B197" s="901" t="s">
        <v>2750</v>
      </c>
      <c r="C197" s="956" t="s">
        <v>784</v>
      </c>
      <c r="D197" s="956">
        <v>123</v>
      </c>
      <c r="E197" s="963">
        <v>-8804.06</v>
      </c>
      <c r="F197" s="963">
        <v>-9323.08</v>
      </c>
      <c r="G197" s="963">
        <v>-9067.57</v>
      </c>
      <c r="H197" s="963">
        <v>-8823.9699999999993</v>
      </c>
      <c r="I197" s="963">
        <v>-8358.58</v>
      </c>
      <c r="J197" s="963">
        <v>-8946.86</v>
      </c>
      <c r="K197" s="963">
        <v>-8118.06</v>
      </c>
      <c r="L197" s="963">
        <v>-7826.17</v>
      </c>
      <c r="M197" s="963">
        <v>-8453.76</v>
      </c>
      <c r="N197" s="963">
        <v>-9660.0300000000007</v>
      </c>
      <c r="O197" s="963">
        <v>-10086.68</v>
      </c>
      <c r="P197" s="963">
        <v>-8647.11</v>
      </c>
      <c r="Q197" s="963">
        <f t="shared" si="9"/>
        <v>-106115.93000000001</v>
      </c>
      <c r="R197" s="962"/>
    </row>
    <row r="198" spans="1:18">
      <c r="B198" s="901" t="s">
        <v>2751</v>
      </c>
      <c r="C198" s="956" t="s">
        <v>785</v>
      </c>
      <c r="D198" s="956">
        <v>123</v>
      </c>
      <c r="E198" s="963">
        <v>0</v>
      </c>
      <c r="F198" s="963">
        <v>0</v>
      </c>
      <c r="G198" s="963">
        <v>0</v>
      </c>
      <c r="H198" s="963">
        <v>0</v>
      </c>
      <c r="I198" s="963">
        <v>0</v>
      </c>
      <c r="J198" s="963">
        <v>0</v>
      </c>
      <c r="K198" s="963">
        <v>0</v>
      </c>
      <c r="L198" s="963">
        <v>0</v>
      </c>
      <c r="M198" s="963">
        <v>0</v>
      </c>
      <c r="N198" s="963">
        <v>0</v>
      </c>
      <c r="O198" s="963">
        <v>0</v>
      </c>
      <c r="P198" s="963">
        <v>0</v>
      </c>
      <c r="Q198" s="963">
        <f t="shared" si="9"/>
        <v>0</v>
      </c>
      <c r="R198" s="962"/>
    </row>
    <row r="199" spans="1:18">
      <c r="B199" s="901" t="s">
        <v>2451</v>
      </c>
      <c r="C199" s="956" t="s">
        <v>786</v>
      </c>
      <c r="D199" s="956">
        <v>123</v>
      </c>
      <c r="E199" s="963">
        <v>0</v>
      </c>
      <c r="F199" s="963">
        <v>0</v>
      </c>
      <c r="G199" s="963">
        <v>0</v>
      </c>
      <c r="H199" s="963">
        <v>-7.76</v>
      </c>
      <c r="I199" s="963">
        <v>7.76</v>
      </c>
      <c r="J199" s="963">
        <v>0</v>
      </c>
      <c r="K199" s="963">
        <v>0</v>
      </c>
      <c r="L199" s="963">
        <v>0</v>
      </c>
      <c r="M199" s="963">
        <v>0</v>
      </c>
      <c r="N199" s="963">
        <v>0</v>
      </c>
      <c r="O199" s="963">
        <v>0</v>
      </c>
      <c r="P199" s="963">
        <v>0</v>
      </c>
      <c r="Q199" s="963">
        <f t="shared" si="9"/>
        <v>0</v>
      </c>
      <c r="R199" s="962"/>
    </row>
    <row r="200" spans="1:18">
      <c r="B200" s="901" t="s">
        <v>2697</v>
      </c>
      <c r="C200" s="956" t="s">
        <v>787</v>
      </c>
      <c r="D200" s="956">
        <v>123</v>
      </c>
      <c r="E200" s="963">
        <v>1155160.6200000001</v>
      </c>
      <c r="F200" s="963">
        <v>1204700.0399999998</v>
      </c>
      <c r="G200" s="963">
        <v>1192516.44</v>
      </c>
      <c r="H200" s="963">
        <v>1172014.7400000002</v>
      </c>
      <c r="I200" s="963">
        <v>1121149.2699999998</v>
      </c>
      <c r="J200" s="963">
        <v>1118474.8699999999</v>
      </c>
      <c r="K200" s="963">
        <v>1100258.8900000001</v>
      </c>
      <c r="L200" s="963">
        <v>1060899.6299999999</v>
      </c>
      <c r="M200" s="963">
        <v>1091246.4099999999</v>
      </c>
      <c r="N200" s="963">
        <v>1135607.5799999998</v>
      </c>
      <c r="O200" s="963">
        <v>1211909.0799999998</v>
      </c>
      <c r="P200" s="963">
        <v>1139950.28</v>
      </c>
      <c r="Q200" s="963">
        <f>-SUM(E200:P200)</f>
        <v>-13703887.85</v>
      </c>
      <c r="R200" s="962"/>
    </row>
    <row r="201" spans="1:18">
      <c r="B201" s="901" t="s">
        <v>2698</v>
      </c>
      <c r="C201" s="956" t="s">
        <v>788</v>
      </c>
      <c r="D201" s="956">
        <v>123</v>
      </c>
      <c r="E201" s="963">
        <v>1204700.0399999998</v>
      </c>
      <c r="F201" s="963">
        <v>1192516.44</v>
      </c>
      <c r="G201" s="963">
        <v>1172014.7400000002</v>
      </c>
      <c r="H201" s="963">
        <v>1121149.2699999998</v>
      </c>
      <c r="I201" s="963">
        <v>1118474.8699999999</v>
      </c>
      <c r="J201" s="963">
        <v>1100258.8900000001</v>
      </c>
      <c r="K201" s="963">
        <v>1060899.6299999999</v>
      </c>
      <c r="L201" s="963">
        <v>1091246.4099999999</v>
      </c>
      <c r="M201" s="963">
        <v>1135607.5799999998</v>
      </c>
      <c r="N201" s="963">
        <v>1211909.0799999998</v>
      </c>
      <c r="O201" s="963">
        <v>1139950.28</v>
      </c>
      <c r="P201" s="963">
        <v>1153795.03</v>
      </c>
      <c r="Q201" s="963">
        <f t="shared" si="9"/>
        <v>13702522.259999998</v>
      </c>
      <c r="R201" s="962"/>
    </row>
    <row r="202" spans="1:18">
      <c r="B202" s="901" t="s">
        <v>2884</v>
      </c>
      <c r="C202" s="956" t="s">
        <v>789</v>
      </c>
      <c r="D202" s="956">
        <v>123</v>
      </c>
      <c r="E202" s="963">
        <v>1204993.4799999997</v>
      </c>
      <c r="F202" s="963">
        <v>1192827.2</v>
      </c>
      <c r="G202" s="963">
        <v>1174718.9100000001</v>
      </c>
      <c r="H202" s="963">
        <v>1120558.0699999996</v>
      </c>
      <c r="I202" s="963">
        <v>1118753.48</v>
      </c>
      <c r="J202" s="963">
        <v>1101918.0000000002</v>
      </c>
      <c r="K202" s="963">
        <v>1061170.2599999998</v>
      </c>
      <c r="L202" s="963">
        <v>1095518.26</v>
      </c>
      <c r="M202" s="963">
        <v>1139829.02</v>
      </c>
      <c r="N202" s="963">
        <v>1268019.3499999999</v>
      </c>
      <c r="O202" s="963">
        <v>1140293.6600000001</v>
      </c>
      <c r="P202" s="963">
        <v>1156474.18</v>
      </c>
      <c r="Q202" s="963">
        <f t="shared" si="9"/>
        <v>13775073.869999997</v>
      </c>
      <c r="R202" s="962"/>
    </row>
    <row r="203" spans="1:18">
      <c r="A203" s="903"/>
      <c r="B203" s="964" t="s">
        <v>2673</v>
      </c>
      <c r="E203" s="963"/>
      <c r="F203" s="963"/>
      <c r="G203" s="963"/>
      <c r="H203" s="963"/>
      <c r="I203" s="963"/>
      <c r="J203" s="963"/>
      <c r="K203" s="963"/>
      <c r="L203" s="963"/>
      <c r="M203" s="963"/>
      <c r="N203" s="963"/>
      <c r="O203" s="963"/>
      <c r="P203" s="963"/>
      <c r="Q203" s="963"/>
      <c r="R203" s="962"/>
    </row>
    <row r="204" spans="1:18">
      <c r="E204" s="971"/>
      <c r="F204" s="963"/>
      <c r="G204" s="963"/>
      <c r="H204" s="963"/>
      <c r="I204" s="963"/>
      <c r="J204" s="963"/>
      <c r="K204" s="963"/>
      <c r="L204" s="963"/>
      <c r="M204" s="963"/>
      <c r="N204" s="971"/>
      <c r="O204" s="963"/>
      <c r="P204" s="963"/>
      <c r="Q204" s="963"/>
      <c r="R204" s="962"/>
    </row>
    <row r="205" spans="1:18">
      <c r="B205" s="960" t="s">
        <v>2935</v>
      </c>
      <c r="C205" s="956" t="s">
        <v>777</v>
      </c>
      <c r="D205" s="956">
        <v>83</v>
      </c>
      <c r="E205" s="960"/>
      <c r="F205" s="963"/>
      <c r="G205" s="963"/>
      <c r="H205" s="963"/>
      <c r="I205" s="963"/>
      <c r="J205" s="963"/>
      <c r="K205" s="963"/>
      <c r="L205" s="963"/>
      <c r="M205" s="963"/>
      <c r="N205" s="960"/>
      <c r="O205" s="963"/>
      <c r="P205" s="963"/>
      <c r="Q205" s="963"/>
      <c r="R205" s="962"/>
    </row>
    <row r="206" spans="1:18">
      <c r="B206" s="901" t="s">
        <v>2514</v>
      </c>
      <c r="C206" s="956" t="s">
        <v>780</v>
      </c>
      <c r="D206" s="956">
        <v>83</v>
      </c>
      <c r="E206" s="901">
        <v>2617891</v>
      </c>
      <c r="F206" s="963">
        <v>3202152</v>
      </c>
      <c r="G206" s="963">
        <v>2316555</v>
      </c>
      <c r="H206" s="963">
        <v>2298407</v>
      </c>
      <c r="I206" s="963">
        <v>2069826</v>
      </c>
      <c r="J206" s="963">
        <v>1973660</v>
      </c>
      <c r="K206" s="963">
        <v>2265713</v>
      </c>
      <c r="L206" s="963">
        <v>2468668</v>
      </c>
      <c r="M206" s="963">
        <v>2310615</v>
      </c>
      <c r="N206" s="901">
        <v>2238144</v>
      </c>
      <c r="O206" s="963">
        <v>2832256</v>
      </c>
      <c r="P206" s="963">
        <v>3143984</v>
      </c>
      <c r="Q206" s="963">
        <f t="shared" si="9"/>
        <v>29737871</v>
      </c>
      <c r="R206" s="962"/>
    </row>
    <row r="207" spans="1:18">
      <c r="B207" s="901" t="s">
        <v>2915</v>
      </c>
      <c r="C207" s="956" t="s">
        <v>781</v>
      </c>
      <c r="D207" s="956">
        <v>83</v>
      </c>
      <c r="E207" s="901">
        <v>0</v>
      </c>
      <c r="F207" s="963">
        <v>0</v>
      </c>
      <c r="G207" s="963">
        <v>0</v>
      </c>
      <c r="H207" s="963">
        <v>0</v>
      </c>
      <c r="I207" s="963">
        <v>0</v>
      </c>
      <c r="J207" s="963">
        <v>0</v>
      </c>
      <c r="K207" s="963">
        <v>0</v>
      </c>
      <c r="L207" s="963">
        <v>0</v>
      </c>
      <c r="M207" s="963">
        <v>0</v>
      </c>
      <c r="N207" s="901">
        <v>0</v>
      </c>
      <c r="O207" s="963">
        <v>0</v>
      </c>
      <c r="P207" s="963">
        <v>0</v>
      </c>
      <c r="Q207" s="963">
        <f t="shared" si="9"/>
        <v>0</v>
      </c>
      <c r="R207" s="962"/>
    </row>
    <row r="208" spans="1:18">
      <c r="B208" s="901" t="s">
        <v>2916</v>
      </c>
      <c r="C208" s="956" t="s">
        <v>782</v>
      </c>
      <c r="D208" s="956">
        <v>83</v>
      </c>
      <c r="E208" s="901">
        <v>0</v>
      </c>
      <c r="F208" s="963">
        <v>0</v>
      </c>
      <c r="G208" s="963">
        <v>0</v>
      </c>
      <c r="H208" s="963">
        <v>0</v>
      </c>
      <c r="I208" s="963">
        <v>0</v>
      </c>
      <c r="J208" s="963">
        <v>0</v>
      </c>
      <c r="K208" s="963">
        <v>0</v>
      </c>
      <c r="L208" s="963">
        <v>0</v>
      </c>
      <c r="M208" s="963">
        <v>0</v>
      </c>
      <c r="N208" s="901">
        <v>0</v>
      </c>
      <c r="O208" s="963">
        <v>0</v>
      </c>
      <c r="P208" s="963">
        <v>0</v>
      </c>
      <c r="Q208" s="963">
        <f t="shared" si="9"/>
        <v>0</v>
      </c>
      <c r="R208" s="962"/>
    </row>
    <row r="209" spans="2:18">
      <c r="B209" s="901" t="s">
        <v>2917</v>
      </c>
      <c r="C209" s="956" t="s">
        <v>787</v>
      </c>
      <c r="D209" s="956">
        <v>83</v>
      </c>
      <c r="E209" s="901">
        <v>2617891</v>
      </c>
      <c r="F209" s="963">
        <v>3202152</v>
      </c>
      <c r="G209" s="963">
        <v>2316555</v>
      </c>
      <c r="H209" s="963">
        <v>2298407</v>
      </c>
      <c r="I209" s="963">
        <v>2069826</v>
      </c>
      <c r="J209" s="963">
        <v>1973660</v>
      </c>
      <c r="K209" s="963">
        <v>2265713</v>
      </c>
      <c r="L209" s="963">
        <v>2468668</v>
      </c>
      <c r="M209" s="963">
        <v>2310615</v>
      </c>
      <c r="N209" s="901">
        <v>2238144</v>
      </c>
      <c r="O209" s="963">
        <v>2832256</v>
      </c>
      <c r="P209" s="963">
        <v>3143984</v>
      </c>
      <c r="Q209" s="963">
        <f t="shared" si="9"/>
        <v>29737871</v>
      </c>
      <c r="R209" s="962"/>
    </row>
    <row r="210" spans="2:18">
      <c r="B210" s="901" t="s">
        <v>2918</v>
      </c>
      <c r="C210" s="956" t="s">
        <v>788</v>
      </c>
      <c r="D210" s="956">
        <v>83</v>
      </c>
      <c r="E210" s="901">
        <v>3202152</v>
      </c>
      <c r="F210" s="963">
        <v>2316555</v>
      </c>
      <c r="G210" s="963">
        <v>2298407</v>
      </c>
      <c r="H210" s="963">
        <v>2069826</v>
      </c>
      <c r="I210" s="963">
        <v>1973660</v>
      </c>
      <c r="J210" s="963">
        <v>2265713</v>
      </c>
      <c r="K210" s="963">
        <v>2468668</v>
      </c>
      <c r="L210" s="963">
        <v>2310615</v>
      </c>
      <c r="M210" s="963">
        <v>2238144</v>
      </c>
      <c r="N210" s="901">
        <v>2832256</v>
      </c>
      <c r="O210" s="963">
        <v>3143984</v>
      </c>
      <c r="P210" s="963">
        <v>4182562</v>
      </c>
      <c r="Q210" s="963">
        <f t="shared" si="9"/>
        <v>31302542</v>
      </c>
      <c r="R210" s="962"/>
    </row>
    <row r="211" spans="2:18">
      <c r="B211" s="901" t="s">
        <v>2886</v>
      </c>
      <c r="C211" s="956" t="s">
        <v>789</v>
      </c>
      <c r="D211" s="956">
        <v>83</v>
      </c>
      <c r="E211" s="901">
        <v>3202152</v>
      </c>
      <c r="F211" s="963">
        <v>2316555</v>
      </c>
      <c r="G211" s="963">
        <v>2298407</v>
      </c>
      <c r="H211" s="963">
        <v>2069826</v>
      </c>
      <c r="I211" s="963">
        <v>1973660</v>
      </c>
      <c r="J211" s="963">
        <v>2265713</v>
      </c>
      <c r="K211" s="963">
        <v>2468668</v>
      </c>
      <c r="L211" s="963">
        <v>2310615</v>
      </c>
      <c r="M211" s="963">
        <v>2238144</v>
      </c>
      <c r="N211" s="901">
        <v>2832256</v>
      </c>
      <c r="O211" s="963">
        <v>3143984</v>
      </c>
      <c r="P211" s="963">
        <v>4182562</v>
      </c>
      <c r="Q211" s="963">
        <f t="shared" si="9"/>
        <v>31302542</v>
      </c>
      <c r="R211" s="962"/>
    </row>
    <row r="212" spans="2:18">
      <c r="B212" s="964" t="s">
        <v>2673</v>
      </c>
      <c r="E212" s="971"/>
      <c r="F212" s="963"/>
      <c r="G212" s="963"/>
      <c r="H212" s="963"/>
      <c r="I212" s="963"/>
      <c r="J212" s="963"/>
      <c r="K212" s="963"/>
      <c r="L212" s="963"/>
      <c r="M212" s="963"/>
      <c r="N212" s="971"/>
      <c r="O212" s="963"/>
      <c r="P212" s="963"/>
      <c r="Q212" s="963">
        <f t="shared" si="9"/>
        <v>0</v>
      </c>
      <c r="R212" s="962"/>
    </row>
    <row r="213" spans="2:18">
      <c r="B213" s="901" t="s">
        <v>2919</v>
      </c>
      <c r="C213" s="956" t="s">
        <v>780</v>
      </c>
      <c r="D213" s="956">
        <v>127</v>
      </c>
      <c r="E213" s="901">
        <v>55636.07</v>
      </c>
      <c r="F213" s="963">
        <v>65308.51</v>
      </c>
      <c r="G213" s="963">
        <v>50714.1</v>
      </c>
      <c r="H213" s="963">
        <v>50388</v>
      </c>
      <c r="I213" s="963">
        <v>46753.73</v>
      </c>
      <c r="J213" s="963">
        <v>45253.22</v>
      </c>
      <c r="K213" s="963">
        <v>49810.21</v>
      </c>
      <c r="L213" s="963">
        <v>53464.14</v>
      </c>
      <c r="M213" s="963">
        <v>50975.199999999997</v>
      </c>
      <c r="N213" s="901">
        <v>49833.97</v>
      </c>
      <c r="O213" s="963">
        <v>59551.97</v>
      </c>
      <c r="P213" s="963">
        <v>65326.559999999998</v>
      </c>
      <c r="Q213" s="963">
        <f t="shared" si="9"/>
        <v>643015.67999999993</v>
      </c>
      <c r="R213" s="962"/>
    </row>
    <row r="214" spans="2:18">
      <c r="B214" s="901" t="s">
        <v>2920</v>
      </c>
      <c r="C214" s="956" t="s">
        <v>781</v>
      </c>
      <c r="D214" s="956">
        <v>127</v>
      </c>
      <c r="E214" s="901">
        <v>0</v>
      </c>
      <c r="F214" s="963">
        <v>0</v>
      </c>
      <c r="G214" s="963">
        <v>0</v>
      </c>
      <c r="H214" s="963">
        <v>0</v>
      </c>
      <c r="I214" s="963">
        <v>0</v>
      </c>
      <c r="J214" s="963">
        <v>0</v>
      </c>
      <c r="K214" s="963">
        <v>0</v>
      </c>
      <c r="L214" s="963">
        <v>0</v>
      </c>
      <c r="M214" s="963">
        <v>0</v>
      </c>
      <c r="N214" s="901">
        <v>0</v>
      </c>
      <c r="O214" s="963">
        <v>0</v>
      </c>
      <c r="P214" s="963">
        <v>0</v>
      </c>
      <c r="Q214" s="963">
        <f t="shared" si="9"/>
        <v>0</v>
      </c>
      <c r="R214" s="962"/>
    </row>
    <row r="215" spans="2:18">
      <c r="B215" s="901" t="s">
        <v>2921</v>
      </c>
      <c r="C215" s="956" t="s">
        <v>782</v>
      </c>
      <c r="D215" s="956">
        <v>127</v>
      </c>
      <c r="E215" s="901">
        <v>0</v>
      </c>
      <c r="F215" s="963">
        <v>0</v>
      </c>
      <c r="G215" s="963">
        <v>0</v>
      </c>
      <c r="H215" s="963">
        <v>0</v>
      </c>
      <c r="I215" s="963">
        <v>0</v>
      </c>
      <c r="J215" s="963">
        <v>0</v>
      </c>
      <c r="K215" s="963">
        <v>0</v>
      </c>
      <c r="L215" s="963">
        <v>0</v>
      </c>
      <c r="M215" s="963">
        <v>0</v>
      </c>
      <c r="N215" s="901">
        <v>0</v>
      </c>
      <c r="O215" s="963">
        <v>0</v>
      </c>
      <c r="P215" s="963">
        <v>0</v>
      </c>
      <c r="Q215" s="963">
        <f t="shared" si="9"/>
        <v>0</v>
      </c>
      <c r="R215" s="962"/>
    </row>
    <row r="216" spans="2:18">
      <c r="B216" s="901" t="s">
        <v>2922</v>
      </c>
      <c r="C216" s="956" t="s">
        <v>783</v>
      </c>
      <c r="D216" s="956">
        <v>127</v>
      </c>
      <c r="E216" s="901">
        <v>0</v>
      </c>
      <c r="F216" s="963">
        <v>0</v>
      </c>
      <c r="G216" s="963">
        <v>0</v>
      </c>
      <c r="H216" s="963">
        <v>0</v>
      </c>
      <c r="I216" s="963">
        <v>0</v>
      </c>
      <c r="J216" s="963">
        <v>0</v>
      </c>
      <c r="K216" s="963">
        <v>0</v>
      </c>
      <c r="L216" s="963">
        <v>0</v>
      </c>
      <c r="M216" s="963">
        <v>0</v>
      </c>
      <c r="N216" s="901">
        <v>0</v>
      </c>
      <c r="O216" s="963">
        <v>0</v>
      </c>
      <c r="P216" s="963">
        <v>0</v>
      </c>
      <c r="Q216" s="963">
        <f t="shared" si="9"/>
        <v>0</v>
      </c>
      <c r="R216" s="962"/>
    </row>
    <row r="217" spans="2:18">
      <c r="B217" s="901" t="s">
        <v>2750</v>
      </c>
      <c r="C217" s="956" t="s">
        <v>784</v>
      </c>
      <c r="D217" s="956">
        <v>127</v>
      </c>
      <c r="E217" s="901">
        <v>0</v>
      </c>
      <c r="F217" s="963">
        <v>0</v>
      </c>
      <c r="G217" s="963">
        <v>0</v>
      </c>
      <c r="H217" s="963">
        <v>0</v>
      </c>
      <c r="I217" s="963">
        <v>0</v>
      </c>
      <c r="J217" s="963">
        <v>0</v>
      </c>
      <c r="K217" s="963">
        <v>0</v>
      </c>
      <c r="L217" s="963">
        <v>0</v>
      </c>
      <c r="M217" s="963">
        <v>0</v>
      </c>
      <c r="N217" s="901">
        <v>0</v>
      </c>
      <c r="O217" s="963">
        <v>0</v>
      </c>
      <c r="P217" s="963">
        <v>0</v>
      </c>
      <c r="Q217" s="963">
        <f t="shared" si="9"/>
        <v>0</v>
      </c>
      <c r="R217" s="962"/>
    </row>
    <row r="218" spans="2:18">
      <c r="B218" s="901" t="s">
        <v>2751</v>
      </c>
      <c r="C218" s="956" t="s">
        <v>785</v>
      </c>
      <c r="D218" s="956">
        <v>127</v>
      </c>
      <c r="E218" s="901">
        <v>0</v>
      </c>
      <c r="F218" s="963">
        <v>0</v>
      </c>
      <c r="G218" s="963">
        <v>0</v>
      </c>
      <c r="H218" s="963">
        <v>0</v>
      </c>
      <c r="I218" s="963">
        <v>0</v>
      </c>
      <c r="J218" s="963">
        <v>0</v>
      </c>
      <c r="K218" s="963">
        <v>0</v>
      </c>
      <c r="L218" s="963">
        <v>0</v>
      </c>
      <c r="M218" s="963">
        <v>0</v>
      </c>
      <c r="N218" s="901">
        <v>0</v>
      </c>
      <c r="O218" s="963">
        <v>0</v>
      </c>
      <c r="P218" s="963">
        <v>0</v>
      </c>
      <c r="Q218" s="963">
        <f t="shared" si="9"/>
        <v>0</v>
      </c>
      <c r="R218" s="962"/>
    </row>
    <row r="219" spans="2:18">
      <c r="B219" s="901" t="s">
        <v>2451</v>
      </c>
      <c r="C219" s="956" t="s">
        <v>786</v>
      </c>
      <c r="D219" s="956">
        <v>127</v>
      </c>
      <c r="E219" s="901">
        <v>0</v>
      </c>
      <c r="F219" s="963">
        <v>0</v>
      </c>
      <c r="G219" s="963">
        <v>0</v>
      </c>
      <c r="H219" s="963">
        <v>0</v>
      </c>
      <c r="I219" s="963">
        <v>0</v>
      </c>
      <c r="J219" s="963">
        <v>0</v>
      </c>
      <c r="K219" s="963">
        <v>0</v>
      </c>
      <c r="L219" s="963">
        <v>0</v>
      </c>
      <c r="M219" s="963">
        <v>0</v>
      </c>
      <c r="N219" s="901">
        <v>0</v>
      </c>
      <c r="O219" s="963">
        <v>0</v>
      </c>
      <c r="P219" s="963">
        <v>0</v>
      </c>
      <c r="Q219" s="963">
        <f t="shared" si="9"/>
        <v>0</v>
      </c>
      <c r="R219" s="962"/>
    </row>
    <row r="220" spans="2:18">
      <c r="B220" s="901" t="s">
        <v>2697</v>
      </c>
      <c r="C220" s="956" t="s">
        <v>787</v>
      </c>
      <c r="D220" s="956">
        <v>127</v>
      </c>
      <c r="E220" s="901">
        <v>55636.07</v>
      </c>
      <c r="F220" s="901">
        <v>65308.51</v>
      </c>
      <c r="G220" s="901">
        <v>50714.1</v>
      </c>
      <c r="H220" s="901">
        <v>50388</v>
      </c>
      <c r="I220" s="901">
        <v>46753.73</v>
      </c>
      <c r="J220" s="901">
        <v>45253.22</v>
      </c>
      <c r="K220" s="901">
        <v>49810.21</v>
      </c>
      <c r="L220" s="901">
        <v>53464.14</v>
      </c>
      <c r="M220" s="901">
        <v>50975.199999999997</v>
      </c>
      <c r="N220" s="901">
        <v>49833.97</v>
      </c>
      <c r="O220" s="901">
        <v>59551.97</v>
      </c>
      <c r="P220" s="901">
        <v>65326.559999999998</v>
      </c>
      <c r="Q220" s="963">
        <f>-SUM(E220:P220)</f>
        <v>-643015.67999999993</v>
      </c>
      <c r="R220" s="962"/>
    </row>
    <row r="221" spans="2:18">
      <c r="B221" s="901" t="s">
        <v>2698</v>
      </c>
      <c r="C221" s="956" t="s">
        <v>788</v>
      </c>
      <c r="D221" s="956">
        <v>127</v>
      </c>
      <c r="E221" s="901">
        <v>65308.51</v>
      </c>
      <c r="F221" s="901">
        <v>50714.1</v>
      </c>
      <c r="G221" s="901">
        <v>50388</v>
      </c>
      <c r="H221" s="901">
        <v>46753.73</v>
      </c>
      <c r="I221" s="901">
        <v>45253.22</v>
      </c>
      <c r="J221" s="901">
        <v>49810.21</v>
      </c>
      <c r="K221" s="901">
        <v>53464.14</v>
      </c>
      <c r="L221" s="901">
        <v>50975.199999999997</v>
      </c>
      <c r="M221" s="901">
        <v>49833.97</v>
      </c>
      <c r="N221" s="901">
        <v>59551.97</v>
      </c>
      <c r="O221" s="901">
        <v>65326.559999999998</v>
      </c>
      <c r="P221" s="901">
        <v>85416.41</v>
      </c>
      <c r="Q221" s="963">
        <f t="shared" si="9"/>
        <v>672796.02000000014</v>
      </c>
      <c r="R221" s="962"/>
    </row>
    <row r="222" spans="2:18">
      <c r="B222" s="901" t="s">
        <v>2884</v>
      </c>
      <c r="C222" s="956" t="s">
        <v>789</v>
      </c>
      <c r="D222" s="956">
        <v>127</v>
      </c>
      <c r="E222" s="901">
        <v>65308.51</v>
      </c>
      <c r="F222" s="901">
        <v>50714.1</v>
      </c>
      <c r="G222" s="901">
        <v>50388</v>
      </c>
      <c r="H222" s="901">
        <v>46753.73</v>
      </c>
      <c r="I222" s="901">
        <v>45253.22</v>
      </c>
      <c r="J222" s="901">
        <v>49810.21</v>
      </c>
      <c r="K222" s="901">
        <v>53464.14</v>
      </c>
      <c r="L222" s="901">
        <v>50975.199999999997</v>
      </c>
      <c r="M222" s="901">
        <v>49833.97</v>
      </c>
      <c r="N222" s="901">
        <v>59551.97</v>
      </c>
      <c r="O222" s="901">
        <v>65326.559999999998</v>
      </c>
      <c r="P222" s="901">
        <v>85416.41</v>
      </c>
      <c r="Q222" s="963">
        <f t="shared" si="9"/>
        <v>672796.02000000014</v>
      </c>
      <c r="R222" s="962"/>
    </row>
    <row r="223" spans="2:18">
      <c r="B223" s="964" t="s">
        <v>2673</v>
      </c>
      <c r="E223" s="971"/>
      <c r="N223" s="971"/>
      <c r="Q223" s="963"/>
      <c r="R223" s="962"/>
    </row>
    <row r="224" spans="2:18">
      <c r="Q224" s="963"/>
      <c r="R224" s="962"/>
    </row>
    <row r="225" spans="1:18">
      <c r="A225" s="903"/>
      <c r="B225" s="960" t="s">
        <v>2936</v>
      </c>
      <c r="C225" s="956" t="s">
        <v>777</v>
      </c>
      <c r="D225" s="956">
        <v>84</v>
      </c>
      <c r="E225" s="960"/>
      <c r="N225" s="960"/>
      <c r="Q225" s="963"/>
      <c r="R225" s="962"/>
    </row>
    <row r="226" spans="1:18">
      <c r="B226" s="901" t="s">
        <v>2514</v>
      </c>
      <c r="C226" s="956" t="s">
        <v>780</v>
      </c>
      <c r="D226" s="956">
        <v>84</v>
      </c>
      <c r="E226" s="901">
        <v>938576</v>
      </c>
      <c r="F226" s="901">
        <v>2041529</v>
      </c>
      <c r="G226" s="901">
        <v>2359414</v>
      </c>
      <c r="H226" s="901">
        <v>2520690</v>
      </c>
      <c r="I226" s="901">
        <v>2845634</v>
      </c>
      <c r="J226" s="901">
        <v>2219500</v>
      </c>
      <c r="K226" s="901">
        <v>2090677</v>
      </c>
      <c r="L226" s="901">
        <v>2697591</v>
      </c>
      <c r="M226" s="901">
        <v>2677115</v>
      </c>
      <c r="N226" s="901">
        <v>2457018</v>
      </c>
      <c r="O226" s="901">
        <v>2779753</v>
      </c>
      <c r="P226" s="901">
        <v>2719510</v>
      </c>
      <c r="Q226" s="963">
        <f t="shared" si="9"/>
        <v>28347007</v>
      </c>
      <c r="R226" s="962"/>
    </row>
    <row r="227" spans="1:18">
      <c r="B227" s="901" t="s">
        <v>2915</v>
      </c>
      <c r="C227" s="956" t="s">
        <v>781</v>
      </c>
      <c r="D227" s="956">
        <v>84</v>
      </c>
      <c r="E227" s="901">
        <v>0</v>
      </c>
      <c r="F227" s="901">
        <v>0</v>
      </c>
      <c r="G227" s="901">
        <v>0</v>
      </c>
      <c r="H227" s="901">
        <v>0</v>
      </c>
      <c r="I227" s="901">
        <v>0</v>
      </c>
      <c r="J227" s="901">
        <v>0</v>
      </c>
      <c r="K227" s="901">
        <v>0</v>
      </c>
      <c r="L227" s="901">
        <v>0</v>
      </c>
      <c r="M227" s="901">
        <v>0</v>
      </c>
      <c r="N227" s="901">
        <v>0</v>
      </c>
      <c r="O227" s="901">
        <v>0</v>
      </c>
      <c r="P227" s="901">
        <v>0</v>
      </c>
      <c r="Q227" s="963">
        <f t="shared" si="9"/>
        <v>0</v>
      </c>
      <c r="R227" s="962"/>
    </row>
    <row r="228" spans="1:18">
      <c r="B228" s="901" t="s">
        <v>2916</v>
      </c>
      <c r="C228" s="956" t="s">
        <v>782</v>
      </c>
      <c r="D228" s="956">
        <v>84</v>
      </c>
      <c r="E228" s="901">
        <v>0</v>
      </c>
      <c r="F228" s="901">
        <v>0</v>
      </c>
      <c r="G228" s="901">
        <v>0</v>
      </c>
      <c r="H228" s="901">
        <v>0</v>
      </c>
      <c r="I228" s="901">
        <v>0</v>
      </c>
      <c r="J228" s="901">
        <v>0</v>
      </c>
      <c r="K228" s="901">
        <v>0</v>
      </c>
      <c r="L228" s="901">
        <v>0</v>
      </c>
      <c r="M228" s="901">
        <v>0</v>
      </c>
      <c r="N228" s="901">
        <v>0</v>
      </c>
      <c r="O228" s="901">
        <v>0</v>
      </c>
      <c r="P228" s="901">
        <v>0</v>
      </c>
      <c r="Q228" s="963">
        <f t="shared" si="9"/>
        <v>0</v>
      </c>
      <c r="R228" s="962"/>
    </row>
    <row r="229" spans="1:18">
      <c r="B229" s="901" t="s">
        <v>2917</v>
      </c>
      <c r="C229" s="956" t="s">
        <v>787</v>
      </c>
      <c r="D229" s="956">
        <v>84</v>
      </c>
      <c r="E229" s="901">
        <v>938576</v>
      </c>
      <c r="F229" s="901">
        <v>2041529</v>
      </c>
      <c r="G229" s="901">
        <v>2359414</v>
      </c>
      <c r="H229" s="901">
        <v>2520690</v>
      </c>
      <c r="I229" s="901">
        <v>2845634</v>
      </c>
      <c r="J229" s="901">
        <v>2219500</v>
      </c>
      <c r="K229" s="901">
        <v>2090677</v>
      </c>
      <c r="L229" s="901">
        <v>2697591</v>
      </c>
      <c r="M229" s="901">
        <v>2677115</v>
      </c>
      <c r="N229" s="901">
        <v>2457018</v>
      </c>
      <c r="O229" s="901">
        <v>2779753</v>
      </c>
      <c r="P229" s="901">
        <v>2719510</v>
      </c>
      <c r="Q229" s="963">
        <f t="shared" si="9"/>
        <v>28347007</v>
      </c>
      <c r="R229" s="962"/>
    </row>
    <row r="230" spans="1:18">
      <c r="B230" s="901" t="s">
        <v>2918</v>
      </c>
      <c r="C230" s="956" t="s">
        <v>788</v>
      </c>
      <c r="D230" s="956">
        <v>84</v>
      </c>
      <c r="E230" s="901">
        <v>2041529</v>
      </c>
      <c r="F230" s="901">
        <v>2359414</v>
      </c>
      <c r="G230" s="901">
        <v>2520690</v>
      </c>
      <c r="H230" s="901">
        <v>2845634</v>
      </c>
      <c r="I230" s="901">
        <v>2219500</v>
      </c>
      <c r="J230" s="901">
        <v>2090677</v>
      </c>
      <c r="K230" s="901">
        <v>2697591</v>
      </c>
      <c r="L230" s="901">
        <v>2677115</v>
      </c>
      <c r="M230" s="901">
        <v>2457018</v>
      </c>
      <c r="N230" s="901">
        <v>2779753</v>
      </c>
      <c r="O230" s="901">
        <v>2719510</v>
      </c>
      <c r="P230" s="901">
        <v>2894369</v>
      </c>
      <c r="Q230" s="963">
        <f t="shared" si="9"/>
        <v>30302800</v>
      </c>
      <c r="R230" s="962"/>
    </row>
    <row r="231" spans="1:18">
      <c r="B231" s="901" t="s">
        <v>2886</v>
      </c>
      <c r="C231" s="956" t="s">
        <v>789</v>
      </c>
      <c r="D231" s="956">
        <v>84</v>
      </c>
      <c r="E231" s="901">
        <v>2041529</v>
      </c>
      <c r="F231" s="901">
        <v>2359414</v>
      </c>
      <c r="G231" s="901">
        <v>2520690</v>
      </c>
      <c r="H231" s="901">
        <v>2845634</v>
      </c>
      <c r="I231" s="901">
        <v>2219500</v>
      </c>
      <c r="J231" s="901">
        <v>2090677</v>
      </c>
      <c r="K231" s="901">
        <v>2697591</v>
      </c>
      <c r="L231" s="901">
        <v>2677115</v>
      </c>
      <c r="M231" s="901">
        <v>2457018</v>
      </c>
      <c r="N231" s="901">
        <v>2779753</v>
      </c>
      <c r="O231" s="901">
        <v>2719510</v>
      </c>
      <c r="P231" s="901">
        <v>2894369</v>
      </c>
      <c r="Q231" s="963">
        <f t="shared" si="9"/>
        <v>30302800</v>
      </c>
      <c r="R231" s="962"/>
    </row>
    <row r="232" spans="1:18">
      <c r="B232" s="964" t="s">
        <v>2673</v>
      </c>
      <c r="E232" s="971"/>
      <c r="N232" s="971"/>
      <c r="Q232" s="963">
        <f t="shared" si="9"/>
        <v>0</v>
      </c>
      <c r="R232" s="962"/>
    </row>
    <row r="233" spans="1:18">
      <c r="B233" s="901" t="s">
        <v>2919</v>
      </c>
      <c r="C233" s="956" t="s">
        <v>780</v>
      </c>
      <c r="D233" s="956">
        <v>128</v>
      </c>
      <c r="E233" s="901">
        <v>19185.240000000002</v>
      </c>
      <c r="F233" s="901">
        <v>38509.06</v>
      </c>
      <c r="G233" s="901">
        <v>44078.43</v>
      </c>
      <c r="H233" s="901">
        <v>46903.99</v>
      </c>
      <c r="I233" s="901">
        <v>52597.03</v>
      </c>
      <c r="J233" s="901">
        <v>41627.129999999997</v>
      </c>
      <c r="K233" s="901">
        <v>39370.129999999997</v>
      </c>
      <c r="L233" s="901">
        <v>50003.32</v>
      </c>
      <c r="M233" s="901">
        <v>49644.58</v>
      </c>
      <c r="N233" s="901">
        <v>45788.46</v>
      </c>
      <c r="O233" s="901">
        <v>50534.76</v>
      </c>
      <c r="P233" s="901">
        <v>49498.98</v>
      </c>
      <c r="Q233" s="963">
        <f t="shared" si="9"/>
        <v>527741.1100000001</v>
      </c>
      <c r="R233" s="962"/>
    </row>
    <row r="234" spans="1:18">
      <c r="B234" s="901" t="s">
        <v>2920</v>
      </c>
      <c r="C234" s="956" t="s">
        <v>781</v>
      </c>
      <c r="D234" s="956">
        <v>128</v>
      </c>
      <c r="E234" s="901">
        <v>0</v>
      </c>
      <c r="F234" s="901">
        <v>0</v>
      </c>
      <c r="G234" s="901">
        <v>0</v>
      </c>
      <c r="H234" s="901">
        <v>0</v>
      </c>
      <c r="I234" s="901">
        <v>0</v>
      </c>
      <c r="J234" s="901">
        <v>0</v>
      </c>
      <c r="K234" s="901">
        <v>0</v>
      </c>
      <c r="L234" s="901">
        <v>0</v>
      </c>
      <c r="M234" s="901">
        <v>0</v>
      </c>
      <c r="N234" s="901">
        <v>0</v>
      </c>
      <c r="O234" s="901">
        <v>0</v>
      </c>
      <c r="P234" s="901">
        <v>0</v>
      </c>
      <c r="Q234" s="963">
        <f t="shared" si="9"/>
        <v>0</v>
      </c>
      <c r="R234" s="962"/>
    </row>
    <row r="235" spans="1:18">
      <c r="B235" s="901" t="s">
        <v>2921</v>
      </c>
      <c r="C235" s="956" t="s">
        <v>782</v>
      </c>
      <c r="D235" s="956">
        <v>128</v>
      </c>
      <c r="E235" s="901">
        <v>0</v>
      </c>
      <c r="F235" s="901">
        <v>0</v>
      </c>
      <c r="G235" s="901">
        <v>0</v>
      </c>
      <c r="H235" s="901">
        <v>0</v>
      </c>
      <c r="I235" s="901">
        <v>0</v>
      </c>
      <c r="J235" s="901">
        <v>0</v>
      </c>
      <c r="K235" s="901">
        <v>0</v>
      </c>
      <c r="L235" s="901">
        <v>0</v>
      </c>
      <c r="M235" s="901">
        <v>0</v>
      </c>
      <c r="N235" s="901">
        <v>0</v>
      </c>
      <c r="O235" s="901">
        <v>0</v>
      </c>
      <c r="P235" s="901">
        <v>0</v>
      </c>
      <c r="Q235" s="963">
        <f t="shared" si="9"/>
        <v>0</v>
      </c>
      <c r="R235" s="962"/>
    </row>
    <row r="236" spans="1:18">
      <c r="B236" s="901" t="s">
        <v>2922</v>
      </c>
      <c r="C236" s="956" t="s">
        <v>783</v>
      </c>
      <c r="D236" s="956">
        <v>128</v>
      </c>
      <c r="E236" s="901">
        <v>0</v>
      </c>
      <c r="F236" s="901">
        <v>0</v>
      </c>
      <c r="G236" s="901">
        <v>0</v>
      </c>
      <c r="H236" s="901">
        <v>0</v>
      </c>
      <c r="I236" s="901">
        <v>0</v>
      </c>
      <c r="J236" s="901">
        <v>0</v>
      </c>
      <c r="K236" s="901">
        <v>0</v>
      </c>
      <c r="L236" s="901">
        <v>0</v>
      </c>
      <c r="M236" s="901">
        <v>0</v>
      </c>
      <c r="N236" s="901">
        <v>0</v>
      </c>
      <c r="O236" s="901">
        <v>0</v>
      </c>
      <c r="P236" s="901">
        <v>0</v>
      </c>
      <c r="Q236" s="963">
        <f t="shared" si="9"/>
        <v>0</v>
      </c>
      <c r="R236" s="962"/>
    </row>
    <row r="237" spans="1:18">
      <c r="B237" s="901" t="s">
        <v>2750</v>
      </c>
      <c r="C237" s="956" t="s">
        <v>784</v>
      </c>
      <c r="D237" s="956">
        <v>128</v>
      </c>
      <c r="E237" s="901">
        <v>0</v>
      </c>
      <c r="F237" s="901">
        <v>0</v>
      </c>
      <c r="G237" s="901">
        <v>0</v>
      </c>
      <c r="H237" s="901">
        <v>0</v>
      </c>
      <c r="I237" s="901">
        <v>0</v>
      </c>
      <c r="J237" s="901">
        <v>0</v>
      </c>
      <c r="K237" s="901">
        <v>0</v>
      </c>
      <c r="L237" s="901">
        <v>0</v>
      </c>
      <c r="M237" s="901">
        <v>0</v>
      </c>
      <c r="N237" s="901">
        <v>0</v>
      </c>
      <c r="O237" s="901">
        <v>0</v>
      </c>
      <c r="P237" s="901">
        <v>0</v>
      </c>
      <c r="Q237" s="963">
        <f t="shared" si="9"/>
        <v>0</v>
      </c>
      <c r="R237" s="962"/>
    </row>
    <row r="238" spans="1:18">
      <c r="B238" s="901" t="s">
        <v>2751</v>
      </c>
      <c r="C238" s="956" t="s">
        <v>785</v>
      </c>
      <c r="D238" s="956">
        <v>128</v>
      </c>
      <c r="E238" s="901">
        <v>0</v>
      </c>
      <c r="F238" s="901">
        <v>0</v>
      </c>
      <c r="G238" s="901">
        <v>0</v>
      </c>
      <c r="H238" s="901">
        <v>0</v>
      </c>
      <c r="I238" s="901">
        <v>0</v>
      </c>
      <c r="J238" s="901">
        <v>0</v>
      </c>
      <c r="K238" s="901">
        <v>0</v>
      </c>
      <c r="L238" s="901">
        <v>0</v>
      </c>
      <c r="M238" s="901">
        <v>0</v>
      </c>
      <c r="N238" s="901">
        <v>0</v>
      </c>
      <c r="O238" s="901">
        <v>0</v>
      </c>
      <c r="P238" s="901">
        <v>0</v>
      </c>
      <c r="Q238" s="963">
        <f t="shared" si="9"/>
        <v>0</v>
      </c>
      <c r="R238" s="962"/>
    </row>
    <row r="239" spans="1:18">
      <c r="B239" s="901" t="s">
        <v>2451</v>
      </c>
      <c r="C239" s="956" t="s">
        <v>786</v>
      </c>
      <c r="D239" s="956">
        <v>128</v>
      </c>
      <c r="E239" s="901">
        <v>0</v>
      </c>
      <c r="F239" s="901">
        <v>0</v>
      </c>
      <c r="G239" s="901">
        <v>0</v>
      </c>
      <c r="H239" s="901">
        <v>0</v>
      </c>
      <c r="I239" s="901">
        <v>0</v>
      </c>
      <c r="J239" s="901">
        <v>0</v>
      </c>
      <c r="K239" s="901">
        <v>0</v>
      </c>
      <c r="L239" s="901">
        <v>0</v>
      </c>
      <c r="M239" s="901">
        <v>0</v>
      </c>
      <c r="N239" s="901">
        <v>0</v>
      </c>
      <c r="O239" s="901">
        <v>0</v>
      </c>
      <c r="P239" s="901">
        <v>0</v>
      </c>
      <c r="Q239" s="963">
        <f t="shared" ref="Q239:Q302" si="10">SUM(E239:P239)</f>
        <v>0</v>
      </c>
      <c r="R239" s="962"/>
    </row>
    <row r="240" spans="1:18">
      <c r="B240" s="901" t="s">
        <v>2697</v>
      </c>
      <c r="C240" s="956" t="s">
        <v>787</v>
      </c>
      <c r="D240" s="956">
        <v>128</v>
      </c>
      <c r="E240" s="901">
        <v>19185.240000000002</v>
      </c>
      <c r="F240" s="901">
        <v>38509.06</v>
      </c>
      <c r="G240" s="901">
        <v>44078.43</v>
      </c>
      <c r="H240" s="901">
        <v>46903.99</v>
      </c>
      <c r="I240" s="901">
        <v>52597.03</v>
      </c>
      <c r="J240" s="901">
        <v>41627.129999999997</v>
      </c>
      <c r="K240" s="901">
        <v>39370.129999999997</v>
      </c>
      <c r="L240" s="901">
        <v>50003.32</v>
      </c>
      <c r="M240" s="901">
        <v>49644.58</v>
      </c>
      <c r="N240" s="901">
        <v>45788.46</v>
      </c>
      <c r="O240" s="901">
        <v>50534.76</v>
      </c>
      <c r="P240" s="901">
        <v>49498.98</v>
      </c>
      <c r="Q240" s="963">
        <f>-SUM(E240:P240)</f>
        <v>-527741.1100000001</v>
      </c>
      <c r="R240" s="962"/>
    </row>
    <row r="241" spans="2:18">
      <c r="B241" s="901" t="s">
        <v>2698</v>
      </c>
      <c r="C241" s="956" t="s">
        <v>788</v>
      </c>
      <c r="D241" s="956">
        <v>128</v>
      </c>
      <c r="E241" s="901">
        <v>38509.06</v>
      </c>
      <c r="F241" s="901">
        <v>44078.43</v>
      </c>
      <c r="G241" s="901">
        <v>46903.99</v>
      </c>
      <c r="H241" s="901">
        <v>52597.03</v>
      </c>
      <c r="I241" s="901">
        <v>41627.129999999997</v>
      </c>
      <c r="J241" s="901">
        <v>39370.129999999997</v>
      </c>
      <c r="K241" s="901">
        <v>50003.32</v>
      </c>
      <c r="L241" s="901">
        <v>49644.58</v>
      </c>
      <c r="M241" s="901">
        <v>45788.46</v>
      </c>
      <c r="N241" s="901">
        <v>50534.76</v>
      </c>
      <c r="O241" s="901">
        <v>49498.98</v>
      </c>
      <c r="P241" s="901">
        <v>52505.4</v>
      </c>
      <c r="Q241" s="963">
        <f t="shared" si="10"/>
        <v>561061.27</v>
      </c>
      <c r="R241" s="962"/>
    </row>
    <row r="242" spans="2:18">
      <c r="B242" s="901" t="s">
        <v>2884</v>
      </c>
      <c r="C242" s="956" t="s">
        <v>789</v>
      </c>
      <c r="D242" s="956">
        <v>128</v>
      </c>
      <c r="E242" s="901">
        <v>38509.06</v>
      </c>
      <c r="F242" s="901">
        <v>44078.43</v>
      </c>
      <c r="G242" s="901">
        <v>46903.99</v>
      </c>
      <c r="H242" s="901">
        <v>52597.03</v>
      </c>
      <c r="I242" s="901">
        <v>41627.129999999997</v>
      </c>
      <c r="J242" s="901">
        <v>39370.129999999997</v>
      </c>
      <c r="K242" s="901">
        <v>50003.32</v>
      </c>
      <c r="L242" s="901">
        <v>49644.58</v>
      </c>
      <c r="M242" s="901">
        <v>45788.46</v>
      </c>
      <c r="N242" s="901">
        <v>50534.76</v>
      </c>
      <c r="O242" s="901">
        <v>49498.98</v>
      </c>
      <c r="P242" s="901">
        <v>52505.4</v>
      </c>
      <c r="Q242" s="963">
        <f t="shared" si="10"/>
        <v>561061.27</v>
      </c>
      <c r="R242" s="962"/>
    </row>
    <row r="243" spans="2:18">
      <c r="B243" s="964" t="s">
        <v>2673</v>
      </c>
      <c r="E243" s="971"/>
      <c r="N243" s="971"/>
      <c r="Q243" s="963"/>
      <c r="R243" s="962"/>
    </row>
    <row r="244" spans="2:18">
      <c r="E244" s="971"/>
      <c r="N244" s="971"/>
      <c r="Q244" s="963"/>
      <c r="R244" s="962"/>
    </row>
    <row r="245" spans="2:18">
      <c r="B245" s="960" t="s">
        <v>2937</v>
      </c>
      <c r="C245" s="956" t="s">
        <v>777</v>
      </c>
      <c r="D245" s="956">
        <v>85</v>
      </c>
      <c r="F245" s="961"/>
      <c r="G245" s="961"/>
      <c r="H245" s="961"/>
      <c r="I245" s="961"/>
      <c r="J245" s="961"/>
      <c r="K245" s="961"/>
      <c r="L245" s="961"/>
      <c r="M245" s="961"/>
      <c r="O245" s="961"/>
      <c r="P245" s="961"/>
      <c r="Q245" s="963"/>
      <c r="R245" s="962"/>
    </row>
    <row r="246" spans="2:18">
      <c r="B246" s="901" t="s">
        <v>2514</v>
      </c>
      <c r="C246" s="956" t="s">
        <v>780</v>
      </c>
      <c r="D246" s="956">
        <v>85</v>
      </c>
      <c r="E246" s="901">
        <v>765472</v>
      </c>
      <c r="F246" s="963">
        <v>835418</v>
      </c>
      <c r="G246" s="963">
        <v>735036</v>
      </c>
      <c r="H246" s="963">
        <v>848257</v>
      </c>
      <c r="I246" s="963">
        <v>769998</v>
      </c>
      <c r="J246" s="963">
        <v>453427</v>
      </c>
      <c r="K246" s="963">
        <v>759078</v>
      </c>
      <c r="L246" s="963">
        <v>656415</v>
      </c>
      <c r="M246" s="963">
        <v>629970</v>
      </c>
      <c r="N246" s="901">
        <v>700843</v>
      </c>
      <c r="O246" s="963">
        <v>787046</v>
      </c>
      <c r="P246" s="963">
        <v>758864</v>
      </c>
      <c r="Q246" s="963">
        <f t="shared" si="10"/>
        <v>8699824</v>
      </c>
      <c r="R246" s="962"/>
    </row>
    <row r="247" spans="2:18">
      <c r="B247" s="901" t="s">
        <v>2915</v>
      </c>
      <c r="C247" s="956" t="s">
        <v>781</v>
      </c>
      <c r="D247" s="956">
        <v>85</v>
      </c>
      <c r="E247" s="901">
        <v>0</v>
      </c>
      <c r="F247" s="963">
        <v>0</v>
      </c>
      <c r="G247" s="963">
        <v>0</v>
      </c>
      <c r="H247" s="963">
        <v>0</v>
      </c>
      <c r="I247" s="963">
        <v>0</v>
      </c>
      <c r="J247" s="963">
        <v>0</v>
      </c>
      <c r="K247" s="963">
        <v>0</v>
      </c>
      <c r="L247" s="963">
        <v>0</v>
      </c>
      <c r="M247" s="963">
        <v>0</v>
      </c>
      <c r="N247" s="901">
        <v>0</v>
      </c>
      <c r="O247" s="963">
        <v>0</v>
      </c>
      <c r="P247" s="963">
        <v>0</v>
      </c>
      <c r="Q247" s="963">
        <f t="shared" si="10"/>
        <v>0</v>
      </c>
      <c r="R247" s="962"/>
    </row>
    <row r="248" spans="2:18">
      <c r="B248" s="901" t="s">
        <v>2916</v>
      </c>
      <c r="C248" s="956" t="s">
        <v>782</v>
      </c>
      <c r="D248" s="956">
        <v>85</v>
      </c>
      <c r="E248" s="901">
        <v>0</v>
      </c>
      <c r="F248" s="963">
        <v>0</v>
      </c>
      <c r="G248" s="963">
        <v>0</v>
      </c>
      <c r="H248" s="963">
        <v>0</v>
      </c>
      <c r="I248" s="963">
        <v>0</v>
      </c>
      <c r="J248" s="963">
        <v>0</v>
      </c>
      <c r="K248" s="963">
        <v>0</v>
      </c>
      <c r="L248" s="963">
        <v>0</v>
      </c>
      <c r="M248" s="963">
        <v>0</v>
      </c>
      <c r="N248" s="901">
        <v>0</v>
      </c>
      <c r="O248" s="963">
        <v>0</v>
      </c>
      <c r="P248" s="963">
        <v>0</v>
      </c>
      <c r="Q248" s="963">
        <f t="shared" si="10"/>
        <v>0</v>
      </c>
      <c r="R248" s="962"/>
    </row>
    <row r="249" spans="2:18">
      <c r="B249" s="901" t="s">
        <v>2917</v>
      </c>
      <c r="C249" s="956" t="s">
        <v>787</v>
      </c>
      <c r="D249" s="956">
        <v>85</v>
      </c>
      <c r="E249" s="901">
        <v>765472</v>
      </c>
      <c r="F249" s="963">
        <v>835418</v>
      </c>
      <c r="G249" s="963">
        <v>735036</v>
      </c>
      <c r="H249" s="963">
        <v>848257</v>
      </c>
      <c r="I249" s="963">
        <v>769998</v>
      </c>
      <c r="J249" s="963">
        <v>453427</v>
      </c>
      <c r="K249" s="963">
        <v>759078</v>
      </c>
      <c r="L249" s="963">
        <v>656415</v>
      </c>
      <c r="M249" s="963">
        <v>629970</v>
      </c>
      <c r="N249" s="901">
        <v>700843</v>
      </c>
      <c r="O249" s="963">
        <v>787046</v>
      </c>
      <c r="P249" s="963">
        <v>758864</v>
      </c>
      <c r="Q249" s="963">
        <f t="shared" si="10"/>
        <v>8699824</v>
      </c>
      <c r="R249" s="962"/>
    </row>
    <row r="250" spans="2:18">
      <c r="B250" s="901" t="s">
        <v>2918</v>
      </c>
      <c r="C250" s="956" t="s">
        <v>788</v>
      </c>
      <c r="D250" s="956">
        <v>85</v>
      </c>
      <c r="E250" s="901">
        <v>835418</v>
      </c>
      <c r="F250" s="963">
        <v>735036</v>
      </c>
      <c r="G250" s="963">
        <v>848257</v>
      </c>
      <c r="H250" s="963">
        <v>769998</v>
      </c>
      <c r="I250" s="963">
        <v>453427</v>
      </c>
      <c r="J250" s="963">
        <v>759078</v>
      </c>
      <c r="K250" s="963">
        <v>656415</v>
      </c>
      <c r="L250" s="963">
        <v>629970</v>
      </c>
      <c r="M250" s="963">
        <v>700843</v>
      </c>
      <c r="N250" s="901">
        <v>787046</v>
      </c>
      <c r="O250" s="963">
        <v>758864</v>
      </c>
      <c r="P250" s="963">
        <v>777031</v>
      </c>
      <c r="Q250" s="963">
        <f t="shared" si="10"/>
        <v>8711383</v>
      </c>
      <c r="R250" s="962"/>
    </row>
    <row r="251" spans="2:18">
      <c r="B251" s="901" t="s">
        <v>2886</v>
      </c>
      <c r="C251" s="956" t="s">
        <v>789</v>
      </c>
      <c r="D251" s="956">
        <v>85</v>
      </c>
      <c r="E251" s="901">
        <v>835418</v>
      </c>
      <c r="F251" s="963">
        <v>735036</v>
      </c>
      <c r="G251" s="963">
        <v>848257</v>
      </c>
      <c r="H251" s="963">
        <v>769998</v>
      </c>
      <c r="I251" s="963">
        <v>453427</v>
      </c>
      <c r="J251" s="963">
        <v>759078</v>
      </c>
      <c r="K251" s="963">
        <v>656415</v>
      </c>
      <c r="L251" s="963">
        <v>629970</v>
      </c>
      <c r="M251" s="963">
        <v>700843</v>
      </c>
      <c r="N251" s="901">
        <v>787046</v>
      </c>
      <c r="O251" s="963">
        <v>758864</v>
      </c>
      <c r="P251" s="963">
        <v>777031</v>
      </c>
      <c r="Q251" s="963">
        <f t="shared" si="10"/>
        <v>8711383</v>
      </c>
      <c r="R251" s="962"/>
    </row>
    <row r="252" spans="2:18">
      <c r="B252" s="964" t="s">
        <v>2673</v>
      </c>
      <c r="F252" s="963"/>
      <c r="G252" s="963"/>
      <c r="H252" s="963"/>
      <c r="I252" s="963"/>
      <c r="J252" s="963"/>
      <c r="K252" s="963"/>
      <c r="L252" s="963"/>
      <c r="M252" s="963"/>
      <c r="O252" s="963"/>
      <c r="P252" s="963"/>
      <c r="Q252" s="963">
        <f t="shared" si="10"/>
        <v>0</v>
      </c>
      <c r="R252" s="962"/>
    </row>
    <row r="253" spans="2:18">
      <c r="B253" s="901" t="s">
        <v>2919</v>
      </c>
      <c r="C253" s="956" t="s">
        <v>780</v>
      </c>
      <c r="D253" s="956">
        <v>129</v>
      </c>
      <c r="E253" s="901">
        <v>12588.28</v>
      </c>
      <c r="F253" s="963">
        <v>13464.21</v>
      </c>
      <c r="G253" s="963">
        <v>12207.13</v>
      </c>
      <c r="H253" s="963">
        <v>13624.98</v>
      </c>
      <c r="I253" s="963">
        <v>12644.95</v>
      </c>
      <c r="J253" s="963">
        <v>8680.59</v>
      </c>
      <c r="K253" s="963">
        <v>12508.2</v>
      </c>
      <c r="L253" s="963">
        <v>11222.57</v>
      </c>
      <c r="M253" s="963">
        <v>10891.41</v>
      </c>
      <c r="N253" s="901">
        <v>11778.94</v>
      </c>
      <c r="O253" s="963">
        <v>13010.91</v>
      </c>
      <c r="P253" s="963">
        <v>12652.54</v>
      </c>
      <c r="Q253" s="963">
        <f t="shared" si="10"/>
        <v>145274.71</v>
      </c>
      <c r="R253" s="962"/>
    </row>
    <row r="254" spans="2:18">
      <c r="B254" s="901" t="s">
        <v>2920</v>
      </c>
      <c r="C254" s="956" t="s">
        <v>781</v>
      </c>
      <c r="D254" s="956">
        <v>129</v>
      </c>
      <c r="E254" s="901">
        <v>0</v>
      </c>
      <c r="F254" s="963">
        <v>0</v>
      </c>
      <c r="G254" s="963">
        <v>0</v>
      </c>
      <c r="H254" s="963">
        <v>0</v>
      </c>
      <c r="I254" s="963">
        <v>0</v>
      </c>
      <c r="J254" s="963">
        <v>0</v>
      </c>
      <c r="K254" s="963">
        <v>0</v>
      </c>
      <c r="L254" s="963">
        <v>0</v>
      </c>
      <c r="M254" s="963">
        <v>0</v>
      </c>
      <c r="N254" s="901">
        <v>0</v>
      </c>
      <c r="O254" s="963">
        <v>0</v>
      </c>
      <c r="P254" s="963">
        <v>0</v>
      </c>
      <c r="Q254" s="963">
        <f t="shared" si="10"/>
        <v>0</v>
      </c>
      <c r="R254" s="962"/>
    </row>
    <row r="255" spans="2:18">
      <c r="B255" s="901" t="s">
        <v>2921</v>
      </c>
      <c r="C255" s="956" t="s">
        <v>782</v>
      </c>
      <c r="D255" s="956">
        <v>129</v>
      </c>
      <c r="E255" s="901">
        <v>0</v>
      </c>
      <c r="F255" s="963">
        <v>0</v>
      </c>
      <c r="G255" s="963">
        <v>0</v>
      </c>
      <c r="H255" s="963">
        <v>0</v>
      </c>
      <c r="I255" s="963">
        <v>0</v>
      </c>
      <c r="J255" s="963">
        <v>0</v>
      </c>
      <c r="K255" s="963">
        <v>0</v>
      </c>
      <c r="L255" s="963">
        <v>0</v>
      </c>
      <c r="M255" s="963">
        <v>0</v>
      </c>
      <c r="N255" s="901">
        <v>0</v>
      </c>
      <c r="O255" s="963">
        <v>0</v>
      </c>
      <c r="P255" s="963">
        <v>0</v>
      </c>
      <c r="Q255" s="963">
        <f t="shared" si="10"/>
        <v>0</v>
      </c>
      <c r="R255" s="962"/>
    </row>
    <row r="256" spans="2:18">
      <c r="B256" s="901" t="s">
        <v>2922</v>
      </c>
      <c r="C256" s="956" t="s">
        <v>783</v>
      </c>
      <c r="D256" s="956">
        <v>129</v>
      </c>
      <c r="E256" s="901">
        <v>0</v>
      </c>
      <c r="F256" s="963">
        <v>0</v>
      </c>
      <c r="G256" s="963">
        <v>0</v>
      </c>
      <c r="H256" s="963">
        <v>0</v>
      </c>
      <c r="I256" s="963">
        <v>0</v>
      </c>
      <c r="J256" s="963">
        <v>0</v>
      </c>
      <c r="K256" s="963">
        <v>0</v>
      </c>
      <c r="L256" s="963">
        <v>0</v>
      </c>
      <c r="M256" s="963">
        <v>0</v>
      </c>
      <c r="N256" s="901">
        <v>0</v>
      </c>
      <c r="O256" s="963">
        <v>0</v>
      </c>
      <c r="P256" s="963">
        <v>0</v>
      </c>
      <c r="Q256" s="963">
        <f t="shared" si="10"/>
        <v>0</v>
      </c>
      <c r="R256" s="962"/>
    </row>
    <row r="257" spans="2:18">
      <c r="B257" s="901" t="s">
        <v>2750</v>
      </c>
      <c r="C257" s="956" t="s">
        <v>784</v>
      </c>
      <c r="D257" s="956">
        <v>129</v>
      </c>
      <c r="E257" s="901">
        <v>0</v>
      </c>
      <c r="F257" s="963">
        <v>0</v>
      </c>
      <c r="G257" s="963">
        <v>0</v>
      </c>
      <c r="H257" s="963">
        <v>0</v>
      </c>
      <c r="I257" s="963">
        <v>0</v>
      </c>
      <c r="J257" s="963">
        <v>0</v>
      </c>
      <c r="K257" s="963">
        <v>0</v>
      </c>
      <c r="L257" s="963">
        <v>0</v>
      </c>
      <c r="M257" s="963">
        <v>0</v>
      </c>
      <c r="N257" s="901">
        <v>0</v>
      </c>
      <c r="O257" s="963">
        <v>0</v>
      </c>
      <c r="P257" s="963">
        <v>0</v>
      </c>
      <c r="Q257" s="963">
        <f t="shared" si="10"/>
        <v>0</v>
      </c>
      <c r="R257" s="962"/>
    </row>
    <row r="258" spans="2:18">
      <c r="B258" s="901" t="s">
        <v>2751</v>
      </c>
      <c r="C258" s="956" t="s">
        <v>785</v>
      </c>
      <c r="D258" s="956">
        <v>129</v>
      </c>
      <c r="E258" s="901">
        <v>0</v>
      </c>
      <c r="F258" s="963">
        <v>0</v>
      </c>
      <c r="G258" s="963">
        <v>0</v>
      </c>
      <c r="H258" s="963">
        <v>0</v>
      </c>
      <c r="I258" s="963">
        <v>0</v>
      </c>
      <c r="J258" s="963">
        <v>0</v>
      </c>
      <c r="K258" s="963">
        <v>0</v>
      </c>
      <c r="L258" s="963">
        <v>0</v>
      </c>
      <c r="M258" s="963">
        <v>0</v>
      </c>
      <c r="N258" s="901">
        <v>0</v>
      </c>
      <c r="O258" s="963">
        <v>0</v>
      </c>
      <c r="P258" s="963">
        <v>0</v>
      </c>
      <c r="Q258" s="963">
        <f t="shared" si="10"/>
        <v>0</v>
      </c>
      <c r="R258" s="962"/>
    </row>
    <row r="259" spans="2:18">
      <c r="B259" s="901" t="s">
        <v>2451</v>
      </c>
      <c r="C259" s="956" t="s">
        <v>786</v>
      </c>
      <c r="D259" s="956">
        <v>129</v>
      </c>
      <c r="E259" s="901">
        <v>0</v>
      </c>
      <c r="F259" s="963">
        <v>0</v>
      </c>
      <c r="G259" s="963">
        <v>0</v>
      </c>
      <c r="H259" s="963">
        <v>0</v>
      </c>
      <c r="I259" s="963">
        <v>0</v>
      </c>
      <c r="J259" s="963">
        <v>0</v>
      </c>
      <c r="K259" s="963">
        <v>0</v>
      </c>
      <c r="L259" s="963">
        <v>0</v>
      </c>
      <c r="M259" s="963">
        <v>0</v>
      </c>
      <c r="N259" s="901">
        <v>0</v>
      </c>
      <c r="O259" s="963">
        <v>0</v>
      </c>
      <c r="P259" s="963">
        <v>0</v>
      </c>
      <c r="Q259" s="963">
        <f t="shared" si="10"/>
        <v>0</v>
      </c>
      <c r="R259" s="962"/>
    </row>
    <row r="260" spans="2:18">
      <c r="B260" s="901" t="s">
        <v>2697</v>
      </c>
      <c r="C260" s="956" t="s">
        <v>787</v>
      </c>
      <c r="D260" s="956">
        <v>129</v>
      </c>
      <c r="E260" s="901">
        <v>12588.28</v>
      </c>
      <c r="F260" s="963">
        <v>13464.21</v>
      </c>
      <c r="G260" s="963">
        <v>12207.13</v>
      </c>
      <c r="H260" s="963">
        <v>13624.98</v>
      </c>
      <c r="I260" s="963">
        <v>12644.95</v>
      </c>
      <c r="J260" s="963">
        <v>8680.59</v>
      </c>
      <c r="K260" s="963">
        <v>12508.2</v>
      </c>
      <c r="L260" s="963">
        <v>11222.57</v>
      </c>
      <c r="M260" s="963">
        <v>10891.41</v>
      </c>
      <c r="N260" s="901">
        <v>11778.94</v>
      </c>
      <c r="O260" s="963">
        <v>13010.91</v>
      </c>
      <c r="P260" s="963">
        <v>12652.54</v>
      </c>
      <c r="Q260" s="963">
        <f>-SUM(E260:P260)</f>
        <v>-145274.71</v>
      </c>
      <c r="R260" s="962"/>
    </row>
    <row r="261" spans="2:18">
      <c r="B261" s="901" t="s">
        <v>2698</v>
      </c>
      <c r="C261" s="956" t="s">
        <v>788</v>
      </c>
      <c r="D261" s="956">
        <v>129</v>
      </c>
      <c r="E261" s="901">
        <v>13464.21</v>
      </c>
      <c r="F261" s="963">
        <v>12207.13</v>
      </c>
      <c r="G261" s="963">
        <v>13624.98</v>
      </c>
      <c r="H261" s="963">
        <v>12644.95</v>
      </c>
      <c r="I261" s="963">
        <v>8680.59</v>
      </c>
      <c r="J261" s="963">
        <v>12508.2</v>
      </c>
      <c r="K261" s="963">
        <v>11222.57</v>
      </c>
      <c r="L261" s="963">
        <v>10891.41</v>
      </c>
      <c r="M261" s="963">
        <v>11778.94</v>
      </c>
      <c r="N261" s="901">
        <v>13010.91</v>
      </c>
      <c r="O261" s="963">
        <v>12652.54</v>
      </c>
      <c r="P261" s="963">
        <v>12883.55</v>
      </c>
      <c r="Q261" s="963">
        <f t="shared" si="10"/>
        <v>145569.97999999998</v>
      </c>
      <c r="R261" s="962"/>
    </row>
    <row r="262" spans="2:18">
      <c r="B262" s="901" t="s">
        <v>2884</v>
      </c>
      <c r="C262" s="956" t="s">
        <v>789</v>
      </c>
      <c r="D262" s="956">
        <v>129</v>
      </c>
      <c r="E262" s="901">
        <v>13464.21</v>
      </c>
      <c r="F262" s="963">
        <v>12207.13</v>
      </c>
      <c r="G262" s="963">
        <v>13624.98</v>
      </c>
      <c r="H262" s="963">
        <v>12644.95</v>
      </c>
      <c r="I262" s="963">
        <v>8680.59</v>
      </c>
      <c r="J262" s="963">
        <v>12508.2</v>
      </c>
      <c r="K262" s="963">
        <v>11222.57</v>
      </c>
      <c r="L262" s="963">
        <v>10891.41</v>
      </c>
      <c r="M262" s="963">
        <v>11778.94</v>
      </c>
      <c r="N262" s="901">
        <v>13010.91</v>
      </c>
      <c r="O262" s="963">
        <v>12652.54</v>
      </c>
      <c r="P262" s="963">
        <v>12883.55</v>
      </c>
      <c r="Q262" s="963">
        <f t="shared" si="10"/>
        <v>145569.97999999998</v>
      </c>
      <c r="R262" s="962"/>
    </row>
    <row r="263" spans="2:18">
      <c r="B263" s="964" t="s">
        <v>2673</v>
      </c>
      <c r="F263" s="963"/>
      <c r="G263" s="963"/>
      <c r="H263" s="963"/>
      <c r="I263" s="963"/>
      <c r="J263" s="963"/>
      <c r="K263" s="963"/>
      <c r="L263" s="963"/>
      <c r="M263" s="963"/>
      <c r="O263" s="963"/>
      <c r="P263" s="963"/>
      <c r="Q263" s="963"/>
      <c r="R263" s="962"/>
    </row>
    <row r="264" spans="2:18">
      <c r="F264" s="963"/>
      <c r="G264" s="963"/>
      <c r="H264" s="963"/>
      <c r="I264" s="963"/>
      <c r="J264" s="963"/>
      <c r="K264" s="963"/>
      <c r="L264" s="963"/>
      <c r="M264" s="963"/>
      <c r="O264" s="963"/>
      <c r="P264" s="963"/>
      <c r="Q264" s="963"/>
      <c r="R264" s="962"/>
    </row>
    <row r="265" spans="2:18">
      <c r="B265" s="960" t="s">
        <v>2938</v>
      </c>
      <c r="C265" s="956" t="s">
        <v>777</v>
      </c>
      <c r="D265" s="956">
        <v>86</v>
      </c>
      <c r="F265" s="963"/>
      <c r="G265" s="963"/>
      <c r="H265" s="963"/>
      <c r="I265" s="963"/>
      <c r="J265" s="963"/>
      <c r="K265" s="963"/>
      <c r="L265" s="963"/>
      <c r="M265" s="963"/>
      <c r="O265" s="963"/>
      <c r="P265" s="963"/>
      <c r="Q265" s="963"/>
      <c r="R265" s="962"/>
    </row>
    <row r="266" spans="2:18">
      <c r="B266" s="901" t="s">
        <v>2514</v>
      </c>
      <c r="C266" s="956" t="s">
        <v>780</v>
      </c>
      <c r="D266" s="956">
        <v>86</v>
      </c>
      <c r="E266" s="901">
        <v>502419</v>
      </c>
      <c r="F266" s="963">
        <v>564041</v>
      </c>
      <c r="G266" s="963">
        <v>538901</v>
      </c>
      <c r="H266" s="963">
        <v>538257</v>
      </c>
      <c r="I266" s="963">
        <v>397319</v>
      </c>
      <c r="J266" s="963">
        <v>390685</v>
      </c>
      <c r="K266" s="963">
        <v>327788</v>
      </c>
      <c r="L266" s="963">
        <v>339569</v>
      </c>
      <c r="M266" s="963">
        <v>278437</v>
      </c>
      <c r="N266" s="901">
        <v>318250</v>
      </c>
      <c r="O266" s="963">
        <v>348739</v>
      </c>
      <c r="P266" s="963">
        <v>325444</v>
      </c>
      <c r="Q266" s="963">
        <f t="shared" si="10"/>
        <v>4869849</v>
      </c>
      <c r="R266" s="962"/>
    </row>
    <row r="267" spans="2:18">
      <c r="B267" s="901" t="s">
        <v>2915</v>
      </c>
      <c r="C267" s="956" t="s">
        <v>781</v>
      </c>
      <c r="D267" s="956">
        <v>86</v>
      </c>
      <c r="E267" s="972">
        <v>0</v>
      </c>
      <c r="F267" s="972">
        <v>0</v>
      </c>
      <c r="G267" s="972">
        <v>0</v>
      </c>
      <c r="H267" s="972">
        <v>0</v>
      </c>
      <c r="I267" s="972">
        <v>0</v>
      </c>
      <c r="J267" s="972">
        <v>0</v>
      </c>
      <c r="K267" s="972">
        <v>0</v>
      </c>
      <c r="L267" s="972">
        <v>0</v>
      </c>
      <c r="M267" s="972">
        <v>0</v>
      </c>
      <c r="N267" s="972">
        <v>0</v>
      </c>
      <c r="O267" s="972">
        <v>0</v>
      </c>
      <c r="P267" s="972">
        <v>0</v>
      </c>
      <c r="Q267" s="963">
        <f t="shared" si="10"/>
        <v>0</v>
      </c>
      <c r="R267" s="962"/>
    </row>
    <row r="268" spans="2:18">
      <c r="B268" s="901" t="s">
        <v>2916</v>
      </c>
      <c r="C268" s="956" t="s">
        <v>782</v>
      </c>
      <c r="D268" s="956">
        <v>86</v>
      </c>
      <c r="E268" s="972">
        <v>0</v>
      </c>
      <c r="F268" s="972">
        <v>0</v>
      </c>
      <c r="G268" s="972">
        <v>0</v>
      </c>
      <c r="H268" s="972">
        <v>0</v>
      </c>
      <c r="I268" s="972">
        <v>0</v>
      </c>
      <c r="J268" s="972">
        <v>0</v>
      </c>
      <c r="K268" s="972">
        <v>0</v>
      </c>
      <c r="L268" s="972">
        <v>0</v>
      </c>
      <c r="M268" s="972">
        <v>0</v>
      </c>
      <c r="N268" s="972">
        <v>0</v>
      </c>
      <c r="O268" s="972">
        <v>0</v>
      </c>
      <c r="P268" s="972">
        <v>0</v>
      </c>
      <c r="Q268" s="963">
        <f t="shared" si="10"/>
        <v>0</v>
      </c>
      <c r="R268" s="962"/>
    </row>
    <row r="269" spans="2:18">
      <c r="B269" s="901" t="s">
        <v>2917</v>
      </c>
      <c r="C269" s="956" t="s">
        <v>787</v>
      </c>
      <c r="D269" s="956">
        <v>86</v>
      </c>
      <c r="E269" s="901">
        <v>502419</v>
      </c>
      <c r="F269" s="963">
        <v>564041</v>
      </c>
      <c r="G269" s="963">
        <v>538901</v>
      </c>
      <c r="H269" s="963">
        <v>538257</v>
      </c>
      <c r="I269" s="963">
        <v>397319</v>
      </c>
      <c r="J269" s="963">
        <v>390685</v>
      </c>
      <c r="K269" s="963">
        <v>327788</v>
      </c>
      <c r="L269" s="963">
        <v>339569</v>
      </c>
      <c r="M269" s="963">
        <v>278437</v>
      </c>
      <c r="N269" s="901">
        <v>318250</v>
      </c>
      <c r="O269" s="963">
        <v>348739</v>
      </c>
      <c r="P269" s="963">
        <v>325444</v>
      </c>
      <c r="Q269" s="963">
        <f t="shared" si="10"/>
        <v>4869849</v>
      </c>
      <c r="R269" s="962"/>
    </row>
    <row r="270" spans="2:18">
      <c r="B270" s="901" t="s">
        <v>2918</v>
      </c>
      <c r="C270" s="956" t="s">
        <v>788</v>
      </c>
      <c r="D270" s="956">
        <v>86</v>
      </c>
      <c r="E270" s="901">
        <v>564041</v>
      </c>
      <c r="F270" s="963">
        <v>538901</v>
      </c>
      <c r="G270" s="963">
        <v>538257</v>
      </c>
      <c r="H270" s="963">
        <v>397319</v>
      </c>
      <c r="I270" s="963">
        <v>390685</v>
      </c>
      <c r="J270" s="963">
        <v>327788</v>
      </c>
      <c r="K270" s="963">
        <v>339569</v>
      </c>
      <c r="L270" s="963">
        <v>278437</v>
      </c>
      <c r="M270" s="963">
        <v>318250</v>
      </c>
      <c r="N270" s="901">
        <v>348739</v>
      </c>
      <c r="O270" s="963">
        <v>325444</v>
      </c>
      <c r="P270" s="963">
        <v>492333</v>
      </c>
      <c r="Q270" s="963">
        <f t="shared" si="10"/>
        <v>4859763</v>
      </c>
      <c r="R270" s="962"/>
    </row>
    <row r="271" spans="2:18">
      <c r="B271" s="901" t="s">
        <v>2886</v>
      </c>
      <c r="C271" s="956" t="s">
        <v>789</v>
      </c>
      <c r="D271" s="956">
        <v>86</v>
      </c>
      <c r="E271" s="901">
        <v>564041</v>
      </c>
      <c r="F271" s="963">
        <v>538901</v>
      </c>
      <c r="G271" s="963">
        <v>538257</v>
      </c>
      <c r="H271" s="963">
        <v>397319</v>
      </c>
      <c r="I271" s="963">
        <v>390685</v>
      </c>
      <c r="J271" s="963">
        <v>327788</v>
      </c>
      <c r="K271" s="963">
        <v>339569</v>
      </c>
      <c r="L271" s="963">
        <v>278437</v>
      </c>
      <c r="M271" s="963">
        <v>318250</v>
      </c>
      <c r="N271" s="901">
        <v>348739</v>
      </c>
      <c r="O271" s="963">
        <v>325444</v>
      </c>
      <c r="P271" s="963">
        <v>492333</v>
      </c>
      <c r="Q271" s="963">
        <f t="shared" si="10"/>
        <v>4859763</v>
      </c>
      <c r="R271" s="962"/>
    </row>
    <row r="272" spans="2:18">
      <c r="B272" s="964" t="s">
        <v>2673</v>
      </c>
      <c r="F272" s="963"/>
      <c r="G272" s="963"/>
      <c r="H272" s="963"/>
      <c r="I272" s="963"/>
      <c r="J272" s="963"/>
      <c r="K272" s="963"/>
      <c r="L272" s="963"/>
      <c r="M272" s="963"/>
      <c r="O272" s="963"/>
      <c r="P272" s="963"/>
      <c r="Q272" s="963">
        <f t="shared" si="10"/>
        <v>0</v>
      </c>
      <c r="R272" s="962"/>
    </row>
    <row r="273" spans="2:18">
      <c r="B273" s="901" t="s">
        <v>2919</v>
      </c>
      <c r="C273" s="956" t="s">
        <v>780</v>
      </c>
      <c r="D273" s="956">
        <v>130</v>
      </c>
      <c r="E273" s="901">
        <v>14287.21</v>
      </c>
      <c r="F273" s="963">
        <v>15453.54</v>
      </c>
      <c r="G273" s="963">
        <v>14977.7</v>
      </c>
      <c r="H273" s="963">
        <v>14965.52</v>
      </c>
      <c r="I273" s="963">
        <v>12297.93</v>
      </c>
      <c r="J273" s="963">
        <v>12172.36</v>
      </c>
      <c r="K273" s="963">
        <v>10981.89</v>
      </c>
      <c r="L273" s="963">
        <v>11204.87</v>
      </c>
      <c r="M273" s="963">
        <v>10047.799999999999</v>
      </c>
      <c r="N273" s="901">
        <v>10801.36</v>
      </c>
      <c r="O273" s="963">
        <v>11481.73</v>
      </c>
      <c r="P273" s="963">
        <v>11033.91</v>
      </c>
      <c r="Q273" s="963">
        <f t="shared" si="10"/>
        <v>149705.82</v>
      </c>
      <c r="R273" s="962"/>
    </row>
    <row r="274" spans="2:18">
      <c r="B274" s="901" t="s">
        <v>2920</v>
      </c>
      <c r="C274" s="956" t="s">
        <v>781</v>
      </c>
      <c r="D274" s="956">
        <v>130</v>
      </c>
      <c r="E274" s="901">
        <v>0</v>
      </c>
      <c r="F274" s="963">
        <v>0</v>
      </c>
      <c r="G274" s="963">
        <v>0</v>
      </c>
      <c r="H274" s="963">
        <v>0</v>
      </c>
      <c r="I274" s="963">
        <v>0</v>
      </c>
      <c r="J274" s="963">
        <v>0</v>
      </c>
      <c r="K274" s="963">
        <v>0</v>
      </c>
      <c r="L274" s="963">
        <v>0</v>
      </c>
      <c r="M274" s="963">
        <v>0</v>
      </c>
      <c r="N274" s="901">
        <v>0</v>
      </c>
      <c r="O274" s="963">
        <v>0</v>
      </c>
      <c r="P274" s="963">
        <v>0</v>
      </c>
      <c r="Q274" s="963">
        <f t="shared" si="10"/>
        <v>0</v>
      </c>
      <c r="R274" s="962"/>
    </row>
    <row r="275" spans="2:18">
      <c r="B275" s="901" t="s">
        <v>2921</v>
      </c>
      <c r="C275" s="956" t="s">
        <v>782</v>
      </c>
      <c r="D275" s="956">
        <v>130</v>
      </c>
      <c r="E275" s="901">
        <v>0</v>
      </c>
      <c r="F275" s="963">
        <v>0</v>
      </c>
      <c r="G275" s="963">
        <v>0</v>
      </c>
      <c r="H275" s="963">
        <v>0</v>
      </c>
      <c r="I275" s="963">
        <v>0</v>
      </c>
      <c r="J275" s="963">
        <v>0</v>
      </c>
      <c r="K275" s="963">
        <v>0</v>
      </c>
      <c r="L275" s="963">
        <v>0</v>
      </c>
      <c r="M275" s="963">
        <v>0</v>
      </c>
      <c r="N275" s="901">
        <v>0</v>
      </c>
      <c r="O275" s="963">
        <v>0</v>
      </c>
      <c r="P275" s="963">
        <v>0</v>
      </c>
      <c r="Q275" s="963">
        <f t="shared" si="10"/>
        <v>0</v>
      </c>
      <c r="R275" s="962"/>
    </row>
    <row r="276" spans="2:18">
      <c r="B276" s="901" t="s">
        <v>2922</v>
      </c>
      <c r="C276" s="956" t="s">
        <v>783</v>
      </c>
      <c r="D276" s="956">
        <v>130</v>
      </c>
      <c r="E276" s="901">
        <v>0</v>
      </c>
      <c r="F276" s="963">
        <v>0</v>
      </c>
      <c r="G276" s="963">
        <v>0</v>
      </c>
      <c r="H276" s="963">
        <v>0</v>
      </c>
      <c r="I276" s="963">
        <v>0</v>
      </c>
      <c r="J276" s="963">
        <v>0</v>
      </c>
      <c r="K276" s="963">
        <v>0</v>
      </c>
      <c r="L276" s="963">
        <v>0</v>
      </c>
      <c r="M276" s="963">
        <v>0</v>
      </c>
      <c r="N276" s="901">
        <v>0</v>
      </c>
      <c r="O276" s="963">
        <v>0</v>
      </c>
      <c r="P276" s="963">
        <v>0</v>
      </c>
      <c r="Q276" s="963">
        <f t="shared" si="10"/>
        <v>0</v>
      </c>
      <c r="R276" s="962"/>
    </row>
    <row r="277" spans="2:18">
      <c r="B277" s="901" t="s">
        <v>2750</v>
      </c>
      <c r="C277" s="956" t="s">
        <v>784</v>
      </c>
      <c r="D277" s="956">
        <v>130</v>
      </c>
      <c r="E277" s="901">
        <v>0</v>
      </c>
      <c r="F277" s="963">
        <v>0</v>
      </c>
      <c r="G277" s="963">
        <v>0</v>
      </c>
      <c r="H277" s="963">
        <v>0</v>
      </c>
      <c r="I277" s="963">
        <v>0</v>
      </c>
      <c r="J277" s="963">
        <v>0</v>
      </c>
      <c r="K277" s="963">
        <v>0</v>
      </c>
      <c r="L277" s="963">
        <v>0</v>
      </c>
      <c r="M277" s="963">
        <v>0</v>
      </c>
      <c r="N277" s="901">
        <v>0</v>
      </c>
      <c r="O277" s="963">
        <v>0</v>
      </c>
      <c r="P277" s="963">
        <v>0</v>
      </c>
      <c r="Q277" s="963">
        <f t="shared" si="10"/>
        <v>0</v>
      </c>
      <c r="R277" s="962"/>
    </row>
    <row r="278" spans="2:18">
      <c r="B278" s="901" t="s">
        <v>2751</v>
      </c>
      <c r="C278" s="956" t="s">
        <v>785</v>
      </c>
      <c r="D278" s="956">
        <v>130</v>
      </c>
      <c r="E278" s="901">
        <v>0</v>
      </c>
      <c r="F278" s="963">
        <v>0</v>
      </c>
      <c r="G278" s="963">
        <v>0</v>
      </c>
      <c r="H278" s="963">
        <v>0</v>
      </c>
      <c r="I278" s="963">
        <v>0</v>
      </c>
      <c r="J278" s="963">
        <v>0</v>
      </c>
      <c r="K278" s="963">
        <v>0</v>
      </c>
      <c r="L278" s="963">
        <v>0</v>
      </c>
      <c r="M278" s="963">
        <v>0</v>
      </c>
      <c r="N278" s="901">
        <v>0</v>
      </c>
      <c r="O278" s="963">
        <v>0</v>
      </c>
      <c r="P278" s="963">
        <v>0</v>
      </c>
      <c r="Q278" s="963">
        <f t="shared" si="10"/>
        <v>0</v>
      </c>
      <c r="R278" s="962"/>
    </row>
    <row r="279" spans="2:18">
      <c r="B279" s="901" t="s">
        <v>2451</v>
      </c>
      <c r="C279" s="956" t="s">
        <v>786</v>
      </c>
      <c r="D279" s="956">
        <v>130</v>
      </c>
      <c r="E279" s="901">
        <v>0</v>
      </c>
      <c r="F279" s="963">
        <v>0</v>
      </c>
      <c r="G279" s="963">
        <v>0</v>
      </c>
      <c r="H279" s="963">
        <v>0</v>
      </c>
      <c r="I279" s="963">
        <v>0</v>
      </c>
      <c r="J279" s="963">
        <v>0</v>
      </c>
      <c r="K279" s="963">
        <v>0</v>
      </c>
      <c r="L279" s="963">
        <v>0</v>
      </c>
      <c r="M279" s="963">
        <v>0</v>
      </c>
      <c r="N279" s="901">
        <v>0</v>
      </c>
      <c r="O279" s="963">
        <v>0</v>
      </c>
      <c r="P279" s="963">
        <v>0</v>
      </c>
      <c r="Q279" s="963">
        <f t="shared" si="10"/>
        <v>0</v>
      </c>
      <c r="R279" s="962"/>
    </row>
    <row r="280" spans="2:18">
      <c r="B280" s="901" t="s">
        <v>2697</v>
      </c>
      <c r="C280" s="956" t="s">
        <v>787</v>
      </c>
      <c r="D280" s="956">
        <v>130</v>
      </c>
      <c r="E280" s="901">
        <v>14287.21</v>
      </c>
      <c r="F280" s="963">
        <v>15453.54</v>
      </c>
      <c r="G280" s="963">
        <v>14977.7</v>
      </c>
      <c r="H280" s="963">
        <v>14965.52</v>
      </c>
      <c r="I280" s="963">
        <v>12297.93</v>
      </c>
      <c r="J280" s="963">
        <v>12172.36</v>
      </c>
      <c r="K280" s="963">
        <v>10981.89</v>
      </c>
      <c r="L280" s="963">
        <v>11204.87</v>
      </c>
      <c r="M280" s="963">
        <v>10047.799999999999</v>
      </c>
      <c r="N280" s="901">
        <v>10801.36</v>
      </c>
      <c r="O280" s="963">
        <v>11481.73</v>
      </c>
      <c r="P280" s="963">
        <v>11033.91</v>
      </c>
      <c r="Q280" s="963">
        <f>-SUM(E280:P280)</f>
        <v>-149705.82</v>
      </c>
      <c r="R280" s="962"/>
    </row>
    <row r="281" spans="2:18">
      <c r="B281" s="901" t="s">
        <v>2698</v>
      </c>
      <c r="C281" s="956" t="s">
        <v>788</v>
      </c>
      <c r="D281" s="956">
        <v>130</v>
      </c>
      <c r="E281" s="901">
        <v>15453.54</v>
      </c>
      <c r="F281" s="963">
        <v>14977.7</v>
      </c>
      <c r="G281" s="963">
        <v>14965.52</v>
      </c>
      <c r="H281" s="963">
        <v>12297.93</v>
      </c>
      <c r="I281" s="963">
        <v>12172.36</v>
      </c>
      <c r="J281" s="963">
        <v>10981.89</v>
      </c>
      <c r="K281" s="963">
        <v>11204.87</v>
      </c>
      <c r="L281" s="963">
        <v>10047.799999999999</v>
      </c>
      <c r="M281" s="963">
        <v>10801.36</v>
      </c>
      <c r="N281" s="901">
        <v>11481.73</v>
      </c>
      <c r="O281" s="963">
        <v>11033.91</v>
      </c>
      <c r="P281" s="963">
        <v>14242.1</v>
      </c>
      <c r="Q281" s="963">
        <f t="shared" si="10"/>
        <v>149660.71</v>
      </c>
      <c r="R281" s="962"/>
    </row>
    <row r="282" spans="2:18">
      <c r="B282" s="901" t="s">
        <v>2884</v>
      </c>
      <c r="C282" s="956" t="s">
        <v>789</v>
      </c>
      <c r="D282" s="956">
        <v>130</v>
      </c>
      <c r="E282" s="901">
        <v>15453.54</v>
      </c>
      <c r="F282" s="963">
        <v>14977.7</v>
      </c>
      <c r="G282" s="963">
        <v>14965.52</v>
      </c>
      <c r="H282" s="963">
        <v>12297.93</v>
      </c>
      <c r="I282" s="963">
        <v>12172.36</v>
      </c>
      <c r="J282" s="963">
        <v>10981.89</v>
      </c>
      <c r="K282" s="963">
        <v>11204.87</v>
      </c>
      <c r="L282" s="963">
        <v>10047.799999999999</v>
      </c>
      <c r="M282" s="963">
        <v>10801.36</v>
      </c>
      <c r="N282" s="901">
        <v>11481.73</v>
      </c>
      <c r="O282" s="963">
        <v>11033.91</v>
      </c>
      <c r="P282" s="963">
        <v>14242.1</v>
      </c>
      <c r="Q282" s="963">
        <f t="shared" si="10"/>
        <v>149660.71</v>
      </c>
      <c r="R282" s="962"/>
    </row>
    <row r="283" spans="2:18">
      <c r="B283" s="964" t="s">
        <v>2673</v>
      </c>
      <c r="F283" s="963"/>
      <c r="G283" s="963"/>
      <c r="H283" s="963"/>
      <c r="I283" s="963"/>
      <c r="J283" s="963"/>
      <c r="K283" s="963"/>
      <c r="L283" s="963"/>
      <c r="M283" s="963"/>
      <c r="O283" s="963"/>
      <c r="P283" s="963"/>
      <c r="Q283" s="963"/>
      <c r="R283" s="962"/>
    </row>
    <row r="284" spans="2:18">
      <c r="F284" s="963"/>
      <c r="G284" s="963"/>
      <c r="H284" s="963"/>
      <c r="I284" s="963"/>
      <c r="J284" s="963"/>
      <c r="K284" s="963"/>
      <c r="L284" s="963"/>
      <c r="M284" s="963"/>
      <c r="O284" s="963"/>
      <c r="P284" s="963"/>
      <c r="Q284" s="963"/>
      <c r="R284" s="962"/>
    </row>
    <row r="285" spans="2:18">
      <c r="B285" s="960" t="s">
        <v>2939</v>
      </c>
      <c r="C285" s="956" t="s">
        <v>777</v>
      </c>
      <c r="D285" s="956">
        <v>87</v>
      </c>
      <c r="F285" s="963"/>
      <c r="G285" s="963"/>
      <c r="H285" s="963"/>
      <c r="I285" s="963"/>
      <c r="J285" s="963"/>
      <c r="K285" s="963"/>
      <c r="L285" s="963"/>
      <c r="M285" s="963"/>
      <c r="O285" s="963"/>
      <c r="P285" s="963"/>
      <c r="Q285" s="963"/>
      <c r="R285" s="962"/>
    </row>
    <row r="286" spans="2:18">
      <c r="B286" s="901" t="s">
        <v>2514</v>
      </c>
      <c r="C286" s="956" t="s">
        <v>780</v>
      </c>
      <c r="D286" s="956">
        <v>87</v>
      </c>
      <c r="E286" s="901">
        <v>1192617</v>
      </c>
      <c r="F286" s="963">
        <v>1220699</v>
      </c>
      <c r="G286" s="963">
        <v>1078245</v>
      </c>
      <c r="H286" s="963">
        <v>1154609</v>
      </c>
      <c r="I286" s="963">
        <v>1061450</v>
      </c>
      <c r="J286" s="963">
        <v>1024594</v>
      </c>
      <c r="K286" s="963">
        <v>937176</v>
      </c>
      <c r="L286" s="963">
        <v>959617</v>
      </c>
      <c r="M286" s="963">
        <v>979527</v>
      </c>
      <c r="N286" s="901">
        <v>880129</v>
      </c>
      <c r="O286" s="963">
        <v>985783</v>
      </c>
      <c r="P286" s="963">
        <v>994562</v>
      </c>
      <c r="Q286" s="963">
        <f t="shared" si="10"/>
        <v>12469008</v>
      </c>
      <c r="R286" s="962"/>
    </row>
    <row r="287" spans="2:18">
      <c r="B287" s="901" t="s">
        <v>2915</v>
      </c>
      <c r="C287" s="956" t="s">
        <v>781</v>
      </c>
      <c r="D287" s="956">
        <v>87</v>
      </c>
      <c r="E287" s="901">
        <v>0</v>
      </c>
      <c r="F287" s="963">
        <v>0</v>
      </c>
      <c r="G287" s="963">
        <v>0</v>
      </c>
      <c r="H287" s="963">
        <v>0</v>
      </c>
      <c r="I287" s="963">
        <v>0</v>
      </c>
      <c r="J287" s="963">
        <v>0</v>
      </c>
      <c r="K287" s="963">
        <v>0</v>
      </c>
      <c r="L287" s="963">
        <v>0</v>
      </c>
      <c r="M287" s="963">
        <v>0</v>
      </c>
      <c r="N287" s="901">
        <v>0</v>
      </c>
      <c r="O287" s="963">
        <v>0</v>
      </c>
      <c r="P287" s="963">
        <v>0</v>
      </c>
      <c r="Q287" s="963">
        <f t="shared" si="10"/>
        <v>0</v>
      </c>
      <c r="R287" s="962"/>
    </row>
    <row r="288" spans="2:18">
      <c r="B288" s="901" t="s">
        <v>2916</v>
      </c>
      <c r="C288" s="956" t="s">
        <v>782</v>
      </c>
      <c r="D288" s="956">
        <v>87</v>
      </c>
      <c r="E288" s="901">
        <v>0</v>
      </c>
      <c r="F288" s="963">
        <v>0</v>
      </c>
      <c r="G288" s="963">
        <v>0</v>
      </c>
      <c r="H288" s="963">
        <v>0</v>
      </c>
      <c r="I288" s="963">
        <v>0</v>
      </c>
      <c r="J288" s="963">
        <v>0</v>
      </c>
      <c r="K288" s="963">
        <v>0</v>
      </c>
      <c r="L288" s="963">
        <v>0</v>
      </c>
      <c r="M288" s="963">
        <v>0</v>
      </c>
      <c r="N288" s="901">
        <v>0</v>
      </c>
      <c r="O288" s="963">
        <v>0</v>
      </c>
      <c r="P288" s="963">
        <v>0</v>
      </c>
      <c r="Q288" s="963">
        <f t="shared" si="10"/>
        <v>0</v>
      </c>
      <c r="R288" s="962"/>
    </row>
    <row r="289" spans="2:18">
      <c r="B289" s="901" t="s">
        <v>2917</v>
      </c>
      <c r="C289" s="956" t="s">
        <v>787</v>
      </c>
      <c r="D289" s="956">
        <v>87</v>
      </c>
      <c r="E289" s="901">
        <v>1192617</v>
      </c>
      <c r="F289" s="963">
        <v>1220699</v>
      </c>
      <c r="G289" s="963">
        <v>1078245</v>
      </c>
      <c r="H289" s="963">
        <v>1154609</v>
      </c>
      <c r="I289" s="963">
        <v>1061450</v>
      </c>
      <c r="J289" s="963">
        <v>1024594</v>
      </c>
      <c r="K289" s="963">
        <v>937176</v>
      </c>
      <c r="L289" s="963">
        <v>959617</v>
      </c>
      <c r="M289" s="963">
        <v>979527</v>
      </c>
      <c r="N289" s="901">
        <v>880129</v>
      </c>
      <c r="O289" s="963">
        <v>985783</v>
      </c>
      <c r="P289" s="963">
        <v>994562</v>
      </c>
      <c r="Q289" s="963">
        <f t="shared" si="10"/>
        <v>12469008</v>
      </c>
      <c r="R289" s="962"/>
    </row>
    <row r="290" spans="2:18">
      <c r="B290" s="901" t="s">
        <v>2918</v>
      </c>
      <c r="C290" s="956" t="s">
        <v>788</v>
      </c>
      <c r="D290" s="956">
        <v>87</v>
      </c>
      <c r="E290" s="901">
        <v>1220699</v>
      </c>
      <c r="F290" s="901">
        <v>1078245</v>
      </c>
      <c r="G290" s="901">
        <v>1154609</v>
      </c>
      <c r="H290" s="901">
        <v>1061450</v>
      </c>
      <c r="I290" s="901">
        <v>1024594</v>
      </c>
      <c r="J290" s="901">
        <v>937176</v>
      </c>
      <c r="K290" s="901">
        <v>959617</v>
      </c>
      <c r="L290" s="901">
        <v>979527</v>
      </c>
      <c r="M290" s="901">
        <v>880129</v>
      </c>
      <c r="N290" s="901">
        <v>985783</v>
      </c>
      <c r="O290" s="901">
        <v>994562</v>
      </c>
      <c r="P290" s="901">
        <v>1120091</v>
      </c>
      <c r="Q290" s="963">
        <f t="shared" si="10"/>
        <v>12396482</v>
      </c>
      <c r="R290" s="962"/>
    </row>
    <row r="291" spans="2:18">
      <c r="B291" s="901" t="s">
        <v>2886</v>
      </c>
      <c r="C291" s="956" t="s">
        <v>789</v>
      </c>
      <c r="D291" s="956">
        <v>87</v>
      </c>
      <c r="E291" s="901">
        <v>1220699</v>
      </c>
      <c r="F291" s="961">
        <v>1078245</v>
      </c>
      <c r="G291" s="961">
        <v>1154609</v>
      </c>
      <c r="H291" s="961">
        <v>1061450</v>
      </c>
      <c r="I291" s="961">
        <v>1024594</v>
      </c>
      <c r="J291" s="961">
        <v>937176</v>
      </c>
      <c r="K291" s="961">
        <v>959617</v>
      </c>
      <c r="L291" s="961">
        <v>979527</v>
      </c>
      <c r="M291" s="961">
        <v>880129</v>
      </c>
      <c r="N291" s="901">
        <v>985783</v>
      </c>
      <c r="O291" s="961">
        <v>994562</v>
      </c>
      <c r="P291" s="961">
        <v>1120091</v>
      </c>
      <c r="Q291" s="963">
        <f t="shared" si="10"/>
        <v>12396482</v>
      </c>
      <c r="R291" s="962"/>
    </row>
    <row r="292" spans="2:18">
      <c r="B292" s="964" t="s">
        <v>2673</v>
      </c>
      <c r="F292" s="963"/>
      <c r="G292" s="963"/>
      <c r="H292" s="963"/>
      <c r="I292" s="963"/>
      <c r="J292" s="963"/>
      <c r="K292" s="963"/>
      <c r="L292" s="963"/>
      <c r="M292" s="963"/>
      <c r="O292" s="963"/>
      <c r="P292" s="963"/>
      <c r="Q292" s="963">
        <f t="shared" si="10"/>
        <v>0</v>
      </c>
      <c r="R292" s="962"/>
    </row>
    <row r="293" spans="2:18">
      <c r="B293" s="901" t="s">
        <v>2919</v>
      </c>
      <c r="C293" s="956" t="s">
        <v>780</v>
      </c>
      <c r="D293" s="956">
        <v>131</v>
      </c>
      <c r="E293" s="901">
        <v>21676.04</v>
      </c>
      <c r="F293" s="963">
        <v>22005.7</v>
      </c>
      <c r="G293" s="963">
        <v>20333.400000000001</v>
      </c>
      <c r="H293" s="963">
        <v>21229.85</v>
      </c>
      <c r="I293" s="963">
        <v>20136.25</v>
      </c>
      <c r="J293" s="963">
        <v>19703.59</v>
      </c>
      <c r="K293" s="963">
        <v>18677.37</v>
      </c>
      <c r="L293" s="963">
        <v>18940.810000000001</v>
      </c>
      <c r="M293" s="963">
        <v>19174.53</v>
      </c>
      <c r="N293" s="901">
        <v>18007.68</v>
      </c>
      <c r="O293" s="963">
        <v>19426.59</v>
      </c>
      <c r="P293" s="963">
        <v>19531.23</v>
      </c>
      <c r="Q293" s="963">
        <f t="shared" si="10"/>
        <v>238843.04</v>
      </c>
      <c r="R293" s="962"/>
    </row>
    <row r="294" spans="2:18">
      <c r="B294" s="901" t="s">
        <v>2920</v>
      </c>
      <c r="C294" s="956" t="s">
        <v>781</v>
      </c>
      <c r="D294" s="956">
        <v>131</v>
      </c>
      <c r="E294" s="901">
        <v>0</v>
      </c>
      <c r="F294" s="963">
        <v>0</v>
      </c>
      <c r="G294" s="963">
        <v>0</v>
      </c>
      <c r="H294" s="963">
        <v>0</v>
      </c>
      <c r="I294" s="963">
        <v>0</v>
      </c>
      <c r="J294" s="963">
        <v>0</v>
      </c>
      <c r="K294" s="963">
        <v>0</v>
      </c>
      <c r="L294" s="963">
        <v>0</v>
      </c>
      <c r="M294" s="963">
        <v>0</v>
      </c>
      <c r="N294" s="901">
        <v>0</v>
      </c>
      <c r="O294" s="963">
        <v>0</v>
      </c>
      <c r="P294" s="963">
        <v>0</v>
      </c>
      <c r="Q294" s="963">
        <f t="shared" si="10"/>
        <v>0</v>
      </c>
      <c r="R294" s="962"/>
    </row>
    <row r="295" spans="2:18">
      <c r="B295" s="901" t="s">
        <v>2921</v>
      </c>
      <c r="C295" s="956" t="s">
        <v>782</v>
      </c>
      <c r="D295" s="956">
        <v>131</v>
      </c>
      <c r="E295" s="901">
        <v>0</v>
      </c>
      <c r="F295" s="963">
        <v>0</v>
      </c>
      <c r="G295" s="963">
        <v>0</v>
      </c>
      <c r="H295" s="963">
        <v>0</v>
      </c>
      <c r="I295" s="963">
        <v>0</v>
      </c>
      <c r="J295" s="963">
        <v>0</v>
      </c>
      <c r="K295" s="963">
        <v>0</v>
      </c>
      <c r="L295" s="963">
        <v>0</v>
      </c>
      <c r="M295" s="963">
        <v>0</v>
      </c>
      <c r="N295" s="901">
        <v>0</v>
      </c>
      <c r="O295" s="963">
        <v>0</v>
      </c>
      <c r="P295" s="963">
        <v>0</v>
      </c>
      <c r="Q295" s="963">
        <f t="shared" si="10"/>
        <v>0</v>
      </c>
      <c r="R295" s="962"/>
    </row>
    <row r="296" spans="2:18">
      <c r="B296" s="901" t="s">
        <v>2922</v>
      </c>
      <c r="C296" s="956" t="s">
        <v>783</v>
      </c>
      <c r="D296" s="956">
        <v>131</v>
      </c>
      <c r="E296" s="901">
        <v>0</v>
      </c>
      <c r="F296" s="963">
        <v>0</v>
      </c>
      <c r="G296" s="963">
        <v>0</v>
      </c>
      <c r="H296" s="963">
        <v>0</v>
      </c>
      <c r="I296" s="963">
        <v>0</v>
      </c>
      <c r="J296" s="963">
        <v>0</v>
      </c>
      <c r="K296" s="963">
        <v>0</v>
      </c>
      <c r="L296" s="963">
        <v>0</v>
      </c>
      <c r="M296" s="963">
        <v>0</v>
      </c>
      <c r="N296" s="901">
        <v>0</v>
      </c>
      <c r="O296" s="963">
        <v>0</v>
      </c>
      <c r="P296" s="963">
        <v>0</v>
      </c>
      <c r="Q296" s="963">
        <f t="shared" si="10"/>
        <v>0</v>
      </c>
      <c r="R296" s="962"/>
    </row>
    <row r="297" spans="2:18">
      <c r="B297" s="901" t="s">
        <v>2750</v>
      </c>
      <c r="C297" s="956" t="s">
        <v>784</v>
      </c>
      <c r="D297" s="956">
        <v>131</v>
      </c>
      <c r="E297" s="901">
        <v>0</v>
      </c>
      <c r="F297" s="963">
        <v>0</v>
      </c>
      <c r="G297" s="963">
        <v>0</v>
      </c>
      <c r="H297" s="963">
        <v>0</v>
      </c>
      <c r="I297" s="963">
        <v>0</v>
      </c>
      <c r="J297" s="963">
        <v>0</v>
      </c>
      <c r="K297" s="963">
        <v>0</v>
      </c>
      <c r="L297" s="963">
        <v>0</v>
      </c>
      <c r="M297" s="963">
        <v>0</v>
      </c>
      <c r="N297" s="901">
        <v>0</v>
      </c>
      <c r="O297" s="963">
        <v>0</v>
      </c>
      <c r="P297" s="963">
        <v>0</v>
      </c>
      <c r="Q297" s="963">
        <f t="shared" si="10"/>
        <v>0</v>
      </c>
      <c r="R297" s="962"/>
    </row>
    <row r="298" spans="2:18">
      <c r="B298" s="901" t="s">
        <v>2751</v>
      </c>
      <c r="C298" s="956" t="s">
        <v>785</v>
      </c>
      <c r="D298" s="956">
        <v>131</v>
      </c>
      <c r="E298" s="901">
        <v>0</v>
      </c>
      <c r="F298" s="963">
        <v>0</v>
      </c>
      <c r="G298" s="963">
        <v>0</v>
      </c>
      <c r="H298" s="963">
        <v>0</v>
      </c>
      <c r="I298" s="963">
        <v>0</v>
      </c>
      <c r="J298" s="963">
        <v>0</v>
      </c>
      <c r="K298" s="963">
        <v>0</v>
      </c>
      <c r="L298" s="963">
        <v>0</v>
      </c>
      <c r="M298" s="963">
        <v>0</v>
      </c>
      <c r="N298" s="901">
        <v>0</v>
      </c>
      <c r="O298" s="963">
        <v>0</v>
      </c>
      <c r="P298" s="963">
        <v>0</v>
      </c>
      <c r="Q298" s="963">
        <f t="shared" si="10"/>
        <v>0</v>
      </c>
      <c r="R298" s="962"/>
    </row>
    <row r="299" spans="2:18">
      <c r="B299" s="901" t="s">
        <v>2451</v>
      </c>
      <c r="C299" s="956" t="s">
        <v>786</v>
      </c>
      <c r="D299" s="956">
        <v>131</v>
      </c>
      <c r="E299" s="901">
        <v>0</v>
      </c>
      <c r="F299" s="963">
        <v>0</v>
      </c>
      <c r="G299" s="963">
        <v>0</v>
      </c>
      <c r="H299" s="963">
        <v>0</v>
      </c>
      <c r="I299" s="963">
        <v>0</v>
      </c>
      <c r="J299" s="963">
        <v>0</v>
      </c>
      <c r="K299" s="963">
        <v>0</v>
      </c>
      <c r="L299" s="963">
        <v>0</v>
      </c>
      <c r="M299" s="963">
        <v>0</v>
      </c>
      <c r="N299" s="901">
        <v>0</v>
      </c>
      <c r="O299" s="963">
        <v>0</v>
      </c>
      <c r="P299" s="963">
        <v>0</v>
      </c>
      <c r="Q299" s="963">
        <f t="shared" si="10"/>
        <v>0</v>
      </c>
      <c r="R299" s="962"/>
    </row>
    <row r="300" spans="2:18">
      <c r="B300" s="901" t="s">
        <v>2697</v>
      </c>
      <c r="C300" s="956" t="s">
        <v>787</v>
      </c>
      <c r="D300" s="956">
        <v>131</v>
      </c>
      <c r="E300" s="901">
        <v>21676.04</v>
      </c>
      <c r="F300" s="963">
        <v>22005.7</v>
      </c>
      <c r="G300" s="963">
        <v>20333.400000000001</v>
      </c>
      <c r="H300" s="963">
        <v>21229.85</v>
      </c>
      <c r="I300" s="963">
        <v>20136.25</v>
      </c>
      <c r="J300" s="963">
        <v>19703.59</v>
      </c>
      <c r="K300" s="963">
        <v>18677.37</v>
      </c>
      <c r="L300" s="963">
        <v>18940.810000000001</v>
      </c>
      <c r="M300" s="963">
        <v>19174.53</v>
      </c>
      <c r="N300" s="901">
        <v>18007.68</v>
      </c>
      <c r="O300" s="963">
        <v>19426.59</v>
      </c>
      <c r="P300" s="963">
        <v>19531.23</v>
      </c>
      <c r="Q300" s="963">
        <f>-SUM(E300:P300)</f>
        <v>-238843.04</v>
      </c>
      <c r="R300" s="962"/>
    </row>
    <row r="301" spans="2:18">
      <c r="B301" s="901" t="s">
        <v>2698</v>
      </c>
      <c r="C301" s="956" t="s">
        <v>788</v>
      </c>
      <c r="D301" s="956">
        <v>131</v>
      </c>
      <c r="E301" s="901">
        <v>22005.7</v>
      </c>
      <c r="F301" s="963">
        <v>20333.400000000001</v>
      </c>
      <c r="G301" s="963">
        <v>21229.85</v>
      </c>
      <c r="H301" s="963">
        <v>20136.25</v>
      </c>
      <c r="I301" s="963">
        <v>19703.59</v>
      </c>
      <c r="J301" s="963">
        <v>18677.37</v>
      </c>
      <c r="K301" s="963">
        <v>18940.810000000001</v>
      </c>
      <c r="L301" s="963">
        <v>19174.53</v>
      </c>
      <c r="M301" s="963">
        <v>18007.68</v>
      </c>
      <c r="N301" s="901">
        <v>19426.59</v>
      </c>
      <c r="O301" s="963">
        <v>19531.23</v>
      </c>
      <c r="P301" s="963">
        <v>21027.59</v>
      </c>
      <c r="Q301" s="963">
        <f t="shared" si="10"/>
        <v>238194.59</v>
      </c>
      <c r="R301" s="962"/>
    </row>
    <row r="302" spans="2:18">
      <c r="B302" s="901" t="s">
        <v>2884</v>
      </c>
      <c r="C302" s="956" t="s">
        <v>789</v>
      </c>
      <c r="D302" s="956">
        <v>131</v>
      </c>
      <c r="E302" s="901">
        <v>22005.7</v>
      </c>
      <c r="F302" s="963">
        <v>20333.400000000001</v>
      </c>
      <c r="G302" s="963">
        <v>21229.85</v>
      </c>
      <c r="H302" s="963">
        <v>20136.25</v>
      </c>
      <c r="I302" s="963">
        <v>19703.59</v>
      </c>
      <c r="J302" s="963">
        <v>18677.37</v>
      </c>
      <c r="K302" s="963">
        <v>18940.810000000001</v>
      </c>
      <c r="L302" s="963">
        <v>19174.53</v>
      </c>
      <c r="M302" s="963">
        <v>18007.68</v>
      </c>
      <c r="N302" s="901">
        <v>19426.59</v>
      </c>
      <c r="O302" s="963">
        <v>19531.23</v>
      </c>
      <c r="P302" s="963">
        <v>21027.59</v>
      </c>
      <c r="Q302" s="963">
        <f t="shared" si="10"/>
        <v>238194.59</v>
      </c>
      <c r="R302" s="962"/>
    </row>
    <row r="303" spans="2:18">
      <c r="B303" s="964" t="s">
        <v>2673</v>
      </c>
      <c r="F303" s="963"/>
      <c r="G303" s="963"/>
      <c r="H303" s="963"/>
      <c r="I303" s="963"/>
      <c r="J303" s="963"/>
      <c r="K303" s="963"/>
      <c r="L303" s="963"/>
      <c r="M303" s="963"/>
      <c r="O303" s="963"/>
      <c r="P303" s="963"/>
      <c r="Q303" s="963"/>
      <c r="R303" s="962"/>
    </row>
    <row r="304" spans="2:18">
      <c r="F304" s="963"/>
      <c r="G304" s="963"/>
      <c r="H304" s="963"/>
      <c r="I304" s="963"/>
      <c r="J304" s="963"/>
      <c r="K304" s="963"/>
      <c r="L304" s="963"/>
      <c r="M304" s="963"/>
      <c r="O304" s="963"/>
      <c r="P304" s="963"/>
      <c r="Q304" s="963"/>
      <c r="R304" s="962"/>
    </row>
    <row r="305" spans="1:18">
      <c r="A305" s="968" t="s">
        <v>2847</v>
      </c>
      <c r="B305" s="960" t="s">
        <v>2933</v>
      </c>
      <c r="C305" s="956" t="s">
        <v>777</v>
      </c>
      <c r="D305" s="956">
        <v>89</v>
      </c>
      <c r="F305" s="963"/>
      <c r="G305" s="963"/>
      <c r="H305" s="963"/>
      <c r="I305" s="963"/>
      <c r="J305" s="963"/>
      <c r="K305" s="963"/>
      <c r="L305" s="963"/>
      <c r="M305" s="963"/>
      <c r="O305" s="963"/>
      <c r="P305" s="963"/>
      <c r="Q305" s="963"/>
      <c r="R305" s="962"/>
    </row>
    <row r="306" spans="1:18">
      <c r="A306" s="968" t="s">
        <v>2940</v>
      </c>
      <c r="B306" s="901" t="s">
        <v>2514</v>
      </c>
      <c r="C306" s="956" t="s">
        <v>780</v>
      </c>
      <c r="D306" s="956">
        <v>89</v>
      </c>
      <c r="E306" s="901">
        <v>14382579</v>
      </c>
      <c r="F306" s="963">
        <v>14944499</v>
      </c>
      <c r="G306" s="963">
        <v>7408861</v>
      </c>
      <c r="H306" s="963">
        <v>9817659</v>
      </c>
      <c r="I306" s="963">
        <v>7594206</v>
      </c>
      <c r="J306" s="963">
        <v>5340649</v>
      </c>
      <c r="K306" s="963">
        <v>7824546</v>
      </c>
      <c r="L306" s="963">
        <v>14501183</v>
      </c>
      <c r="M306" s="963">
        <v>16164686</v>
      </c>
      <c r="N306" s="901">
        <v>15653555</v>
      </c>
      <c r="O306" s="963">
        <v>11066763</v>
      </c>
      <c r="P306" s="963">
        <v>12699045</v>
      </c>
      <c r="Q306" s="963">
        <f t="shared" ref="Q306:Q369" si="11">SUM(E306:P306)</f>
        <v>137398231</v>
      </c>
      <c r="R306" s="962"/>
    </row>
    <row r="307" spans="1:18">
      <c r="A307" s="970">
        <v>4863</v>
      </c>
      <c r="B307" s="901" t="s">
        <v>2915</v>
      </c>
      <c r="C307" s="956" t="s">
        <v>781</v>
      </c>
      <c r="D307" s="956">
        <v>89</v>
      </c>
      <c r="E307" s="901">
        <v>0</v>
      </c>
      <c r="F307" s="963">
        <v>0</v>
      </c>
      <c r="G307" s="963">
        <v>0</v>
      </c>
      <c r="H307" s="963">
        <v>0</v>
      </c>
      <c r="I307" s="963">
        <v>0</v>
      </c>
      <c r="J307" s="963">
        <v>0</v>
      </c>
      <c r="K307" s="963">
        <v>0</v>
      </c>
      <c r="L307" s="963">
        <v>0</v>
      </c>
      <c r="M307" s="963">
        <v>0</v>
      </c>
      <c r="N307" s="901">
        <v>0</v>
      </c>
      <c r="O307" s="963">
        <v>0</v>
      </c>
      <c r="P307" s="963">
        <v>0</v>
      </c>
      <c r="Q307" s="963">
        <f t="shared" si="11"/>
        <v>0</v>
      </c>
      <c r="R307" s="962"/>
    </row>
    <row r="308" spans="1:18">
      <c r="B308" s="901" t="s">
        <v>2916</v>
      </c>
      <c r="C308" s="956" t="s">
        <v>782</v>
      </c>
      <c r="D308" s="956">
        <v>89</v>
      </c>
      <c r="E308" s="901">
        <v>0</v>
      </c>
      <c r="F308" s="963">
        <v>0</v>
      </c>
      <c r="G308" s="963">
        <v>0</v>
      </c>
      <c r="H308" s="963">
        <v>0</v>
      </c>
      <c r="I308" s="963">
        <v>0</v>
      </c>
      <c r="J308" s="963">
        <v>0</v>
      </c>
      <c r="K308" s="963">
        <v>0</v>
      </c>
      <c r="L308" s="963">
        <v>0</v>
      </c>
      <c r="M308" s="963">
        <v>0</v>
      </c>
      <c r="N308" s="901">
        <v>0</v>
      </c>
      <c r="O308" s="963">
        <v>0</v>
      </c>
      <c r="P308" s="963">
        <v>0</v>
      </c>
      <c r="Q308" s="963">
        <f t="shared" si="11"/>
        <v>0</v>
      </c>
      <c r="R308" s="962"/>
    </row>
    <row r="309" spans="1:18">
      <c r="B309" s="901" t="s">
        <v>2917</v>
      </c>
      <c r="C309" s="956" t="s">
        <v>787</v>
      </c>
      <c r="D309" s="956">
        <v>89</v>
      </c>
      <c r="E309" s="901">
        <v>14382579</v>
      </c>
      <c r="F309" s="963">
        <v>14944499</v>
      </c>
      <c r="G309" s="963">
        <v>7408861</v>
      </c>
      <c r="H309" s="963">
        <v>9817659</v>
      </c>
      <c r="I309" s="963">
        <v>7594206</v>
      </c>
      <c r="J309" s="963">
        <v>5340649</v>
      </c>
      <c r="K309" s="963">
        <v>7824546</v>
      </c>
      <c r="L309" s="963">
        <v>14501183</v>
      </c>
      <c r="M309" s="963">
        <v>16164686</v>
      </c>
      <c r="N309" s="901">
        <v>15653966</v>
      </c>
      <c r="O309" s="963">
        <v>11066763</v>
      </c>
      <c r="P309" s="963">
        <v>12699045</v>
      </c>
      <c r="Q309" s="963">
        <f t="shared" si="11"/>
        <v>137398642</v>
      </c>
      <c r="R309" s="962"/>
    </row>
    <row r="310" spans="1:18">
      <c r="B310" s="901" t="s">
        <v>2918</v>
      </c>
      <c r="C310" s="956" t="s">
        <v>788</v>
      </c>
      <c r="D310" s="956">
        <v>89</v>
      </c>
      <c r="E310" s="901">
        <v>14944499</v>
      </c>
      <c r="F310" s="963">
        <v>7408861</v>
      </c>
      <c r="G310" s="963">
        <v>9817659</v>
      </c>
      <c r="H310" s="963">
        <v>7594206</v>
      </c>
      <c r="I310" s="963">
        <v>5340649</v>
      </c>
      <c r="J310" s="963">
        <v>7824546</v>
      </c>
      <c r="K310" s="963">
        <v>14501183</v>
      </c>
      <c r="L310" s="963">
        <v>16164686</v>
      </c>
      <c r="M310" s="963">
        <v>15653966</v>
      </c>
      <c r="N310" s="901">
        <v>11066763</v>
      </c>
      <c r="O310" s="963">
        <v>12699045</v>
      </c>
      <c r="P310" s="963">
        <v>14173947</v>
      </c>
      <c r="Q310" s="963">
        <f t="shared" si="11"/>
        <v>137190010</v>
      </c>
      <c r="R310" s="962"/>
    </row>
    <row r="311" spans="1:18">
      <c r="B311" s="901" t="s">
        <v>2886</v>
      </c>
      <c r="C311" s="956" t="s">
        <v>789</v>
      </c>
      <c r="D311" s="956">
        <v>89</v>
      </c>
      <c r="E311" s="901">
        <v>14944499</v>
      </c>
      <c r="F311" s="963">
        <v>7408861</v>
      </c>
      <c r="G311" s="963">
        <v>9817659</v>
      </c>
      <c r="H311" s="963">
        <v>7594206</v>
      </c>
      <c r="I311" s="963">
        <v>5340649</v>
      </c>
      <c r="J311" s="963">
        <v>7824546</v>
      </c>
      <c r="K311" s="963">
        <v>14501183</v>
      </c>
      <c r="L311" s="963">
        <v>16164686</v>
      </c>
      <c r="M311" s="963">
        <v>15653966</v>
      </c>
      <c r="N311" s="901">
        <v>11066352</v>
      </c>
      <c r="O311" s="963">
        <v>12699046</v>
      </c>
      <c r="P311" s="963">
        <v>14173946</v>
      </c>
      <c r="Q311" s="963">
        <f t="shared" si="11"/>
        <v>137189599</v>
      </c>
      <c r="R311" s="962"/>
    </row>
    <row r="312" spans="1:18">
      <c r="B312" s="964" t="s">
        <v>2673</v>
      </c>
      <c r="F312" s="963"/>
      <c r="G312" s="963"/>
      <c r="H312" s="963"/>
      <c r="I312" s="963"/>
      <c r="J312" s="963"/>
      <c r="K312" s="963"/>
      <c r="L312" s="963"/>
      <c r="M312" s="963"/>
      <c r="O312" s="963"/>
      <c r="P312" s="963"/>
      <c r="Q312" s="963">
        <f t="shared" si="11"/>
        <v>0</v>
      </c>
      <c r="R312" s="962"/>
    </row>
    <row r="313" spans="1:18">
      <c r="B313" s="901" t="s">
        <v>2919</v>
      </c>
      <c r="C313" s="956" t="s">
        <v>780</v>
      </c>
      <c r="D313" s="956">
        <v>133</v>
      </c>
      <c r="E313" s="973">
        <v>217611.31</v>
      </c>
      <c r="F313" s="973">
        <v>221458.63</v>
      </c>
      <c r="G313" s="973">
        <v>169864.04</v>
      </c>
      <c r="H313" s="973">
        <v>186356.45</v>
      </c>
      <c r="I313" s="973">
        <v>171133.04</v>
      </c>
      <c r="J313" s="973">
        <v>155703.51</v>
      </c>
      <c r="K313" s="973">
        <v>172710.13</v>
      </c>
      <c r="L313" s="973">
        <v>218423.36</v>
      </c>
      <c r="M313" s="973">
        <v>229812.94</v>
      </c>
      <c r="N313" s="973">
        <v>226313.36</v>
      </c>
      <c r="O313" s="973">
        <v>194908.77</v>
      </c>
      <c r="P313" s="973">
        <v>212548.4</v>
      </c>
      <c r="Q313" s="963">
        <f t="shared" si="11"/>
        <v>2376843.9399999995</v>
      </c>
      <c r="R313" s="962"/>
    </row>
    <row r="314" spans="1:18">
      <c r="B314" s="901" t="s">
        <v>2920</v>
      </c>
      <c r="C314" s="956" t="s">
        <v>781</v>
      </c>
      <c r="D314" s="956">
        <v>133</v>
      </c>
      <c r="E314" s="973">
        <v>0</v>
      </c>
      <c r="F314" s="973">
        <v>0</v>
      </c>
      <c r="G314" s="973">
        <v>0</v>
      </c>
      <c r="H314" s="973">
        <v>0</v>
      </c>
      <c r="I314" s="973">
        <v>0</v>
      </c>
      <c r="J314" s="973">
        <v>0</v>
      </c>
      <c r="K314" s="973">
        <v>0</v>
      </c>
      <c r="L314" s="973">
        <v>0</v>
      </c>
      <c r="M314" s="973">
        <v>0</v>
      </c>
      <c r="N314" s="973">
        <v>0</v>
      </c>
      <c r="O314" s="973">
        <v>0</v>
      </c>
      <c r="P314" s="973">
        <v>0</v>
      </c>
      <c r="Q314" s="963">
        <f t="shared" si="11"/>
        <v>0</v>
      </c>
      <c r="R314" s="962"/>
    </row>
    <row r="315" spans="1:18">
      <c r="B315" s="901" t="s">
        <v>2921</v>
      </c>
      <c r="C315" s="956" t="s">
        <v>782</v>
      </c>
      <c r="D315" s="956">
        <v>133</v>
      </c>
      <c r="E315" s="973">
        <v>0</v>
      </c>
      <c r="F315" s="973">
        <v>0</v>
      </c>
      <c r="G315" s="973">
        <v>0</v>
      </c>
      <c r="H315" s="973">
        <v>0</v>
      </c>
      <c r="I315" s="973">
        <v>0</v>
      </c>
      <c r="J315" s="973">
        <v>0</v>
      </c>
      <c r="K315" s="973">
        <v>0</v>
      </c>
      <c r="L315" s="973">
        <v>0</v>
      </c>
      <c r="M315" s="973">
        <v>0</v>
      </c>
      <c r="N315" s="973">
        <v>0</v>
      </c>
      <c r="O315" s="973">
        <v>0</v>
      </c>
      <c r="P315" s="973">
        <v>0</v>
      </c>
      <c r="Q315" s="963">
        <f t="shared" si="11"/>
        <v>0</v>
      </c>
    </row>
    <row r="316" spans="1:18">
      <c r="B316" s="901" t="s">
        <v>2922</v>
      </c>
      <c r="C316" s="956" t="s">
        <v>783</v>
      </c>
      <c r="D316" s="956">
        <v>133</v>
      </c>
      <c r="E316" s="973">
        <v>0</v>
      </c>
      <c r="F316" s="973">
        <v>0</v>
      </c>
      <c r="G316" s="973">
        <v>0</v>
      </c>
      <c r="H316" s="973">
        <v>0</v>
      </c>
      <c r="I316" s="973">
        <v>0</v>
      </c>
      <c r="J316" s="973">
        <v>0</v>
      </c>
      <c r="K316" s="973">
        <v>0</v>
      </c>
      <c r="L316" s="973">
        <v>0</v>
      </c>
      <c r="M316" s="973">
        <v>0</v>
      </c>
      <c r="N316" s="973">
        <v>0</v>
      </c>
      <c r="O316" s="973">
        <v>0</v>
      </c>
      <c r="P316" s="973">
        <v>0</v>
      </c>
      <c r="Q316" s="963">
        <f t="shared" si="11"/>
        <v>0</v>
      </c>
    </row>
    <row r="317" spans="1:18">
      <c r="B317" s="901" t="s">
        <v>2750</v>
      </c>
      <c r="C317" s="956" t="s">
        <v>784</v>
      </c>
      <c r="D317" s="956">
        <v>133</v>
      </c>
      <c r="E317" s="973">
        <v>-5667.21</v>
      </c>
      <c r="F317" s="973">
        <v>-5741.6</v>
      </c>
      <c r="G317" s="973">
        <v>-4045.28</v>
      </c>
      <c r="H317" s="973">
        <v>-3871.74</v>
      </c>
      <c r="I317" s="973">
        <v>-3050.87</v>
      </c>
      <c r="J317" s="973">
        <v>-1787</v>
      </c>
      <c r="K317" s="973">
        <v>-4714.28</v>
      </c>
      <c r="L317" s="973">
        <v>-10102.36</v>
      </c>
      <c r="M317" s="973">
        <v>-12381.28</v>
      </c>
      <c r="N317" s="973">
        <v>-10505.69</v>
      </c>
      <c r="O317" s="973">
        <v>-3789.39</v>
      </c>
      <c r="P317" s="973">
        <v>-5471.23</v>
      </c>
      <c r="Q317" s="963">
        <f t="shared" si="11"/>
        <v>-71127.929999999993</v>
      </c>
    </row>
    <row r="318" spans="1:18">
      <c r="B318" s="901" t="s">
        <v>2751</v>
      </c>
      <c r="C318" s="956" t="s">
        <v>785</v>
      </c>
      <c r="D318" s="956">
        <v>133</v>
      </c>
      <c r="E318" s="973">
        <v>0</v>
      </c>
      <c r="F318" s="973">
        <v>0</v>
      </c>
      <c r="G318" s="973">
        <v>0</v>
      </c>
      <c r="H318" s="973">
        <v>0</v>
      </c>
      <c r="I318" s="973">
        <v>0</v>
      </c>
      <c r="J318" s="973">
        <v>0</v>
      </c>
      <c r="K318" s="973">
        <v>0</v>
      </c>
      <c r="L318" s="973">
        <v>0</v>
      </c>
      <c r="M318" s="973">
        <v>0</v>
      </c>
      <c r="N318" s="973">
        <v>0</v>
      </c>
      <c r="O318" s="973">
        <v>0</v>
      </c>
      <c r="P318" s="973">
        <v>0</v>
      </c>
      <c r="Q318" s="963">
        <f t="shared" si="11"/>
        <v>0</v>
      </c>
    </row>
    <row r="319" spans="1:18">
      <c r="B319" s="901" t="s">
        <v>2451</v>
      </c>
      <c r="C319" s="956" t="s">
        <v>786</v>
      </c>
      <c r="D319" s="956">
        <v>133</v>
      </c>
      <c r="E319" s="973">
        <v>0</v>
      </c>
      <c r="F319" s="973">
        <v>0</v>
      </c>
      <c r="G319" s="973">
        <v>0</v>
      </c>
      <c r="H319" s="973">
        <v>0</v>
      </c>
      <c r="I319" s="973">
        <v>0</v>
      </c>
      <c r="J319" s="973">
        <v>0</v>
      </c>
      <c r="K319" s="973">
        <v>0</v>
      </c>
      <c r="L319" s="973">
        <v>0</v>
      </c>
      <c r="M319" s="973">
        <v>0</v>
      </c>
      <c r="N319" s="973">
        <v>0</v>
      </c>
      <c r="O319" s="973">
        <v>0</v>
      </c>
      <c r="P319" s="973">
        <v>0</v>
      </c>
      <c r="Q319" s="963">
        <f t="shared" si="11"/>
        <v>0</v>
      </c>
    </row>
    <row r="320" spans="1:18">
      <c r="B320" s="901" t="s">
        <v>2697</v>
      </c>
      <c r="C320" s="956" t="s">
        <v>787</v>
      </c>
      <c r="D320" s="956">
        <v>133</v>
      </c>
      <c r="E320" s="973">
        <v>213152.71</v>
      </c>
      <c r="F320" s="973">
        <v>216825.84</v>
      </c>
      <c r="G320" s="973">
        <v>167567.29</v>
      </c>
      <c r="H320" s="973">
        <v>183312.98</v>
      </c>
      <c r="I320" s="973">
        <v>168778.84</v>
      </c>
      <c r="J320" s="973">
        <v>154047.91</v>
      </c>
      <c r="K320" s="973">
        <v>170284.52000000002</v>
      </c>
      <c r="L320" s="973">
        <v>213927.99</v>
      </c>
      <c r="M320" s="973">
        <v>224801.89</v>
      </c>
      <c r="N320" s="973">
        <v>221483.91</v>
      </c>
      <c r="O320" s="973">
        <v>191478.06999999998</v>
      </c>
      <c r="P320" s="973">
        <v>208738.69</v>
      </c>
      <c r="Q320" s="963">
        <f>-SUM(E320:P320)</f>
        <v>-2334400.6399999997</v>
      </c>
    </row>
    <row r="321" spans="2:17">
      <c r="B321" s="901" t="s">
        <v>2698</v>
      </c>
      <c r="C321" s="956" t="s">
        <v>788</v>
      </c>
      <c r="D321" s="956">
        <v>133</v>
      </c>
      <c r="E321" s="973">
        <v>216825.84</v>
      </c>
      <c r="F321" s="973">
        <v>167567.29</v>
      </c>
      <c r="G321" s="973">
        <v>183312.98</v>
      </c>
      <c r="H321" s="973">
        <v>168778.84</v>
      </c>
      <c r="I321" s="973">
        <v>154047.91</v>
      </c>
      <c r="J321" s="973">
        <v>170284.52000000002</v>
      </c>
      <c r="K321" s="973">
        <v>213927.99</v>
      </c>
      <c r="L321" s="973">
        <v>224801.89</v>
      </c>
      <c r="M321" s="973">
        <v>221483.91</v>
      </c>
      <c r="N321" s="973">
        <v>191478.06999999998</v>
      </c>
      <c r="O321" s="973">
        <v>208738.69</v>
      </c>
      <c r="P321" s="973">
        <v>219145.22</v>
      </c>
      <c r="Q321" s="963">
        <f t="shared" si="11"/>
        <v>2340393.15</v>
      </c>
    </row>
    <row r="322" spans="2:17">
      <c r="B322" s="901" t="s">
        <v>2884</v>
      </c>
      <c r="C322" s="956" t="s">
        <v>789</v>
      </c>
      <c r="D322" s="956">
        <v>133</v>
      </c>
      <c r="E322" s="973">
        <v>215617.23</v>
      </c>
      <c r="F322" s="973">
        <v>166458.48000000001</v>
      </c>
      <c r="G322" s="973">
        <v>181564.45</v>
      </c>
      <c r="H322" s="973">
        <v>167950.57</v>
      </c>
      <c r="I322" s="973">
        <v>153351.24000000002</v>
      </c>
      <c r="J322" s="973">
        <v>170153.12000000002</v>
      </c>
      <c r="K322" s="973">
        <v>211639.31999999998</v>
      </c>
      <c r="L322" s="973">
        <v>219194.90000000002</v>
      </c>
      <c r="M322" s="973">
        <v>214113.68</v>
      </c>
      <c r="N322" s="973">
        <v>185801.82999999996</v>
      </c>
      <c r="O322" s="973">
        <v>208380</v>
      </c>
      <c r="P322" s="973">
        <v>217483.69999999998</v>
      </c>
      <c r="Q322" s="963">
        <f t="shared" si="11"/>
        <v>2311708.52</v>
      </c>
    </row>
    <row r="323" spans="2:17">
      <c r="B323" s="964" t="s">
        <v>2673</v>
      </c>
      <c r="E323" s="973"/>
      <c r="F323" s="973"/>
      <c r="G323" s="973"/>
      <c r="H323" s="973"/>
      <c r="I323" s="973"/>
      <c r="J323" s="973"/>
      <c r="K323" s="973"/>
      <c r="L323" s="973"/>
      <c r="M323" s="973"/>
      <c r="N323" s="973"/>
      <c r="O323" s="973"/>
      <c r="P323" s="973"/>
      <c r="Q323" s="963"/>
    </row>
    <row r="324" spans="2:17">
      <c r="E324" s="973"/>
      <c r="F324" s="973"/>
      <c r="G324" s="973"/>
      <c r="H324" s="973"/>
      <c r="I324" s="973"/>
      <c r="J324" s="973"/>
      <c r="K324" s="973"/>
      <c r="L324" s="973"/>
      <c r="M324" s="973"/>
      <c r="N324" s="973"/>
      <c r="O324" s="973"/>
      <c r="P324" s="973"/>
      <c r="Q324" s="963"/>
    </row>
    <row r="325" spans="2:17">
      <c r="B325" s="960" t="s">
        <v>2941</v>
      </c>
      <c r="C325" s="956" t="s">
        <v>777</v>
      </c>
      <c r="D325" s="956">
        <v>90</v>
      </c>
      <c r="E325" s="974"/>
      <c r="F325" s="974"/>
      <c r="G325" s="974"/>
      <c r="H325" s="974"/>
      <c r="I325" s="974"/>
      <c r="J325" s="974"/>
      <c r="K325" s="974"/>
      <c r="L325" s="974"/>
      <c r="M325" s="974"/>
      <c r="N325" s="974"/>
      <c r="O325" s="974"/>
      <c r="P325" s="974"/>
      <c r="Q325" s="963"/>
    </row>
    <row r="326" spans="2:17">
      <c r="B326" s="901" t="s">
        <v>2514</v>
      </c>
      <c r="C326" s="956" t="s">
        <v>780</v>
      </c>
      <c r="D326" s="956">
        <v>90</v>
      </c>
      <c r="E326" s="973">
        <v>4450625</v>
      </c>
      <c r="F326" s="973">
        <v>4088088</v>
      </c>
      <c r="G326" s="973">
        <v>5846716</v>
      </c>
      <c r="H326" s="973">
        <v>3088142</v>
      </c>
      <c r="I326" s="973">
        <v>2551096</v>
      </c>
      <c r="J326" s="973">
        <v>381981</v>
      </c>
      <c r="K326" s="973">
        <v>6776820</v>
      </c>
      <c r="L326" s="973">
        <v>14122838</v>
      </c>
      <c r="M326" s="973">
        <v>15605297</v>
      </c>
      <c r="N326" s="973">
        <v>14512835</v>
      </c>
      <c r="O326" s="973">
        <v>667138</v>
      </c>
      <c r="P326" s="973">
        <v>5956005</v>
      </c>
      <c r="Q326" s="963">
        <f t="shared" si="11"/>
        <v>78047581</v>
      </c>
    </row>
    <row r="327" spans="2:17">
      <c r="B327" s="901" t="s">
        <v>2915</v>
      </c>
      <c r="C327" s="956" t="s">
        <v>781</v>
      </c>
      <c r="D327" s="956">
        <v>90</v>
      </c>
      <c r="E327" s="973">
        <v>0</v>
      </c>
      <c r="F327" s="973">
        <v>0</v>
      </c>
      <c r="G327" s="973">
        <v>0</v>
      </c>
      <c r="H327" s="973">
        <v>0</v>
      </c>
      <c r="I327" s="973">
        <v>0</v>
      </c>
      <c r="J327" s="973">
        <v>0</v>
      </c>
      <c r="K327" s="973">
        <v>0</v>
      </c>
      <c r="L327" s="973">
        <v>0</v>
      </c>
      <c r="M327" s="973">
        <v>0</v>
      </c>
      <c r="N327" s="973">
        <v>0</v>
      </c>
      <c r="O327" s="973">
        <v>0</v>
      </c>
      <c r="P327" s="973">
        <v>0</v>
      </c>
      <c r="Q327" s="963">
        <f t="shared" si="11"/>
        <v>0</v>
      </c>
    </row>
    <row r="328" spans="2:17">
      <c r="B328" s="901" t="s">
        <v>2916</v>
      </c>
      <c r="C328" s="956" t="s">
        <v>782</v>
      </c>
      <c r="D328" s="956">
        <v>90</v>
      </c>
      <c r="E328" s="973">
        <v>0</v>
      </c>
      <c r="F328" s="973">
        <v>0</v>
      </c>
      <c r="G328" s="973">
        <v>0</v>
      </c>
      <c r="H328" s="973">
        <v>0</v>
      </c>
      <c r="I328" s="973">
        <v>0</v>
      </c>
      <c r="J328" s="973">
        <v>0</v>
      </c>
      <c r="K328" s="973">
        <v>0</v>
      </c>
      <c r="L328" s="973">
        <v>0</v>
      </c>
      <c r="M328" s="973">
        <v>0</v>
      </c>
      <c r="N328" s="973">
        <v>0</v>
      </c>
      <c r="O328" s="973">
        <v>0</v>
      </c>
      <c r="P328" s="973">
        <v>0</v>
      </c>
      <c r="Q328" s="963">
        <f t="shared" si="11"/>
        <v>0</v>
      </c>
    </row>
    <row r="329" spans="2:17">
      <c r="B329" s="901" t="s">
        <v>2917</v>
      </c>
      <c r="C329" s="956" t="s">
        <v>787</v>
      </c>
      <c r="D329" s="956">
        <v>90</v>
      </c>
      <c r="E329" s="973">
        <v>4450625</v>
      </c>
      <c r="F329" s="973">
        <v>4088088</v>
      </c>
      <c r="G329" s="973">
        <v>5846716</v>
      </c>
      <c r="H329" s="973">
        <v>3088142</v>
      </c>
      <c r="I329" s="973">
        <v>2551096</v>
      </c>
      <c r="J329" s="973">
        <v>381981</v>
      </c>
      <c r="K329" s="973">
        <v>6776820</v>
      </c>
      <c r="L329" s="973">
        <v>14122838</v>
      </c>
      <c r="M329" s="973">
        <v>15605297</v>
      </c>
      <c r="N329" s="973">
        <v>14512835</v>
      </c>
      <c r="O329" s="973">
        <v>667138</v>
      </c>
      <c r="P329" s="973">
        <v>5956005</v>
      </c>
      <c r="Q329" s="963">
        <f t="shared" si="11"/>
        <v>78047581</v>
      </c>
    </row>
    <row r="330" spans="2:17">
      <c r="B330" s="901" t="s">
        <v>2918</v>
      </c>
      <c r="C330" s="956" t="s">
        <v>788</v>
      </c>
      <c r="D330" s="956">
        <v>90</v>
      </c>
      <c r="E330" s="973">
        <v>4088088</v>
      </c>
      <c r="F330" s="973">
        <v>5846716</v>
      </c>
      <c r="G330" s="973">
        <v>3088142</v>
      </c>
      <c r="H330" s="973">
        <v>2551096</v>
      </c>
      <c r="I330" s="973">
        <v>381981</v>
      </c>
      <c r="J330" s="973">
        <v>6776820</v>
      </c>
      <c r="K330" s="973">
        <v>14122838</v>
      </c>
      <c r="L330" s="973">
        <v>15605297</v>
      </c>
      <c r="M330" s="973">
        <v>14512835</v>
      </c>
      <c r="N330" s="973">
        <v>667138</v>
      </c>
      <c r="O330" s="973">
        <v>5956005</v>
      </c>
      <c r="P330" s="973">
        <v>13886984</v>
      </c>
      <c r="Q330" s="963">
        <f t="shared" si="11"/>
        <v>87483940</v>
      </c>
    </row>
    <row r="331" spans="2:17">
      <c r="B331" s="901" t="s">
        <v>2886</v>
      </c>
      <c r="C331" s="956" t="s">
        <v>789</v>
      </c>
      <c r="D331" s="956">
        <v>90</v>
      </c>
      <c r="E331" s="973">
        <v>4088088</v>
      </c>
      <c r="F331" s="973">
        <v>5846716</v>
      </c>
      <c r="G331" s="973">
        <v>3088142</v>
      </c>
      <c r="H331" s="973">
        <v>2551096</v>
      </c>
      <c r="I331" s="973">
        <v>381981</v>
      </c>
      <c r="J331" s="973">
        <v>6776820</v>
      </c>
      <c r="K331" s="973">
        <v>14122838</v>
      </c>
      <c r="L331" s="973">
        <v>15605297</v>
      </c>
      <c r="M331" s="973">
        <v>14512835</v>
      </c>
      <c r="N331" s="973">
        <v>667138</v>
      </c>
      <c r="O331" s="973">
        <v>5956005</v>
      </c>
      <c r="P331" s="973">
        <v>13886984</v>
      </c>
      <c r="Q331" s="963">
        <f t="shared" si="11"/>
        <v>87483940</v>
      </c>
    </row>
    <row r="332" spans="2:17">
      <c r="B332" s="964" t="s">
        <v>2673</v>
      </c>
      <c r="E332" s="973"/>
      <c r="F332" s="973"/>
      <c r="G332" s="973"/>
      <c r="H332" s="973"/>
      <c r="I332" s="973"/>
      <c r="J332" s="973"/>
      <c r="K332" s="973"/>
      <c r="L332" s="973"/>
      <c r="M332" s="973"/>
      <c r="N332" s="973"/>
      <c r="O332" s="973"/>
      <c r="P332" s="973"/>
      <c r="Q332" s="963">
        <f t="shared" si="11"/>
        <v>0</v>
      </c>
    </row>
    <row r="333" spans="2:17">
      <c r="B333" s="901" t="s">
        <v>2919</v>
      </c>
      <c r="C333" s="956" t="s">
        <v>780</v>
      </c>
      <c r="D333" s="956">
        <v>134</v>
      </c>
      <c r="E333" s="973">
        <v>148897.04999999999</v>
      </c>
      <c r="F333" s="973">
        <v>146414.85</v>
      </c>
      <c r="G333" s="973">
        <v>158455.72</v>
      </c>
      <c r="H333" s="973">
        <v>139568.47</v>
      </c>
      <c r="I333" s="973">
        <v>135891.46</v>
      </c>
      <c r="J333" s="973">
        <v>120275.94</v>
      </c>
      <c r="K333" s="973">
        <v>164823.92000000001</v>
      </c>
      <c r="L333" s="973">
        <v>215120.25</v>
      </c>
      <c r="M333" s="973">
        <v>225270.26</v>
      </c>
      <c r="N333" s="973">
        <v>217790.45</v>
      </c>
      <c r="O333" s="973">
        <v>122992.49</v>
      </c>
      <c r="P333" s="973">
        <v>162235.62</v>
      </c>
      <c r="Q333" s="963">
        <f t="shared" si="11"/>
        <v>1957736.48</v>
      </c>
    </row>
    <row r="334" spans="2:17">
      <c r="B334" s="901" t="s">
        <v>2920</v>
      </c>
      <c r="C334" s="956" t="s">
        <v>781</v>
      </c>
      <c r="D334" s="956">
        <v>134</v>
      </c>
      <c r="E334" s="973">
        <v>0</v>
      </c>
      <c r="F334" s="973">
        <v>0</v>
      </c>
      <c r="G334" s="973">
        <v>0</v>
      </c>
      <c r="H334" s="973">
        <v>0</v>
      </c>
      <c r="I334" s="973">
        <v>0</v>
      </c>
      <c r="J334" s="973">
        <v>0</v>
      </c>
      <c r="K334" s="973">
        <v>0</v>
      </c>
      <c r="L334" s="973">
        <v>0</v>
      </c>
      <c r="M334" s="973">
        <v>0</v>
      </c>
      <c r="N334" s="973">
        <v>0</v>
      </c>
      <c r="O334" s="973">
        <v>0</v>
      </c>
      <c r="P334" s="973">
        <v>0</v>
      </c>
      <c r="Q334" s="963">
        <f t="shared" si="11"/>
        <v>0</v>
      </c>
    </row>
    <row r="335" spans="2:17">
      <c r="B335" s="901" t="s">
        <v>2921</v>
      </c>
      <c r="C335" s="956" t="s">
        <v>782</v>
      </c>
      <c r="D335" s="956">
        <v>134</v>
      </c>
      <c r="E335" s="973">
        <v>0</v>
      </c>
      <c r="F335" s="973">
        <v>0</v>
      </c>
      <c r="G335" s="973">
        <v>0</v>
      </c>
      <c r="H335" s="973">
        <v>0</v>
      </c>
      <c r="I335" s="973">
        <v>0</v>
      </c>
      <c r="J335" s="973">
        <v>0</v>
      </c>
      <c r="K335" s="973">
        <v>0</v>
      </c>
      <c r="L335" s="973">
        <v>0</v>
      </c>
      <c r="M335" s="973">
        <v>0</v>
      </c>
      <c r="N335" s="973">
        <v>0</v>
      </c>
      <c r="O335" s="973">
        <v>0</v>
      </c>
      <c r="P335" s="973">
        <v>0</v>
      </c>
      <c r="Q335" s="963">
        <f t="shared" si="11"/>
        <v>0</v>
      </c>
    </row>
    <row r="336" spans="2:17">
      <c r="B336" s="901" t="s">
        <v>2922</v>
      </c>
      <c r="C336" s="956" t="s">
        <v>783</v>
      </c>
      <c r="D336" s="956">
        <v>134</v>
      </c>
      <c r="E336" s="973">
        <v>0</v>
      </c>
      <c r="F336" s="973">
        <v>0</v>
      </c>
      <c r="G336" s="973">
        <v>0</v>
      </c>
      <c r="H336" s="973">
        <v>0</v>
      </c>
      <c r="I336" s="973">
        <v>0</v>
      </c>
      <c r="J336" s="973">
        <v>0</v>
      </c>
      <c r="K336" s="973">
        <v>0</v>
      </c>
      <c r="L336" s="973">
        <v>0</v>
      </c>
      <c r="M336" s="973">
        <v>0</v>
      </c>
      <c r="N336" s="973">
        <v>0</v>
      </c>
      <c r="O336" s="973">
        <v>0</v>
      </c>
      <c r="P336" s="973">
        <v>0</v>
      </c>
      <c r="Q336" s="963">
        <f t="shared" si="11"/>
        <v>0</v>
      </c>
    </row>
    <row r="337" spans="2:17">
      <c r="B337" s="901" t="s">
        <v>2750</v>
      </c>
      <c r="C337" s="956" t="s">
        <v>784</v>
      </c>
      <c r="D337" s="956">
        <v>134</v>
      </c>
      <c r="E337" s="973">
        <v>0</v>
      </c>
      <c r="F337" s="973">
        <v>0</v>
      </c>
      <c r="G337" s="973">
        <v>0</v>
      </c>
      <c r="H337" s="973">
        <v>0</v>
      </c>
      <c r="I337" s="973">
        <v>0</v>
      </c>
      <c r="J337" s="973">
        <v>0</v>
      </c>
      <c r="K337" s="973">
        <v>0</v>
      </c>
      <c r="L337" s="973">
        <v>0</v>
      </c>
      <c r="M337" s="973">
        <v>0</v>
      </c>
      <c r="N337" s="973">
        <v>0</v>
      </c>
      <c r="O337" s="973">
        <v>0</v>
      </c>
      <c r="P337" s="973">
        <v>0</v>
      </c>
      <c r="Q337" s="963">
        <f t="shared" si="11"/>
        <v>0</v>
      </c>
    </row>
    <row r="338" spans="2:17">
      <c r="B338" s="901" t="s">
        <v>2751</v>
      </c>
      <c r="C338" s="956" t="s">
        <v>785</v>
      </c>
      <c r="D338" s="956">
        <v>134</v>
      </c>
      <c r="E338" s="973">
        <v>0</v>
      </c>
      <c r="F338" s="973">
        <v>0</v>
      </c>
      <c r="G338" s="973">
        <v>0</v>
      </c>
      <c r="H338" s="973">
        <v>0</v>
      </c>
      <c r="I338" s="973">
        <v>0</v>
      </c>
      <c r="J338" s="973">
        <v>0</v>
      </c>
      <c r="K338" s="973">
        <v>0</v>
      </c>
      <c r="L338" s="973">
        <v>0</v>
      </c>
      <c r="M338" s="973">
        <v>0</v>
      </c>
      <c r="N338" s="973">
        <v>0</v>
      </c>
      <c r="O338" s="973">
        <v>0</v>
      </c>
      <c r="P338" s="973">
        <v>0</v>
      </c>
      <c r="Q338" s="963">
        <f t="shared" si="11"/>
        <v>0</v>
      </c>
    </row>
    <row r="339" spans="2:17">
      <c r="B339" s="901" t="s">
        <v>2451</v>
      </c>
      <c r="C339" s="956" t="s">
        <v>786</v>
      </c>
      <c r="D339" s="956">
        <v>134</v>
      </c>
      <c r="E339" s="973">
        <v>0</v>
      </c>
      <c r="F339" s="973">
        <v>0</v>
      </c>
      <c r="G339" s="973">
        <v>0</v>
      </c>
      <c r="H339" s="973">
        <v>0</v>
      </c>
      <c r="I339" s="973">
        <v>0</v>
      </c>
      <c r="J339" s="973">
        <v>0</v>
      </c>
      <c r="K339" s="973">
        <v>0</v>
      </c>
      <c r="L339" s="973">
        <v>0</v>
      </c>
      <c r="M339" s="973">
        <v>0</v>
      </c>
      <c r="N339" s="973">
        <v>0</v>
      </c>
      <c r="O339" s="973">
        <v>0</v>
      </c>
      <c r="P339" s="973">
        <v>0</v>
      </c>
      <c r="Q339" s="963">
        <f t="shared" si="11"/>
        <v>0</v>
      </c>
    </row>
    <row r="340" spans="2:17">
      <c r="B340" s="901" t="s">
        <v>2697</v>
      </c>
      <c r="C340" s="956" t="s">
        <v>787</v>
      </c>
      <c r="D340" s="956">
        <v>134</v>
      </c>
      <c r="E340" s="973">
        <v>147517.35999999999</v>
      </c>
      <c r="F340" s="973">
        <v>145147.54</v>
      </c>
      <c r="G340" s="973">
        <v>156643.24</v>
      </c>
      <c r="H340" s="973">
        <v>138611.15</v>
      </c>
      <c r="I340" s="973">
        <v>135100.62</v>
      </c>
      <c r="J340" s="973">
        <v>120157.53</v>
      </c>
      <c r="K340" s="973">
        <v>162723.11000000002</v>
      </c>
      <c r="L340" s="973">
        <v>210742.17</v>
      </c>
      <c r="M340" s="973">
        <v>220432.62</v>
      </c>
      <c r="N340" s="973">
        <v>213291.47</v>
      </c>
      <c r="O340" s="973">
        <v>122785.68000000001</v>
      </c>
      <c r="P340" s="973">
        <v>160448.82</v>
      </c>
      <c r="Q340" s="963">
        <f>-SUM(E340:P340)</f>
        <v>-1933601.3099999998</v>
      </c>
    </row>
    <row r="341" spans="2:17">
      <c r="B341" s="901" t="s">
        <v>2698</v>
      </c>
      <c r="C341" s="956" t="s">
        <v>788</v>
      </c>
      <c r="D341" s="956">
        <v>134</v>
      </c>
      <c r="E341" s="973">
        <v>145147.54</v>
      </c>
      <c r="F341" s="973">
        <v>156643.24</v>
      </c>
      <c r="G341" s="973">
        <v>138611.15</v>
      </c>
      <c r="H341" s="973">
        <v>135100.62</v>
      </c>
      <c r="I341" s="973">
        <v>120157.53</v>
      </c>
      <c r="J341" s="973">
        <v>162723.11000000002</v>
      </c>
      <c r="K341" s="973">
        <v>210742.17</v>
      </c>
      <c r="L341" s="973">
        <v>220432.62</v>
      </c>
      <c r="M341" s="973">
        <v>213291.47</v>
      </c>
      <c r="N341" s="973">
        <v>122785.68000000001</v>
      </c>
      <c r="O341" s="973">
        <v>160448.82</v>
      </c>
      <c r="P341" s="973">
        <v>216407.78</v>
      </c>
      <c r="Q341" s="963">
        <f t="shared" si="11"/>
        <v>2002491.73</v>
      </c>
    </row>
    <row r="342" spans="2:17">
      <c r="B342" s="901" t="s">
        <v>2884</v>
      </c>
      <c r="C342" s="956" t="s">
        <v>789</v>
      </c>
      <c r="D342" s="956">
        <v>134</v>
      </c>
      <c r="E342" s="973">
        <v>146527.23000000001</v>
      </c>
      <c r="F342" s="973">
        <v>157910.54999999999</v>
      </c>
      <c r="G342" s="973">
        <v>140423.63</v>
      </c>
      <c r="H342" s="973">
        <v>136057.94</v>
      </c>
      <c r="I342" s="973">
        <v>120948.37</v>
      </c>
      <c r="J342" s="973">
        <v>162841.52000000002</v>
      </c>
      <c r="K342" s="973">
        <v>212842.98</v>
      </c>
      <c r="L342" s="973">
        <v>224810.69999999998</v>
      </c>
      <c r="M342" s="973">
        <v>218129.11000000002</v>
      </c>
      <c r="N342" s="973">
        <v>127284.66000000002</v>
      </c>
      <c r="O342" s="973">
        <v>160655.63</v>
      </c>
      <c r="P342" s="973">
        <v>218194.58</v>
      </c>
      <c r="Q342" s="963">
        <f t="shared" si="11"/>
        <v>2026626.9000000004</v>
      </c>
    </row>
    <row r="343" spans="2:17">
      <c r="B343" s="964" t="s">
        <v>2673</v>
      </c>
      <c r="E343" s="973"/>
      <c r="F343" s="973"/>
      <c r="G343" s="973"/>
      <c r="H343" s="973"/>
      <c r="I343" s="973"/>
      <c r="J343" s="973"/>
      <c r="K343" s="973"/>
      <c r="L343" s="973"/>
      <c r="M343" s="973"/>
      <c r="N343" s="973"/>
      <c r="O343" s="973"/>
      <c r="P343" s="973"/>
      <c r="Q343" s="963"/>
    </row>
    <row r="344" spans="2:17">
      <c r="E344" s="973"/>
      <c r="F344" s="973"/>
      <c r="G344" s="973"/>
      <c r="H344" s="973"/>
      <c r="I344" s="973"/>
      <c r="J344" s="973"/>
      <c r="K344" s="973"/>
      <c r="L344" s="973"/>
      <c r="M344" s="973"/>
      <c r="N344" s="973"/>
      <c r="O344" s="973"/>
      <c r="P344" s="973"/>
      <c r="Q344" s="963"/>
    </row>
    <row r="345" spans="2:17">
      <c r="B345" s="960" t="s">
        <v>2942</v>
      </c>
      <c r="C345" s="956" t="s">
        <v>777</v>
      </c>
      <c r="D345" s="956">
        <v>91</v>
      </c>
      <c r="E345" s="974"/>
      <c r="F345" s="974"/>
      <c r="G345" s="974"/>
      <c r="H345" s="974"/>
      <c r="I345" s="974"/>
      <c r="J345" s="974"/>
      <c r="K345" s="974"/>
      <c r="L345" s="974"/>
      <c r="M345" s="974"/>
      <c r="N345" s="974"/>
      <c r="O345" s="974"/>
      <c r="P345" s="974"/>
      <c r="Q345" s="963"/>
    </row>
    <row r="346" spans="2:17">
      <c r="B346" s="901" t="s">
        <v>2514</v>
      </c>
      <c r="C346" s="956" t="s">
        <v>780</v>
      </c>
      <c r="D346" s="956">
        <v>91</v>
      </c>
      <c r="E346" s="973">
        <v>57483</v>
      </c>
      <c r="F346" s="973">
        <v>106086</v>
      </c>
      <c r="G346" s="973">
        <v>228696</v>
      </c>
      <c r="H346" s="973">
        <v>0</v>
      </c>
      <c r="I346" s="973">
        <v>24270</v>
      </c>
      <c r="J346" s="973">
        <v>234043</v>
      </c>
      <c r="K346" s="973">
        <v>1112893</v>
      </c>
      <c r="L346" s="973">
        <v>5050508</v>
      </c>
      <c r="M346" s="973">
        <v>9500954</v>
      </c>
      <c r="N346" s="973">
        <v>4852567</v>
      </c>
      <c r="O346" s="973">
        <v>897404</v>
      </c>
      <c r="P346" s="973">
        <v>211269</v>
      </c>
      <c r="Q346" s="963">
        <f t="shared" si="11"/>
        <v>22276173</v>
      </c>
    </row>
    <row r="347" spans="2:17">
      <c r="B347" s="901" t="s">
        <v>2915</v>
      </c>
      <c r="C347" s="956" t="s">
        <v>781</v>
      </c>
      <c r="D347" s="956">
        <v>91</v>
      </c>
      <c r="E347" s="973">
        <v>0</v>
      </c>
      <c r="F347" s="973">
        <v>0</v>
      </c>
      <c r="G347" s="973">
        <v>0</v>
      </c>
      <c r="H347" s="973">
        <v>0</v>
      </c>
      <c r="I347" s="973">
        <v>0</v>
      </c>
      <c r="J347" s="973">
        <v>0</v>
      </c>
      <c r="K347" s="973">
        <v>0</v>
      </c>
      <c r="L347" s="973">
        <v>0</v>
      </c>
      <c r="M347" s="973">
        <v>0</v>
      </c>
      <c r="N347" s="973">
        <v>0</v>
      </c>
      <c r="O347" s="973">
        <v>0</v>
      </c>
      <c r="P347" s="973">
        <v>0</v>
      </c>
      <c r="Q347" s="963">
        <f t="shared" si="11"/>
        <v>0</v>
      </c>
    </row>
    <row r="348" spans="2:17">
      <c r="B348" s="901" t="s">
        <v>2916</v>
      </c>
      <c r="C348" s="956" t="s">
        <v>782</v>
      </c>
      <c r="D348" s="956">
        <v>91</v>
      </c>
      <c r="E348" s="973">
        <v>0</v>
      </c>
      <c r="F348" s="973">
        <v>0</v>
      </c>
      <c r="G348" s="973">
        <v>0</v>
      </c>
      <c r="H348" s="973">
        <v>0</v>
      </c>
      <c r="I348" s="973">
        <v>0</v>
      </c>
      <c r="J348" s="973">
        <v>0</v>
      </c>
      <c r="K348" s="973">
        <v>0</v>
      </c>
      <c r="L348" s="973">
        <v>0</v>
      </c>
      <c r="M348" s="973">
        <v>0</v>
      </c>
      <c r="N348" s="973">
        <v>0</v>
      </c>
      <c r="O348" s="973">
        <v>0</v>
      </c>
      <c r="P348" s="973">
        <v>0</v>
      </c>
      <c r="Q348" s="963">
        <f t="shared" si="11"/>
        <v>0</v>
      </c>
    </row>
    <row r="349" spans="2:17">
      <c r="B349" s="901" t="s">
        <v>2917</v>
      </c>
      <c r="C349" s="956" t="s">
        <v>787</v>
      </c>
      <c r="D349" s="956">
        <v>91</v>
      </c>
      <c r="E349" s="973">
        <v>57483</v>
      </c>
      <c r="F349" s="973">
        <v>106086</v>
      </c>
      <c r="G349" s="973">
        <v>228696</v>
      </c>
      <c r="H349" s="973">
        <v>0</v>
      </c>
      <c r="I349" s="973">
        <v>24270</v>
      </c>
      <c r="J349" s="973">
        <v>234043</v>
      </c>
      <c r="K349" s="973">
        <v>1112893</v>
      </c>
      <c r="L349" s="973">
        <v>5050508</v>
      </c>
      <c r="M349" s="973">
        <v>9500954</v>
      </c>
      <c r="N349" s="973">
        <v>4852567</v>
      </c>
      <c r="O349" s="973">
        <v>897404</v>
      </c>
      <c r="P349" s="973">
        <v>211269</v>
      </c>
      <c r="Q349" s="963">
        <f>-SUM(E349:P349)</f>
        <v>-22276173</v>
      </c>
    </row>
    <row r="350" spans="2:17">
      <c r="B350" s="901" t="s">
        <v>2918</v>
      </c>
      <c r="C350" s="956" t="s">
        <v>788</v>
      </c>
      <c r="D350" s="956">
        <v>91</v>
      </c>
      <c r="E350" s="973">
        <v>106086</v>
      </c>
      <c r="F350" s="973">
        <v>228696</v>
      </c>
      <c r="G350" s="973">
        <v>0</v>
      </c>
      <c r="H350" s="973">
        <v>24270</v>
      </c>
      <c r="I350" s="973">
        <v>234043</v>
      </c>
      <c r="J350" s="973">
        <v>1112893</v>
      </c>
      <c r="K350" s="973">
        <v>5050508</v>
      </c>
      <c r="L350" s="973">
        <v>9500954</v>
      </c>
      <c r="M350" s="973">
        <v>4852567</v>
      </c>
      <c r="N350" s="973">
        <v>897404</v>
      </c>
      <c r="O350" s="973">
        <v>211269</v>
      </c>
      <c r="P350" s="973">
        <v>1297588</v>
      </c>
      <c r="Q350" s="963">
        <f t="shared" si="11"/>
        <v>23516278</v>
      </c>
    </row>
    <row r="351" spans="2:17">
      <c r="B351" s="901" t="s">
        <v>2886</v>
      </c>
      <c r="C351" s="956" t="s">
        <v>789</v>
      </c>
      <c r="D351" s="956">
        <v>91</v>
      </c>
      <c r="E351" s="973">
        <v>106086</v>
      </c>
      <c r="F351" s="973">
        <v>228696</v>
      </c>
      <c r="G351" s="973">
        <v>0</v>
      </c>
      <c r="H351" s="973">
        <v>24270</v>
      </c>
      <c r="I351" s="973">
        <v>234043</v>
      </c>
      <c r="J351" s="973">
        <v>1112893</v>
      </c>
      <c r="K351" s="973">
        <v>5050508</v>
      </c>
      <c r="L351" s="973">
        <v>9500954</v>
      </c>
      <c r="M351" s="973">
        <v>4852567</v>
      </c>
      <c r="N351" s="973">
        <v>897404</v>
      </c>
      <c r="O351" s="973">
        <v>211269</v>
      </c>
      <c r="P351" s="973">
        <v>1297588</v>
      </c>
      <c r="Q351" s="963">
        <f t="shared" si="11"/>
        <v>23516278</v>
      </c>
    </row>
    <row r="352" spans="2:17">
      <c r="B352" s="964" t="s">
        <v>2673</v>
      </c>
      <c r="E352" s="973"/>
      <c r="F352" s="973"/>
      <c r="G352" s="973"/>
      <c r="H352" s="973"/>
      <c r="I352" s="973"/>
      <c r="J352" s="973"/>
      <c r="K352" s="973"/>
      <c r="L352" s="973"/>
      <c r="M352" s="973"/>
      <c r="N352" s="973"/>
      <c r="O352" s="973"/>
      <c r="P352" s="973"/>
      <c r="Q352" s="963">
        <f t="shared" si="11"/>
        <v>0</v>
      </c>
    </row>
    <row r="353" spans="2:17">
      <c r="B353" s="901" t="s">
        <v>2919</v>
      </c>
      <c r="C353" s="956" t="s">
        <v>780</v>
      </c>
      <c r="D353" s="956">
        <v>135</v>
      </c>
      <c r="E353" s="973">
        <v>126255.93</v>
      </c>
      <c r="F353" s="973">
        <v>126379.53</v>
      </c>
      <c r="G353" s="973">
        <v>126752.93</v>
      </c>
      <c r="H353" s="973">
        <v>126113.88</v>
      </c>
      <c r="I353" s="973">
        <v>126173.84</v>
      </c>
      <c r="J353" s="973">
        <v>126769.22</v>
      </c>
      <c r="K353" s="973">
        <v>128191.42</v>
      </c>
      <c r="L353" s="973">
        <v>140009.25</v>
      </c>
      <c r="M353" s="973">
        <v>156537.38</v>
      </c>
      <c r="N353" s="973">
        <v>139274.14000000001</v>
      </c>
      <c r="O353" s="973">
        <v>125221.32</v>
      </c>
      <c r="P353" s="973">
        <v>124294.75</v>
      </c>
      <c r="Q353" s="963">
        <f t="shared" si="11"/>
        <v>1571973.59</v>
      </c>
    </row>
    <row r="354" spans="2:17">
      <c r="B354" s="901" t="s">
        <v>2920</v>
      </c>
      <c r="C354" s="956" t="s">
        <v>781</v>
      </c>
      <c r="D354" s="956">
        <v>135</v>
      </c>
      <c r="E354" s="973">
        <v>0</v>
      </c>
      <c r="F354" s="973">
        <v>0</v>
      </c>
      <c r="G354" s="973">
        <v>0</v>
      </c>
      <c r="H354" s="973">
        <v>0</v>
      </c>
      <c r="I354" s="973">
        <v>0</v>
      </c>
      <c r="J354" s="973">
        <v>0</v>
      </c>
      <c r="K354" s="973">
        <v>0</v>
      </c>
      <c r="L354" s="973">
        <v>0</v>
      </c>
      <c r="M354" s="973">
        <v>0</v>
      </c>
      <c r="N354" s="973">
        <v>0</v>
      </c>
      <c r="O354" s="973">
        <v>0</v>
      </c>
      <c r="P354" s="973">
        <v>0</v>
      </c>
      <c r="Q354" s="963">
        <f t="shared" si="11"/>
        <v>0</v>
      </c>
    </row>
    <row r="355" spans="2:17">
      <c r="B355" s="901" t="s">
        <v>2921</v>
      </c>
      <c r="C355" s="956" t="s">
        <v>782</v>
      </c>
      <c r="D355" s="956">
        <v>135</v>
      </c>
      <c r="E355" s="973">
        <v>0</v>
      </c>
      <c r="F355" s="973">
        <v>0</v>
      </c>
      <c r="G355" s="973">
        <v>0</v>
      </c>
      <c r="H355" s="973">
        <v>0</v>
      </c>
      <c r="I355" s="973">
        <v>0</v>
      </c>
      <c r="J355" s="973">
        <v>0</v>
      </c>
      <c r="K355" s="973">
        <v>0</v>
      </c>
      <c r="L355" s="973">
        <v>0</v>
      </c>
      <c r="M355" s="973">
        <v>0</v>
      </c>
      <c r="N355" s="973">
        <v>0</v>
      </c>
      <c r="O355" s="973">
        <v>0</v>
      </c>
      <c r="P355" s="973">
        <v>0</v>
      </c>
      <c r="Q355" s="963">
        <f t="shared" si="11"/>
        <v>0</v>
      </c>
    </row>
    <row r="356" spans="2:17">
      <c r="B356" s="901" t="s">
        <v>2922</v>
      </c>
      <c r="C356" s="956" t="s">
        <v>783</v>
      </c>
      <c r="D356" s="956">
        <v>135</v>
      </c>
      <c r="E356" s="973">
        <v>0</v>
      </c>
      <c r="F356" s="973">
        <v>0</v>
      </c>
      <c r="G356" s="973">
        <v>0</v>
      </c>
      <c r="H356" s="973">
        <v>0</v>
      </c>
      <c r="I356" s="973">
        <v>0</v>
      </c>
      <c r="J356" s="973">
        <v>0</v>
      </c>
      <c r="K356" s="973">
        <v>0</v>
      </c>
      <c r="L356" s="973">
        <v>0</v>
      </c>
      <c r="M356" s="973">
        <v>0</v>
      </c>
      <c r="N356" s="973">
        <v>0</v>
      </c>
      <c r="O356" s="973">
        <v>0</v>
      </c>
      <c r="P356" s="973">
        <v>0</v>
      </c>
      <c r="Q356" s="963">
        <f t="shared" si="11"/>
        <v>0</v>
      </c>
    </row>
    <row r="357" spans="2:17">
      <c r="B357" s="901" t="s">
        <v>2750</v>
      </c>
      <c r="C357" s="956" t="s">
        <v>784</v>
      </c>
      <c r="D357" s="956">
        <v>135</v>
      </c>
      <c r="E357" s="973">
        <v>0</v>
      </c>
      <c r="F357" s="973">
        <v>0</v>
      </c>
      <c r="G357" s="973">
        <v>0</v>
      </c>
      <c r="H357" s="973">
        <v>0</v>
      </c>
      <c r="I357" s="973">
        <v>0</v>
      </c>
      <c r="J357" s="973">
        <v>0</v>
      </c>
      <c r="K357" s="973">
        <v>0</v>
      </c>
      <c r="L357" s="973">
        <v>0</v>
      </c>
      <c r="M357" s="973">
        <v>0</v>
      </c>
      <c r="N357" s="973">
        <v>0</v>
      </c>
      <c r="O357" s="973">
        <v>0</v>
      </c>
      <c r="P357" s="973">
        <v>0</v>
      </c>
      <c r="Q357" s="963">
        <f t="shared" si="11"/>
        <v>0</v>
      </c>
    </row>
    <row r="358" spans="2:17">
      <c r="B358" s="901" t="s">
        <v>2751</v>
      </c>
      <c r="C358" s="956" t="s">
        <v>785</v>
      </c>
      <c r="D358" s="956">
        <v>135</v>
      </c>
      <c r="E358" s="973">
        <v>0</v>
      </c>
      <c r="F358" s="973">
        <v>0</v>
      </c>
      <c r="G358" s="973">
        <v>0</v>
      </c>
      <c r="H358" s="973">
        <v>0</v>
      </c>
      <c r="I358" s="973">
        <v>0</v>
      </c>
      <c r="J358" s="973">
        <v>0</v>
      </c>
      <c r="K358" s="973">
        <v>0</v>
      </c>
      <c r="L358" s="973">
        <v>0</v>
      </c>
      <c r="M358" s="973">
        <v>0</v>
      </c>
      <c r="N358" s="973">
        <v>0</v>
      </c>
      <c r="O358" s="973">
        <v>0</v>
      </c>
      <c r="P358" s="973">
        <v>0</v>
      </c>
      <c r="Q358" s="963">
        <f t="shared" si="11"/>
        <v>0</v>
      </c>
    </row>
    <row r="359" spans="2:17">
      <c r="B359" s="901" t="s">
        <v>2451</v>
      </c>
      <c r="C359" s="956" t="s">
        <v>786</v>
      </c>
      <c r="D359" s="956">
        <v>135</v>
      </c>
      <c r="E359" s="973">
        <v>0</v>
      </c>
      <c r="F359" s="973">
        <v>0</v>
      </c>
      <c r="G359" s="973">
        <v>0</v>
      </c>
      <c r="H359" s="973">
        <v>0</v>
      </c>
      <c r="I359" s="973">
        <v>0</v>
      </c>
      <c r="J359" s="973">
        <v>0</v>
      </c>
      <c r="K359" s="973">
        <v>0</v>
      </c>
      <c r="L359" s="973">
        <v>0</v>
      </c>
      <c r="M359" s="973">
        <v>0</v>
      </c>
      <c r="N359" s="973">
        <v>0</v>
      </c>
      <c r="O359" s="973">
        <v>0</v>
      </c>
      <c r="P359" s="973">
        <v>0</v>
      </c>
      <c r="Q359" s="963">
        <f t="shared" si="11"/>
        <v>0</v>
      </c>
    </row>
    <row r="360" spans="2:17">
      <c r="B360" s="901" t="s">
        <v>2697</v>
      </c>
      <c r="C360" s="956" t="s">
        <v>787</v>
      </c>
      <c r="D360" s="956">
        <v>135</v>
      </c>
      <c r="E360" s="973">
        <v>126238.10999999999</v>
      </c>
      <c r="F360" s="973">
        <v>126346.64</v>
      </c>
      <c r="G360" s="973">
        <v>126682.03</v>
      </c>
      <c r="H360" s="973">
        <v>126113.88</v>
      </c>
      <c r="I360" s="973">
        <v>126166.31999999999</v>
      </c>
      <c r="J360" s="973">
        <v>126696.67</v>
      </c>
      <c r="K360" s="973">
        <v>127846.42</v>
      </c>
      <c r="L360" s="973">
        <v>138443.59</v>
      </c>
      <c r="M360" s="973">
        <v>153592.08000000002</v>
      </c>
      <c r="N360" s="973">
        <v>137769.84000000003</v>
      </c>
      <c r="O360" s="973">
        <v>124943.12000000001</v>
      </c>
      <c r="P360" s="973">
        <v>124231.37</v>
      </c>
      <c r="Q360" s="963">
        <f>-SUM(E360:P360)</f>
        <v>-1565070.0700000003</v>
      </c>
    </row>
    <row r="361" spans="2:17">
      <c r="B361" s="901" t="s">
        <v>2698</v>
      </c>
      <c r="C361" s="956" t="s">
        <v>788</v>
      </c>
      <c r="D361" s="956">
        <v>135</v>
      </c>
      <c r="E361" s="973">
        <v>126346.64</v>
      </c>
      <c r="F361" s="973">
        <v>126682.03</v>
      </c>
      <c r="G361" s="973">
        <v>126113.88</v>
      </c>
      <c r="H361" s="973">
        <v>126166.31999999999</v>
      </c>
      <c r="I361" s="973">
        <v>126696.67</v>
      </c>
      <c r="J361" s="973">
        <v>127846.42</v>
      </c>
      <c r="K361" s="973">
        <v>138443.59</v>
      </c>
      <c r="L361" s="973">
        <v>153592.08000000002</v>
      </c>
      <c r="M361" s="973">
        <v>137769.84000000003</v>
      </c>
      <c r="N361" s="973">
        <v>124943.12000000001</v>
      </c>
      <c r="O361" s="973">
        <v>124231.37</v>
      </c>
      <c r="P361" s="973">
        <v>126346.56</v>
      </c>
      <c r="Q361" s="963">
        <f t="shared" si="11"/>
        <v>1565178.5200000005</v>
      </c>
    </row>
    <row r="362" spans="2:17">
      <c r="B362" s="901" t="s">
        <v>2884</v>
      </c>
      <c r="C362" s="956" t="s">
        <v>789</v>
      </c>
      <c r="D362" s="956">
        <v>135</v>
      </c>
      <c r="E362" s="973">
        <v>126364.46</v>
      </c>
      <c r="F362" s="973">
        <v>126714.92</v>
      </c>
      <c r="G362" s="973">
        <v>126184.78</v>
      </c>
      <c r="H362" s="973">
        <v>126166.31999999999</v>
      </c>
      <c r="I362" s="973">
        <v>126704.19</v>
      </c>
      <c r="J362" s="973">
        <v>127918.97</v>
      </c>
      <c r="K362" s="973">
        <v>138788.59</v>
      </c>
      <c r="L362" s="973">
        <v>155157.74000000002</v>
      </c>
      <c r="M362" s="973">
        <v>140715.14000000001</v>
      </c>
      <c r="N362" s="973">
        <v>126447.42</v>
      </c>
      <c r="O362" s="973">
        <v>124509.56999999999</v>
      </c>
      <c r="P362" s="973">
        <v>126409.94</v>
      </c>
      <c r="Q362" s="963">
        <f t="shared" si="11"/>
        <v>1572082.0399999998</v>
      </c>
    </row>
    <row r="363" spans="2:17">
      <c r="B363" s="964" t="s">
        <v>2673</v>
      </c>
      <c r="E363" s="973"/>
      <c r="F363" s="973"/>
      <c r="G363" s="973"/>
      <c r="H363" s="973"/>
      <c r="I363" s="973"/>
      <c r="J363" s="973"/>
      <c r="K363" s="973"/>
      <c r="L363" s="973"/>
      <c r="M363" s="973"/>
      <c r="N363" s="973"/>
      <c r="O363" s="973"/>
      <c r="P363" s="973"/>
      <c r="Q363" s="963"/>
    </row>
    <row r="364" spans="2:17">
      <c r="E364" s="973"/>
      <c r="F364" s="973"/>
      <c r="G364" s="973"/>
      <c r="H364" s="973"/>
      <c r="I364" s="973"/>
      <c r="J364" s="973"/>
      <c r="K364" s="973"/>
      <c r="L364" s="973"/>
      <c r="M364" s="973"/>
      <c r="N364" s="973"/>
      <c r="O364" s="973"/>
      <c r="P364" s="973"/>
      <c r="Q364" s="963"/>
    </row>
    <row r="365" spans="2:17">
      <c r="B365" s="960" t="s">
        <v>2943</v>
      </c>
      <c r="C365" s="956" t="s">
        <v>777</v>
      </c>
      <c r="D365" s="956">
        <v>92</v>
      </c>
      <c r="E365" s="973"/>
      <c r="F365" s="973"/>
      <c r="G365" s="973"/>
      <c r="H365" s="973"/>
      <c r="I365" s="973"/>
      <c r="J365" s="973"/>
      <c r="K365" s="973"/>
      <c r="L365" s="973"/>
      <c r="M365" s="973"/>
      <c r="N365" s="973"/>
      <c r="O365" s="973"/>
      <c r="P365" s="973"/>
      <c r="Q365" s="963"/>
    </row>
    <row r="366" spans="2:17">
      <c r="B366" s="901" t="s">
        <v>2514</v>
      </c>
      <c r="C366" s="956" t="s">
        <v>780</v>
      </c>
      <c r="D366" s="956">
        <v>92</v>
      </c>
      <c r="E366" s="973">
        <v>7824829</v>
      </c>
      <c r="F366" s="973">
        <v>7679533</v>
      </c>
      <c r="G366" s="973">
        <v>7686555</v>
      </c>
      <c r="H366" s="973">
        <v>9312929</v>
      </c>
      <c r="I366" s="973">
        <v>8371884</v>
      </c>
      <c r="J366" s="973">
        <v>5401237</v>
      </c>
      <c r="K366" s="973">
        <v>5673695</v>
      </c>
      <c r="L366" s="973">
        <v>6186256</v>
      </c>
      <c r="M366" s="973">
        <v>6575658</v>
      </c>
      <c r="N366" s="973">
        <v>6543518</v>
      </c>
      <c r="O366" s="973">
        <v>7985929</v>
      </c>
      <c r="P366" s="973">
        <v>7351963</v>
      </c>
      <c r="Q366" s="963">
        <f t="shared" si="11"/>
        <v>86593986</v>
      </c>
    </row>
    <row r="367" spans="2:17">
      <c r="B367" s="901" t="s">
        <v>2915</v>
      </c>
      <c r="C367" s="956" t="s">
        <v>781</v>
      </c>
      <c r="D367" s="956">
        <v>92</v>
      </c>
      <c r="E367" s="973">
        <v>0</v>
      </c>
      <c r="F367" s="973">
        <v>0</v>
      </c>
      <c r="G367" s="973">
        <v>0</v>
      </c>
      <c r="H367" s="973">
        <v>0</v>
      </c>
      <c r="I367" s="973">
        <v>0</v>
      </c>
      <c r="J367" s="973">
        <v>0</v>
      </c>
      <c r="K367" s="973">
        <v>0</v>
      </c>
      <c r="L367" s="973">
        <v>0</v>
      </c>
      <c r="M367" s="973">
        <v>0</v>
      </c>
      <c r="N367" s="973">
        <v>0</v>
      </c>
      <c r="O367" s="973">
        <v>0</v>
      </c>
      <c r="P367" s="973">
        <v>0</v>
      </c>
      <c r="Q367" s="963">
        <f t="shared" si="11"/>
        <v>0</v>
      </c>
    </row>
    <row r="368" spans="2:17">
      <c r="B368" s="901" t="s">
        <v>2916</v>
      </c>
      <c r="C368" s="956" t="s">
        <v>782</v>
      </c>
      <c r="D368" s="956">
        <v>92</v>
      </c>
      <c r="E368" s="973">
        <v>0</v>
      </c>
      <c r="F368" s="973">
        <v>0</v>
      </c>
      <c r="G368" s="973">
        <v>0</v>
      </c>
      <c r="H368" s="973">
        <v>0</v>
      </c>
      <c r="I368" s="973">
        <v>0</v>
      </c>
      <c r="J368" s="973">
        <v>0</v>
      </c>
      <c r="K368" s="973">
        <v>0</v>
      </c>
      <c r="L368" s="973">
        <v>0</v>
      </c>
      <c r="M368" s="973">
        <v>0</v>
      </c>
      <c r="N368" s="973">
        <v>0</v>
      </c>
      <c r="O368" s="973">
        <v>0</v>
      </c>
      <c r="P368" s="973">
        <v>0</v>
      </c>
      <c r="Q368" s="963">
        <f t="shared" si="11"/>
        <v>0</v>
      </c>
    </row>
    <row r="369" spans="2:17">
      <c r="B369" s="901" t="s">
        <v>2917</v>
      </c>
      <c r="C369" s="956" t="s">
        <v>787</v>
      </c>
      <c r="D369" s="956">
        <v>92</v>
      </c>
      <c r="E369" s="973">
        <v>7824829</v>
      </c>
      <c r="F369" s="973">
        <v>7679533</v>
      </c>
      <c r="G369" s="973">
        <v>7686555</v>
      </c>
      <c r="H369" s="973">
        <v>9312929</v>
      </c>
      <c r="I369" s="973">
        <v>8371884</v>
      </c>
      <c r="J369" s="973">
        <v>5401237</v>
      </c>
      <c r="K369" s="973">
        <v>5673695</v>
      </c>
      <c r="L369" s="973">
        <v>6186256</v>
      </c>
      <c r="M369" s="973">
        <v>6575658</v>
      </c>
      <c r="N369" s="973">
        <v>6543518</v>
      </c>
      <c r="O369" s="973">
        <v>7985929</v>
      </c>
      <c r="P369" s="973">
        <v>7351963</v>
      </c>
      <c r="Q369" s="963">
        <f t="shared" si="11"/>
        <v>86593986</v>
      </c>
    </row>
    <row r="370" spans="2:17">
      <c r="B370" s="901" t="s">
        <v>2918</v>
      </c>
      <c r="C370" s="956" t="s">
        <v>788</v>
      </c>
      <c r="D370" s="956">
        <v>92</v>
      </c>
      <c r="E370" s="973">
        <v>7679533</v>
      </c>
      <c r="F370" s="973">
        <v>7686555</v>
      </c>
      <c r="G370" s="973">
        <v>9312929</v>
      </c>
      <c r="H370" s="973">
        <v>8371884</v>
      </c>
      <c r="I370" s="973">
        <v>5401237</v>
      </c>
      <c r="J370" s="973">
        <v>5673695</v>
      </c>
      <c r="K370" s="973">
        <v>6186256</v>
      </c>
      <c r="L370" s="973">
        <v>6575658</v>
      </c>
      <c r="M370" s="973">
        <v>6543518</v>
      </c>
      <c r="N370" s="973">
        <v>7985929</v>
      </c>
      <c r="O370" s="973">
        <v>7351963</v>
      </c>
      <c r="P370" s="973">
        <v>7386486</v>
      </c>
      <c r="Q370" s="963">
        <f t="shared" ref="Q370:Q422" si="12">SUM(E370:P370)</f>
        <v>86155643</v>
      </c>
    </row>
    <row r="371" spans="2:17">
      <c r="B371" s="901" t="s">
        <v>2886</v>
      </c>
      <c r="C371" s="956" t="s">
        <v>789</v>
      </c>
      <c r="D371" s="956">
        <v>92</v>
      </c>
      <c r="E371" s="973">
        <v>7679533</v>
      </c>
      <c r="F371" s="973">
        <v>7686555</v>
      </c>
      <c r="G371" s="973">
        <v>9312929</v>
      </c>
      <c r="H371" s="973">
        <v>8371884</v>
      </c>
      <c r="I371" s="973">
        <v>5401237</v>
      </c>
      <c r="J371" s="973">
        <v>5673695</v>
      </c>
      <c r="K371" s="973">
        <v>6186256</v>
      </c>
      <c r="L371" s="973">
        <v>6575658</v>
      </c>
      <c r="M371" s="973">
        <v>6543518</v>
      </c>
      <c r="N371" s="973">
        <v>7985929</v>
      </c>
      <c r="O371" s="973">
        <v>7351963</v>
      </c>
      <c r="P371" s="973">
        <v>7386486</v>
      </c>
      <c r="Q371" s="963">
        <f t="shared" si="12"/>
        <v>86155643</v>
      </c>
    </row>
    <row r="372" spans="2:17">
      <c r="B372" s="964" t="s">
        <v>2673</v>
      </c>
      <c r="E372" s="973"/>
      <c r="F372" s="973"/>
      <c r="G372" s="973"/>
      <c r="H372" s="973"/>
      <c r="I372" s="973"/>
      <c r="J372" s="973"/>
      <c r="K372" s="973"/>
      <c r="L372" s="973"/>
      <c r="M372" s="973"/>
      <c r="N372" s="973"/>
      <c r="O372" s="973"/>
      <c r="P372" s="973"/>
      <c r="Q372" s="963">
        <f t="shared" si="12"/>
        <v>0</v>
      </c>
    </row>
    <row r="373" spans="2:17">
      <c r="B373" s="901" t="s">
        <v>2919</v>
      </c>
      <c r="C373" s="956" t="s">
        <v>780</v>
      </c>
      <c r="D373" s="956">
        <v>136</v>
      </c>
      <c r="E373" s="973">
        <v>147952.37</v>
      </c>
      <c r="F373" s="973">
        <v>145614.13</v>
      </c>
      <c r="G373" s="973">
        <v>145727.13</v>
      </c>
      <c r="H373" s="973">
        <v>171900.25</v>
      </c>
      <c r="I373" s="973">
        <v>156756.07999999999</v>
      </c>
      <c r="J373" s="973">
        <v>108949.69</v>
      </c>
      <c r="K373" s="973">
        <v>113334.34</v>
      </c>
      <c r="L373" s="973">
        <v>121582.94</v>
      </c>
      <c r="M373" s="973">
        <v>129094.04</v>
      </c>
      <c r="N373" s="973">
        <v>128571.78</v>
      </c>
      <c r="O373" s="973">
        <v>152010.48000000001</v>
      </c>
      <c r="P373" s="973">
        <v>141708.75</v>
      </c>
      <c r="Q373" s="963">
        <f t="shared" si="12"/>
        <v>1663201.98</v>
      </c>
    </row>
    <row r="374" spans="2:17">
      <c r="B374" s="901" t="s">
        <v>2920</v>
      </c>
      <c r="C374" s="956" t="s">
        <v>781</v>
      </c>
      <c r="D374" s="956">
        <v>136</v>
      </c>
      <c r="E374" s="973">
        <v>0</v>
      </c>
      <c r="F374" s="973">
        <v>0</v>
      </c>
      <c r="G374" s="973">
        <v>0</v>
      </c>
      <c r="H374" s="973">
        <v>0</v>
      </c>
      <c r="I374" s="973">
        <v>0</v>
      </c>
      <c r="J374" s="973">
        <v>0</v>
      </c>
      <c r="K374" s="973">
        <v>0</v>
      </c>
      <c r="L374" s="973">
        <v>0</v>
      </c>
      <c r="M374" s="973">
        <v>0</v>
      </c>
      <c r="N374" s="973">
        <v>0</v>
      </c>
      <c r="O374" s="973">
        <v>0</v>
      </c>
      <c r="P374" s="973">
        <v>0</v>
      </c>
      <c r="Q374" s="963">
        <f t="shared" si="12"/>
        <v>0</v>
      </c>
    </row>
    <row r="375" spans="2:17">
      <c r="B375" s="901" t="s">
        <v>2921</v>
      </c>
      <c r="C375" s="956" t="s">
        <v>782</v>
      </c>
      <c r="D375" s="956">
        <v>136</v>
      </c>
      <c r="E375" s="973">
        <v>0</v>
      </c>
      <c r="F375" s="973">
        <v>0</v>
      </c>
      <c r="G375" s="973">
        <v>0</v>
      </c>
      <c r="H375" s="973">
        <v>0</v>
      </c>
      <c r="I375" s="973">
        <v>0</v>
      </c>
      <c r="J375" s="973">
        <v>0</v>
      </c>
      <c r="K375" s="973">
        <v>0</v>
      </c>
      <c r="L375" s="973">
        <v>0</v>
      </c>
      <c r="M375" s="973">
        <v>0</v>
      </c>
      <c r="N375" s="973">
        <v>0</v>
      </c>
      <c r="O375" s="973">
        <v>0</v>
      </c>
      <c r="P375" s="973">
        <v>0</v>
      </c>
      <c r="Q375" s="963">
        <f t="shared" si="12"/>
        <v>0</v>
      </c>
    </row>
    <row r="376" spans="2:17">
      <c r="B376" s="901" t="s">
        <v>2922</v>
      </c>
      <c r="C376" s="956" t="s">
        <v>783</v>
      </c>
      <c r="D376" s="956">
        <v>136</v>
      </c>
      <c r="E376" s="973">
        <v>0</v>
      </c>
      <c r="F376" s="973">
        <v>0</v>
      </c>
      <c r="G376" s="973">
        <v>0</v>
      </c>
      <c r="H376" s="973">
        <v>0</v>
      </c>
      <c r="I376" s="973">
        <v>0</v>
      </c>
      <c r="J376" s="973">
        <v>0</v>
      </c>
      <c r="K376" s="973">
        <v>0</v>
      </c>
      <c r="L376" s="973">
        <v>0</v>
      </c>
      <c r="M376" s="973">
        <v>0</v>
      </c>
      <c r="N376" s="973">
        <v>0</v>
      </c>
      <c r="O376" s="973">
        <v>0</v>
      </c>
      <c r="P376" s="973">
        <v>0</v>
      </c>
      <c r="Q376" s="963">
        <f t="shared" si="12"/>
        <v>0</v>
      </c>
    </row>
    <row r="377" spans="2:17">
      <c r="B377" s="901" t="s">
        <v>2750</v>
      </c>
      <c r="C377" s="956" t="s">
        <v>784</v>
      </c>
      <c r="D377" s="956">
        <v>136</v>
      </c>
      <c r="E377" s="973">
        <v>0</v>
      </c>
      <c r="F377" s="973">
        <v>0</v>
      </c>
      <c r="G377" s="973">
        <v>0</v>
      </c>
      <c r="H377" s="973">
        <v>0</v>
      </c>
      <c r="I377" s="973">
        <v>0</v>
      </c>
      <c r="J377" s="973">
        <v>0</v>
      </c>
      <c r="K377" s="973">
        <v>0</v>
      </c>
      <c r="L377" s="973">
        <v>0</v>
      </c>
      <c r="M377" s="973">
        <v>0</v>
      </c>
      <c r="N377" s="973">
        <v>0</v>
      </c>
      <c r="O377" s="973">
        <v>0</v>
      </c>
      <c r="P377" s="973">
        <v>0</v>
      </c>
      <c r="Q377" s="963">
        <f t="shared" si="12"/>
        <v>0</v>
      </c>
    </row>
    <row r="378" spans="2:17">
      <c r="B378" s="901" t="s">
        <v>2751</v>
      </c>
      <c r="C378" s="956" t="s">
        <v>785</v>
      </c>
      <c r="D378" s="956">
        <v>136</v>
      </c>
      <c r="E378" s="973">
        <v>0</v>
      </c>
      <c r="F378" s="973">
        <v>0</v>
      </c>
      <c r="G378" s="973">
        <v>0</v>
      </c>
      <c r="H378" s="973">
        <v>0</v>
      </c>
      <c r="I378" s="973">
        <v>0</v>
      </c>
      <c r="J378" s="973">
        <v>0</v>
      </c>
      <c r="K378" s="973">
        <v>0</v>
      </c>
      <c r="L378" s="973">
        <v>0</v>
      </c>
      <c r="M378" s="973">
        <v>0</v>
      </c>
      <c r="N378" s="973">
        <v>0</v>
      </c>
      <c r="O378" s="973">
        <v>0</v>
      </c>
      <c r="P378" s="973">
        <v>0</v>
      </c>
      <c r="Q378" s="963">
        <f t="shared" si="12"/>
        <v>0</v>
      </c>
    </row>
    <row r="379" spans="2:17">
      <c r="B379" s="901" t="s">
        <v>2451</v>
      </c>
      <c r="C379" s="956" t="s">
        <v>786</v>
      </c>
      <c r="D379" s="956">
        <v>136</v>
      </c>
      <c r="E379" s="973">
        <v>0</v>
      </c>
      <c r="F379" s="973">
        <v>0</v>
      </c>
      <c r="G379" s="973">
        <v>0</v>
      </c>
      <c r="H379" s="973">
        <v>0</v>
      </c>
      <c r="I379" s="973">
        <v>0</v>
      </c>
      <c r="J379" s="973">
        <v>0</v>
      </c>
      <c r="K379" s="973">
        <v>0</v>
      </c>
      <c r="L379" s="973">
        <v>0</v>
      </c>
      <c r="M379" s="973">
        <v>0</v>
      </c>
      <c r="N379" s="973">
        <v>0</v>
      </c>
      <c r="O379" s="973">
        <v>0</v>
      </c>
      <c r="P379" s="973">
        <v>0</v>
      </c>
      <c r="Q379" s="963">
        <f t="shared" si="12"/>
        <v>0</v>
      </c>
    </row>
    <row r="380" spans="2:17">
      <c r="B380" s="901" t="s">
        <v>2697</v>
      </c>
      <c r="C380" s="956" t="s">
        <v>787</v>
      </c>
      <c r="D380" s="956">
        <v>136</v>
      </c>
      <c r="E380" s="973">
        <v>147952.37</v>
      </c>
      <c r="F380" s="973">
        <v>145614.13</v>
      </c>
      <c r="G380" s="973">
        <v>145727.13</v>
      </c>
      <c r="H380" s="973">
        <v>171900.25</v>
      </c>
      <c r="I380" s="973">
        <v>156756.07999999999</v>
      </c>
      <c r="J380" s="973">
        <v>108949.69</v>
      </c>
      <c r="K380" s="973">
        <v>113334.34</v>
      </c>
      <c r="L380" s="973">
        <v>121582.94</v>
      </c>
      <c r="M380" s="973">
        <v>129094.04</v>
      </c>
      <c r="N380" s="973">
        <v>128571.78</v>
      </c>
      <c r="O380" s="973">
        <v>152010.48000000001</v>
      </c>
      <c r="P380" s="973">
        <v>141708.75</v>
      </c>
      <c r="Q380" s="963">
        <f>-SUM(E380:P380)</f>
        <v>-1663201.98</v>
      </c>
    </row>
    <row r="381" spans="2:17">
      <c r="B381" s="901" t="s">
        <v>2698</v>
      </c>
      <c r="C381" s="956" t="s">
        <v>788</v>
      </c>
      <c r="D381" s="956">
        <v>136</v>
      </c>
      <c r="E381" s="973">
        <v>145614.13</v>
      </c>
      <c r="F381" s="973">
        <v>145727.13</v>
      </c>
      <c r="G381" s="973">
        <v>171900.25</v>
      </c>
      <c r="H381" s="973">
        <v>156756.07999999999</v>
      </c>
      <c r="I381" s="973">
        <v>108949.69</v>
      </c>
      <c r="J381" s="973">
        <v>113334.34</v>
      </c>
      <c r="K381" s="973">
        <v>121582.94</v>
      </c>
      <c r="L381" s="973">
        <v>129094.04</v>
      </c>
      <c r="M381" s="973">
        <v>128571.78</v>
      </c>
      <c r="N381" s="973">
        <v>152010.48000000001</v>
      </c>
      <c r="O381" s="973">
        <v>141708.75</v>
      </c>
      <c r="P381" s="973">
        <v>142269.73000000001</v>
      </c>
      <c r="Q381" s="963">
        <f t="shared" si="12"/>
        <v>1657519.34</v>
      </c>
    </row>
    <row r="382" spans="2:17">
      <c r="B382" s="901" t="s">
        <v>2884</v>
      </c>
      <c r="C382" s="956" t="s">
        <v>789</v>
      </c>
      <c r="D382" s="956">
        <v>136</v>
      </c>
      <c r="E382" s="973">
        <v>145614.13</v>
      </c>
      <c r="F382" s="973">
        <v>145727.13</v>
      </c>
      <c r="G382" s="973">
        <v>171900.25</v>
      </c>
      <c r="H382" s="973">
        <v>156756.07999999999</v>
      </c>
      <c r="I382" s="973">
        <v>108949.69</v>
      </c>
      <c r="J382" s="973">
        <v>113334.34</v>
      </c>
      <c r="K382" s="973">
        <v>121582.94</v>
      </c>
      <c r="L382" s="973">
        <v>129094.04</v>
      </c>
      <c r="M382" s="973">
        <v>128571.78</v>
      </c>
      <c r="N382" s="973">
        <v>152010.48000000001</v>
      </c>
      <c r="O382" s="973">
        <v>141708.75</v>
      </c>
      <c r="P382" s="973">
        <v>142269.73000000001</v>
      </c>
      <c r="Q382" s="963">
        <f t="shared" si="12"/>
        <v>1657519.34</v>
      </c>
    </row>
    <row r="383" spans="2:17">
      <c r="B383" s="964" t="s">
        <v>2673</v>
      </c>
      <c r="E383" s="973"/>
      <c r="F383" s="973"/>
      <c r="G383" s="973"/>
      <c r="H383" s="973"/>
      <c r="I383" s="973"/>
      <c r="J383" s="973"/>
      <c r="K383" s="973"/>
      <c r="L383" s="973"/>
      <c r="M383" s="973"/>
      <c r="N383" s="973"/>
      <c r="O383" s="973"/>
      <c r="P383" s="973"/>
      <c r="Q383" s="963"/>
    </row>
    <row r="384" spans="2:17">
      <c r="E384" s="973"/>
      <c r="F384" s="973"/>
      <c r="G384" s="973"/>
      <c r="H384" s="973"/>
      <c r="I384" s="973"/>
      <c r="J384" s="973"/>
      <c r="K384" s="973"/>
      <c r="L384" s="973"/>
      <c r="M384" s="973"/>
      <c r="N384" s="973"/>
      <c r="O384" s="973"/>
      <c r="P384" s="973"/>
      <c r="Q384" s="963"/>
    </row>
    <row r="385" spans="2:17">
      <c r="B385" s="960" t="s">
        <v>2944</v>
      </c>
      <c r="C385" s="956" t="s">
        <v>777</v>
      </c>
      <c r="D385" s="956">
        <v>93</v>
      </c>
      <c r="E385" s="973"/>
      <c r="F385" s="973"/>
      <c r="G385" s="973"/>
      <c r="H385" s="973"/>
      <c r="I385" s="973"/>
      <c r="J385" s="973"/>
      <c r="K385" s="973"/>
      <c r="L385" s="973"/>
      <c r="M385" s="973"/>
      <c r="N385" s="973"/>
      <c r="O385" s="973"/>
      <c r="P385" s="973"/>
      <c r="Q385" s="963"/>
    </row>
    <row r="386" spans="2:17">
      <c r="B386" s="901" t="s">
        <v>2514</v>
      </c>
      <c r="C386" s="956" t="s">
        <v>780</v>
      </c>
      <c r="D386" s="956">
        <v>93</v>
      </c>
      <c r="E386" s="973">
        <v>357236</v>
      </c>
      <c r="F386" s="973">
        <v>0</v>
      </c>
      <c r="G386" s="973">
        <v>2483404</v>
      </c>
      <c r="H386" s="973">
        <v>334503</v>
      </c>
      <c r="I386" s="973">
        <v>0</v>
      </c>
      <c r="J386" s="973">
        <v>509919</v>
      </c>
      <c r="K386" s="973">
        <v>0</v>
      </c>
      <c r="L386" s="973">
        <v>8340220</v>
      </c>
      <c r="M386" s="973">
        <v>9118215</v>
      </c>
      <c r="N386" s="973">
        <v>6204407</v>
      </c>
      <c r="O386" s="973">
        <v>1743835</v>
      </c>
      <c r="P386" s="973">
        <v>188376</v>
      </c>
      <c r="Q386" s="963">
        <f>SUM(E386:P386)</f>
        <v>29280115</v>
      </c>
    </row>
    <row r="387" spans="2:17">
      <c r="B387" s="901" t="s">
        <v>2915</v>
      </c>
      <c r="C387" s="956" t="s">
        <v>781</v>
      </c>
      <c r="D387" s="956">
        <v>93</v>
      </c>
      <c r="E387" s="973">
        <v>0</v>
      </c>
      <c r="F387" s="973">
        <v>0</v>
      </c>
      <c r="G387" s="973">
        <v>0</v>
      </c>
      <c r="H387" s="973">
        <v>0</v>
      </c>
      <c r="I387" s="973">
        <v>0</v>
      </c>
      <c r="J387" s="973">
        <v>0</v>
      </c>
      <c r="K387" s="973">
        <v>0</v>
      </c>
      <c r="L387" s="973">
        <v>0</v>
      </c>
      <c r="M387" s="973">
        <v>0</v>
      </c>
      <c r="N387" s="973">
        <v>0</v>
      </c>
      <c r="O387" s="973">
        <v>0</v>
      </c>
      <c r="P387" s="973">
        <v>0</v>
      </c>
      <c r="Q387" s="963">
        <f t="shared" si="12"/>
        <v>0</v>
      </c>
    </row>
    <row r="388" spans="2:17">
      <c r="B388" s="901" t="s">
        <v>2916</v>
      </c>
      <c r="C388" s="956" t="s">
        <v>782</v>
      </c>
      <c r="D388" s="956">
        <v>93</v>
      </c>
      <c r="E388" s="973">
        <v>0</v>
      </c>
      <c r="F388" s="973">
        <v>0</v>
      </c>
      <c r="G388" s="973">
        <v>0</v>
      </c>
      <c r="H388" s="973">
        <v>0</v>
      </c>
      <c r="I388" s="973">
        <v>0</v>
      </c>
      <c r="J388" s="973">
        <v>0</v>
      </c>
      <c r="K388" s="973">
        <v>0</v>
      </c>
      <c r="L388" s="973">
        <v>0</v>
      </c>
      <c r="M388" s="973">
        <v>0</v>
      </c>
      <c r="N388" s="973">
        <v>0</v>
      </c>
      <c r="O388" s="973">
        <v>0</v>
      </c>
      <c r="P388" s="973">
        <v>0</v>
      </c>
      <c r="Q388" s="963">
        <f t="shared" si="12"/>
        <v>0</v>
      </c>
    </row>
    <row r="389" spans="2:17">
      <c r="B389" s="901" t="s">
        <v>2917</v>
      </c>
      <c r="C389" s="956" t="s">
        <v>787</v>
      </c>
      <c r="D389" s="956">
        <v>93</v>
      </c>
      <c r="E389" s="973">
        <v>357236</v>
      </c>
      <c r="F389" s="973">
        <v>0</v>
      </c>
      <c r="G389" s="973">
        <v>2483404</v>
      </c>
      <c r="H389" s="973">
        <v>334503</v>
      </c>
      <c r="I389" s="973">
        <v>0</v>
      </c>
      <c r="J389" s="973">
        <v>509919</v>
      </c>
      <c r="K389" s="973">
        <v>0</v>
      </c>
      <c r="L389" s="973">
        <v>8340220</v>
      </c>
      <c r="M389" s="973">
        <v>9118215</v>
      </c>
      <c r="N389" s="973">
        <v>6204407</v>
      </c>
      <c r="O389" s="973">
        <v>1743835</v>
      </c>
      <c r="P389" s="973">
        <v>188376</v>
      </c>
      <c r="Q389" s="963">
        <f t="shared" si="12"/>
        <v>29280115</v>
      </c>
    </row>
    <row r="390" spans="2:17">
      <c r="B390" s="901" t="s">
        <v>2918</v>
      </c>
      <c r="C390" s="956" t="s">
        <v>788</v>
      </c>
      <c r="D390" s="956">
        <v>93</v>
      </c>
      <c r="E390" s="973">
        <v>0</v>
      </c>
      <c r="F390" s="973">
        <v>2483404</v>
      </c>
      <c r="G390" s="973">
        <v>334503</v>
      </c>
      <c r="H390" s="973">
        <v>0</v>
      </c>
      <c r="I390" s="973">
        <v>509919</v>
      </c>
      <c r="J390" s="973">
        <v>0</v>
      </c>
      <c r="K390" s="973">
        <v>8340220</v>
      </c>
      <c r="L390" s="973">
        <v>9118215</v>
      </c>
      <c r="M390" s="973">
        <v>6204407</v>
      </c>
      <c r="N390" s="973">
        <v>1743835</v>
      </c>
      <c r="O390" s="973">
        <v>188376</v>
      </c>
      <c r="P390" s="973">
        <v>6845573</v>
      </c>
      <c r="Q390" s="963">
        <f t="shared" si="12"/>
        <v>35768452</v>
      </c>
    </row>
    <row r="391" spans="2:17">
      <c r="B391" s="901" t="s">
        <v>2886</v>
      </c>
      <c r="C391" s="956" t="s">
        <v>789</v>
      </c>
      <c r="D391" s="956">
        <v>93</v>
      </c>
      <c r="E391" s="973">
        <v>0</v>
      </c>
      <c r="F391" s="973">
        <v>2483404</v>
      </c>
      <c r="G391" s="973">
        <v>334503</v>
      </c>
      <c r="H391" s="973">
        <v>0</v>
      </c>
      <c r="I391" s="973">
        <v>509919</v>
      </c>
      <c r="J391" s="973">
        <v>0</v>
      </c>
      <c r="K391" s="973">
        <v>8340220</v>
      </c>
      <c r="L391" s="973">
        <v>9118215</v>
      </c>
      <c r="M391" s="973">
        <v>6204407</v>
      </c>
      <c r="N391" s="973">
        <v>1743835</v>
      </c>
      <c r="O391" s="973">
        <v>188376</v>
      </c>
      <c r="P391" s="973">
        <v>6845573</v>
      </c>
      <c r="Q391" s="963">
        <f t="shared" si="12"/>
        <v>35768452</v>
      </c>
    </row>
    <row r="392" spans="2:17">
      <c r="B392" s="964" t="s">
        <v>2673</v>
      </c>
      <c r="E392" s="973"/>
      <c r="F392" s="973"/>
      <c r="G392" s="973"/>
      <c r="H392" s="973"/>
      <c r="I392" s="973"/>
      <c r="J392" s="973"/>
      <c r="K392" s="973"/>
      <c r="L392" s="973"/>
      <c r="M392" s="973"/>
      <c r="N392" s="973"/>
      <c r="O392" s="973"/>
      <c r="P392" s="973"/>
      <c r="Q392" s="963">
        <f t="shared" si="12"/>
        <v>0</v>
      </c>
    </row>
    <row r="393" spans="2:17">
      <c r="B393" s="901" t="s">
        <v>2919</v>
      </c>
      <c r="C393" s="956" t="s">
        <v>780</v>
      </c>
      <c r="D393" s="956">
        <v>137</v>
      </c>
      <c r="E393" s="973">
        <v>22779.02</v>
      </c>
      <c r="F393" s="973">
        <v>16849.189999999999</v>
      </c>
      <c r="G393" s="973">
        <v>58071.7</v>
      </c>
      <c r="H393" s="973">
        <v>22401.67</v>
      </c>
      <c r="I393" s="973">
        <v>16849.189999999999</v>
      </c>
      <c r="J393" s="973">
        <v>25313.43</v>
      </c>
      <c r="K393" s="973">
        <v>16849.189999999999</v>
      </c>
      <c r="L393" s="973">
        <v>156723.25</v>
      </c>
      <c r="M393" s="973">
        <v>169756.71</v>
      </c>
      <c r="N393" s="973">
        <v>120942.78</v>
      </c>
      <c r="O393" s="973">
        <v>46216.49</v>
      </c>
      <c r="P393" s="973">
        <v>20158.47</v>
      </c>
      <c r="Q393" s="963">
        <f t="shared" si="12"/>
        <v>692911.09</v>
      </c>
    </row>
    <row r="394" spans="2:17">
      <c r="B394" s="901" t="s">
        <v>2920</v>
      </c>
      <c r="C394" s="956" t="s">
        <v>781</v>
      </c>
      <c r="D394" s="956">
        <v>137</v>
      </c>
      <c r="E394" s="973">
        <v>0</v>
      </c>
      <c r="F394" s="973">
        <v>0</v>
      </c>
      <c r="G394" s="973">
        <v>0</v>
      </c>
      <c r="H394" s="973">
        <v>0</v>
      </c>
      <c r="I394" s="973">
        <v>0</v>
      </c>
      <c r="J394" s="973">
        <v>0</v>
      </c>
      <c r="K394" s="973">
        <v>0</v>
      </c>
      <c r="L394" s="973">
        <v>0</v>
      </c>
      <c r="M394" s="973">
        <v>0</v>
      </c>
      <c r="N394" s="973">
        <v>0</v>
      </c>
      <c r="O394" s="973">
        <v>0</v>
      </c>
      <c r="P394" s="973">
        <v>0</v>
      </c>
      <c r="Q394" s="963">
        <f t="shared" si="12"/>
        <v>0</v>
      </c>
    </row>
    <row r="395" spans="2:17">
      <c r="B395" s="901" t="s">
        <v>2921</v>
      </c>
      <c r="C395" s="956" t="s">
        <v>782</v>
      </c>
      <c r="D395" s="956">
        <v>137</v>
      </c>
      <c r="E395" s="973">
        <v>0</v>
      </c>
      <c r="F395" s="973">
        <v>0</v>
      </c>
      <c r="G395" s="973">
        <v>0</v>
      </c>
      <c r="H395" s="973">
        <v>0</v>
      </c>
      <c r="I395" s="973">
        <v>0</v>
      </c>
      <c r="J395" s="973">
        <v>0</v>
      </c>
      <c r="K395" s="973">
        <v>0</v>
      </c>
      <c r="L395" s="973">
        <v>0</v>
      </c>
      <c r="M395" s="973">
        <v>0</v>
      </c>
      <c r="N395" s="973">
        <v>0</v>
      </c>
      <c r="O395" s="973">
        <v>0</v>
      </c>
      <c r="P395" s="973">
        <v>0</v>
      </c>
      <c r="Q395" s="963">
        <f t="shared" si="12"/>
        <v>0</v>
      </c>
    </row>
    <row r="396" spans="2:17">
      <c r="B396" s="901" t="s">
        <v>2922</v>
      </c>
      <c r="C396" s="956" t="s">
        <v>783</v>
      </c>
      <c r="D396" s="956">
        <v>137</v>
      </c>
      <c r="E396" s="973">
        <v>0</v>
      </c>
      <c r="F396" s="973">
        <v>0</v>
      </c>
      <c r="G396" s="973">
        <v>0</v>
      </c>
      <c r="H396" s="973">
        <v>0</v>
      </c>
      <c r="I396" s="973">
        <v>0</v>
      </c>
      <c r="J396" s="973">
        <v>0</v>
      </c>
      <c r="K396" s="973">
        <v>0</v>
      </c>
      <c r="L396" s="973">
        <v>0</v>
      </c>
      <c r="M396" s="973">
        <v>0</v>
      </c>
      <c r="N396" s="973">
        <v>0</v>
      </c>
      <c r="O396" s="973">
        <v>0</v>
      </c>
      <c r="P396" s="973">
        <v>0</v>
      </c>
      <c r="Q396" s="963">
        <f t="shared" si="12"/>
        <v>0</v>
      </c>
    </row>
    <row r="397" spans="2:17">
      <c r="B397" s="901" t="s">
        <v>2750</v>
      </c>
      <c r="C397" s="956" t="s">
        <v>784</v>
      </c>
      <c r="D397" s="956">
        <v>137</v>
      </c>
      <c r="E397" s="973">
        <v>0</v>
      </c>
      <c r="F397" s="973">
        <v>0</v>
      </c>
      <c r="G397" s="973">
        <v>0</v>
      </c>
      <c r="H397" s="973">
        <v>0</v>
      </c>
      <c r="I397" s="973">
        <v>0</v>
      </c>
      <c r="J397" s="973">
        <v>0</v>
      </c>
      <c r="K397" s="973">
        <v>0</v>
      </c>
      <c r="L397" s="973">
        <v>0</v>
      </c>
      <c r="M397" s="973">
        <v>0</v>
      </c>
      <c r="N397" s="973">
        <v>0</v>
      </c>
      <c r="O397" s="973">
        <v>0</v>
      </c>
      <c r="P397" s="973">
        <v>0</v>
      </c>
      <c r="Q397" s="963">
        <f t="shared" si="12"/>
        <v>0</v>
      </c>
    </row>
    <row r="398" spans="2:17">
      <c r="B398" s="901" t="s">
        <v>2751</v>
      </c>
      <c r="C398" s="956" t="s">
        <v>785</v>
      </c>
      <c r="D398" s="956">
        <v>137</v>
      </c>
      <c r="E398" s="973">
        <v>0</v>
      </c>
      <c r="F398" s="973">
        <v>0</v>
      </c>
      <c r="G398" s="973">
        <v>0</v>
      </c>
      <c r="H398" s="973">
        <v>0</v>
      </c>
      <c r="I398" s="973">
        <v>0</v>
      </c>
      <c r="J398" s="973">
        <v>0</v>
      </c>
      <c r="K398" s="973">
        <v>0</v>
      </c>
      <c r="L398" s="973">
        <v>0</v>
      </c>
      <c r="M398" s="973">
        <v>0</v>
      </c>
      <c r="N398" s="973">
        <v>0</v>
      </c>
      <c r="O398" s="973">
        <v>0</v>
      </c>
      <c r="P398" s="973">
        <v>0</v>
      </c>
      <c r="Q398" s="963">
        <f t="shared" si="12"/>
        <v>0</v>
      </c>
    </row>
    <row r="399" spans="2:17">
      <c r="B399" s="901" t="s">
        <v>2451</v>
      </c>
      <c r="C399" s="956" t="s">
        <v>786</v>
      </c>
      <c r="D399" s="956">
        <v>137</v>
      </c>
      <c r="E399" s="973">
        <v>0</v>
      </c>
      <c r="F399" s="973">
        <v>0</v>
      </c>
      <c r="G399" s="973">
        <v>0</v>
      </c>
      <c r="H399" s="973">
        <v>0</v>
      </c>
      <c r="I399" s="973">
        <v>0</v>
      </c>
      <c r="J399" s="973">
        <v>0</v>
      </c>
      <c r="K399" s="973">
        <v>0</v>
      </c>
      <c r="L399" s="973">
        <v>0</v>
      </c>
      <c r="M399" s="973">
        <v>0</v>
      </c>
      <c r="N399" s="973">
        <v>0</v>
      </c>
      <c r="O399" s="973">
        <v>0</v>
      </c>
      <c r="P399" s="973">
        <v>14585.45</v>
      </c>
      <c r="Q399" s="963">
        <f t="shared" si="12"/>
        <v>14585.45</v>
      </c>
    </row>
    <row r="400" spans="2:17">
      <c r="B400" s="901" t="s">
        <v>2697</v>
      </c>
      <c r="C400" s="956" t="s">
        <v>787</v>
      </c>
      <c r="D400" s="956">
        <v>137</v>
      </c>
      <c r="E400" s="973">
        <v>-22779.02</v>
      </c>
      <c r="F400" s="973">
        <v>-16849.189999999999</v>
      </c>
      <c r="G400" s="973">
        <v>-58071.7</v>
      </c>
      <c r="H400" s="973">
        <v>-22401.67</v>
      </c>
      <c r="I400" s="973">
        <v>-16849.189999999999</v>
      </c>
      <c r="J400" s="973">
        <v>-25313.43</v>
      </c>
      <c r="K400" s="973">
        <v>-16849.189999999999</v>
      </c>
      <c r="L400" s="973">
        <v>-156723.25</v>
      </c>
      <c r="M400" s="973">
        <v>-169756.71</v>
      </c>
      <c r="N400" s="973">
        <v>-120942.78</v>
      </c>
      <c r="O400" s="973">
        <v>-46216.49</v>
      </c>
      <c r="P400" s="973">
        <v>-20158.47</v>
      </c>
      <c r="Q400" s="963">
        <f>SUM(E400:P400)</f>
        <v>-692911.09</v>
      </c>
    </row>
    <row r="401" spans="2:17">
      <c r="B401" s="901" t="s">
        <v>2698</v>
      </c>
      <c r="C401" s="956" t="s">
        <v>788</v>
      </c>
      <c r="D401" s="956">
        <v>137</v>
      </c>
      <c r="E401" s="973">
        <v>16849.189999999999</v>
      </c>
      <c r="F401" s="973">
        <v>58071.7</v>
      </c>
      <c r="G401" s="973">
        <v>22401.67</v>
      </c>
      <c r="H401" s="973">
        <v>16849.189999999999</v>
      </c>
      <c r="I401" s="973">
        <v>25313.43</v>
      </c>
      <c r="J401" s="973">
        <v>16849.189999999999</v>
      </c>
      <c r="K401" s="973">
        <v>156723.25</v>
      </c>
      <c r="L401" s="973">
        <v>169756.71</v>
      </c>
      <c r="M401" s="973">
        <v>120942.78</v>
      </c>
      <c r="N401" s="973">
        <v>46216.49</v>
      </c>
      <c r="O401" s="973">
        <v>20158.47</v>
      </c>
      <c r="P401" s="973">
        <v>131683.99</v>
      </c>
      <c r="Q401" s="963">
        <f t="shared" si="12"/>
        <v>801816.05999999994</v>
      </c>
    </row>
    <row r="402" spans="2:17">
      <c r="B402" s="901" t="s">
        <v>2884</v>
      </c>
      <c r="C402" s="956" t="s">
        <v>789</v>
      </c>
      <c r="D402" s="956">
        <v>137</v>
      </c>
      <c r="E402" s="973">
        <f>SUM(E393:E401)</f>
        <v>16849.189999999999</v>
      </c>
      <c r="F402" s="973">
        <f t="shared" ref="F402:P402" si="13">SUM(F393:F401)</f>
        <v>58071.7</v>
      </c>
      <c r="G402" s="973">
        <f t="shared" si="13"/>
        <v>22401.67</v>
      </c>
      <c r="H402" s="973">
        <f t="shared" si="13"/>
        <v>16849.189999999999</v>
      </c>
      <c r="I402" s="973">
        <f t="shared" si="13"/>
        <v>25313.43</v>
      </c>
      <c r="J402" s="973">
        <f t="shared" si="13"/>
        <v>16849.189999999999</v>
      </c>
      <c r="K402" s="973">
        <f t="shared" si="13"/>
        <v>156723.25</v>
      </c>
      <c r="L402" s="973">
        <f t="shared" si="13"/>
        <v>169756.71</v>
      </c>
      <c r="M402" s="973">
        <f t="shared" si="13"/>
        <v>120942.78</v>
      </c>
      <c r="N402" s="973">
        <f t="shared" si="13"/>
        <v>46216.49</v>
      </c>
      <c r="O402" s="973">
        <f t="shared" si="13"/>
        <v>20158.47</v>
      </c>
      <c r="P402" s="973">
        <f t="shared" si="13"/>
        <v>146269.44</v>
      </c>
      <c r="Q402" s="963">
        <f t="shared" si="12"/>
        <v>816401.51</v>
      </c>
    </row>
    <row r="403" spans="2:17">
      <c r="B403" s="964" t="s">
        <v>2673</v>
      </c>
      <c r="E403" s="973"/>
      <c r="F403" s="973"/>
      <c r="G403" s="973"/>
      <c r="H403" s="973"/>
      <c r="I403" s="973"/>
      <c r="J403" s="973"/>
      <c r="K403" s="973"/>
      <c r="L403" s="973"/>
      <c r="M403" s="973"/>
      <c r="N403" s="973"/>
      <c r="O403" s="973"/>
      <c r="P403" s="973"/>
      <c r="Q403" s="963"/>
    </row>
    <row r="404" spans="2:17">
      <c r="E404" s="973"/>
      <c r="F404" s="973"/>
      <c r="G404" s="973"/>
      <c r="H404" s="973"/>
      <c r="I404" s="973"/>
      <c r="J404" s="973"/>
      <c r="K404" s="973"/>
      <c r="L404" s="973"/>
      <c r="M404" s="973"/>
      <c r="N404" s="973"/>
      <c r="O404" s="973"/>
      <c r="P404" s="973"/>
      <c r="Q404" s="963"/>
    </row>
    <row r="405" spans="2:17">
      <c r="B405" s="960" t="s">
        <v>2945</v>
      </c>
      <c r="C405" s="956" t="s">
        <v>777</v>
      </c>
      <c r="D405" s="956">
        <v>96</v>
      </c>
      <c r="E405" s="973"/>
      <c r="F405" s="973"/>
      <c r="G405" s="973"/>
      <c r="H405" s="973"/>
      <c r="I405" s="973"/>
      <c r="J405" s="973"/>
      <c r="K405" s="973"/>
      <c r="L405" s="973"/>
      <c r="M405" s="973"/>
      <c r="N405" s="973"/>
      <c r="O405" s="973"/>
      <c r="P405" s="973"/>
      <c r="Q405" s="963"/>
    </row>
    <row r="406" spans="2:17">
      <c r="B406" s="901" t="s">
        <v>2514</v>
      </c>
      <c r="C406" s="956" t="s">
        <v>780</v>
      </c>
      <c r="D406" s="956">
        <v>96</v>
      </c>
      <c r="E406" s="973">
        <v>82468</v>
      </c>
      <c r="F406" s="973">
        <v>0</v>
      </c>
      <c r="G406" s="973">
        <v>39201</v>
      </c>
      <c r="H406" s="973">
        <v>112350</v>
      </c>
      <c r="I406" s="973">
        <v>8745</v>
      </c>
      <c r="J406" s="973">
        <v>210060</v>
      </c>
      <c r="K406" s="973">
        <v>100169</v>
      </c>
      <c r="L406" s="973">
        <v>0</v>
      </c>
      <c r="M406" s="973">
        <v>147250</v>
      </c>
      <c r="N406" s="973">
        <v>451349</v>
      </c>
      <c r="O406" s="973">
        <v>59022</v>
      </c>
      <c r="P406" s="973">
        <v>57819</v>
      </c>
      <c r="Q406" s="963">
        <f t="shared" si="12"/>
        <v>1268433</v>
      </c>
    </row>
    <row r="407" spans="2:17">
      <c r="B407" s="901" t="s">
        <v>2915</v>
      </c>
      <c r="C407" s="956" t="s">
        <v>781</v>
      </c>
      <c r="D407" s="956">
        <v>96</v>
      </c>
      <c r="E407" s="973">
        <v>0</v>
      </c>
      <c r="F407" s="973">
        <v>0</v>
      </c>
      <c r="G407" s="973">
        <v>0</v>
      </c>
      <c r="H407" s="973">
        <v>0</v>
      </c>
      <c r="I407" s="973">
        <v>0</v>
      </c>
      <c r="J407" s="973">
        <v>0</v>
      </c>
      <c r="K407" s="973">
        <v>0</v>
      </c>
      <c r="L407" s="973">
        <v>0</v>
      </c>
      <c r="M407" s="973">
        <v>0</v>
      </c>
      <c r="N407" s="973">
        <v>0</v>
      </c>
      <c r="O407" s="973">
        <v>0</v>
      </c>
      <c r="P407" s="973">
        <v>0</v>
      </c>
      <c r="Q407" s="963">
        <f t="shared" si="12"/>
        <v>0</v>
      </c>
    </row>
    <row r="408" spans="2:17">
      <c r="B408" s="901" t="s">
        <v>2916</v>
      </c>
      <c r="C408" s="956" t="s">
        <v>782</v>
      </c>
      <c r="D408" s="956">
        <v>96</v>
      </c>
      <c r="E408" s="973">
        <v>0</v>
      </c>
      <c r="F408" s="973">
        <v>0</v>
      </c>
      <c r="G408" s="973">
        <v>0</v>
      </c>
      <c r="H408" s="973">
        <v>0</v>
      </c>
      <c r="I408" s="973">
        <v>0</v>
      </c>
      <c r="J408" s="973">
        <v>0</v>
      </c>
      <c r="K408" s="973">
        <v>0</v>
      </c>
      <c r="L408" s="973">
        <v>0</v>
      </c>
      <c r="M408" s="973">
        <v>0</v>
      </c>
      <c r="N408" s="973">
        <v>0</v>
      </c>
      <c r="O408" s="973">
        <v>0</v>
      </c>
      <c r="P408" s="973">
        <v>0</v>
      </c>
      <c r="Q408" s="963">
        <f t="shared" si="12"/>
        <v>0</v>
      </c>
    </row>
    <row r="409" spans="2:17">
      <c r="B409" s="901" t="s">
        <v>2917</v>
      </c>
      <c r="C409" s="956" t="s">
        <v>787</v>
      </c>
      <c r="D409" s="956">
        <v>96</v>
      </c>
      <c r="E409" s="973">
        <v>82468</v>
      </c>
      <c r="F409" s="973">
        <v>0</v>
      </c>
      <c r="G409" s="973">
        <v>39201</v>
      </c>
      <c r="H409" s="973">
        <v>112350</v>
      </c>
      <c r="I409" s="973">
        <v>8745</v>
      </c>
      <c r="J409" s="973">
        <v>210060</v>
      </c>
      <c r="K409" s="973">
        <v>100169</v>
      </c>
      <c r="L409" s="973">
        <v>0</v>
      </c>
      <c r="M409" s="973">
        <v>147250</v>
      </c>
      <c r="N409" s="973">
        <v>451349</v>
      </c>
      <c r="O409" s="973">
        <v>59022</v>
      </c>
      <c r="P409" s="973">
        <v>57819</v>
      </c>
      <c r="Q409" s="963">
        <f t="shared" si="12"/>
        <v>1268433</v>
      </c>
    </row>
    <row r="410" spans="2:17">
      <c r="B410" s="901" t="s">
        <v>2918</v>
      </c>
      <c r="C410" s="956" t="s">
        <v>788</v>
      </c>
      <c r="D410" s="956">
        <v>96</v>
      </c>
      <c r="E410" s="973">
        <v>0</v>
      </c>
      <c r="F410" s="973">
        <v>39201</v>
      </c>
      <c r="G410" s="973">
        <v>112350</v>
      </c>
      <c r="H410" s="973">
        <v>8745</v>
      </c>
      <c r="I410" s="973">
        <v>210060</v>
      </c>
      <c r="J410" s="973">
        <v>100169</v>
      </c>
      <c r="K410" s="973">
        <v>0</v>
      </c>
      <c r="L410" s="973">
        <v>147250</v>
      </c>
      <c r="M410" s="973">
        <v>451349</v>
      </c>
      <c r="N410" s="973">
        <v>59022</v>
      </c>
      <c r="O410" s="973">
        <v>57819</v>
      </c>
      <c r="P410" s="973">
        <v>0</v>
      </c>
      <c r="Q410" s="963">
        <f t="shared" si="12"/>
        <v>1185965</v>
      </c>
    </row>
    <row r="411" spans="2:17">
      <c r="B411" s="901" t="s">
        <v>2886</v>
      </c>
      <c r="C411" s="956" t="s">
        <v>789</v>
      </c>
      <c r="D411" s="956">
        <v>96</v>
      </c>
      <c r="E411" s="973">
        <v>0</v>
      </c>
      <c r="F411" s="973">
        <v>39201</v>
      </c>
      <c r="G411" s="973">
        <v>112350</v>
      </c>
      <c r="H411" s="973">
        <v>8745</v>
      </c>
      <c r="I411" s="973">
        <v>210060</v>
      </c>
      <c r="J411" s="973">
        <v>100169</v>
      </c>
      <c r="K411" s="973">
        <v>0</v>
      </c>
      <c r="L411" s="973">
        <v>147250</v>
      </c>
      <c r="M411" s="973">
        <v>451349</v>
      </c>
      <c r="N411" s="973">
        <v>59022</v>
      </c>
      <c r="O411" s="973">
        <v>57819</v>
      </c>
      <c r="P411" s="973">
        <v>0</v>
      </c>
      <c r="Q411" s="963">
        <f t="shared" si="12"/>
        <v>1185965</v>
      </c>
    </row>
    <row r="412" spans="2:17">
      <c r="B412" s="964" t="s">
        <v>2673</v>
      </c>
      <c r="E412" s="973"/>
      <c r="F412" s="973"/>
      <c r="G412" s="973"/>
      <c r="H412" s="973"/>
      <c r="I412" s="973"/>
      <c r="J412" s="973"/>
      <c r="K412" s="973"/>
      <c r="L412" s="973"/>
      <c r="M412" s="973"/>
      <c r="N412" s="973"/>
      <c r="O412" s="973"/>
      <c r="P412" s="973"/>
      <c r="Q412" s="963">
        <f t="shared" si="12"/>
        <v>0</v>
      </c>
    </row>
    <row r="413" spans="2:17">
      <c r="B413" s="901" t="s">
        <v>2919</v>
      </c>
      <c r="C413" s="956" t="s">
        <v>780</v>
      </c>
      <c r="D413" s="956">
        <v>140</v>
      </c>
      <c r="E413" s="973">
        <v>15203.05</v>
      </c>
      <c r="F413" s="973">
        <v>15168.6</v>
      </c>
      <c r="G413" s="973">
        <v>15184.98</v>
      </c>
      <c r="H413" s="973">
        <v>15215.53</v>
      </c>
      <c r="I413" s="973">
        <v>15172.26</v>
      </c>
      <c r="J413" s="973">
        <v>15256.35</v>
      </c>
      <c r="K413" s="973">
        <v>15210.45</v>
      </c>
      <c r="L413" s="973">
        <v>15168.6</v>
      </c>
      <c r="M413" s="973">
        <v>15230.11</v>
      </c>
      <c r="N413" s="973">
        <v>15357.14</v>
      </c>
      <c r="O413" s="973">
        <v>15193.26</v>
      </c>
      <c r="P413" s="973">
        <v>15192.76</v>
      </c>
      <c r="Q413" s="963">
        <f t="shared" si="12"/>
        <v>182553.09000000003</v>
      </c>
    </row>
    <row r="414" spans="2:17">
      <c r="B414" s="901" t="s">
        <v>2920</v>
      </c>
      <c r="C414" s="956" t="s">
        <v>781</v>
      </c>
      <c r="D414" s="956">
        <v>140</v>
      </c>
      <c r="E414" s="973">
        <v>0</v>
      </c>
      <c r="F414" s="973">
        <v>0</v>
      </c>
      <c r="G414" s="973">
        <v>0</v>
      </c>
      <c r="H414" s="973">
        <v>0</v>
      </c>
      <c r="I414" s="973">
        <v>0</v>
      </c>
      <c r="J414" s="973">
        <v>0</v>
      </c>
      <c r="K414" s="973">
        <v>0</v>
      </c>
      <c r="L414" s="973">
        <v>0</v>
      </c>
      <c r="M414" s="973">
        <v>0</v>
      </c>
      <c r="N414" s="973">
        <v>0</v>
      </c>
      <c r="O414" s="973">
        <v>0</v>
      </c>
      <c r="P414" s="973">
        <v>0</v>
      </c>
      <c r="Q414" s="963">
        <f t="shared" si="12"/>
        <v>0</v>
      </c>
    </row>
    <row r="415" spans="2:17">
      <c r="B415" s="901" t="s">
        <v>2921</v>
      </c>
      <c r="C415" s="956" t="s">
        <v>782</v>
      </c>
      <c r="D415" s="956">
        <v>140</v>
      </c>
      <c r="E415" s="973">
        <v>0</v>
      </c>
      <c r="F415" s="973">
        <v>0</v>
      </c>
      <c r="G415" s="973">
        <v>0</v>
      </c>
      <c r="H415" s="973">
        <v>0</v>
      </c>
      <c r="I415" s="973">
        <v>0</v>
      </c>
      <c r="J415" s="973">
        <v>0</v>
      </c>
      <c r="K415" s="973">
        <v>0</v>
      </c>
      <c r="L415" s="973">
        <v>0</v>
      </c>
      <c r="M415" s="973">
        <v>0</v>
      </c>
      <c r="N415" s="973">
        <v>0</v>
      </c>
      <c r="O415" s="973">
        <v>0</v>
      </c>
      <c r="P415" s="973">
        <v>0</v>
      </c>
      <c r="Q415" s="963">
        <f t="shared" si="12"/>
        <v>0</v>
      </c>
    </row>
    <row r="416" spans="2:17">
      <c r="B416" s="901" t="s">
        <v>2922</v>
      </c>
      <c r="C416" s="956" t="s">
        <v>783</v>
      </c>
      <c r="D416" s="956">
        <v>140</v>
      </c>
      <c r="E416" s="973">
        <v>0</v>
      </c>
      <c r="F416" s="973">
        <v>0</v>
      </c>
      <c r="G416" s="973">
        <v>0</v>
      </c>
      <c r="H416" s="973">
        <v>0</v>
      </c>
      <c r="I416" s="973">
        <v>0</v>
      </c>
      <c r="J416" s="973">
        <v>0</v>
      </c>
      <c r="K416" s="973">
        <v>0</v>
      </c>
      <c r="L416" s="973">
        <v>0</v>
      </c>
      <c r="M416" s="973">
        <v>0</v>
      </c>
      <c r="N416" s="973">
        <v>0</v>
      </c>
      <c r="O416" s="973">
        <v>0</v>
      </c>
      <c r="P416" s="973">
        <v>0</v>
      </c>
      <c r="Q416" s="963">
        <f t="shared" si="12"/>
        <v>0</v>
      </c>
    </row>
    <row r="417" spans="2:17">
      <c r="B417" s="901" t="s">
        <v>2750</v>
      </c>
      <c r="C417" s="956" t="s">
        <v>784</v>
      </c>
      <c r="D417" s="956">
        <v>140</v>
      </c>
      <c r="E417" s="973">
        <v>0</v>
      </c>
      <c r="F417" s="973">
        <v>0</v>
      </c>
      <c r="G417" s="973">
        <v>0</v>
      </c>
      <c r="H417" s="973">
        <v>0</v>
      </c>
      <c r="I417" s="973">
        <v>0</v>
      </c>
      <c r="J417" s="973">
        <v>0</v>
      </c>
      <c r="K417" s="973">
        <v>0</v>
      </c>
      <c r="L417" s="973">
        <v>0</v>
      </c>
      <c r="M417" s="973">
        <v>0</v>
      </c>
      <c r="N417" s="973">
        <v>0</v>
      </c>
      <c r="O417" s="973">
        <v>0</v>
      </c>
      <c r="P417" s="973">
        <v>0</v>
      </c>
      <c r="Q417" s="963">
        <f t="shared" si="12"/>
        <v>0</v>
      </c>
    </row>
    <row r="418" spans="2:17">
      <c r="B418" s="901" t="s">
        <v>2751</v>
      </c>
      <c r="C418" s="956" t="s">
        <v>785</v>
      </c>
      <c r="D418" s="956">
        <v>140</v>
      </c>
      <c r="E418" s="973">
        <v>0</v>
      </c>
      <c r="F418" s="973">
        <v>0</v>
      </c>
      <c r="G418" s="973">
        <v>0</v>
      </c>
      <c r="H418" s="973">
        <v>0</v>
      </c>
      <c r="I418" s="973">
        <v>0</v>
      </c>
      <c r="J418" s="973">
        <v>0</v>
      </c>
      <c r="K418" s="973">
        <v>0</v>
      </c>
      <c r="L418" s="973">
        <v>0</v>
      </c>
      <c r="M418" s="973">
        <v>0</v>
      </c>
      <c r="N418" s="973">
        <v>0</v>
      </c>
      <c r="O418" s="973">
        <v>0</v>
      </c>
      <c r="P418" s="973">
        <v>0</v>
      </c>
      <c r="Q418" s="963">
        <f t="shared" si="12"/>
        <v>0</v>
      </c>
    </row>
    <row r="419" spans="2:17">
      <c r="B419" s="901" t="s">
        <v>2451</v>
      </c>
      <c r="C419" s="956" t="s">
        <v>786</v>
      </c>
      <c r="D419" s="956">
        <v>140</v>
      </c>
      <c r="E419" s="973">
        <v>0</v>
      </c>
      <c r="F419" s="973">
        <v>0</v>
      </c>
      <c r="G419" s="973">
        <v>0</v>
      </c>
      <c r="H419" s="973">
        <v>0</v>
      </c>
      <c r="I419" s="973">
        <v>0</v>
      </c>
      <c r="J419" s="973">
        <v>0</v>
      </c>
      <c r="K419" s="973">
        <v>0</v>
      </c>
      <c r="L419" s="973">
        <v>0</v>
      </c>
      <c r="M419" s="973">
        <v>0</v>
      </c>
      <c r="N419" s="973">
        <v>0</v>
      </c>
      <c r="O419" s="973">
        <v>0</v>
      </c>
      <c r="P419" s="973">
        <v>-14585.45</v>
      </c>
      <c r="Q419" s="963">
        <f t="shared" si="12"/>
        <v>-14585.45</v>
      </c>
    </row>
    <row r="420" spans="2:17">
      <c r="B420" s="901" t="s">
        <v>2697</v>
      </c>
      <c r="C420" s="956" t="s">
        <v>787</v>
      </c>
      <c r="D420" s="956">
        <v>140</v>
      </c>
      <c r="E420" s="973">
        <v>-15203.05</v>
      </c>
      <c r="F420" s="973">
        <v>-15168.6</v>
      </c>
      <c r="G420" s="973">
        <v>-15184.98</v>
      </c>
      <c r="H420" s="973">
        <v>-15215.53</v>
      </c>
      <c r="I420" s="973">
        <v>-15172.26</v>
      </c>
      <c r="J420" s="973">
        <v>-15256.35</v>
      </c>
      <c r="K420" s="973">
        <v>-15210.45</v>
      </c>
      <c r="L420" s="973">
        <v>-15168.6</v>
      </c>
      <c r="M420" s="973">
        <v>-15230.11</v>
      </c>
      <c r="N420" s="973">
        <v>-15357.14</v>
      </c>
      <c r="O420" s="973">
        <v>-15193.26</v>
      </c>
      <c r="P420" s="973">
        <v>-15192.76</v>
      </c>
      <c r="Q420" s="963">
        <f>SUM(E420:P420)</f>
        <v>-182553.09000000003</v>
      </c>
    </row>
    <row r="421" spans="2:17">
      <c r="B421" s="901" t="s">
        <v>2698</v>
      </c>
      <c r="C421" s="956" t="s">
        <v>788</v>
      </c>
      <c r="D421" s="956">
        <v>140</v>
      </c>
      <c r="E421" s="973">
        <v>15168.6</v>
      </c>
      <c r="F421" s="973">
        <v>15184.98</v>
      </c>
      <c r="G421" s="973">
        <v>15215.53</v>
      </c>
      <c r="H421" s="973">
        <v>15172.26</v>
      </c>
      <c r="I421" s="973">
        <v>15256.35</v>
      </c>
      <c r="J421" s="973">
        <v>15210.45</v>
      </c>
      <c r="K421" s="973">
        <v>15168.6</v>
      </c>
      <c r="L421" s="973">
        <v>15230.11</v>
      </c>
      <c r="M421" s="973">
        <v>15357.14</v>
      </c>
      <c r="N421" s="973">
        <v>15193.26</v>
      </c>
      <c r="O421" s="973">
        <v>15192.76</v>
      </c>
      <c r="P421" s="973">
        <v>15168.6</v>
      </c>
      <c r="Q421" s="963">
        <f t="shared" si="12"/>
        <v>182518.64000000004</v>
      </c>
    </row>
    <row r="422" spans="2:17">
      <c r="B422" s="901" t="s">
        <v>2884</v>
      </c>
      <c r="C422" s="956" t="s">
        <v>789</v>
      </c>
      <c r="D422" s="956">
        <v>140</v>
      </c>
      <c r="E422" s="973">
        <f>SUM(E413:E421)</f>
        <v>15168.6</v>
      </c>
      <c r="F422" s="973">
        <f t="shared" ref="F422:P422" si="14">SUM(F413:F421)</f>
        <v>15184.98</v>
      </c>
      <c r="G422" s="973">
        <f t="shared" si="14"/>
        <v>15215.53</v>
      </c>
      <c r="H422" s="973">
        <f t="shared" si="14"/>
        <v>15172.26</v>
      </c>
      <c r="I422" s="973">
        <f t="shared" si="14"/>
        <v>15256.35</v>
      </c>
      <c r="J422" s="973">
        <f t="shared" si="14"/>
        <v>15210.45</v>
      </c>
      <c r="K422" s="973">
        <f t="shared" si="14"/>
        <v>15168.6</v>
      </c>
      <c r="L422" s="973">
        <f t="shared" si="14"/>
        <v>15230.11</v>
      </c>
      <c r="M422" s="973">
        <f t="shared" si="14"/>
        <v>15357.14</v>
      </c>
      <c r="N422" s="973">
        <f t="shared" si="14"/>
        <v>15193.26</v>
      </c>
      <c r="O422" s="973">
        <f t="shared" si="14"/>
        <v>15192.76</v>
      </c>
      <c r="P422" s="973">
        <f t="shared" si="14"/>
        <v>583.14999999999964</v>
      </c>
      <c r="Q422" s="963">
        <f t="shared" si="12"/>
        <v>167933.19000000003</v>
      </c>
    </row>
    <row r="423" spans="2:17">
      <c r="B423" s="964" t="s">
        <v>2673</v>
      </c>
      <c r="E423" s="973"/>
      <c r="F423" s="973"/>
      <c r="G423" s="973"/>
      <c r="H423" s="973"/>
      <c r="I423" s="973"/>
      <c r="J423" s="973"/>
      <c r="K423" s="973"/>
      <c r="L423" s="973"/>
      <c r="M423" s="973"/>
      <c r="N423" s="973"/>
      <c r="O423" s="973"/>
      <c r="P423" s="973"/>
    </row>
    <row r="424" spans="2:17">
      <c r="E424" s="973"/>
      <c r="F424" s="973"/>
      <c r="G424" s="973"/>
      <c r="H424" s="973"/>
      <c r="I424" s="973"/>
      <c r="J424" s="973"/>
      <c r="K424" s="973"/>
      <c r="L424" s="973"/>
      <c r="M424" s="973"/>
      <c r="N424" s="973"/>
      <c r="O424" s="973"/>
      <c r="P424" s="973"/>
    </row>
    <row r="425" spans="2:17">
      <c r="E425" s="975">
        <f t="shared" ref="E425:M425" si="15">SUM(E22,E42,E82,E102,E142,E162,E182,E202,E222,E242,E262,E282,E302,E322,E342,E362,E382,E402,E422,E122,E62)</f>
        <v>31095209.98</v>
      </c>
      <c r="F425" s="975">
        <f t="shared" si="15"/>
        <v>32624760.91</v>
      </c>
      <c r="G425" s="975">
        <f t="shared" si="15"/>
        <v>26307158.460000001</v>
      </c>
      <c r="H425" s="975">
        <f t="shared" si="15"/>
        <v>16391743.960000003</v>
      </c>
      <c r="I425" s="975">
        <f t="shared" si="15"/>
        <v>11651407.520000003</v>
      </c>
      <c r="J425" s="975">
        <f t="shared" si="15"/>
        <v>9186724.3499999978</v>
      </c>
      <c r="K425" s="975">
        <f t="shared" si="15"/>
        <v>9444062.129999999</v>
      </c>
      <c r="L425" s="975">
        <f t="shared" si="15"/>
        <v>7956709.2999999998</v>
      </c>
      <c r="M425" s="975">
        <f t="shared" si="15"/>
        <v>11240317.349999998</v>
      </c>
      <c r="N425" s="975">
        <f>SUM(N22,N42,N82,N102,N142,N162,N182,N202,N222,N242,N262,N282,N302,N322,N342,N362,N382,N402,N422,N122,N62)</f>
        <v>20966862.130000003</v>
      </c>
      <c r="O425" s="975">
        <f>SUM(O22,O42,O82,O102,O142,O162,O182,O202,O222,O242,O262,O282,O302,O322,O342,O362,O382,O402,O422,O122,O62)</f>
        <v>30842928.490000002</v>
      </c>
      <c r="P425" s="975">
        <f>SUM(P22,P42,P82,P102,P142,P162,P182,P202,P222,P242,P262,P282,P302,P322,P342,P362,P382,P402,P422,P122,P62)</f>
        <v>37868343.319999985</v>
      </c>
    </row>
    <row r="427" spans="2:17">
      <c r="E427" s="975"/>
      <c r="F427" s="975"/>
      <c r="G427" s="975"/>
      <c r="H427" s="975"/>
      <c r="I427" s="975"/>
      <c r="J427" s="975"/>
      <c r="K427" s="975"/>
      <c r="L427" s="975"/>
      <c r="M427" s="975"/>
      <c r="N427" s="975"/>
      <c r="O427" s="975"/>
      <c r="P427" s="975"/>
    </row>
    <row r="428" spans="2:17">
      <c r="C428" s="956" t="s">
        <v>2946</v>
      </c>
      <c r="E428" s="975">
        <f>SUM('Allocation Report Summary 2019'!D9,'Allocation Report Summary 2019'!D13)</f>
        <v>31095209.98</v>
      </c>
      <c r="F428" s="975">
        <f>SUM('Allocation Report Summary 2019'!E9,'Allocation Report Summary 2019'!E13)</f>
        <v>32624760.909999996</v>
      </c>
      <c r="G428" s="975">
        <f>SUM('Allocation Report Summary 2019'!F9,'Allocation Report Summary 2019'!F13)</f>
        <v>26307158.459999997</v>
      </c>
      <c r="H428" s="975">
        <f>SUM('Allocation Report Summary 2019'!G9,'Allocation Report Summary 2019'!G13)</f>
        <v>16391743.960000001</v>
      </c>
      <c r="I428" s="975">
        <f>SUM('Allocation Report Summary 2019'!H9,'Allocation Report Summary 2019'!H13)</f>
        <v>11651407.52</v>
      </c>
      <c r="J428" s="975">
        <f>SUM('Allocation Report Summary 2019'!I9,'Allocation Report Summary 2019'!I13)</f>
        <v>9186724.3499999996</v>
      </c>
      <c r="K428" s="975">
        <f>SUM('Allocation Report Summary 2019'!J9,'Allocation Report Summary 2019'!J13)</f>
        <v>9444062.1300000008</v>
      </c>
      <c r="L428" s="975">
        <f>SUM('Allocation Report Summary 2019'!K9,'Allocation Report Summary 2019'!K13)</f>
        <v>7956709.3000000007</v>
      </c>
      <c r="M428" s="975">
        <f>SUM('Allocation Report Summary 2019'!L9,'Allocation Report Summary 2019'!L13)</f>
        <v>11240317.35</v>
      </c>
      <c r="N428" s="975">
        <f>SUM('Allocation Report Summary 2019'!M9,'Allocation Report Summary 2019'!M13)</f>
        <v>20966862.129999999</v>
      </c>
      <c r="O428" s="975">
        <f>SUM('Allocation Report Summary 2019'!N9,'Allocation Report Summary 2019'!N13)</f>
        <v>30842928.489999998</v>
      </c>
      <c r="P428" s="975">
        <f>SUM('Allocation Report Summary 2019'!O9,'Allocation Report Summary 2019'!O13)</f>
        <v>37868343.32</v>
      </c>
    </row>
    <row r="429" spans="2:17">
      <c r="E429" s="976">
        <f>E428-E425</f>
        <v>0</v>
      </c>
      <c r="F429" s="976">
        <f>F428-F425</f>
        <v>0</v>
      </c>
      <c r="G429" s="976">
        <f>G428-G425</f>
        <v>0</v>
      </c>
      <c r="H429" s="976">
        <f t="shared" ref="H429:P429" si="16">H428-H425</f>
        <v>0</v>
      </c>
      <c r="I429" s="976">
        <f t="shared" si="16"/>
        <v>0</v>
      </c>
      <c r="J429" s="976">
        <f t="shared" si="16"/>
        <v>0</v>
      </c>
      <c r="K429" s="976">
        <f t="shared" si="16"/>
        <v>0</v>
      </c>
      <c r="L429" s="976">
        <f t="shared" si="16"/>
        <v>0</v>
      </c>
      <c r="M429" s="976">
        <f t="shared" si="16"/>
        <v>0</v>
      </c>
      <c r="N429" s="976">
        <f t="shared" si="16"/>
        <v>0</v>
      </c>
      <c r="O429" s="976">
        <f t="shared" si="16"/>
        <v>0</v>
      </c>
      <c r="P429" s="976">
        <f t="shared" si="16"/>
        <v>0</v>
      </c>
    </row>
    <row r="431" spans="2:17">
      <c r="E431" s="960"/>
    </row>
    <row r="438" spans="5:5">
      <c r="E438" s="964"/>
    </row>
    <row r="449" spans="5:5">
      <c r="E449" s="964"/>
    </row>
  </sheetData>
  <printOptions horizontalCentered="1"/>
  <pageMargins left="0.5" right="0.5" top="1" bottom="0.75" header="0.5" footer="0.3"/>
  <pageSetup scale="49" fitToHeight="0" orientation="landscape" horizontalDpi="1200" verticalDpi="1200" r:id="rId1"/>
  <headerFooter scaleWithDoc="0">
    <oddHeader>&amp;C&amp;10Cascade Natural Gas Corporation
Revenue Reconcilliation
IDM WP-1.2&amp;R&amp;9CNGC/401
Myhrum/Page &amp;P of &amp;N</oddHeader>
    <oddFooter>&amp;L&amp;A</oddFooter>
  </headerFooter>
  <rowBreaks count="6" manualBreakCount="6">
    <brk id="64" max="16383" man="1"/>
    <brk id="124" max="16383" man="1"/>
    <brk id="184" max="16383" man="1"/>
    <brk id="244" max="16383" man="1"/>
    <brk id="303" max="16383" man="1"/>
    <brk id="363" max="16383"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FC212-B821-4A0D-BE3B-3597D263C5A7}">
  <sheetPr codeName="Sheet53">
    <tabColor theme="8" tint="0.79998168889431442"/>
    <pageSetUpPr fitToPage="1"/>
  </sheetPr>
  <dimension ref="A1:AF166"/>
  <sheetViews>
    <sheetView topLeftCell="D103" zoomScale="80" zoomScaleNormal="80" workbookViewId="0">
      <selection activeCell="D146" sqref="D146"/>
    </sheetView>
  </sheetViews>
  <sheetFormatPr defaultColWidth="8.88671875" defaultRowHeight="14.4"/>
  <cols>
    <col min="1" max="2" width="8.88671875" style="613"/>
    <col min="3" max="3" width="46.109375" style="613" customWidth="1"/>
    <col min="4" max="4" width="17.88671875" style="613" customWidth="1"/>
    <col min="5" max="5" width="2.44140625" style="613" customWidth="1"/>
    <col min="6" max="6" width="18.6640625" style="613" bestFit="1" customWidth="1"/>
    <col min="7" max="7" width="4.6640625" style="613" customWidth="1"/>
    <col min="8" max="8" width="18.6640625" style="613" bestFit="1" customWidth="1"/>
    <col min="9" max="9" width="2.6640625" style="613" customWidth="1"/>
    <col min="10" max="10" width="18.6640625" style="613" bestFit="1" customWidth="1"/>
    <col min="11" max="11" width="2.109375" style="613" customWidth="1"/>
    <col min="12" max="12" width="18.6640625" style="613" customWidth="1"/>
    <col min="13" max="13" width="2.88671875" style="613" customWidth="1"/>
    <col min="14" max="14" width="18.33203125" style="613" customWidth="1"/>
    <col min="15" max="15" width="3" style="613" customWidth="1"/>
    <col min="16" max="16" width="19.109375" style="613" customWidth="1"/>
    <col min="17" max="17" width="3.33203125" style="613" customWidth="1"/>
    <col min="18" max="18" width="19.44140625" style="613" customWidth="1"/>
    <col min="19" max="19" width="2.5546875" style="613" customWidth="1"/>
    <col min="20" max="20" width="19.5546875" style="613" customWidth="1"/>
    <col min="21" max="21" width="2.88671875" style="613" customWidth="1"/>
    <col min="22" max="22" width="18.33203125" style="613" bestFit="1" customWidth="1"/>
    <col min="23" max="23" width="3" style="613" customWidth="1"/>
    <col min="24" max="24" width="18" style="613" customWidth="1"/>
    <col min="25" max="25" width="2.5546875" style="613" customWidth="1"/>
    <col min="26" max="26" width="18.33203125" style="613" bestFit="1" customWidth="1"/>
    <col min="27" max="27" width="22.6640625" style="613" customWidth="1"/>
    <col min="28" max="28" width="22.33203125" style="613" customWidth="1"/>
    <col min="29" max="29" width="35.88671875" style="613" customWidth="1"/>
    <col min="30" max="30" width="28.6640625" style="613" customWidth="1"/>
    <col min="31" max="31" width="14.6640625" style="613" customWidth="1"/>
    <col min="32" max="32" width="13.33203125" style="613" bestFit="1" customWidth="1"/>
    <col min="33" max="33" width="13.88671875" style="613" bestFit="1" customWidth="1"/>
    <col min="34" max="34" width="12.33203125" style="613" bestFit="1" customWidth="1"/>
    <col min="35" max="35" width="13.33203125" style="613" bestFit="1" customWidth="1"/>
    <col min="36" max="16384" width="8.88671875" style="613"/>
  </cols>
  <sheetData>
    <row r="1" spans="2:30">
      <c r="B1" s="820" t="s">
        <v>52</v>
      </c>
    </row>
    <row r="2" spans="2:30">
      <c r="B2" s="820" t="s">
        <v>2947</v>
      </c>
    </row>
    <row r="3" spans="2:30" ht="15" thickBot="1"/>
    <row r="4" spans="2:30">
      <c r="B4" s="1863" t="s">
        <v>2948</v>
      </c>
      <c r="C4" s="1867"/>
      <c r="D4" s="1867"/>
      <c r="E4" s="1867"/>
      <c r="F4" s="1867"/>
      <c r="G4" s="1867"/>
      <c r="H4" s="1867"/>
      <c r="I4" s="1867"/>
      <c r="J4" s="1867"/>
      <c r="K4" s="1867"/>
      <c r="L4" s="1867"/>
      <c r="M4" s="1867"/>
      <c r="N4" s="1867"/>
      <c r="O4" s="1867"/>
      <c r="P4" s="1867"/>
      <c r="Q4" s="1867"/>
      <c r="R4" s="1867"/>
      <c r="S4" s="1867"/>
      <c r="T4" s="1867"/>
      <c r="U4" s="1867"/>
      <c r="V4" s="1867"/>
      <c r="W4" s="1867"/>
      <c r="X4" s="1867"/>
      <c r="Y4" s="1867"/>
      <c r="Z4" s="1868"/>
      <c r="AA4" s="1869" t="s">
        <v>2949</v>
      </c>
      <c r="AB4" s="1833"/>
    </row>
    <row r="5" spans="2:30">
      <c r="B5" s="904">
        <v>1</v>
      </c>
      <c r="C5" s="583" t="s">
        <v>778</v>
      </c>
      <c r="D5" s="583" t="s">
        <v>776</v>
      </c>
      <c r="E5" s="583"/>
      <c r="F5" s="583" t="s">
        <v>777</v>
      </c>
      <c r="G5" s="583"/>
      <c r="H5" s="583" t="s">
        <v>780</v>
      </c>
      <c r="I5" s="583"/>
      <c r="J5" s="583" t="s">
        <v>781</v>
      </c>
      <c r="K5" s="583"/>
      <c r="L5" s="583" t="s">
        <v>782</v>
      </c>
      <c r="M5" s="583"/>
      <c r="N5" s="583" t="s">
        <v>783</v>
      </c>
      <c r="O5" s="583"/>
      <c r="P5" s="583" t="s">
        <v>784</v>
      </c>
      <c r="Q5" s="583"/>
      <c r="R5" s="583" t="s">
        <v>785</v>
      </c>
      <c r="S5" s="583"/>
      <c r="T5" s="583" t="s">
        <v>786</v>
      </c>
      <c r="U5" s="583"/>
      <c r="V5" s="583" t="s">
        <v>787</v>
      </c>
      <c r="W5" s="583"/>
      <c r="X5" s="583" t="s">
        <v>788</v>
      </c>
      <c r="Y5" s="583"/>
      <c r="Z5" s="822" t="s">
        <v>789</v>
      </c>
      <c r="AA5" s="583" t="s">
        <v>790</v>
      </c>
      <c r="AB5" s="583" t="s">
        <v>791</v>
      </c>
      <c r="AC5" s="583" t="s">
        <v>995</v>
      </c>
      <c r="AD5" s="583" t="s">
        <v>996</v>
      </c>
    </row>
    <row r="6" spans="2:30">
      <c r="B6" s="904">
        <v>2</v>
      </c>
      <c r="C6" s="977" t="s">
        <v>2857</v>
      </c>
      <c r="D6" s="977" t="s">
        <v>2950</v>
      </c>
      <c r="E6" s="977"/>
      <c r="F6" s="977" t="s">
        <v>2951</v>
      </c>
      <c r="G6" s="977"/>
      <c r="H6" s="977" t="s">
        <v>2952</v>
      </c>
      <c r="I6" s="977"/>
      <c r="J6" s="977" t="s">
        <v>2953</v>
      </c>
      <c r="K6" s="977"/>
      <c r="L6" s="977" t="s">
        <v>2520</v>
      </c>
      <c r="M6" s="977"/>
      <c r="N6" s="977" t="s">
        <v>2954</v>
      </c>
      <c r="O6" s="977"/>
      <c r="P6" s="977" t="s">
        <v>2955</v>
      </c>
      <c r="Q6" s="977"/>
      <c r="R6" s="977" t="s">
        <v>2956</v>
      </c>
      <c r="S6" s="977"/>
      <c r="T6" s="977" t="s">
        <v>2957</v>
      </c>
      <c r="U6" s="977"/>
      <c r="V6" s="977" t="s">
        <v>2958</v>
      </c>
      <c r="W6" s="977"/>
      <c r="X6" s="977" t="s">
        <v>2959</v>
      </c>
      <c r="Y6" s="977"/>
      <c r="Z6" s="978" t="s">
        <v>2960</v>
      </c>
    </row>
    <row r="7" spans="2:30" ht="15" thickBot="1">
      <c r="B7" s="904">
        <v>3</v>
      </c>
      <c r="C7" s="979" t="s">
        <v>2961</v>
      </c>
      <c r="D7" s="980">
        <f>'Weather Normalization'!E4</f>
        <v>21127127.921285022</v>
      </c>
      <c r="E7" s="980"/>
      <c r="F7" s="980">
        <f>'Weather Normalization'!E5</f>
        <v>17020957.494531143</v>
      </c>
      <c r="G7" s="980"/>
      <c r="H7" s="980">
        <f>'Weather Normalization'!E6</f>
        <v>14382332.729983674</v>
      </c>
      <c r="I7" s="980"/>
      <c r="J7" s="980">
        <f>'Weather Normalization'!E7</f>
        <v>9454438.0865489114</v>
      </c>
      <c r="K7" s="980"/>
      <c r="L7" s="980">
        <f>'Weather Normalization'!E8</f>
        <v>6001953.0208063405</v>
      </c>
      <c r="M7" s="980"/>
      <c r="N7" s="980">
        <f>'Weather Normalization'!E9</f>
        <v>3673706.3233785499</v>
      </c>
      <c r="O7" s="980"/>
      <c r="P7" s="980">
        <f>'Weather Normalization'!E10</f>
        <v>3078408.4761805134</v>
      </c>
      <c r="Q7" s="980"/>
      <c r="R7" s="980">
        <f>'Weather Normalization'!E11</f>
        <v>3078938.801196483</v>
      </c>
      <c r="S7" s="980"/>
      <c r="T7" s="980">
        <f>'Weather Normalization'!E12</f>
        <v>3922180.1070021633</v>
      </c>
      <c r="U7" s="980"/>
      <c r="V7" s="980">
        <f>'Weather Normalization'!E13</f>
        <v>9041686.1170839723</v>
      </c>
      <c r="W7" s="980"/>
      <c r="X7" s="980">
        <f>'Weather Normalization'!E14</f>
        <v>16939826.735064078</v>
      </c>
      <c r="Y7" s="980"/>
      <c r="Z7" s="981">
        <f>'Weather Normalization'!E15</f>
        <v>22806992.536832273</v>
      </c>
      <c r="AA7" s="826"/>
      <c r="AC7" s="907" t="s">
        <v>2962</v>
      </c>
    </row>
    <row r="8" spans="2:30">
      <c r="B8" s="904">
        <v>4</v>
      </c>
      <c r="C8" s="982" t="s">
        <v>2963</v>
      </c>
      <c r="D8" s="983">
        <f>D7/SUM('1501 Summary'!F6)</f>
        <v>109.95860727202097</v>
      </c>
      <c r="E8" s="983"/>
      <c r="F8" s="983">
        <f>F7/SUM('1501 Summary'!H6)</f>
        <v>88.465319567049207</v>
      </c>
      <c r="G8" s="983"/>
      <c r="H8" s="983">
        <f>H7/SUM('1501 Summary'!J6)</f>
        <v>74.482810260096912</v>
      </c>
      <c r="I8" s="983"/>
      <c r="J8" s="983">
        <f>J7/SUM('1501 Summary'!L6)</f>
        <v>48.902552635044295</v>
      </c>
      <c r="K8" s="983"/>
      <c r="L8" s="983">
        <f>L7/SUM('1501 Summary'!N6)</f>
        <v>31.018374064293294</v>
      </c>
      <c r="M8" s="983"/>
      <c r="N8" s="983">
        <f>N7/SUM('1501 Summary'!P6)</f>
        <v>18.987931225004242</v>
      </c>
      <c r="O8" s="983"/>
      <c r="P8" s="983">
        <f>P7/SUM('1501 Summary'!R6)</f>
        <v>15.900295320832994</v>
      </c>
      <c r="Q8" s="983"/>
      <c r="R8" s="983">
        <f>R7/SUM('1501 Summary'!T6)</f>
        <v>15.932952148530577</v>
      </c>
      <c r="S8" s="983"/>
      <c r="T8" s="983">
        <f>T7/SUM('1501 Summary'!V6)</f>
        <v>20.333238844978684</v>
      </c>
      <c r="U8" s="983"/>
      <c r="V8" s="983">
        <f>V7/SUM('1501 Summary'!X6)</f>
        <v>46.591259157205727</v>
      </c>
      <c r="W8" s="983"/>
      <c r="X8" s="983">
        <f>X7/SUM('1501 Summary'!Z6)</f>
        <v>87.039539862688216</v>
      </c>
      <c r="Y8" s="983"/>
      <c r="Z8" s="984">
        <f>Z7/SUM('1501 Summary'!AB6)</f>
        <v>116.74400737530533</v>
      </c>
      <c r="AA8" s="826"/>
      <c r="AC8" s="985"/>
      <c r="AD8" s="986"/>
    </row>
    <row r="9" spans="2:30">
      <c r="B9" s="904">
        <v>5</v>
      </c>
      <c r="C9" s="987" t="s">
        <v>2964</v>
      </c>
      <c r="D9" s="988">
        <f>'Weather Normalization'!J4</f>
        <v>14853300.607932108</v>
      </c>
      <c r="E9" s="988"/>
      <c r="F9" s="988">
        <f>'Weather Normalization'!J5</f>
        <v>11872180.774175381</v>
      </c>
      <c r="G9" s="988"/>
      <c r="H9" s="988">
        <f>'Weather Normalization'!J6</f>
        <v>9484536.818317553</v>
      </c>
      <c r="I9" s="988"/>
      <c r="J9" s="988">
        <f>'Weather Normalization'!J7</f>
        <v>6162633.5881015919</v>
      </c>
      <c r="K9" s="988"/>
      <c r="L9" s="988">
        <f>'Weather Normalization'!J8</f>
        <v>4478189.5980950147</v>
      </c>
      <c r="M9" s="988"/>
      <c r="N9" s="988">
        <f>'Weather Normalization'!J9</f>
        <v>3150663.1401956589</v>
      </c>
      <c r="O9" s="988"/>
      <c r="P9" s="988">
        <f>'Weather Normalization'!J10</f>
        <v>3112806.7024267702</v>
      </c>
      <c r="Q9" s="988"/>
      <c r="R9" s="988">
        <f>'Weather Normalization'!J11</f>
        <v>3114703.9411617112</v>
      </c>
      <c r="S9" s="988"/>
      <c r="T9" s="988">
        <f>'Weather Normalization'!J12</f>
        <v>3787984.9158109231</v>
      </c>
      <c r="U9" s="988"/>
      <c r="V9" s="988">
        <f>'Weather Normalization'!J13</f>
        <v>7163297.2456065919</v>
      </c>
      <c r="W9" s="988"/>
      <c r="X9" s="988">
        <f>'Weather Normalization'!J14</f>
        <v>11025641.995172838</v>
      </c>
      <c r="Y9" s="988"/>
      <c r="Z9" s="989">
        <f>'Weather Normalization'!J15</f>
        <v>14473775.72704928</v>
      </c>
      <c r="AA9" s="826"/>
      <c r="AC9" s="990" t="s">
        <v>2965</v>
      </c>
      <c r="AD9" s="991"/>
    </row>
    <row r="10" spans="2:30">
      <c r="B10" s="904">
        <v>6</v>
      </c>
      <c r="C10" s="992" t="s">
        <v>2966</v>
      </c>
      <c r="D10" s="993">
        <f>D9/SUM('1501 Summary'!F30, '1501 Summary'!F49)</f>
        <v>557.42354025481166</v>
      </c>
      <c r="E10" s="993"/>
      <c r="F10" s="993">
        <f>F9/SUM('1501 Summary'!H30, '1501 Summary'!H49)</f>
        <v>444.86372066237368</v>
      </c>
      <c r="G10" s="993"/>
      <c r="H10" s="993">
        <f>H9/SUM('1501 Summary'!J30, '1501 Summary'!J49)</f>
        <v>354.44287224177111</v>
      </c>
      <c r="I10" s="993"/>
      <c r="J10" s="993">
        <f>J9/SUM('1501 Summary'!L30, '1501 Summary'!L49)</f>
        <v>230.38743833794129</v>
      </c>
      <c r="K10" s="993"/>
      <c r="L10" s="993">
        <f>L9/SUM('1501 Summary'!N30, '1501 Summary'!N49)</f>
        <v>167.92371374287592</v>
      </c>
      <c r="M10" s="993"/>
      <c r="N10" s="993">
        <f>N9/SUM('1501 Summary'!P30, '1501 Summary'!P49)</f>
        <v>118.68833619644846</v>
      </c>
      <c r="O10" s="993"/>
      <c r="P10" s="993">
        <f>P9/SUM('1501 Summary'!R30, '1501 Summary'!R49)</f>
        <v>117.5220561946151</v>
      </c>
      <c r="Q10" s="993"/>
      <c r="R10" s="993">
        <f>R9/SUM('1501 Summary'!T30, '1501 Summary'!T49)</f>
        <v>118.20290923010975</v>
      </c>
      <c r="S10" s="993"/>
      <c r="T10" s="993">
        <f>T9/SUM('1501 Summary'!V30, '1501 Summary'!V49)</f>
        <v>143.38776611762481</v>
      </c>
      <c r="U10" s="993"/>
      <c r="V10" s="993">
        <f>V9/SUM('1501 Summary'!X30, '1501 Summary'!X49)</f>
        <v>270.24171900277634</v>
      </c>
      <c r="W10" s="993"/>
      <c r="X10" s="993">
        <f>X9/SUM('1501 Summary'!Z30, '1501 Summary'!Z49)</f>
        <v>413.33240844134349</v>
      </c>
      <c r="Y10" s="993"/>
      <c r="Z10" s="994">
        <f>Z9/SUM('1501 Summary'!AB30, '1501 Summary'!AB49)</f>
        <v>539.20112234285591</v>
      </c>
      <c r="AA10" s="826"/>
      <c r="AC10" s="995">
        <v>43800</v>
      </c>
      <c r="AD10" s="991"/>
    </row>
    <row r="11" spans="2:30">
      <c r="B11" s="904">
        <v>7</v>
      </c>
      <c r="C11" s="982" t="s">
        <v>2967</v>
      </c>
      <c r="D11" s="983"/>
      <c r="E11" s="983"/>
      <c r="F11" s="983"/>
      <c r="G11" s="983"/>
      <c r="H11" s="983"/>
      <c r="I11" s="983"/>
      <c r="J11" s="983"/>
      <c r="K11" s="983"/>
      <c r="L11" s="983"/>
      <c r="M11" s="983"/>
      <c r="N11" s="983"/>
      <c r="O11" s="983"/>
      <c r="P11" s="983"/>
      <c r="Q11" s="983"/>
      <c r="R11" s="983"/>
      <c r="S11" s="983"/>
      <c r="T11" s="983"/>
      <c r="U11" s="983"/>
      <c r="V11" s="983"/>
      <c r="W11" s="983"/>
      <c r="X11" s="983"/>
      <c r="Y11" s="983"/>
      <c r="Z11" s="984"/>
      <c r="AA11" s="826"/>
      <c r="AC11" s="996" t="s">
        <v>2716</v>
      </c>
      <c r="AD11" s="997">
        <v>498106.94118807081</v>
      </c>
    </row>
    <row r="12" spans="2:30">
      <c r="B12" s="904">
        <v>8</v>
      </c>
      <c r="C12" s="979" t="s">
        <v>2968</v>
      </c>
      <c r="D12" s="980"/>
      <c r="E12" s="980"/>
      <c r="F12" s="980"/>
      <c r="G12" s="980"/>
      <c r="H12" s="980"/>
      <c r="I12" s="980"/>
      <c r="J12" s="980"/>
      <c r="K12" s="980"/>
      <c r="L12" s="980"/>
      <c r="M12" s="980"/>
      <c r="N12" s="980"/>
      <c r="O12" s="980"/>
      <c r="P12" s="980"/>
      <c r="Q12" s="980"/>
      <c r="R12" s="980"/>
      <c r="S12" s="980"/>
      <c r="T12" s="980"/>
      <c r="U12" s="980"/>
      <c r="V12" s="980"/>
      <c r="W12" s="980"/>
      <c r="X12" s="980"/>
      <c r="Y12" s="980"/>
      <c r="Z12" s="981"/>
      <c r="AA12" s="826"/>
      <c r="AC12" s="996" t="s">
        <v>2494</v>
      </c>
      <c r="AD12" s="997">
        <v>200000</v>
      </c>
    </row>
    <row r="13" spans="2:30">
      <c r="B13" s="904">
        <v>9</v>
      </c>
      <c r="C13" s="998" t="s">
        <v>2681</v>
      </c>
      <c r="D13" s="980">
        <f>'1501 Summary'!F181</f>
        <v>78.987171587025941</v>
      </c>
      <c r="E13" s="980"/>
      <c r="F13" s="980">
        <f>'1501 Summary'!H181</f>
        <v>7.0024088286370514</v>
      </c>
      <c r="G13" s="980"/>
      <c r="H13" s="980">
        <f>'1501 Summary'!J181</f>
        <v>0</v>
      </c>
      <c r="I13" s="980"/>
      <c r="J13" s="980">
        <f>'1501 Summary'!L181</f>
        <v>0</v>
      </c>
      <c r="K13" s="980"/>
      <c r="L13" s="980">
        <f>'1501 Summary'!N181</f>
        <v>128.00403338748529</v>
      </c>
      <c r="M13" s="980"/>
      <c r="N13" s="980">
        <f>'1501 Summary'!P181</f>
        <v>151.02795361604393</v>
      </c>
      <c r="O13" s="980"/>
      <c r="P13" s="980">
        <f>'1501 Summary'!R181</f>
        <v>0</v>
      </c>
      <c r="Q13" s="980"/>
      <c r="R13" s="980">
        <f>'1501 Summary'!T181</f>
        <v>163.01607753067054</v>
      </c>
      <c r="S13" s="980"/>
      <c r="T13" s="980">
        <f>'1501 Summary'!V181</f>
        <v>0</v>
      </c>
      <c r="U13" s="980"/>
      <c r="V13" s="980">
        <f>'1501 Summary'!X181</f>
        <v>411.01338860568035</v>
      </c>
      <c r="W13" s="980"/>
      <c r="X13" s="980">
        <f>'1501 Summary'!Z181</f>
        <v>317.01305249005662</v>
      </c>
      <c r="Y13" s="980"/>
      <c r="Z13" s="981">
        <f>'1501 Summary'!AB181</f>
        <v>491.00890706403004</v>
      </c>
      <c r="AA13" s="826"/>
      <c r="AC13" s="996" t="s">
        <v>2494</v>
      </c>
      <c r="AD13" s="997">
        <v>800636.39719453675</v>
      </c>
    </row>
    <row r="14" spans="2:30">
      <c r="B14" s="904">
        <v>10</v>
      </c>
      <c r="C14" s="998" t="s">
        <v>2682</v>
      </c>
      <c r="D14" s="980">
        <f>'1501 Summary'!F182</f>
        <v>229.23151414539669</v>
      </c>
      <c r="E14" s="980"/>
      <c r="F14" s="980">
        <f>'1501 Summary'!H182</f>
        <v>20.33616932973646</v>
      </c>
      <c r="G14" s="980"/>
      <c r="H14" s="980">
        <f>'1501 Summary'!J182</f>
        <v>0</v>
      </c>
      <c r="I14" s="980"/>
      <c r="J14" s="980">
        <f>'1501 Summary'!L182</f>
        <v>0</v>
      </c>
      <c r="K14" s="980"/>
      <c r="L14" s="980">
        <f>'1501 Summary'!N182</f>
        <v>371.44635816559452</v>
      </c>
      <c r="M14" s="980"/>
      <c r="N14" s="980">
        <f>'1501 Summary'!P182</f>
        <v>0</v>
      </c>
      <c r="O14" s="980"/>
      <c r="P14" s="980">
        <f>'1501 Summary'!R182</f>
        <v>0</v>
      </c>
      <c r="Q14" s="980"/>
      <c r="R14" s="980">
        <f>'1501 Summary'!T182</f>
        <v>0</v>
      </c>
      <c r="S14" s="980"/>
      <c r="T14" s="980">
        <f>'1501 Summary'!V182</f>
        <v>0</v>
      </c>
      <c r="U14" s="980"/>
      <c r="V14" s="980">
        <f>'1501 Summary'!X182</f>
        <v>0</v>
      </c>
      <c r="W14" s="980"/>
      <c r="X14" s="980">
        <f>'1501 Summary'!Z182</f>
        <v>0</v>
      </c>
      <c r="Y14" s="980"/>
      <c r="Z14" s="981">
        <f>'1501 Summary'!AB182</f>
        <v>0</v>
      </c>
      <c r="AA14" s="826"/>
      <c r="AC14" s="996" t="s">
        <v>2717</v>
      </c>
      <c r="AD14" s="999">
        <v>0</v>
      </c>
    </row>
    <row r="15" spans="2:30">
      <c r="B15" s="904">
        <v>11</v>
      </c>
      <c r="C15" s="979">
        <v>505</v>
      </c>
      <c r="D15" s="980"/>
      <c r="E15" s="980"/>
      <c r="F15" s="980"/>
      <c r="G15" s="980"/>
      <c r="H15" s="980"/>
      <c r="I15" s="980"/>
      <c r="J15" s="980"/>
      <c r="K15" s="980"/>
      <c r="L15" s="980"/>
      <c r="M15" s="980"/>
      <c r="N15" s="980"/>
      <c r="O15" s="980"/>
      <c r="P15" s="980"/>
      <c r="Q15" s="980"/>
      <c r="R15" s="980"/>
      <c r="S15" s="980"/>
      <c r="T15" s="980"/>
      <c r="U15" s="980"/>
      <c r="V15" s="980"/>
      <c r="W15" s="980"/>
      <c r="X15" s="980"/>
      <c r="Y15" s="980"/>
      <c r="Z15" s="981"/>
      <c r="AA15" s="826"/>
      <c r="AC15" s="996" t="s">
        <v>51</v>
      </c>
      <c r="AD15" s="997">
        <f>SUM(AD11:AD14)</f>
        <v>1498743.3383826076</v>
      </c>
    </row>
    <row r="16" spans="2:30">
      <c r="B16" s="904">
        <v>12</v>
      </c>
      <c r="C16" s="998" t="s">
        <v>2681</v>
      </c>
      <c r="D16" s="980">
        <f>'1501 Summary'!F102</f>
        <v>191473.41885608647</v>
      </c>
      <c r="E16" s="980"/>
      <c r="F16" s="980">
        <f>'1501 Summary'!H102</f>
        <v>194768.36031594867</v>
      </c>
      <c r="G16" s="1000"/>
      <c r="H16" s="980">
        <f>'1501 Summary'!J102</f>
        <v>206171.19489104254</v>
      </c>
      <c r="I16" s="980"/>
      <c r="J16" s="980">
        <f>'1501 Summary'!L102</f>
        <v>180644.66976639963</v>
      </c>
      <c r="K16" s="980"/>
      <c r="L16" s="980">
        <f>'1501 Summary'!N102</f>
        <v>137895.52406027674</v>
      </c>
      <c r="M16" s="980"/>
      <c r="N16" s="980">
        <f>'1501 Summary'!P102</f>
        <v>105357.51498515491</v>
      </c>
      <c r="O16" s="980"/>
      <c r="P16" s="980">
        <f>'1501 Summary'!R102</f>
        <v>88550.221276118988</v>
      </c>
      <c r="Q16" s="980"/>
      <c r="R16" s="980">
        <f>'1501 Summary'!T102</f>
        <v>84408.100386532969</v>
      </c>
      <c r="S16" s="980"/>
      <c r="T16" s="980">
        <f>'1501 Summary'!V102</f>
        <v>90582.432356730715</v>
      </c>
      <c r="U16" s="980"/>
      <c r="V16" s="980">
        <f>'1501 Summary'!X102</f>
        <v>129677.44103971767</v>
      </c>
      <c r="W16" s="980"/>
      <c r="X16" s="980">
        <f>'1501 Summary'!Z102</f>
        <v>172551.95787350848</v>
      </c>
      <c r="Y16" s="980"/>
      <c r="Z16" s="981">
        <f>'1501 Summary'!AB102</f>
        <v>190723.32082236288</v>
      </c>
      <c r="AA16" s="826"/>
      <c r="AC16" s="995">
        <v>43770</v>
      </c>
      <c r="AD16" s="991"/>
    </row>
    <row r="17" spans="2:32">
      <c r="B17" s="904">
        <v>13</v>
      </c>
      <c r="C17" s="998" t="s">
        <v>2682</v>
      </c>
      <c r="D17" s="980">
        <f>'1501 Summary'!F103</f>
        <v>688140.62391920865</v>
      </c>
      <c r="E17" s="980"/>
      <c r="F17" s="980">
        <f>'1501 Summary'!H103</f>
        <v>709661.68638030009</v>
      </c>
      <c r="G17" s="980"/>
      <c r="H17" s="980">
        <f>'1501 Summary'!J103</f>
        <v>770116.48336446017</v>
      </c>
      <c r="I17" s="980"/>
      <c r="J17" s="980">
        <f>'1501 Summary'!L103</f>
        <v>577002.69765511516</v>
      </c>
      <c r="K17" s="980"/>
      <c r="L17" s="980">
        <f>'1501 Summary'!N103</f>
        <v>401254.8246524175</v>
      </c>
      <c r="M17" s="980"/>
      <c r="N17" s="980">
        <f>'1501 Summary'!P103</f>
        <v>300279.44940167386</v>
      </c>
      <c r="O17" s="980"/>
      <c r="P17" s="980">
        <f>'1501 Summary'!R103</f>
        <v>273632.56553918513</v>
      </c>
      <c r="Q17" s="980"/>
      <c r="R17" s="980">
        <f>'1501 Summary'!T103</f>
        <v>272914.15923082241</v>
      </c>
      <c r="S17" s="980"/>
      <c r="T17" s="980">
        <f>'1501 Summary'!V103</f>
        <v>293937.8847617071</v>
      </c>
      <c r="U17" s="980"/>
      <c r="V17" s="980">
        <f>'1501 Summary'!X103</f>
        <v>398691.08390399109</v>
      </c>
      <c r="W17" s="980"/>
      <c r="X17" s="980">
        <f>'1501 Summary'!Z103</f>
        <v>536978.55710036657</v>
      </c>
      <c r="Y17" s="980"/>
      <c r="Z17" s="981">
        <f>'1501 Summary'!AB103</f>
        <v>663264.02434806665</v>
      </c>
      <c r="AA17" s="826"/>
      <c r="AC17" s="996" t="s">
        <v>2716</v>
      </c>
      <c r="AD17" s="997">
        <v>450355.99175149901</v>
      </c>
      <c r="AF17" s="826"/>
    </row>
    <row r="18" spans="2:32">
      <c r="B18" s="904">
        <v>14</v>
      </c>
      <c r="C18" s="998" t="s">
        <v>2683</v>
      </c>
      <c r="D18" s="980">
        <f>'1501 Summary'!F104</f>
        <v>554113.81239242689</v>
      </c>
      <c r="E18" s="980"/>
      <c r="F18" s="980">
        <f>'1501 Summary'!H104</f>
        <v>711733.00344234076</v>
      </c>
      <c r="G18" s="980"/>
      <c r="H18" s="980">
        <f>'1501 Summary'!J104</f>
        <v>818456.18187033839</v>
      </c>
      <c r="I18" s="980"/>
      <c r="J18" s="980">
        <f>'1501 Summary'!L104</f>
        <v>573665.80608146871</v>
      </c>
      <c r="K18" s="980"/>
      <c r="L18" s="980">
        <f>'1501 Summary'!N104</f>
        <v>250735.08318990245</v>
      </c>
      <c r="M18" s="980"/>
      <c r="N18" s="980">
        <f>'1501 Summary'!P104</f>
        <v>173406.7699368904</v>
      </c>
      <c r="O18" s="980"/>
      <c r="P18" s="980">
        <f>'1501 Summary'!R104</f>
        <v>174990.89213998851</v>
      </c>
      <c r="Q18" s="980"/>
      <c r="R18" s="980">
        <f>'1501 Summary'!T104</f>
        <v>207087.06253585772</v>
      </c>
      <c r="S18" s="980"/>
      <c r="T18" s="980">
        <f>'1501 Summary'!V104</f>
        <v>267470.09466437175</v>
      </c>
      <c r="U18" s="980"/>
      <c r="V18" s="980">
        <f>'1501 Summary'!X104</f>
        <v>745993.83247274812</v>
      </c>
      <c r="W18" s="980"/>
      <c r="X18" s="980">
        <f>'1501 Summary'!Z104</f>
        <v>449103.98737808369</v>
      </c>
      <c r="Y18" s="980"/>
      <c r="Z18" s="981">
        <f>'1501 Summary'!AB104</f>
        <v>568661.79001721169</v>
      </c>
      <c r="AA18" s="826"/>
      <c r="AC18" s="996" t="s">
        <v>2494</v>
      </c>
      <c r="AD18" s="997">
        <v>200000</v>
      </c>
      <c r="AF18" s="826"/>
    </row>
    <row r="19" spans="2:32">
      <c r="B19" s="904">
        <v>15</v>
      </c>
      <c r="C19" s="979" t="s">
        <v>2969</v>
      </c>
      <c r="D19" s="980">
        <f>SUM(D12:D18)</f>
        <v>1434036.0738534546</v>
      </c>
      <c r="E19" s="980"/>
      <c r="F19" s="980">
        <f t="shared" ref="F19:Z19" si="0">SUM(F12:F18)</f>
        <v>1616190.388716748</v>
      </c>
      <c r="G19" s="980"/>
      <c r="H19" s="980">
        <f t="shared" si="0"/>
        <v>1794743.8601258411</v>
      </c>
      <c r="I19" s="980"/>
      <c r="J19" s="980">
        <f t="shared" si="0"/>
        <v>1331313.1735029835</v>
      </c>
      <c r="K19" s="980"/>
      <c r="L19" s="980">
        <f t="shared" si="0"/>
        <v>790384.88229414984</v>
      </c>
      <c r="M19" s="980"/>
      <c r="N19" s="980">
        <f t="shared" si="0"/>
        <v>579194.76227733516</v>
      </c>
      <c r="O19" s="980"/>
      <c r="P19" s="980">
        <f t="shared" si="0"/>
        <v>537173.67895529268</v>
      </c>
      <c r="Q19" s="980"/>
      <c r="R19" s="980">
        <f t="shared" si="0"/>
        <v>564572.33823074377</v>
      </c>
      <c r="S19" s="980"/>
      <c r="T19" s="980">
        <f t="shared" si="0"/>
        <v>651990.41178280953</v>
      </c>
      <c r="U19" s="980"/>
      <c r="V19" s="980">
        <f t="shared" si="0"/>
        <v>1274773.3708050626</v>
      </c>
      <c r="W19" s="980"/>
      <c r="X19" s="980">
        <f t="shared" si="0"/>
        <v>1158951.5154044488</v>
      </c>
      <c r="Y19" s="980"/>
      <c r="Z19" s="981">
        <f t="shared" si="0"/>
        <v>1423140.1440947051</v>
      </c>
      <c r="AA19" s="826"/>
      <c r="AC19" s="996" t="s">
        <v>2494</v>
      </c>
      <c r="AD19" s="997">
        <v>697005.16795865633</v>
      </c>
      <c r="AF19" s="826"/>
    </row>
    <row r="20" spans="2:32">
      <c r="B20" s="904">
        <v>16</v>
      </c>
      <c r="C20" s="979" t="s">
        <v>2970</v>
      </c>
      <c r="D20" s="980">
        <f>SUM(D16,D13)/SUM('1501 Summary'!F101,'1501 Summary'!F180)</f>
        <v>398.23785036938358</v>
      </c>
      <c r="E20" s="980"/>
      <c r="F20" s="980">
        <f>SUM(F16,F13)/SUM('1501 Summary'!H101,'1501 Summary'!H180)</f>
        <v>406.62914973857477</v>
      </c>
      <c r="G20" s="980"/>
      <c r="H20" s="980">
        <f>SUM(H16,H13)/SUM('1501 Summary'!J101,'1501 Summary'!J180)</f>
        <v>421.61798546225469</v>
      </c>
      <c r="I20" s="980"/>
      <c r="J20" s="980">
        <f>SUM(J16,J13)/SUM('1501 Summary'!L101,'1501 Summary'!L180)</f>
        <v>375.56064400498883</v>
      </c>
      <c r="K20" s="980"/>
      <c r="L20" s="980">
        <f>SUM(L16,L13)/SUM('1501 Summary'!N101,'1501 Summary'!N180)</f>
        <v>290.57584861824051</v>
      </c>
      <c r="M20" s="980"/>
      <c r="N20" s="980">
        <f>SUM(N16,N13)/SUM('1501 Summary'!P101,'1501 Summary'!P180)</f>
        <v>218.44418827902888</v>
      </c>
      <c r="O20" s="980"/>
      <c r="P20" s="980">
        <f>SUM(P16,P13)/SUM('1501 Summary'!R101,'1501 Summary'!R180)</f>
        <v>185.25150894585562</v>
      </c>
      <c r="Q20" s="980"/>
      <c r="R20" s="980">
        <f>SUM(R16,R13)/SUM('1501 Summary'!T101,'1501 Summary'!T180)</f>
        <v>172.94706843366797</v>
      </c>
      <c r="S20" s="980"/>
      <c r="T20" s="980">
        <f>SUM(T16,T13)/SUM('1501 Summary'!V101,'1501 Summary'!V180)</f>
        <v>188.713400743189</v>
      </c>
      <c r="U20" s="980"/>
      <c r="V20" s="980">
        <f>SUM(V16,V13)/SUM('1501 Summary'!X101,'1501 Summary'!X180)</f>
        <v>272.72212668411606</v>
      </c>
      <c r="W20" s="980"/>
      <c r="X20" s="980">
        <f>SUM(X16,X13)/SUM('1501 Summary'!Z101,'1501 Summary'!Z180)</f>
        <v>357.90677210351663</v>
      </c>
      <c r="Y20" s="980"/>
      <c r="Z20" s="981">
        <f>SUM(Z16,Z13)/SUM('1501 Summary'!AB101,'1501 Summary'!AB180)</f>
        <v>391.83264288816991</v>
      </c>
      <c r="AA20" s="826"/>
      <c r="AC20" s="996" t="s">
        <v>2717</v>
      </c>
      <c r="AD20" s="999">
        <v>0</v>
      </c>
    </row>
    <row r="21" spans="2:32">
      <c r="B21" s="904">
        <v>17</v>
      </c>
      <c r="C21" s="979" t="s">
        <v>2971</v>
      </c>
      <c r="D21" s="980">
        <f>SUM(D17,D14)/SUM('1501 Summary'!F101,'1501 Summary'!F180)</f>
        <v>1431.1223605683035</v>
      </c>
      <c r="E21" s="980"/>
      <c r="F21" s="980">
        <f>SUM(F17,F14)/SUM('1501 Summary'!H101,'1501 Summary'!H180)</f>
        <v>1481.5908612727135</v>
      </c>
      <c r="G21" s="980"/>
      <c r="H21" s="980">
        <f>SUM(H17,H14)/SUM('1501 Summary'!J101,'1501 Summary'!J180)</f>
        <v>1574.8803340786508</v>
      </c>
      <c r="I21" s="980"/>
      <c r="J21" s="980">
        <f>SUM(J17,J14)/SUM('1501 Summary'!L101,'1501 Summary'!L180)</f>
        <v>1199.5898080147924</v>
      </c>
      <c r="K21" s="980"/>
      <c r="L21" s="980">
        <f>SUM(L17,L14)/SUM('1501 Summary'!N101,'1501 Summary'!N180)</f>
        <v>845.52899160122752</v>
      </c>
      <c r="M21" s="980"/>
      <c r="N21" s="980">
        <f>SUM(N17,N14)/SUM('1501 Summary'!P101,'1501 Summary'!P180)</f>
        <v>621.69658261216125</v>
      </c>
      <c r="O21" s="980"/>
      <c r="P21" s="980">
        <f>SUM(P17,P14)/SUM('1501 Summary'!R101,'1501 Summary'!R180)</f>
        <v>572.45306598155889</v>
      </c>
      <c r="Q21" s="980"/>
      <c r="R21" s="980">
        <f>SUM(R17,R14)/SUM('1501 Summary'!T101,'1501 Summary'!T180)</f>
        <v>558.1066650937064</v>
      </c>
      <c r="S21" s="980"/>
      <c r="T21" s="980">
        <f>SUM(T17,T14)/SUM('1501 Summary'!V101,'1501 Summary'!V180)</f>
        <v>612.37059325355642</v>
      </c>
      <c r="U21" s="980"/>
      <c r="V21" s="980">
        <f>SUM(V17,V14)/SUM('1501 Summary'!X101,'1501 Summary'!X180)</f>
        <v>835.83036457859771</v>
      </c>
      <c r="W21" s="980"/>
      <c r="X21" s="980">
        <f>SUM(X17,X14)/SUM('1501 Summary'!Z101,'1501 Summary'!Z180)</f>
        <v>1111.7568469986886</v>
      </c>
      <c r="Y21" s="980"/>
      <c r="Z21" s="981">
        <f>SUM(Z17,Z14)/SUM('1501 Summary'!AB101,'1501 Summary'!AB180)</f>
        <v>1359.1475908771858</v>
      </c>
      <c r="AA21" s="826"/>
      <c r="AC21" s="996"/>
      <c r="AD21" s="997">
        <v>1347361.1597101553</v>
      </c>
      <c r="AF21" s="826"/>
    </row>
    <row r="22" spans="2:32" ht="15" thickBot="1">
      <c r="B22" s="904">
        <v>18</v>
      </c>
      <c r="C22" s="979" t="s">
        <v>2972</v>
      </c>
      <c r="D22" s="980">
        <f>SUM(D18)/SUM('1501 Summary'!F101,'1501 Summary'!F180)</f>
        <v>1152.0037679676234</v>
      </c>
      <c r="E22" s="980"/>
      <c r="F22" s="980">
        <f>SUM(F18)/SUM('1501 Summary'!H101,'1501 Summary'!H180)</f>
        <v>1485.8726585435088</v>
      </c>
      <c r="G22" s="980"/>
      <c r="H22" s="980">
        <f>SUM(H18)/SUM('1501 Summary'!J101,'1501 Summary'!J180)</f>
        <v>1673.7345232522257</v>
      </c>
      <c r="I22" s="980"/>
      <c r="J22" s="980">
        <f>SUM(J18)/SUM('1501 Summary'!L101,'1501 Summary'!L180)</f>
        <v>1192.652403495777</v>
      </c>
      <c r="K22" s="980"/>
      <c r="L22" s="980">
        <f>SUM(L18)/SUM('1501 Summary'!N101,'1501 Summary'!N180)</f>
        <v>527.8633330313736</v>
      </c>
      <c r="M22" s="980"/>
      <c r="N22" s="980">
        <f>SUM(N18)/SUM('1501 Summary'!P101,'1501 Summary'!P180)</f>
        <v>359.02022761260952</v>
      </c>
      <c r="O22" s="980"/>
      <c r="P22" s="980">
        <f>SUM(P18)/SUM('1501 Summary'!R101,'1501 Summary'!R180)</f>
        <v>366.08973251043625</v>
      </c>
      <c r="Q22" s="980"/>
      <c r="R22" s="980">
        <f>SUM(R18)/SUM('1501 Summary'!T101,'1501 Summary'!T180)</f>
        <v>423.4909254312019</v>
      </c>
      <c r="S22" s="980"/>
      <c r="T22" s="980">
        <f>SUM(T18)/SUM('1501 Summary'!V101,'1501 Summary'!V180)</f>
        <v>557.22936388410778</v>
      </c>
      <c r="U22" s="980"/>
      <c r="V22" s="980">
        <f>SUM(V18)/SUM('1501 Summary'!X101,'1501 Summary'!X180)</f>
        <v>1563.9283699638324</v>
      </c>
      <c r="W22" s="980"/>
      <c r="X22" s="980">
        <f>SUM(X18)/SUM('1501 Summary'!Z101,'1501 Summary'!Z180)</f>
        <v>929.82192003744035</v>
      </c>
      <c r="Y22" s="980"/>
      <c r="Z22" s="1001">
        <f>SUM(Z18)/SUM('1501 Summary'!AB101,'1501 Summary'!AB180)</f>
        <v>1165.2905533139583</v>
      </c>
      <c r="AA22" s="834"/>
      <c r="AB22" s="830"/>
      <c r="AC22" s="1002"/>
      <c r="AD22" s="1003"/>
    </row>
    <row r="23" spans="2:32" s="1008" customFormat="1">
      <c r="B23" s="904">
        <v>19</v>
      </c>
      <c r="C23" s="982" t="s">
        <v>2973</v>
      </c>
      <c r="D23" s="1004">
        <f>D19/SUM('1501 Summary'!F101+'1501 Summary'!F180)</f>
        <v>2981.3639789053109</v>
      </c>
      <c r="E23" s="1004"/>
      <c r="F23" s="1004">
        <f>F19/SUM('1501 Summary'!H101+'1501 Summary'!H180)</f>
        <v>3374.0926695547973</v>
      </c>
      <c r="G23" s="1004"/>
      <c r="H23" s="1004">
        <f>H19/SUM('1501 Summary'!J101+'1501 Summary'!J180)</f>
        <v>3670.2328427931311</v>
      </c>
      <c r="I23" s="1004"/>
      <c r="J23" s="1004">
        <f>J19/SUM('1501 Summary'!L101+'1501 Summary'!L180)</f>
        <v>2767.8028555155583</v>
      </c>
      <c r="K23" s="1004"/>
      <c r="L23" s="1004">
        <f>L19/SUM('1501 Summary'!N101+'1501 Summary'!N180)</f>
        <v>1663.9681732508418</v>
      </c>
      <c r="M23" s="1004"/>
      <c r="N23" s="1004">
        <f>N19/SUM('1501 Summary'!P101+'1501 Summary'!P180)</f>
        <v>1199.1609985037994</v>
      </c>
      <c r="O23" s="1004"/>
      <c r="P23" s="1004">
        <f>P19/SUM('1501 Summary'!R101+'1501 Summary'!R180)</f>
        <v>1123.7943074378509</v>
      </c>
      <c r="Q23" s="1004"/>
      <c r="R23" s="1004">
        <f>R19/SUM('1501 Summary'!T101+'1501 Summary'!T180)</f>
        <v>1154.5446589585763</v>
      </c>
      <c r="S23" s="1004"/>
      <c r="T23" s="1004">
        <f>T19/SUM('1501 Summary'!V101+'1501 Summary'!V180)</f>
        <v>1358.3133578808531</v>
      </c>
      <c r="U23" s="1004"/>
      <c r="V23" s="1004">
        <f>V19/SUM('1501 Summary'!X101+'1501 Summary'!X180)</f>
        <v>2672.4808612265465</v>
      </c>
      <c r="W23" s="1004"/>
      <c r="X23" s="1004">
        <f>X19/SUM('1501 Summary'!Z101+'1501 Summary'!Z180)</f>
        <v>2399.4855391396454</v>
      </c>
      <c r="Y23" s="1004"/>
      <c r="Z23" s="1005">
        <f>Z19/SUM('1501 Summary'!AB101+'1501 Summary'!AB180)</f>
        <v>2916.2707870793138</v>
      </c>
      <c r="AA23" s="834"/>
      <c r="AB23" s="1006"/>
      <c r="AC23" s="1007"/>
    </row>
    <row r="24" spans="2:32">
      <c r="B24" s="904">
        <v>20</v>
      </c>
      <c r="C24" s="1009" t="s">
        <v>2974</v>
      </c>
      <c r="D24" s="988"/>
      <c r="E24" s="988"/>
      <c r="F24" s="988"/>
      <c r="G24" s="988"/>
      <c r="H24" s="988"/>
      <c r="I24" s="988"/>
      <c r="J24" s="988"/>
      <c r="K24" s="988"/>
      <c r="L24" s="988"/>
      <c r="M24" s="988"/>
      <c r="N24" s="988"/>
      <c r="O24" s="988"/>
      <c r="P24" s="988"/>
      <c r="Q24" s="988"/>
      <c r="R24" s="988"/>
      <c r="S24" s="988"/>
      <c r="T24" s="988"/>
      <c r="U24" s="988"/>
      <c r="V24" s="988"/>
      <c r="W24" s="988"/>
      <c r="X24" s="988"/>
      <c r="Y24" s="988"/>
      <c r="Z24" s="1010"/>
      <c r="AA24" s="834"/>
      <c r="AB24" s="830"/>
      <c r="AC24" s="825"/>
    </row>
    <row r="25" spans="2:32">
      <c r="B25" s="904">
        <v>21</v>
      </c>
      <c r="C25" s="1009" t="s">
        <v>2975</v>
      </c>
      <c r="D25" s="988"/>
      <c r="E25" s="988"/>
      <c r="F25" s="988"/>
      <c r="G25" s="988"/>
      <c r="H25" s="988"/>
      <c r="I25" s="988"/>
      <c r="J25" s="988"/>
      <c r="K25" s="988"/>
      <c r="L25" s="988"/>
      <c r="M25" s="988"/>
      <c r="N25" s="988"/>
      <c r="O25" s="988"/>
      <c r="P25" s="988"/>
      <c r="Q25" s="988"/>
      <c r="R25" s="988"/>
      <c r="S25" s="988"/>
      <c r="T25" s="988"/>
      <c r="U25" s="988"/>
      <c r="V25" s="988"/>
      <c r="W25" s="988"/>
      <c r="X25" s="988"/>
      <c r="Y25" s="988"/>
      <c r="Z25" s="1010"/>
      <c r="AA25" s="1870"/>
      <c r="AB25" s="1870"/>
      <c r="AC25" s="825"/>
    </row>
    <row r="26" spans="2:32">
      <c r="B26" s="904">
        <v>22</v>
      </c>
      <c r="C26" s="987" t="s">
        <v>2688</v>
      </c>
      <c r="D26" s="988">
        <f>'1501 Summary'!F75</f>
        <v>0</v>
      </c>
      <c r="E26" s="988"/>
      <c r="F26" s="988">
        <f>'1501 Summary'!H75</f>
        <v>0</v>
      </c>
      <c r="G26" s="988"/>
      <c r="H26" s="988">
        <f>'1501 Summary'!J75</f>
        <v>0</v>
      </c>
      <c r="I26" s="988"/>
      <c r="J26" s="988">
        <f>'1501 Summary'!L75</f>
        <v>0</v>
      </c>
      <c r="K26" s="988"/>
      <c r="L26" s="988">
        <f>'1501 Summary'!N75</f>
        <v>0</v>
      </c>
      <c r="M26" s="988"/>
      <c r="N26" s="988">
        <f>'1501 Summary'!P75</f>
        <v>0</v>
      </c>
      <c r="O26" s="988"/>
      <c r="P26" s="988">
        <f>'1501 Summary'!R75</f>
        <v>0</v>
      </c>
      <c r="Q26" s="988"/>
      <c r="R26" s="988">
        <f>'1501 Summary'!T75</f>
        <v>0</v>
      </c>
      <c r="S26" s="988"/>
      <c r="T26" s="988">
        <f>'1501 Summary'!V75</f>
        <v>0</v>
      </c>
      <c r="U26" s="988"/>
      <c r="V26" s="988">
        <f>'1501 Summary'!X75</f>
        <v>0</v>
      </c>
      <c r="W26" s="988"/>
      <c r="X26" s="988">
        <f>'1501 Summary'!Z75</f>
        <v>130279.97208653174</v>
      </c>
      <c r="Y26" s="988">
        <f>'1501 Summary'!AA75</f>
        <v>18669.12</v>
      </c>
      <c r="Z26" s="1010">
        <f>'1501 Summary'!AB75</f>
        <v>137081.99581297973</v>
      </c>
      <c r="AA26" s="899"/>
      <c r="AB26" s="899"/>
      <c r="AC26" s="1011"/>
    </row>
    <row r="27" spans="2:32">
      <c r="B27" s="904">
        <v>23</v>
      </c>
      <c r="C27" s="987" t="s">
        <v>2689</v>
      </c>
      <c r="D27" s="988">
        <f>'1501 Summary'!F76</f>
        <v>0</v>
      </c>
      <c r="E27" s="988"/>
      <c r="F27" s="988">
        <f>'1501 Summary'!H76</f>
        <v>0</v>
      </c>
      <c r="G27" s="988"/>
      <c r="H27" s="988">
        <f>'1501 Summary'!J76</f>
        <v>0</v>
      </c>
      <c r="I27" s="988"/>
      <c r="J27" s="988">
        <f>'1501 Summary'!L76</f>
        <v>0</v>
      </c>
      <c r="K27" s="988"/>
      <c r="L27" s="988">
        <f>'1501 Summary'!N76</f>
        <v>0</v>
      </c>
      <c r="M27" s="988"/>
      <c r="N27" s="988">
        <f>'1501 Summary'!P76</f>
        <v>0</v>
      </c>
      <c r="O27" s="988"/>
      <c r="P27" s="988">
        <f>'1501 Summary'!R76</f>
        <v>0</v>
      </c>
      <c r="Q27" s="988"/>
      <c r="R27" s="988">
        <f>'1501 Summary'!T76</f>
        <v>0</v>
      </c>
      <c r="S27" s="988"/>
      <c r="T27" s="988">
        <f>'1501 Summary'!V76</f>
        <v>0</v>
      </c>
      <c r="U27" s="988"/>
      <c r="V27" s="988">
        <f>'1501 Summary'!X76</f>
        <v>0</v>
      </c>
      <c r="W27" s="988"/>
      <c r="X27" s="988">
        <f>'1501 Summary'!Z76</f>
        <v>320076.01966496726</v>
      </c>
      <c r="Y27" s="988">
        <f>'1501 Summary'!AA76</f>
        <v>35157.15</v>
      </c>
      <c r="Z27" s="1010">
        <f>'1501 Summary'!AB76</f>
        <v>361024.94537509111</v>
      </c>
      <c r="AA27" s="899"/>
      <c r="AB27" s="899"/>
      <c r="AC27" s="1011"/>
    </row>
    <row r="28" spans="2:32">
      <c r="B28" s="904">
        <v>24</v>
      </c>
      <c r="C28" s="987" t="s">
        <v>2889</v>
      </c>
      <c r="D28" s="988">
        <f>'1501 Summary'!F77</f>
        <v>0</v>
      </c>
      <c r="E28" s="988"/>
      <c r="F28" s="988">
        <f>'1501 Summary'!H77</f>
        <v>0</v>
      </c>
      <c r="G28" s="988"/>
      <c r="H28" s="988">
        <f>'1501 Summary'!J77</f>
        <v>0</v>
      </c>
      <c r="I28" s="988"/>
      <c r="J28" s="988">
        <f>'1501 Summary'!L77</f>
        <v>0</v>
      </c>
      <c r="K28" s="988"/>
      <c r="L28" s="988">
        <f>'1501 Summary'!N77</f>
        <v>0</v>
      </c>
      <c r="M28" s="988"/>
      <c r="N28" s="988">
        <f>'1501 Summary'!P77</f>
        <v>0</v>
      </c>
      <c r="O28" s="988"/>
      <c r="P28" s="988">
        <f>'1501 Summary'!R77</f>
        <v>0</v>
      </c>
      <c r="Q28" s="988"/>
      <c r="R28" s="988">
        <f>'1501 Summary'!T77</f>
        <v>0</v>
      </c>
      <c r="S28" s="988"/>
      <c r="T28" s="988">
        <f>'1501 Summary'!V77</f>
        <v>0</v>
      </c>
      <c r="U28" s="988"/>
      <c r="V28" s="988">
        <f>'1501 Summary'!X77</f>
        <v>0</v>
      </c>
      <c r="W28" s="988"/>
      <c r="X28" s="988">
        <f>'1501 Summary'!Z77</f>
        <v>897005.16795865633</v>
      </c>
      <c r="Y28" s="988">
        <f>'1501 Summary'!AA77</f>
        <v>24299.87</v>
      </c>
      <c r="Z28" s="1010">
        <f>'1501 Summary'!AB77</f>
        <v>1000636.3971945368</v>
      </c>
      <c r="AA28" s="899"/>
      <c r="AB28" s="899"/>
      <c r="AC28" s="1011"/>
    </row>
    <row r="29" spans="2:32">
      <c r="B29" s="904">
        <v>25</v>
      </c>
      <c r="C29" s="1009">
        <v>511</v>
      </c>
      <c r="D29" s="988"/>
      <c r="E29" s="988"/>
      <c r="F29" s="988"/>
      <c r="G29" s="988"/>
      <c r="H29" s="988"/>
      <c r="I29" s="988"/>
      <c r="J29" s="988"/>
      <c r="K29" s="988"/>
      <c r="L29" s="988"/>
      <c r="M29" s="988"/>
      <c r="N29" s="988"/>
      <c r="O29" s="988"/>
      <c r="P29" s="988"/>
      <c r="Q29" s="988"/>
      <c r="R29" s="988"/>
      <c r="S29" s="988"/>
      <c r="T29" s="988"/>
      <c r="U29" s="988"/>
      <c r="V29" s="988"/>
      <c r="W29" s="988"/>
      <c r="X29" s="988"/>
      <c r="Y29" s="988"/>
      <c r="Z29" s="1010"/>
      <c r="AA29" s="834"/>
      <c r="AB29" s="830"/>
      <c r="AC29" s="1011"/>
    </row>
    <row r="30" spans="2:32">
      <c r="B30" s="904">
        <v>26</v>
      </c>
      <c r="C30" s="987" t="s">
        <v>2688</v>
      </c>
      <c r="D30" s="988">
        <f>SUM('1501 Summary'!F129,'1501 Summary'!F155)</f>
        <v>1127045.7780879275</v>
      </c>
      <c r="E30" s="988"/>
      <c r="F30" s="988">
        <f>SUM('1501 Summary'!H129,'1501 Summary'!H155)</f>
        <v>1162245.9176552687</v>
      </c>
      <c r="G30" s="988"/>
      <c r="H30" s="988">
        <f>SUM('1501 Summary'!J129,'1501 Summary'!J155)</f>
        <v>1220204.8848569433</v>
      </c>
      <c r="I30" s="988"/>
      <c r="J30" s="988">
        <f>SUM('1501 Summary'!L129,'1501 Summary'!L155)</f>
        <v>858775.64549895329</v>
      </c>
      <c r="K30" s="988"/>
      <c r="L30" s="988">
        <f>SUM('1501 Summary'!N129,'1501 Summary'!N155)</f>
        <v>594039.8464759246</v>
      </c>
      <c r="M30" s="988"/>
      <c r="N30" s="988">
        <f>SUM('1501 Summary'!P129,'1501 Summary'!P155)</f>
        <v>447418.28332170274</v>
      </c>
      <c r="O30" s="988"/>
      <c r="P30" s="988">
        <f>SUM('1501 Summary'!R129,'1501 Summary'!R155)</f>
        <v>404171.80739706906</v>
      </c>
      <c r="Q30" s="988"/>
      <c r="R30" s="988">
        <f>SUM('1501 Summary'!T129,'1501 Summary'!T155)</f>
        <v>419619.05094207951</v>
      </c>
      <c r="S30" s="988"/>
      <c r="T30" s="988">
        <f>SUM('1501 Summary'!V129,'1501 Summary'!V155)</f>
        <v>379301.18632240058</v>
      </c>
      <c r="U30" s="988"/>
      <c r="V30" s="988">
        <f>SUM('1501 Summary'!X129,'1501 Summary'!X155)</f>
        <v>625535.79902302858</v>
      </c>
      <c r="W30" s="988"/>
      <c r="X30" s="988">
        <f>SUM('1501 Summary'!Z129,'1501 Summary'!Z155)</f>
        <v>865530.14654570818</v>
      </c>
      <c r="Y30" s="988"/>
      <c r="Z30" s="989">
        <f>SUM('1501 Summary'!AB129,'1501 Summary'!AB155)</f>
        <v>1082224.2149337055</v>
      </c>
      <c r="AA30" s="826"/>
    </row>
    <row r="31" spans="2:32">
      <c r="B31" s="904">
        <v>27</v>
      </c>
      <c r="C31" s="987" t="s">
        <v>2689</v>
      </c>
      <c r="D31" s="988">
        <f>SUM('1501 Summary'!F130,'1501 Summary'!F156)</f>
        <v>526993.99126001471</v>
      </c>
      <c r="E31" s="988"/>
      <c r="F31" s="988">
        <f>SUM('1501 Summary'!H130,'1501 Summary'!H156)</f>
        <v>522909.1405680991</v>
      </c>
      <c r="G31" s="988"/>
      <c r="H31" s="988">
        <f>SUM('1501 Summary'!J130,'1501 Summary'!J156)</f>
        <v>571373.17916970141</v>
      </c>
      <c r="I31" s="988"/>
      <c r="J31" s="988">
        <f>SUM('1501 Summary'!L130,'1501 Summary'!L156)</f>
        <v>431499.08958485071</v>
      </c>
      <c r="K31" s="988"/>
      <c r="L31" s="988">
        <f>SUM('1501 Summary'!N130,'1501 Summary'!N156)</f>
        <v>342413.87472687545</v>
      </c>
      <c r="M31" s="988"/>
      <c r="N31" s="988">
        <f>SUM('1501 Summary'!P130,'1501 Summary'!P156)</f>
        <v>270032.7749453751</v>
      </c>
      <c r="O31" s="988"/>
      <c r="P31" s="988">
        <f>SUM('1501 Summary'!R130,'1501 Summary'!R156)</f>
        <v>257837.12672978878</v>
      </c>
      <c r="Q31" s="988"/>
      <c r="R31" s="988">
        <f>SUM('1501 Summary'!T130,'1501 Summary'!T156)</f>
        <v>276085.03277494537</v>
      </c>
      <c r="S31" s="988"/>
      <c r="T31" s="988">
        <f>SUM('1501 Summary'!V130,'1501 Summary'!V156)</f>
        <v>253239.89439184271</v>
      </c>
      <c r="U31" s="988"/>
      <c r="V31" s="988">
        <f>SUM('1501 Summary'!X130,'1501 Summary'!X156)</f>
        <v>414269.84705025493</v>
      </c>
      <c r="W31" s="988"/>
      <c r="X31" s="988">
        <f>SUM('1501 Summary'!Z130,'1501 Summary'!Z156)</f>
        <v>502079.02403495996</v>
      </c>
      <c r="Y31" s="988"/>
      <c r="Z31" s="989">
        <f>SUM('1501 Summary'!AB130,'1501 Summary'!AB156)</f>
        <v>425639.20247632917</v>
      </c>
      <c r="AA31" s="1871" t="s">
        <v>2976</v>
      </c>
      <c r="AB31" s="1872"/>
    </row>
    <row r="32" spans="2:32">
      <c r="B32" s="904">
        <v>28</v>
      </c>
      <c r="C32" s="987" t="s">
        <v>2889</v>
      </c>
      <c r="D32" s="988">
        <f>SUM('1501 Summary'!F131,'1501 Summary'!F157)</f>
        <v>154555.92469545957</v>
      </c>
      <c r="E32" s="988"/>
      <c r="F32" s="988">
        <f>SUM('1501 Summary'!H131,'1501 Summary'!H157)</f>
        <v>168306.01698043558</v>
      </c>
      <c r="G32" s="988"/>
      <c r="H32" s="988">
        <f>SUM('1501 Summary'!J131,'1501 Summary'!J157)</f>
        <v>202976.74418604653</v>
      </c>
      <c r="I32" s="988"/>
      <c r="J32" s="988">
        <f>SUM('1501 Summary'!L131,'1501 Summary'!L157)</f>
        <v>77614.248800295318</v>
      </c>
      <c r="K32" s="988"/>
      <c r="L32" s="988">
        <f>SUM('1501 Summary'!N131,'1501 Summary'!N157)</f>
        <v>23411.221853082316</v>
      </c>
      <c r="M32" s="988"/>
      <c r="N32" s="988">
        <f>SUM('1501 Summary'!P131,'1501 Summary'!P157)</f>
        <v>37534.883720930236</v>
      </c>
      <c r="O32" s="988"/>
      <c r="P32" s="988">
        <f>SUM('1501 Summary'!R131,'1501 Summary'!R157)</f>
        <v>59310.815799187891</v>
      </c>
      <c r="Q32" s="988"/>
      <c r="R32" s="988">
        <f>SUM('1501 Summary'!T131,'1501 Summary'!T157)</f>
        <v>56877.07641196013</v>
      </c>
      <c r="S32" s="988"/>
      <c r="T32" s="988">
        <f>SUM('1501 Summary'!V131,'1501 Summary'!V157)</f>
        <v>35145.07198228129</v>
      </c>
      <c r="U32" s="988"/>
      <c r="V32" s="988">
        <f>SUM('1501 Summary'!X131,'1501 Summary'!X157)</f>
        <v>74739.018087855293</v>
      </c>
      <c r="W32" s="988"/>
      <c r="X32" s="988">
        <f>SUM('1501 Summary'!Z131,'1501 Summary'!Z157)</f>
        <v>156497.9697305279</v>
      </c>
      <c r="Y32" s="988"/>
      <c r="Z32" s="989">
        <f>SUM('1501 Summary'!AB131,'1501 Summary'!AB157)</f>
        <v>137160.20671834625</v>
      </c>
      <c r="AA32" s="1012">
        <v>43770</v>
      </c>
      <c r="AB32" s="1012">
        <v>43800</v>
      </c>
    </row>
    <row r="33" spans="2:29">
      <c r="B33" s="904">
        <v>29</v>
      </c>
      <c r="C33" s="987" t="s">
        <v>2977</v>
      </c>
      <c r="D33" s="1013">
        <f>SUM(D30,D26)/SUM('1501 Summary'!$F$128, '1501 Summary'!$F$154,'1501 Summary'!$F$74)</f>
        <v>12807.338387362812</v>
      </c>
      <c r="E33" s="1013"/>
      <c r="F33" s="1013">
        <f>SUM(F30,F26)/SUM('1501 Summary'!$H$128, '1501 Summary'!$H$154,'1501 Summary'!$H$74)</f>
        <v>13207.339973355325</v>
      </c>
      <c r="G33" s="1013"/>
      <c r="H33" s="1013">
        <f>SUM(H30,H26)/SUM('1501 Summary'!$J$128, '1501 Summary'!$J$154,'1501 Summary'!$J$74)</f>
        <v>13557.832053966036</v>
      </c>
      <c r="I33" s="1013"/>
      <c r="J33" s="1013">
        <f>SUM(J30,J26)/SUM('1501 Summary'!$L$128, '1501 Summary'!$L$154,'1501 Summary'!$L$74)</f>
        <v>10103.24288822298</v>
      </c>
      <c r="K33" s="1013"/>
      <c r="L33" s="1013">
        <f>SUM(L30,L26)/SUM('1501 Summary'!$N$128, '1501 Summary'!$N$154,'1501 Summary'!$N$74)</f>
        <v>7071.9029342371978</v>
      </c>
      <c r="M33" s="1013"/>
      <c r="N33" s="1013">
        <f>SUM(N30,N26)/SUM('1501 Summary'!$P$128, '1501 Summary'!$P$154,'1501 Summary'!$P$74)</f>
        <v>5326.4081347821757</v>
      </c>
      <c r="O33" s="1013"/>
      <c r="P33" s="1013">
        <f>SUM(P30,P26)/SUM('1501 Summary'!$R$128, '1501 Summary'!$R$154,'1501 Summary'!$R$74)</f>
        <v>4754.9624399655186</v>
      </c>
      <c r="Q33" s="1013"/>
      <c r="R33" s="1013">
        <f>SUM(R30,R26)/SUM('1501 Summary'!$T$128, '1501 Summary'!$T$154,'1501 Summary'!$T$74)</f>
        <v>4714.8207971020174</v>
      </c>
      <c r="S33" s="1013"/>
      <c r="T33" s="1013">
        <f>SUM(T30,T26)/SUM('1501 Summary'!$V$128, '1501 Summary'!$V$154,'1501 Summary'!$V$74)</f>
        <v>4261.8110822741637</v>
      </c>
      <c r="U33" s="1013"/>
      <c r="V33" s="1013">
        <f>SUM(V30,V26)/SUM('1501 Summary'!$X$128, '1501 Summary'!$X$154,'1501 Summary'!$X$74)</f>
        <v>7028.4921238542538</v>
      </c>
      <c r="W33" s="1013"/>
      <c r="X33" s="1013">
        <f>SUM(X30,X26)/SUM('1501 Summary'!$Z$128, '1501 Summary'!$Z$154,'1501 Summary'!$Z$74)</f>
        <v>10161.327741145305</v>
      </c>
      <c r="Y33" s="1013"/>
      <c r="Z33" s="1013">
        <f>SUM(Z30,Z26)/SUM('1501 Summary'!$AB$128, '1501 Summary'!$AB$154,'1501 Summary'!$AB$74)</f>
        <v>12570.167121099848</v>
      </c>
      <c r="AA33" s="1014">
        <f>X30/SUM('1501 Summary'!$Z$128, '1501 Summary'!$Z$154)</f>
        <v>9511.3202917110793</v>
      </c>
      <c r="AB33" s="1014">
        <f>Z30/SUM('1501 Summary'!$AB$128, '1501 Summary'!$AB$154)</f>
        <v>12024.713499263395</v>
      </c>
    </row>
    <row r="34" spans="2:29">
      <c r="B34" s="904">
        <v>30</v>
      </c>
      <c r="C34" s="987" t="s">
        <v>2978</v>
      </c>
      <c r="D34" s="1013">
        <f>SUM(D31,D27)/SUM('1501 Summary'!$F$128, '1501 Summary'!$F$154,'1501 Summary'!$F$74)</f>
        <v>5988.5680825001673</v>
      </c>
      <c r="E34" s="1013"/>
      <c r="F34" s="1013">
        <f>SUM(F31,F27)/SUM('1501 Summary'!$H$128, '1501 Summary'!$H$154,'1501 Summary'!$H$74)</f>
        <v>5942.1493246374894</v>
      </c>
      <c r="G34" s="1013"/>
      <c r="H34" s="1013">
        <f>SUM(H31,H27)/SUM('1501 Summary'!$J$128, '1501 Summary'!$J$154,'1501 Summary'!$J$74)</f>
        <v>6348.5908796633494</v>
      </c>
      <c r="I34" s="1013"/>
      <c r="J34" s="1013">
        <f>SUM(J31,J27)/SUM('1501 Summary'!$L$128, '1501 Summary'!$L$154,'1501 Summary'!$L$74)</f>
        <v>5076.459877468832</v>
      </c>
      <c r="K34" s="1013"/>
      <c r="L34" s="1013">
        <f>SUM(L31,L27)/SUM('1501 Summary'!$N$128, '1501 Summary'!$N$154,'1501 Summary'!$N$74)</f>
        <v>4076.3556515104219</v>
      </c>
      <c r="M34" s="1013"/>
      <c r="N34" s="1013">
        <f>SUM(N31,N27)/SUM('1501 Summary'!$P$128, '1501 Summary'!$P$154,'1501 Summary'!$P$74)</f>
        <v>3214.6758922068466</v>
      </c>
      <c r="O34" s="1013"/>
      <c r="P34" s="1013">
        <f>SUM(P31,P27)/SUM('1501 Summary'!$R$128, '1501 Summary'!$R$154,'1501 Summary'!$R$74)</f>
        <v>3033.3779615269268</v>
      </c>
      <c r="Q34" s="1013"/>
      <c r="R34" s="1013">
        <f>SUM(R31,R27)/SUM('1501 Summary'!$T$128, '1501 Summary'!$T$154,'1501 Summary'!$T$74)</f>
        <v>3102.0790199432063</v>
      </c>
      <c r="S34" s="1013"/>
      <c r="T34" s="1013">
        <f>SUM(T31,T27)/SUM('1501 Summary'!$V$128, '1501 Summary'!$V$154,'1501 Summary'!$V$74)</f>
        <v>2845.3920718184572</v>
      </c>
      <c r="U34" s="1013"/>
      <c r="V34" s="1013">
        <f>SUM(V31,V27)/SUM('1501 Summary'!$X$128, '1501 Summary'!$X$154,'1501 Summary'!$X$74)</f>
        <v>4654.7173825871341</v>
      </c>
      <c r="W34" s="1013"/>
      <c r="X34" s="1013">
        <f>SUM(X31,X27)/SUM('1501 Summary'!$Z$128, '1501 Summary'!$Z$154,'1501 Summary'!$Z$74)</f>
        <v>8389.337180611501</v>
      </c>
      <c r="Y34" s="1013"/>
      <c r="Z34" s="1013">
        <f>SUM(Z31,Z27)/SUM('1501 Summary'!$AB$128, '1501 Summary'!$AB$154,'1501 Summary'!$AB$74)</f>
        <v>8109.9396685713436</v>
      </c>
      <c r="AA34" s="1014">
        <f>X31/SUM('1501 Summary'!$Z$128, '1501 Summary'!$Z$154)</f>
        <v>5517.3519124720879</v>
      </c>
      <c r="AB34" s="1014">
        <f>Z31/SUM('1501 Summary'!$AB$128, '1501 Summary'!$AB$154)</f>
        <v>4729.324471959213</v>
      </c>
    </row>
    <row r="35" spans="2:29">
      <c r="B35" s="904">
        <v>31</v>
      </c>
      <c r="C35" s="987" t="s">
        <v>2979</v>
      </c>
      <c r="D35" s="1013">
        <f>SUM(D32,D28)/SUM('1501 Summary'!$F$128, '1501 Summary'!$F$154,'1501 Summary'!$F$74)</f>
        <v>1756.317326084768</v>
      </c>
      <c r="E35" s="1013"/>
      <c r="F35" s="1013">
        <f>SUM(F32,F28)/SUM('1501 Summary'!$H$128, '1501 Summary'!$H$154,'1501 Summary'!$H$74)</f>
        <v>1912.568374777677</v>
      </c>
      <c r="G35" s="1013"/>
      <c r="H35" s="1013">
        <f>SUM(H32,H28)/SUM('1501 Summary'!$J$128, '1501 Summary'!$J$154,'1501 Summary'!$J$74)</f>
        <v>2255.2971576227392</v>
      </c>
      <c r="I35" s="1013"/>
      <c r="J35" s="1013">
        <f>SUM(J32,J28)/SUM('1501 Summary'!$L$128, '1501 Summary'!$L$154,'1501 Summary'!$L$74)</f>
        <v>913.10880941523908</v>
      </c>
      <c r="K35" s="1013"/>
      <c r="L35" s="1013">
        <f>SUM(L32,L28)/SUM('1501 Summary'!$N$128, '1501 Summary'!$N$154,'1501 Summary'!$N$74)</f>
        <v>278.70502206050378</v>
      </c>
      <c r="M35" s="1013"/>
      <c r="N35" s="1013">
        <f>SUM(N32,N28)/SUM('1501 Summary'!$P$128, '1501 Summary'!$P$154,'1501 Summary'!$P$74)</f>
        <v>446.84385382059804</v>
      </c>
      <c r="O35" s="1013"/>
      <c r="P35" s="1013">
        <f>SUM(P32,P28)/SUM('1501 Summary'!$R$128, '1501 Summary'!$R$154,'1501 Summary'!$R$74)</f>
        <v>697.77430351985754</v>
      </c>
      <c r="Q35" s="1013"/>
      <c r="R35" s="1013">
        <f>SUM(R32,R28)/SUM('1501 Summary'!$T$128, '1501 Summary'!$T$154,'1501 Summary'!$T$74)</f>
        <v>639.06827429168686</v>
      </c>
      <c r="S35" s="1013"/>
      <c r="T35" s="1013">
        <f>SUM(T32,T28)/SUM('1501 Summary'!$V$128, '1501 Summary'!$V$154,'1501 Summary'!$V$74)</f>
        <v>394.88844923911563</v>
      </c>
      <c r="U35" s="1013"/>
      <c r="V35" s="1013">
        <f>SUM(V32,V28)/SUM('1501 Summary'!$X$128, '1501 Summary'!$X$154,'1501 Summary'!$X$74)</f>
        <v>839.76424817814939</v>
      </c>
      <c r="W35" s="1013"/>
      <c r="X35" s="1013">
        <f>SUM(X32,X28)/SUM('1501 Summary'!$Z$128, '1501 Summary'!$Z$154,'1501 Summary'!$Z$74)</f>
        <v>10750.032017236574</v>
      </c>
      <c r="Y35" s="1013"/>
      <c r="Z35" s="1013">
        <f>SUM(Z32,Z28)/SUM('1501 Summary'!$AB$128, '1501 Summary'!$AB$154,'1501 Summary'!$AB$74)</f>
        <v>11729.861896009103</v>
      </c>
      <c r="AA35" s="1014">
        <f>X32/SUM('1501 Summary'!$Z$128, '1501 Summary'!$Z$154)</f>
        <v>1719.7579091266803</v>
      </c>
      <c r="AB35" s="1014">
        <f>Z32/SUM('1501 Summary'!$AB$128, '1501 Summary'!$AB$154)</f>
        <v>1524.0022968705139</v>
      </c>
    </row>
    <row r="36" spans="2:29" s="1008" customFormat="1">
      <c r="B36" s="904">
        <v>32</v>
      </c>
      <c r="C36" s="1009" t="s">
        <v>2980</v>
      </c>
      <c r="D36" s="1015">
        <f>SUM(D30:D32)/SUM('1501 Summary'!F128,'1501 Summary'!F154,'1501 Summary'!F74)</f>
        <v>20552.22379594775</v>
      </c>
      <c r="E36" s="1015"/>
      <c r="F36" s="1015">
        <f>SUM(F30:F32)/SUM('1501 Summary'!H128,'1501 Summary'!H154,'1501 Summary'!H74)</f>
        <v>21062.057672770494</v>
      </c>
      <c r="G36" s="1015"/>
      <c r="H36" s="1015">
        <f>SUM(H30:H32)/SUM('1501 Summary'!J128,'1501 Summary'!J154,'1501 Summary'!J74)</f>
        <v>22161.720091252126</v>
      </c>
      <c r="I36" s="1015"/>
      <c r="J36" s="1015">
        <f>SUM(J30:J32)/SUM('1501 Summary'!L128,'1501 Summary'!L154,'1501 Summary'!L74)</f>
        <v>16092.811575107053</v>
      </c>
      <c r="K36" s="1015"/>
      <c r="L36" s="1015">
        <f>SUM(L30:L32)/SUM('1501 Summary'!N128,'1501 Summary'!N154,'1501 Summary'!N74)</f>
        <v>11426.963607808124</v>
      </c>
      <c r="M36" s="1015"/>
      <c r="N36" s="1015">
        <f>SUM(N30:N32)/SUM('1501 Summary'!P128,'1501 Summary'!P154,'1501 Summary'!P74)</f>
        <v>8987.9278808096205</v>
      </c>
      <c r="O36" s="1015"/>
      <c r="P36" s="1015">
        <f>SUM(P30:P32)/SUM('1501 Summary'!R128,'1501 Summary'!R154,'1501 Summary'!R74)</f>
        <v>8486.1147050123036</v>
      </c>
      <c r="Q36" s="1015"/>
      <c r="R36" s="1015">
        <f>SUM(R30:R32)/SUM('1501 Summary'!T128,'1501 Summary'!T154,'1501 Summary'!T74)</f>
        <v>8455.9680913369102</v>
      </c>
      <c r="S36" s="1015"/>
      <c r="T36" s="1015">
        <f>SUM(T30:T32)/SUM('1501 Summary'!V128,'1501 Summary'!V154,'1501 Summary'!V74)</f>
        <v>7502.0916033317362</v>
      </c>
      <c r="U36" s="1015"/>
      <c r="V36" s="1015">
        <f>SUM(V30:V32)/SUM('1501 Summary'!X128,'1501 Summary'!X154,'1501 Summary'!X74)</f>
        <v>12522.973754619536</v>
      </c>
      <c r="W36" s="1015"/>
      <c r="X36" s="1016">
        <f>SUM(X26:X32)/SUM('1501 Summary'!Z128,'1501 Summary'!Z154,'1501 Summary'!Z74)</f>
        <v>29300.69693899338</v>
      </c>
      <c r="Y36" s="1017"/>
      <c r="Z36" s="1016">
        <f>SUM(Z26:Z32)/SUM('1501 Summary'!AB128,'1501 Summary'!AB154,'1501 Summary'!AB74)</f>
        <v>32409.968685680291</v>
      </c>
      <c r="AA36" s="1016">
        <f>SUM(X30:X32)/SUM('1501 Summary'!Z128,'1501 Summary'!Z154)</f>
        <v>16748.430113309845</v>
      </c>
      <c r="AB36" s="1018">
        <f>SUM(Z30:Z32)/SUM('1501 Summary'!AB128,'1501 Summary'!AB154)</f>
        <v>18278.040268093122</v>
      </c>
    </row>
    <row r="37" spans="2:29">
      <c r="B37" s="904">
        <v>33</v>
      </c>
      <c r="C37" s="982">
        <v>570</v>
      </c>
      <c r="D37" s="980"/>
      <c r="E37" s="980"/>
      <c r="F37" s="980"/>
      <c r="G37" s="980"/>
      <c r="H37" s="980"/>
      <c r="I37" s="980"/>
      <c r="J37" s="980"/>
      <c r="K37" s="980"/>
      <c r="L37" s="980"/>
      <c r="M37" s="980"/>
      <c r="N37" s="980"/>
      <c r="O37" s="980"/>
      <c r="P37" s="980"/>
      <c r="Q37" s="980"/>
      <c r="R37" s="980"/>
      <c r="S37" s="980"/>
      <c r="T37" s="980"/>
      <c r="U37" s="980"/>
      <c r="V37" s="980"/>
      <c r="W37" s="980"/>
      <c r="X37" s="980"/>
      <c r="Y37" s="980"/>
      <c r="Z37" s="981"/>
      <c r="AA37" s="826"/>
    </row>
    <row r="38" spans="2:29">
      <c r="B38" s="904">
        <v>34</v>
      </c>
      <c r="C38" s="998" t="s">
        <v>2709</v>
      </c>
      <c r="D38" s="980">
        <f>'1501 Summary'!F200</f>
        <v>121886.13046231792</v>
      </c>
      <c r="E38" s="980"/>
      <c r="F38" s="980">
        <f>'1501 Summary'!H200</f>
        <v>121680.05066497781</v>
      </c>
      <c r="G38" s="980"/>
      <c r="H38" s="980">
        <f>'1501 Summary'!J200</f>
        <v>123408.99303356554</v>
      </c>
      <c r="I38" s="980"/>
      <c r="J38" s="980">
        <f>'1501 Summary'!L200</f>
        <v>118029.8923369221</v>
      </c>
      <c r="K38" s="980"/>
      <c r="L38" s="980">
        <f>'1501 Summary'!N200</f>
        <v>102877.89740341988</v>
      </c>
      <c r="M38" s="980"/>
      <c r="N38" s="980">
        <f>'1501 Summary'!P200</f>
        <v>90281.950601646604</v>
      </c>
      <c r="O38" s="980"/>
      <c r="P38" s="980">
        <f>'1501 Summary'!R200</f>
        <v>80372.007599746677</v>
      </c>
      <c r="Q38" s="980"/>
      <c r="R38" s="980">
        <f>'1501 Summary'!T200</f>
        <v>99416.972767574407</v>
      </c>
      <c r="S38" s="980"/>
      <c r="T38" s="980">
        <f>'1501 Summary'!V200</f>
        <v>76300.949968334389</v>
      </c>
      <c r="U38" s="980"/>
      <c r="V38" s="980">
        <f>'1501 Summary'!X200</f>
        <v>80596.960101329954</v>
      </c>
      <c r="W38" s="980"/>
      <c r="X38" s="980">
        <f>'1501 Summary'!Z200</f>
        <v>134706.01646611778</v>
      </c>
      <c r="Y38" s="980"/>
      <c r="Z38" s="981">
        <f>'1501 Summary'!AB200</f>
        <v>112878.91070297657</v>
      </c>
      <c r="AA38" s="826"/>
    </row>
    <row r="39" spans="2:29">
      <c r="B39" s="904">
        <v>35</v>
      </c>
      <c r="C39" s="998" t="s">
        <v>2710</v>
      </c>
      <c r="D39" s="980">
        <f>'1501 Summary'!F201</f>
        <v>138595.64056939504</v>
      </c>
      <c r="E39" s="980"/>
      <c r="F39" s="980">
        <f>'1501 Summary'!H201</f>
        <v>137130.78291814946</v>
      </c>
      <c r="G39" s="980"/>
      <c r="H39" s="980">
        <f>'1501 Summary'!J201</f>
        <v>146774.91103202847</v>
      </c>
      <c r="I39" s="980"/>
      <c r="J39" s="980">
        <f>'1501 Summary'!L201</f>
        <v>130114.76868327403</v>
      </c>
      <c r="K39" s="980"/>
      <c r="L39" s="980">
        <f>'1501 Summary'!N201</f>
        <v>88588.967971530248</v>
      </c>
      <c r="M39" s="980"/>
      <c r="N39" s="980">
        <f>'1501 Summary'!P201</f>
        <v>51974.199288256234</v>
      </c>
      <c r="O39" s="980"/>
      <c r="P39" s="980">
        <f>'1501 Summary'!R201</f>
        <v>30615.213523131675</v>
      </c>
      <c r="Q39" s="980"/>
      <c r="R39" s="980">
        <f>'1501 Summary'!T201</f>
        <v>20611.20996441281</v>
      </c>
      <c r="S39" s="980"/>
      <c r="T39" s="980">
        <f>'1501 Summary'!V201</f>
        <v>17325.177935943062</v>
      </c>
      <c r="U39" s="980"/>
      <c r="V39" s="980">
        <f>'1501 Summary'!X201</f>
        <v>30845.195729537365</v>
      </c>
      <c r="W39" s="980"/>
      <c r="X39" s="980">
        <f>'1501 Summary'!Z201</f>
        <v>98114.32384341638</v>
      </c>
      <c r="Y39" s="980"/>
      <c r="Z39" s="981">
        <f>'1501 Summary'!AB201</f>
        <v>117354.09252669038</v>
      </c>
      <c r="AA39" s="826"/>
    </row>
    <row r="40" spans="2:29">
      <c r="B40" s="904">
        <v>36</v>
      </c>
      <c r="C40" s="998" t="s">
        <v>2981</v>
      </c>
      <c r="D40" s="1019">
        <f>D38/'1501 Summary'!F199</f>
        <v>15235.76630778974</v>
      </c>
      <c r="E40" s="1019"/>
      <c r="F40" s="1019">
        <f>F38/'1501 Summary'!H199</f>
        <v>15210.006333122226</v>
      </c>
      <c r="G40" s="1019"/>
      <c r="H40" s="1019">
        <f>H38/'1501 Summary'!J199</f>
        <v>15426.124129195692</v>
      </c>
      <c r="I40" s="1019"/>
      <c r="J40" s="1019">
        <f>J38/'1501 Summary'!L199</f>
        <v>14753.736542115263</v>
      </c>
      <c r="K40" s="1019"/>
      <c r="L40" s="1019">
        <f>L38/'1501 Summary'!N199</f>
        <v>14696.842486202839</v>
      </c>
      <c r="M40" s="1019"/>
      <c r="N40" s="1019">
        <f>N38/'1501 Summary'!P199</f>
        <v>12897.421514520944</v>
      </c>
      <c r="O40" s="1019"/>
      <c r="P40" s="1019">
        <f>P38/'1501 Summary'!R199</f>
        <v>11481.715371392382</v>
      </c>
      <c r="Q40" s="1019"/>
      <c r="R40" s="1019">
        <f>R38/'1501 Summary'!T199</f>
        <v>12427.121595946801</v>
      </c>
      <c r="S40" s="1019"/>
      <c r="T40" s="1019">
        <f>T38/'1501 Summary'!V199</f>
        <v>9537.6187460417987</v>
      </c>
      <c r="U40" s="1019"/>
      <c r="V40" s="1019">
        <f>V38/'1501 Summary'!X199</f>
        <v>10074.620012666244</v>
      </c>
      <c r="W40" s="1019"/>
      <c r="X40" s="1019">
        <f>X38/'1501 Summary'!Z199</f>
        <v>16838.252058264723</v>
      </c>
      <c r="Y40" s="1019"/>
      <c r="Z40" s="1020">
        <f>Z38/'1501 Summary'!AB199</f>
        <v>14109.863837872072</v>
      </c>
      <c r="AA40" s="826"/>
    </row>
    <row r="41" spans="2:29">
      <c r="B41" s="904">
        <v>37</v>
      </c>
      <c r="C41" s="998" t="s">
        <v>2982</v>
      </c>
      <c r="D41" s="1019">
        <f>D39/'1501 Summary'!F199</f>
        <v>17324.45507117438</v>
      </c>
      <c r="E41" s="1019"/>
      <c r="F41" s="1019">
        <f>F39/'1501 Summary'!H199</f>
        <v>17141.347864768682</v>
      </c>
      <c r="G41" s="1019"/>
      <c r="H41" s="1019">
        <f>H39/'1501 Summary'!J199</f>
        <v>18346.863879003558</v>
      </c>
      <c r="I41" s="1019"/>
      <c r="J41" s="1019">
        <f>J39/'1501 Summary'!L199</f>
        <v>16264.346085409254</v>
      </c>
      <c r="K41" s="1019"/>
      <c r="L41" s="1019">
        <f>L39/'1501 Summary'!N199</f>
        <v>12655.56685307575</v>
      </c>
      <c r="M41" s="1019"/>
      <c r="N41" s="1019">
        <f>N39/'1501 Summary'!P199</f>
        <v>7424.8856126080336</v>
      </c>
      <c r="O41" s="1019"/>
      <c r="P41" s="1019">
        <f>P39/'1501 Summary'!R199</f>
        <v>4373.6019318759536</v>
      </c>
      <c r="Q41" s="1019"/>
      <c r="R41" s="1019">
        <f>R39/'1501 Summary'!T199</f>
        <v>2576.4012455516013</v>
      </c>
      <c r="S41" s="1019"/>
      <c r="T41" s="1019">
        <f>T39/'1501 Summary'!V199</f>
        <v>2165.6472419928828</v>
      </c>
      <c r="U41" s="1019"/>
      <c r="V41" s="1019">
        <f>V39/'1501 Summary'!X199</f>
        <v>3855.6494661921706</v>
      </c>
      <c r="W41" s="1019"/>
      <c r="X41" s="1019">
        <f>X39/'1501 Summary'!Z199</f>
        <v>12264.290480427047</v>
      </c>
      <c r="Y41" s="1019"/>
      <c r="Z41" s="1020">
        <f>Z39/'1501 Summary'!AB199</f>
        <v>14669.261565836297</v>
      </c>
      <c r="AA41" s="826"/>
    </row>
    <row r="42" spans="2:29" s="1008" customFormat="1">
      <c r="B42" s="904">
        <v>38</v>
      </c>
      <c r="C42" s="982" t="s">
        <v>2983</v>
      </c>
      <c r="D42" s="1021">
        <f>SUM(D38:D39)/SUM('1501 Summary'!F199)</f>
        <v>32560.221378964117</v>
      </c>
      <c r="E42" s="1021"/>
      <c r="F42" s="1021">
        <f>SUM(F38:F39)/SUM('1501 Summary'!H199)</f>
        <v>32351.354197890909</v>
      </c>
      <c r="G42" s="1021"/>
      <c r="H42" s="1021">
        <f>SUM(H38:H39)/SUM('1501 Summary'!J199)</f>
        <v>33772.988008199252</v>
      </c>
      <c r="I42" s="1021"/>
      <c r="J42" s="1021">
        <f>SUM(J38:J39)/SUM('1501 Summary'!L199)</f>
        <v>31018.082627524516</v>
      </c>
      <c r="K42" s="1021"/>
      <c r="L42" s="1021">
        <f>SUM(L38:L39)/SUM('1501 Summary'!N199)</f>
        <v>27352.409339278587</v>
      </c>
      <c r="M42" s="1021"/>
      <c r="N42" s="1021">
        <f>SUM(N38:N39)/SUM('1501 Summary'!P199)</f>
        <v>20322.307127128977</v>
      </c>
      <c r="O42" s="1021"/>
      <c r="P42" s="1021">
        <f>SUM(P38:P39)/SUM('1501 Summary'!R199)</f>
        <v>15855.317303268337</v>
      </c>
      <c r="Q42" s="1021"/>
      <c r="R42" s="1021">
        <f>SUM(R38:R39)/SUM('1501 Summary'!T199)</f>
        <v>15003.522841498401</v>
      </c>
      <c r="S42" s="1021"/>
      <c r="T42" s="1021">
        <f>SUM(T38:T39)/SUM('1501 Summary'!V199)</f>
        <v>11703.265988034682</v>
      </c>
      <c r="U42" s="1021"/>
      <c r="V42" s="1021">
        <f>SUM(V38:V39)/SUM('1501 Summary'!X199)</f>
        <v>13930.269478858416</v>
      </c>
      <c r="W42" s="1021"/>
      <c r="X42" s="1021">
        <f>SUM(X38:X39)/SUM('1501 Summary'!Z199)</f>
        <v>29102.54253869177</v>
      </c>
      <c r="Y42" s="1021"/>
      <c r="Z42" s="1022">
        <f>SUM(Z38:Z39)/SUM('1501 Summary'!AB199)</f>
        <v>28779.125403708371</v>
      </c>
      <c r="AA42" s="826"/>
    </row>
    <row r="43" spans="2:29" s="1008" customFormat="1">
      <c r="B43" s="904">
        <v>39</v>
      </c>
      <c r="C43" s="1009" t="s">
        <v>2984</v>
      </c>
      <c r="D43" s="1023"/>
      <c r="E43" s="1023"/>
      <c r="F43" s="1023"/>
      <c r="G43" s="1023"/>
      <c r="H43" s="1023"/>
      <c r="I43" s="1023"/>
      <c r="J43" s="1023"/>
      <c r="K43" s="1023"/>
      <c r="L43" s="1023"/>
      <c r="M43" s="1023"/>
      <c r="N43" s="1023"/>
      <c r="O43" s="1023"/>
      <c r="P43" s="1023"/>
      <c r="Q43" s="1023"/>
      <c r="R43" s="1023"/>
      <c r="S43" s="1023"/>
      <c r="T43" s="1023"/>
      <c r="U43" s="1023"/>
      <c r="V43" s="1023"/>
      <c r="W43" s="1023"/>
      <c r="X43" s="1023"/>
      <c r="Y43" s="1024"/>
      <c r="Z43" s="1024"/>
      <c r="AA43" s="1873" t="s">
        <v>2985</v>
      </c>
      <c r="AB43" s="1874"/>
    </row>
    <row r="44" spans="2:29" s="1008" customFormat="1">
      <c r="B44" s="904">
        <v>40</v>
      </c>
      <c r="C44" s="987" t="s">
        <v>2716</v>
      </c>
      <c r="D44" s="1025">
        <f>'1501 Summary'!F223</f>
        <v>7862115.3629712993</v>
      </c>
      <c r="E44" s="1025"/>
      <c r="F44" s="1025">
        <f>'1501 Summary'!H223</f>
        <v>8453276.8711311202</v>
      </c>
      <c r="G44" s="1025"/>
      <c r="H44" s="1025">
        <f>'1501 Summary'!J223</f>
        <v>8557635.9032076523</v>
      </c>
      <c r="I44" s="1025"/>
      <c r="J44" s="1025">
        <f>'1501 Summary'!L223</f>
        <v>8253032.0765334833</v>
      </c>
      <c r="K44" s="1025"/>
      <c r="L44" s="1025">
        <f>'1501 Summary'!N223</f>
        <v>7503525.792534234</v>
      </c>
      <c r="M44" s="1025"/>
      <c r="N44" s="1025">
        <f>'1501 Summary'!P223</f>
        <v>7181359.7824048027</v>
      </c>
      <c r="O44" s="1025"/>
      <c r="P44" s="1025">
        <f>'1501 Summary'!R223</f>
        <v>7238910.3357718997</v>
      </c>
      <c r="Q44" s="1025"/>
      <c r="R44" s="1025">
        <f>'1501 Summary'!T223</f>
        <v>7149827.9872444198</v>
      </c>
      <c r="S44" s="1025"/>
      <c r="T44" s="1025">
        <f>'1501 Summary'!V223</f>
        <v>7170331.4575126609</v>
      </c>
      <c r="U44" s="1025"/>
      <c r="V44" s="1025">
        <f>'1501 Summary'!X223</f>
        <v>8230819.9212155314</v>
      </c>
      <c r="W44" s="1025"/>
      <c r="X44" s="1025">
        <f>'1501 Summary'!Z223</f>
        <v>8763705.8713187017</v>
      </c>
      <c r="Y44" s="1025"/>
      <c r="Z44" s="1026">
        <f>'1501 Summary'!AB223</f>
        <v>7999591.071093603</v>
      </c>
      <c r="AA44" s="1027">
        <f>X44+AD17</f>
        <v>9214061.8630702011</v>
      </c>
      <c r="AB44" s="1027">
        <f>Z44+AD11</f>
        <v>8497698.012281673</v>
      </c>
      <c r="AC44" s="1028"/>
    </row>
    <row r="45" spans="2:29" s="1008" customFormat="1">
      <c r="B45" s="904">
        <v>41</v>
      </c>
      <c r="C45" s="987" t="s">
        <v>2494</v>
      </c>
      <c r="D45" s="1025">
        <f>'1501 Summary'!F224</f>
        <v>5476198.4575835476</v>
      </c>
      <c r="E45" s="1025"/>
      <c r="F45" s="1025">
        <f>'1501 Summary'!H224</f>
        <v>5770126.992287918</v>
      </c>
      <c r="G45" s="1025"/>
      <c r="H45" s="1025">
        <f>'1501 Summary'!J224</f>
        <v>5321246.7866323907</v>
      </c>
      <c r="I45" s="1025"/>
      <c r="J45" s="1025">
        <f>'1501 Summary'!L224</f>
        <v>5312761.4395886892</v>
      </c>
      <c r="K45" s="1025"/>
      <c r="L45" s="1025">
        <f>'1501 Summary'!N224</f>
        <v>5304661.1825192804</v>
      </c>
      <c r="M45" s="1025"/>
      <c r="N45" s="1025">
        <f>'1501 Summary'!P224</f>
        <v>5195831.3624678664</v>
      </c>
      <c r="O45" s="1025"/>
      <c r="P45" s="1025">
        <f>'1501 Summary'!R224</f>
        <v>6592056.5552699231</v>
      </c>
      <c r="Q45" s="1025"/>
      <c r="R45" s="1025">
        <f>'1501 Summary'!T224</f>
        <v>4648257.5835475586</v>
      </c>
      <c r="S45" s="1025"/>
      <c r="T45" s="1025">
        <f>'1501 Summary'!V224</f>
        <v>4665568.6375321336</v>
      </c>
      <c r="U45" s="1025"/>
      <c r="V45" s="1025">
        <f>'1501 Summary'!X224</f>
        <v>5363985.6041131113</v>
      </c>
      <c r="W45" s="1025"/>
      <c r="X45" s="1025">
        <f>'1501 Summary'!Z224</f>
        <v>6149301.2853470445</v>
      </c>
      <c r="Y45" s="1025"/>
      <c r="Z45" s="1026">
        <f>'1501 Summary'!AB224</f>
        <v>4930934.7043701801</v>
      </c>
      <c r="AA45" s="1027">
        <f>X45+AD18</f>
        <v>6349301.2853470445</v>
      </c>
      <c r="AB45" s="1027">
        <f>Z45+AD12</f>
        <v>5130934.7043701801</v>
      </c>
    </row>
    <row r="46" spans="2:29">
      <c r="B46" s="904">
        <v>42</v>
      </c>
      <c r="C46" s="987" t="s">
        <v>2494</v>
      </c>
      <c r="D46" s="1025">
        <f>'1501 Summary'!F225</f>
        <v>2797255.4991539759</v>
      </c>
      <c r="E46" s="1025"/>
      <c r="F46" s="1025">
        <f>'1501 Summary'!H225</f>
        <v>2945891.708967851</v>
      </c>
      <c r="G46" s="1025"/>
      <c r="H46" s="1025">
        <f>'1501 Summary'!J225</f>
        <v>2863669.2047377327</v>
      </c>
      <c r="I46" s="1025"/>
      <c r="J46" s="1025">
        <f>'1501 Summary'!L225</f>
        <v>2573247.8849407784</v>
      </c>
      <c r="K46" s="1025"/>
      <c r="L46" s="1025">
        <f>'1501 Summary'!N225</f>
        <v>2547390.8629441625</v>
      </c>
      <c r="M46" s="1025"/>
      <c r="N46" s="1025">
        <f>'1501 Summary'!P225</f>
        <v>2762310.4906937391</v>
      </c>
      <c r="O46" s="1025"/>
      <c r="P46" s="1025">
        <f>'1501 Summary'!R225</f>
        <v>0</v>
      </c>
      <c r="Q46" s="1025"/>
      <c r="R46" s="1025">
        <f>'1501 Summary'!T225</f>
        <v>2180871.4043993233</v>
      </c>
      <c r="S46" s="1025"/>
      <c r="T46" s="1025">
        <f>'1501 Summary'!V225</f>
        <v>2310089.6785109979</v>
      </c>
      <c r="U46" s="1025"/>
      <c r="V46" s="1025">
        <f>'1501 Summary'!X225</f>
        <v>2455660.7445008457</v>
      </c>
      <c r="W46" s="1025"/>
      <c r="X46" s="1025">
        <f>'1501 Summary'!Z225</f>
        <v>2629170.8967851098</v>
      </c>
      <c r="Y46" s="1025"/>
      <c r="Z46" s="1026">
        <f>'1501 Summary'!AB225</f>
        <v>2231098.9847715735</v>
      </c>
      <c r="AA46" s="1027">
        <f>X46+AD19</f>
        <v>3326176.0647437661</v>
      </c>
      <c r="AB46" s="1027">
        <f>Z46+AD13</f>
        <v>3031735.3819661103</v>
      </c>
    </row>
    <row r="47" spans="2:29">
      <c r="B47" s="904">
        <v>43</v>
      </c>
      <c r="C47" s="987" t="s">
        <v>2717</v>
      </c>
      <c r="D47" s="1025">
        <f>'1501 Summary'!F226</f>
        <v>13211284.697508896</v>
      </c>
      <c r="E47" s="1025"/>
      <c r="F47" s="1025">
        <f>'1501 Summary'!H226</f>
        <v>13907637.010676157</v>
      </c>
      <c r="G47" s="1025"/>
      <c r="H47" s="1025">
        <f>'1501 Summary'!J226</f>
        <v>13482677.935943061</v>
      </c>
      <c r="I47" s="1025"/>
      <c r="J47" s="1025">
        <f>'1501 Summary'!L226</f>
        <v>13298076.512455516</v>
      </c>
      <c r="K47" s="1025"/>
      <c r="L47" s="1025">
        <f>'1501 Summary'!N226</f>
        <v>12506341.637010677</v>
      </c>
      <c r="M47" s="1025"/>
      <c r="N47" s="1025">
        <f>'1501 Summary'!P226</f>
        <v>14683366.548042705</v>
      </c>
      <c r="O47" s="1025"/>
      <c r="P47" s="1025">
        <f>'1501 Summary'!R226</f>
        <v>12263814.946619216</v>
      </c>
      <c r="Q47" s="1025"/>
      <c r="R47" s="1025">
        <f>'1501 Summary'!T226</f>
        <v>12690279.359430604</v>
      </c>
      <c r="S47" s="1025"/>
      <c r="T47" s="1025">
        <f>'1501 Summary'!V226</f>
        <v>14033218.861209964</v>
      </c>
      <c r="U47" s="1025"/>
      <c r="V47" s="1025">
        <f>'1501 Summary'!X226</f>
        <v>15854873.665480427</v>
      </c>
      <c r="W47" s="1025"/>
      <c r="X47" s="1025">
        <f>'1501 Summary'!Z226</f>
        <v>16079957.295373665</v>
      </c>
      <c r="Y47" s="1025"/>
      <c r="Z47" s="1026">
        <f>'1501 Summary'!AB226</f>
        <v>14656001.77935943</v>
      </c>
      <c r="AA47" s="1027">
        <f>X47+AD20</f>
        <v>16079957.295373665</v>
      </c>
      <c r="AB47" s="1027">
        <f>Z47+AD14</f>
        <v>14656001.77935943</v>
      </c>
    </row>
    <row r="48" spans="2:29">
      <c r="B48" s="904">
        <v>44</v>
      </c>
      <c r="C48" s="987" t="s">
        <v>2986</v>
      </c>
      <c r="D48" s="1029">
        <f>D44/'1501 Summary'!F220</f>
        <v>42269.437435329564</v>
      </c>
      <c r="E48" s="1029"/>
      <c r="F48" s="1029">
        <f>F44/'1501 Summary'!H220</f>
        <v>45447.725113608176</v>
      </c>
      <c r="G48" s="1029"/>
      <c r="H48" s="1029">
        <f>H44/'1501 Summary'!J220</f>
        <v>46257.491368690011</v>
      </c>
      <c r="I48" s="1029"/>
      <c r="J48" s="1029">
        <f>J44/'1501 Summary'!L220</f>
        <v>44610.98419747829</v>
      </c>
      <c r="K48" s="1029"/>
      <c r="L48" s="1029">
        <f>L44/'1501 Summary'!N220</f>
        <v>40125.806377188419</v>
      </c>
      <c r="M48" s="1029"/>
      <c r="N48" s="1029">
        <f>N44/'1501 Summary'!P220</f>
        <v>37996.612605316419</v>
      </c>
      <c r="O48" s="1029"/>
      <c r="P48" s="1029">
        <f>P44/'1501 Summary'!R220</f>
        <v>38504.842211552655</v>
      </c>
      <c r="Q48" s="1029"/>
      <c r="R48" s="1029">
        <f>R44/'1501 Summary'!T220</f>
        <v>38030.999932151171</v>
      </c>
      <c r="S48" s="1029"/>
      <c r="T48" s="1029">
        <f>T44/'1501 Summary'!V220</f>
        <v>38344.018489372516</v>
      </c>
      <c r="U48" s="1029"/>
      <c r="V48" s="1029">
        <f>V44/'1501 Summary'!X220</f>
        <v>44251.720006535113</v>
      </c>
      <c r="W48" s="1029"/>
      <c r="X48" s="1029">
        <f>X44/'1501 Summary'!Z220</f>
        <v>48959.250677758107</v>
      </c>
      <c r="Y48" s="1029"/>
      <c r="Z48" s="1030">
        <f>Z44/'1501 Summary'!AB220</f>
        <v>44196.635751898357</v>
      </c>
      <c r="AA48" s="1027">
        <f>AA44/SUM('1501 Summary'!$Z$220,'1501 Summary'!$Z$74)</f>
        <v>49537.967005753766</v>
      </c>
      <c r="AB48" s="1027">
        <f>AB44/SUM('1501 Summary'!$AB$220,'1501 Summary'!$AB$74)</f>
        <v>45200.521341923792</v>
      </c>
    </row>
    <row r="49" spans="2:28">
      <c r="B49" s="904">
        <v>45</v>
      </c>
      <c r="C49" s="987" t="s">
        <v>2987</v>
      </c>
      <c r="D49" s="1029">
        <f>D45/'1501 Summary'!F220</f>
        <v>29441.927191309394</v>
      </c>
      <c r="E49" s="1029"/>
      <c r="F49" s="1029">
        <f>F45/'1501 Summary'!H220</f>
        <v>31022.188130580205</v>
      </c>
      <c r="G49" s="1029"/>
      <c r="H49" s="1029">
        <f>H45/'1501 Summary'!J220</f>
        <v>28763.49614395887</v>
      </c>
      <c r="I49" s="1029"/>
      <c r="J49" s="1029">
        <f>J45/'1501 Summary'!L220</f>
        <v>28717.629403182105</v>
      </c>
      <c r="K49" s="1029"/>
      <c r="L49" s="1029">
        <f>L45/'1501 Summary'!N220</f>
        <v>28367.172099033585</v>
      </c>
      <c r="M49" s="1029"/>
      <c r="N49" s="1029">
        <f>N45/'1501 Summary'!P220</f>
        <v>27491.171229988711</v>
      </c>
      <c r="O49" s="1029"/>
      <c r="P49" s="1029">
        <f>P45/'1501 Summary'!R220</f>
        <v>35064.130613137888</v>
      </c>
      <c r="Q49" s="1029"/>
      <c r="R49" s="1029">
        <f>R45/'1501 Summary'!T220</f>
        <v>24724.774380572122</v>
      </c>
      <c r="S49" s="1029"/>
      <c r="T49" s="1029">
        <f>T45/'1501 Summary'!V220</f>
        <v>24949.564906588948</v>
      </c>
      <c r="U49" s="1029"/>
      <c r="V49" s="1029">
        <f>V45/'1501 Summary'!X220</f>
        <v>28838.632280178019</v>
      </c>
      <c r="W49" s="1029"/>
      <c r="X49" s="1029">
        <f>X45/'1501 Summary'!Z220</f>
        <v>34353.638465625947</v>
      </c>
      <c r="Y49" s="1029"/>
      <c r="Z49" s="1030">
        <f>Z45/'1501 Summary'!AB220</f>
        <v>27242.733173315912</v>
      </c>
      <c r="AA49" s="1027">
        <f>AA45/SUM('1501 Summary'!$Z$220,'1501 Summary'!$Z$74)</f>
        <v>34136.028415844325</v>
      </c>
      <c r="AB49" s="1027">
        <f>AB45/SUM('1501 Summary'!$AB$220,'1501 Summary'!$AB$74)</f>
        <v>27292.205874309468</v>
      </c>
    </row>
    <row r="50" spans="2:28">
      <c r="B50" s="904">
        <v>46</v>
      </c>
      <c r="C50" s="987" t="s">
        <v>2987</v>
      </c>
      <c r="D50" s="1029">
        <f>D46/'1501 Summary'!F220</f>
        <v>15039.008059967613</v>
      </c>
      <c r="E50" s="1029"/>
      <c r="F50" s="1029">
        <f>F46/'1501 Summary'!H220</f>
        <v>15838.127467569091</v>
      </c>
      <c r="G50" s="1029"/>
      <c r="H50" s="1029">
        <f>H46/'1501 Summary'!J220</f>
        <v>15479.292998582339</v>
      </c>
      <c r="I50" s="1029"/>
      <c r="J50" s="1029">
        <f>J46/'1501 Summary'!L220</f>
        <v>13909.44802670691</v>
      </c>
      <c r="K50" s="1029"/>
      <c r="L50" s="1029">
        <f>L46/'1501 Summary'!N220</f>
        <v>13622.411031786965</v>
      </c>
      <c r="M50" s="1029"/>
      <c r="N50" s="1029">
        <f>N46/'1501 Summary'!P220</f>
        <v>14615.399421659995</v>
      </c>
      <c r="O50" s="1029"/>
      <c r="P50" s="1029">
        <f>P46/'1501 Summary'!R220</f>
        <v>0</v>
      </c>
      <c r="Q50" s="1029"/>
      <c r="R50" s="1029">
        <f>R46/'1501 Summary'!T220</f>
        <v>11600.379810634699</v>
      </c>
      <c r="S50" s="1029"/>
      <c r="T50" s="1029">
        <f>T46/'1501 Summary'!V220</f>
        <v>12353.420740700523</v>
      </c>
      <c r="U50" s="1029"/>
      <c r="V50" s="1029">
        <f>V46/'1501 Summary'!X220</f>
        <v>13202.477120972289</v>
      </c>
      <c r="W50" s="1029"/>
      <c r="X50" s="1029">
        <f>X46/'1501 Summary'!Z220</f>
        <v>14688.105568631898</v>
      </c>
      <c r="Y50" s="1029"/>
      <c r="Z50" s="1030">
        <f>Z46/'1501 Summary'!AB220</f>
        <v>12326.513728019743</v>
      </c>
      <c r="AA50" s="1027">
        <f>AA46/SUM('1501 Summary'!$Z$220,'1501 Summary'!$Z$74)</f>
        <v>17882.667014751431</v>
      </c>
      <c r="AB50" s="1027">
        <f>AB46/SUM('1501 Summary'!$AB$220,'1501 Summary'!$AB$74)</f>
        <v>16126.25203173463</v>
      </c>
    </row>
    <row r="51" spans="2:28">
      <c r="B51" s="904">
        <v>47</v>
      </c>
      <c r="C51" s="987" t="s">
        <v>2988</v>
      </c>
      <c r="D51" s="1029">
        <f>D47/'1501 Summary'!F220</f>
        <v>71028.412352198371</v>
      </c>
      <c r="E51" s="1029"/>
      <c r="F51" s="1029">
        <f>F47/'1501 Summary'!H220</f>
        <v>74772.241992882569</v>
      </c>
      <c r="G51" s="1029"/>
      <c r="H51" s="1029">
        <f>H47/'1501 Summary'!J220</f>
        <v>72879.340194286822</v>
      </c>
      <c r="I51" s="1029"/>
      <c r="J51" s="1029">
        <f>J47/'1501 Summary'!L220</f>
        <v>71881.494661921708</v>
      </c>
      <c r="K51" s="1029"/>
      <c r="L51" s="1029">
        <f>L47/'1501 Summary'!N220</f>
        <v>66878.832283479554</v>
      </c>
      <c r="M51" s="1029"/>
      <c r="N51" s="1029">
        <f>N47/'1501 Summary'!P220</f>
        <v>77689.770095464046</v>
      </c>
      <c r="O51" s="1029"/>
      <c r="P51" s="1029">
        <f>P47/'1501 Summary'!R220</f>
        <v>65233.058226697962</v>
      </c>
      <c r="Q51" s="1029"/>
      <c r="R51" s="1029">
        <f>R47/'1501 Summary'!T220</f>
        <v>67501.485954418109</v>
      </c>
      <c r="S51" s="1029"/>
      <c r="T51" s="1029">
        <f>T47/'1501 Summary'!V220</f>
        <v>75043.951129465044</v>
      </c>
      <c r="U51" s="1029"/>
      <c r="V51" s="1029">
        <f>V47/'1501 Summary'!X220</f>
        <v>85241.256266023804</v>
      </c>
      <c r="W51" s="1029"/>
      <c r="X51" s="1029">
        <f>X47/'1501 Summary'!Z220</f>
        <v>89832.163661305385</v>
      </c>
      <c r="Y51" s="1029"/>
      <c r="Z51" s="1030">
        <f>Z47/'1501 Summary'!AB220</f>
        <v>80972.385521322823</v>
      </c>
      <c r="AA51" s="1027">
        <f>AA47/SUM('1501 Summary'!$Z$220,'1501 Summary'!$Z$74)</f>
        <v>86451.383308460572</v>
      </c>
      <c r="AB51" s="1027">
        <f>AB47/SUM('1501 Summary'!$AB$220,'1501 Summary'!$AB$74)</f>
        <v>77957.456273188451</v>
      </c>
    </row>
    <row r="52" spans="2:28">
      <c r="B52" s="904">
        <v>48</v>
      </c>
      <c r="C52" s="1009" t="s">
        <v>2989</v>
      </c>
      <c r="D52" s="1015">
        <f>SUM(D44:D47)/'1501 Summary'!F220</f>
        <v>157778.78503880493</v>
      </c>
      <c r="E52" s="1015"/>
      <c r="F52" s="1015">
        <f>SUM(F44:F47)/'1501 Summary'!H220</f>
        <v>167080.28270464001</v>
      </c>
      <c r="G52" s="1015"/>
      <c r="H52" s="1015">
        <f>SUM(H44:H47)/'1501 Summary'!J220</f>
        <v>163379.62070551806</v>
      </c>
      <c r="I52" s="1015"/>
      <c r="J52" s="1015">
        <f>SUM(J44:J47)/'1501 Summary'!L220</f>
        <v>159119.556289289</v>
      </c>
      <c r="K52" s="1015"/>
      <c r="L52" s="1015">
        <f>SUM(L44:L47)/'1501 Summary'!N220</f>
        <v>148994.22179148853</v>
      </c>
      <c r="M52" s="1015"/>
      <c r="N52" s="1015">
        <f>SUM(N44:N47)/'1501 Summary'!P220</f>
        <v>157792.95335242918</v>
      </c>
      <c r="O52" s="1015"/>
      <c r="P52" s="1015">
        <f>SUM(P44:P47)/'1501 Summary'!R220</f>
        <v>138802.03105138851</v>
      </c>
      <c r="Q52" s="1015"/>
      <c r="R52" s="1015">
        <f>SUM(R44:R47)/'1501 Summary'!T220</f>
        <v>141857.6400777761</v>
      </c>
      <c r="S52" s="1015"/>
      <c r="T52" s="1015">
        <f>SUM(T44:T47)/'1501 Summary'!V220</f>
        <v>150690.95526612704</v>
      </c>
      <c r="U52" s="1015"/>
      <c r="V52" s="1015">
        <f>SUM(V44:V47)/'1501 Summary'!X220</f>
        <v>171534.08567370923</v>
      </c>
      <c r="W52" s="1015"/>
      <c r="X52" s="1015">
        <f>SUM(X44:X47)/'1501 Summary'!Z220</f>
        <v>187833.15837332135</v>
      </c>
      <c r="Y52" s="1015"/>
      <c r="Z52" s="1031">
        <f>SUM(Z44:Z47)/'1501 Summary'!AB220</f>
        <v>164738.26817455681</v>
      </c>
      <c r="AA52" s="1032">
        <f>SUM(AA44:AA47)/SUM('1501 Summary'!Z220,'1501 Summary'!Z74)</f>
        <v>188008.04574481008</v>
      </c>
      <c r="AB52" s="1033">
        <f>SUM(AB44:AB47)/SUM('1501 Summary'!AB220,'1501 Summary'!AB74)</f>
        <v>166576.43552115635</v>
      </c>
    </row>
    <row r="53" spans="2:28">
      <c r="B53" s="904">
        <v>49</v>
      </c>
      <c r="C53" s="1034" t="s">
        <v>2990</v>
      </c>
      <c r="D53" s="1035"/>
      <c r="E53" s="1035"/>
      <c r="F53" s="1036"/>
      <c r="G53" s="1037"/>
      <c r="H53" s="1038"/>
      <c r="I53" s="1038"/>
      <c r="J53" s="1039"/>
      <c r="K53" s="1039"/>
      <c r="L53" s="1038"/>
      <c r="M53" s="1038"/>
      <c r="N53" s="1038"/>
      <c r="O53" s="1038"/>
      <c r="P53" s="1039"/>
      <c r="Q53" s="1039"/>
      <c r="R53" s="1038"/>
      <c r="S53" s="1038"/>
      <c r="T53" s="1038"/>
      <c r="U53" s="1038"/>
      <c r="V53" s="1038"/>
      <c r="W53" s="1038"/>
      <c r="X53" s="1038"/>
      <c r="Y53" s="1040"/>
      <c r="Z53" s="1041"/>
      <c r="AA53" s="826"/>
    </row>
    <row r="54" spans="2:28">
      <c r="B54" s="904">
        <v>50</v>
      </c>
      <c r="C54" s="979" t="s">
        <v>2716</v>
      </c>
      <c r="D54" s="1042">
        <f>'1501 Summary'!F322</f>
        <v>100000</v>
      </c>
      <c r="E54" s="1042"/>
      <c r="F54" s="1042">
        <f>'1501 Summary'!H322</f>
        <v>100000</v>
      </c>
      <c r="G54" s="1042"/>
      <c r="H54" s="1042">
        <f>'1501 Summary'!J322</f>
        <v>100000</v>
      </c>
      <c r="I54" s="1042"/>
      <c r="J54" s="1042">
        <f>'1501 Summary'!L322</f>
        <v>100000</v>
      </c>
      <c r="K54" s="1042"/>
      <c r="L54" s="1042">
        <f>'1501 Summary'!N322</f>
        <v>100000</v>
      </c>
      <c r="M54" s="1042"/>
      <c r="N54" s="1042">
        <f>'1501 Summary'!P322</f>
        <v>100000</v>
      </c>
      <c r="O54" s="1042"/>
      <c r="P54" s="1042">
        <f>'1501 Summary'!R322</f>
        <v>100000</v>
      </c>
      <c r="Q54" s="1042"/>
      <c r="R54" s="1042">
        <f>'1501 Summary'!T322</f>
        <v>100000</v>
      </c>
      <c r="S54" s="1042"/>
      <c r="T54" s="1042">
        <f>'1501 Summary'!V322</f>
        <v>100000</v>
      </c>
      <c r="U54" s="1042"/>
      <c r="V54" s="1042">
        <f>'1501 Summary'!X322</f>
        <v>100000</v>
      </c>
      <c r="W54" s="1042"/>
      <c r="X54" s="1042">
        <f>'1501 Summary'!Z322</f>
        <v>100000</v>
      </c>
      <c r="Y54" s="1042"/>
      <c r="Z54" s="1043">
        <f>'1501 Summary'!AB322</f>
        <v>100000</v>
      </c>
      <c r="AA54" s="826"/>
    </row>
    <row r="55" spans="2:28">
      <c r="B55" s="904">
        <v>51</v>
      </c>
      <c r="C55" s="979" t="s">
        <v>2494</v>
      </c>
      <c r="D55" s="1042">
        <f>'1501 Summary'!F323</f>
        <v>200000.00000000003</v>
      </c>
      <c r="E55" s="1042"/>
      <c r="F55" s="1042">
        <f>'1501 Summary'!H323</f>
        <v>200000.00000000003</v>
      </c>
      <c r="G55" s="1042"/>
      <c r="H55" s="1042">
        <f>'1501 Summary'!J323</f>
        <v>200000.00000000003</v>
      </c>
      <c r="I55" s="1042"/>
      <c r="J55" s="1042">
        <f>'1501 Summary'!L323</f>
        <v>200000.00000000003</v>
      </c>
      <c r="K55" s="1042"/>
      <c r="L55" s="1042">
        <f>'1501 Summary'!N323</f>
        <v>200000.00000000003</v>
      </c>
      <c r="M55" s="1042"/>
      <c r="N55" s="1042">
        <f>'1501 Summary'!P323</f>
        <v>200000.00000000003</v>
      </c>
      <c r="O55" s="1042"/>
      <c r="P55" s="1042">
        <f>'1501 Summary'!R323</f>
        <v>321542.41645244218</v>
      </c>
      <c r="Q55" s="1042"/>
      <c r="R55" s="1042">
        <f>'1501 Summary'!T323</f>
        <v>200000.00000000003</v>
      </c>
      <c r="S55" s="1042"/>
      <c r="T55" s="1042">
        <f>'1501 Summary'!V323</f>
        <v>200000.00000000003</v>
      </c>
      <c r="U55" s="1042"/>
      <c r="V55" s="1042">
        <f>'1501 Summary'!X323</f>
        <v>200000.00000000003</v>
      </c>
      <c r="W55" s="1042"/>
      <c r="X55" s="1042">
        <f>'1501 Summary'!Z323</f>
        <v>200000.00000000003</v>
      </c>
      <c r="Y55" s="1042"/>
      <c r="Z55" s="1043">
        <f>'1501 Summary'!AB323</f>
        <v>200000.00000000003</v>
      </c>
      <c r="AA55" s="826"/>
    </row>
    <row r="56" spans="2:28">
      <c r="B56" s="904">
        <v>52</v>
      </c>
      <c r="C56" s="979" t="s">
        <v>2494</v>
      </c>
      <c r="D56" s="1042">
        <f>'1501 Summary'!F324</f>
        <v>200000</v>
      </c>
      <c r="E56" s="1042"/>
      <c r="F56" s="1042">
        <f>'1501 Summary'!H324</f>
        <v>200000</v>
      </c>
      <c r="G56" s="1042"/>
      <c r="H56" s="1042">
        <f>'1501 Summary'!J324</f>
        <v>200000</v>
      </c>
      <c r="I56" s="1042"/>
      <c r="J56" s="1042">
        <f>'1501 Summary'!L324</f>
        <v>200000</v>
      </c>
      <c r="K56" s="1042"/>
      <c r="L56" s="1042">
        <f>'1501 Summary'!N324</f>
        <v>200000</v>
      </c>
      <c r="M56" s="1042"/>
      <c r="N56" s="1042">
        <f>'1501 Summary'!P324</f>
        <v>200000</v>
      </c>
      <c r="O56" s="1042"/>
      <c r="P56" s="1042">
        <f>'1501 Summary'!R324</f>
        <v>0</v>
      </c>
      <c r="Q56" s="1042"/>
      <c r="R56" s="1042">
        <f>'1501 Summary'!T324</f>
        <v>200000</v>
      </c>
      <c r="S56" s="1042"/>
      <c r="T56" s="1042">
        <f>'1501 Summary'!V324</f>
        <v>200000</v>
      </c>
      <c r="U56" s="1042"/>
      <c r="V56" s="1042">
        <f>'1501 Summary'!X324</f>
        <v>200000</v>
      </c>
      <c r="W56" s="1042"/>
      <c r="X56" s="1042">
        <f>'1501 Summary'!Z324</f>
        <v>200000</v>
      </c>
      <c r="Y56" s="1042"/>
      <c r="Z56" s="1043">
        <f>'1501 Summary'!AB324</f>
        <v>200000</v>
      </c>
      <c r="AA56" s="826"/>
    </row>
    <row r="57" spans="2:28">
      <c r="B57" s="904">
        <v>53</v>
      </c>
      <c r="C57" s="979" t="s">
        <v>2717</v>
      </c>
      <c r="D57" s="1042">
        <f>'1501 Summary'!F325</f>
        <v>13882578.291814946</v>
      </c>
      <c r="E57" s="1042"/>
      <c r="F57" s="1042">
        <f>'1501 Summary'!H325</f>
        <v>14444498.22064057</v>
      </c>
      <c r="G57" s="1042"/>
      <c r="H57" s="1042">
        <f>'1501 Summary'!J325</f>
        <v>6908861.2099644132</v>
      </c>
      <c r="I57" s="1042"/>
      <c r="J57" s="1042">
        <f>'1501 Summary'!L325</f>
        <v>9317658.3629893232</v>
      </c>
      <c r="K57" s="1042"/>
      <c r="L57" s="1042">
        <f>'1501 Summary'!N325</f>
        <v>7094206.4056939511</v>
      </c>
      <c r="M57" s="1042"/>
      <c r="N57" s="1042">
        <f>'1501 Summary'!P325</f>
        <v>4840649.466192171</v>
      </c>
      <c r="O57" s="1042"/>
      <c r="P57" s="1042">
        <f>'1501 Summary'!R325</f>
        <v>7324546.263345195</v>
      </c>
      <c r="Q57" s="1042"/>
      <c r="R57" s="1042">
        <f>'1501 Summary'!T325</f>
        <v>14001183.274021352</v>
      </c>
      <c r="S57" s="1042"/>
      <c r="T57" s="1042">
        <f>'1501 Summary'!V325</f>
        <v>15664686.832740212</v>
      </c>
      <c r="U57" s="1042"/>
      <c r="V57" s="1042">
        <f>'1501 Summary'!X325</f>
        <v>15153555.160142347</v>
      </c>
      <c r="W57" s="1042"/>
      <c r="X57" s="1042">
        <f>'1501 Summary'!Z325</f>
        <v>10566763.345195729</v>
      </c>
      <c r="Y57" s="1042"/>
      <c r="Z57" s="1043">
        <f>'1501 Summary'!AB325</f>
        <v>12199044.483985767</v>
      </c>
      <c r="AA57" s="826"/>
    </row>
    <row r="58" spans="2:28">
      <c r="B58" s="904">
        <v>54</v>
      </c>
      <c r="C58" s="979" t="s">
        <v>2986</v>
      </c>
      <c r="D58" s="1042">
        <f>D54/'1501 Summary'!F319</f>
        <v>50000</v>
      </c>
      <c r="E58" s="1042"/>
      <c r="F58" s="1042">
        <f>F54/'1501 Summary'!H319</f>
        <v>50000</v>
      </c>
      <c r="G58" s="1042"/>
      <c r="H58" s="1042">
        <f>H54/'1501 Summary'!J319</f>
        <v>50000</v>
      </c>
      <c r="I58" s="1042"/>
      <c r="J58" s="1042">
        <f>J54/'1501 Summary'!L319</f>
        <v>50000</v>
      </c>
      <c r="K58" s="1042"/>
      <c r="L58" s="1042">
        <f>L54/'1501 Summary'!N319</f>
        <v>50000</v>
      </c>
      <c r="M58" s="1042"/>
      <c r="N58" s="1042">
        <f>N54/'1501 Summary'!P319</f>
        <v>50000</v>
      </c>
      <c r="O58" s="1042"/>
      <c r="P58" s="1042">
        <f>P54/'1501 Summary'!R319</f>
        <v>50000</v>
      </c>
      <c r="Q58" s="1042"/>
      <c r="R58" s="1042">
        <f>R54/'1501 Summary'!T319</f>
        <v>50000</v>
      </c>
      <c r="S58" s="1042"/>
      <c r="T58" s="1042">
        <f>T54/'1501 Summary'!V319</f>
        <v>50000</v>
      </c>
      <c r="U58" s="1042"/>
      <c r="V58" s="1042">
        <f>V54/'1501 Summary'!X319</f>
        <v>50000</v>
      </c>
      <c r="W58" s="1042"/>
      <c r="X58" s="1042">
        <f>X54/'1501 Summary'!Z319</f>
        <v>50000</v>
      </c>
      <c r="Y58" s="1042"/>
      <c r="Z58" s="1043">
        <f>Z54/'1501 Summary'!AB319</f>
        <v>50000</v>
      </c>
      <c r="AA58" s="826"/>
    </row>
    <row r="59" spans="2:28">
      <c r="B59" s="904">
        <v>55</v>
      </c>
      <c r="C59" s="979" t="s">
        <v>2987</v>
      </c>
      <c r="D59" s="1042">
        <f>D55/'1501 Summary'!F319</f>
        <v>100000.00000000001</v>
      </c>
      <c r="E59" s="1042"/>
      <c r="F59" s="1042">
        <f>F55/'1501 Summary'!H319</f>
        <v>100000.00000000001</v>
      </c>
      <c r="G59" s="1042"/>
      <c r="H59" s="1042">
        <f>H55/'1501 Summary'!J319</f>
        <v>100000.00000000001</v>
      </c>
      <c r="I59" s="1042"/>
      <c r="J59" s="1042">
        <f>J55/'1501 Summary'!L319</f>
        <v>100000.00000000001</v>
      </c>
      <c r="K59" s="1042"/>
      <c r="L59" s="1042">
        <f>L55/'1501 Summary'!N319</f>
        <v>100000.00000000001</v>
      </c>
      <c r="M59" s="1042"/>
      <c r="N59" s="1042">
        <f>N55/'1501 Summary'!P319</f>
        <v>100000.00000000001</v>
      </c>
      <c r="O59" s="1042"/>
      <c r="P59" s="1042">
        <f>P55/'1501 Summary'!R319</f>
        <v>160771.20822622109</v>
      </c>
      <c r="Q59" s="1042"/>
      <c r="R59" s="1042">
        <f>R55/'1501 Summary'!T319</f>
        <v>100000.00000000001</v>
      </c>
      <c r="S59" s="1042"/>
      <c r="T59" s="1042">
        <f>T55/'1501 Summary'!V319</f>
        <v>100000.00000000001</v>
      </c>
      <c r="U59" s="1042"/>
      <c r="V59" s="1042">
        <f>V55/'1501 Summary'!X319</f>
        <v>100000.00000000001</v>
      </c>
      <c r="W59" s="1042"/>
      <c r="X59" s="1042">
        <f>X55/'1501 Summary'!Z319</f>
        <v>100000.00000000001</v>
      </c>
      <c r="Y59" s="1042"/>
      <c r="Z59" s="1043">
        <f>Z55/'1501 Summary'!AB319</f>
        <v>100000.00000000001</v>
      </c>
      <c r="AA59" s="826"/>
    </row>
    <row r="60" spans="2:28">
      <c r="B60" s="904">
        <v>56</v>
      </c>
      <c r="C60" s="979" t="s">
        <v>2987</v>
      </c>
      <c r="D60" s="1042">
        <f>D56/'1501 Summary'!F319</f>
        <v>100000</v>
      </c>
      <c r="E60" s="1042"/>
      <c r="F60" s="1042">
        <f>F56/'1501 Summary'!H319</f>
        <v>100000</v>
      </c>
      <c r="G60" s="1042"/>
      <c r="H60" s="1042">
        <f>H56/'1501 Summary'!J319</f>
        <v>100000</v>
      </c>
      <c r="I60" s="1042"/>
      <c r="J60" s="1042">
        <f>J56/'1501 Summary'!L319</f>
        <v>100000</v>
      </c>
      <c r="K60" s="1042"/>
      <c r="L60" s="1042">
        <f>L56/'1501 Summary'!N319</f>
        <v>100000</v>
      </c>
      <c r="M60" s="1042"/>
      <c r="N60" s="1042">
        <f>N56/'1501 Summary'!P319</f>
        <v>100000</v>
      </c>
      <c r="O60" s="1042"/>
      <c r="P60" s="1042">
        <f>P56/'1501 Summary'!R319</f>
        <v>0</v>
      </c>
      <c r="Q60" s="1042"/>
      <c r="R60" s="1042">
        <f>R56/'1501 Summary'!T319</f>
        <v>100000</v>
      </c>
      <c r="S60" s="1042"/>
      <c r="T60" s="1042">
        <f>T56/'1501 Summary'!V319</f>
        <v>100000</v>
      </c>
      <c r="U60" s="1042"/>
      <c r="V60" s="1042">
        <f>V56/'1501 Summary'!X319</f>
        <v>100000</v>
      </c>
      <c r="W60" s="1042"/>
      <c r="X60" s="1042">
        <f>X56/'1501 Summary'!Z319</f>
        <v>100000</v>
      </c>
      <c r="Y60" s="1042"/>
      <c r="Z60" s="1043">
        <f>Z56/'1501 Summary'!AB319</f>
        <v>100000</v>
      </c>
      <c r="AA60" s="826"/>
    </row>
    <row r="61" spans="2:28">
      <c r="B61" s="904">
        <v>57</v>
      </c>
      <c r="C61" s="979" t="s">
        <v>2988</v>
      </c>
      <c r="D61" s="1042">
        <f>D57/'1501 Summary'!F319</f>
        <v>6941289.1459074728</v>
      </c>
      <c r="E61" s="1042"/>
      <c r="F61" s="1042">
        <f>F57/'1501 Summary'!H319</f>
        <v>7222249.110320285</v>
      </c>
      <c r="G61" s="1042"/>
      <c r="H61" s="1042">
        <f>H57/'1501 Summary'!J319</f>
        <v>3454430.6049822066</v>
      </c>
      <c r="I61" s="1042"/>
      <c r="J61" s="1042">
        <f>J57/'1501 Summary'!L319</f>
        <v>4658829.1814946616</v>
      </c>
      <c r="K61" s="1042"/>
      <c r="L61" s="1042">
        <f>L57/'1501 Summary'!N319</f>
        <v>3547103.2028469755</v>
      </c>
      <c r="M61" s="1042"/>
      <c r="N61" s="1042">
        <f>N57/'1501 Summary'!P319</f>
        <v>2420324.7330960855</v>
      </c>
      <c r="O61" s="1042"/>
      <c r="P61" s="1042">
        <f>P57/'1501 Summary'!R319</f>
        <v>3662273.1316725975</v>
      </c>
      <c r="Q61" s="1042"/>
      <c r="R61" s="1042">
        <f>R57/'1501 Summary'!T319</f>
        <v>7000591.6370106759</v>
      </c>
      <c r="S61" s="1042"/>
      <c r="T61" s="1042">
        <f>T57/'1501 Summary'!V319</f>
        <v>7832343.4163701059</v>
      </c>
      <c r="U61" s="1042"/>
      <c r="V61" s="1042">
        <f>V57/'1501 Summary'!X319</f>
        <v>7576777.5800711736</v>
      </c>
      <c r="W61" s="1042"/>
      <c r="X61" s="1042">
        <f>X57/'1501 Summary'!Z319</f>
        <v>5283381.6725978646</v>
      </c>
      <c r="Y61" s="1042"/>
      <c r="Z61" s="1043">
        <f>Z57/'1501 Summary'!AB319</f>
        <v>6099522.2419928834</v>
      </c>
      <c r="AA61" s="826"/>
    </row>
    <row r="62" spans="2:28">
      <c r="B62" s="904">
        <v>58</v>
      </c>
      <c r="C62" s="982" t="s">
        <v>2991</v>
      </c>
      <c r="D62" s="983">
        <f>SUM(D54:D57)/'1501 Summary'!F319</f>
        <v>7191289.1459074728</v>
      </c>
      <c r="E62" s="983"/>
      <c r="F62" s="983">
        <f>SUM(F54:F57)/'1501 Summary'!H319</f>
        <v>7472249.110320285</v>
      </c>
      <c r="G62" s="983"/>
      <c r="H62" s="983">
        <f>SUM(H54:H57)/'1501 Summary'!J319</f>
        <v>3704430.6049822066</v>
      </c>
      <c r="I62" s="983"/>
      <c r="J62" s="983">
        <f>SUM(J54:J57)/'1501 Summary'!L319</f>
        <v>4908829.1814946616</v>
      </c>
      <c r="K62" s="983"/>
      <c r="L62" s="983">
        <f>SUM(L54:L57)/'1501 Summary'!N319</f>
        <v>3797103.2028469755</v>
      </c>
      <c r="M62" s="983"/>
      <c r="N62" s="983">
        <f>SUM(N54:N57)/'1501 Summary'!P319</f>
        <v>2670324.7330960855</v>
      </c>
      <c r="O62" s="983"/>
      <c r="P62" s="983">
        <f>SUM(P54:P57)/'1501 Summary'!R319</f>
        <v>3873044.3398988186</v>
      </c>
      <c r="Q62" s="983"/>
      <c r="R62" s="983">
        <f>SUM(R54:R57)/'1501 Summary'!T319</f>
        <v>7250591.6370106759</v>
      </c>
      <c r="S62" s="983"/>
      <c r="T62" s="983">
        <f>SUM(T54:T57)/'1501 Summary'!V319</f>
        <v>8082343.4163701059</v>
      </c>
      <c r="U62" s="983"/>
      <c r="V62" s="983">
        <f>SUM(V54:V57)/'1501 Summary'!X319</f>
        <v>7826777.5800711736</v>
      </c>
      <c r="W62" s="983"/>
      <c r="X62" s="983">
        <f>SUM(X54:X57)/'1501 Summary'!Z319</f>
        <v>5533381.6725978646</v>
      </c>
      <c r="Y62" s="983"/>
      <c r="Z62" s="984">
        <f>SUM(Z54:Z57)/'1501 Summary'!AB319</f>
        <v>6349522.2419928834</v>
      </c>
      <c r="AA62" s="826"/>
    </row>
    <row r="63" spans="2:28">
      <c r="B63" s="904">
        <v>59</v>
      </c>
      <c r="C63" s="982">
        <v>6633</v>
      </c>
      <c r="D63" s="980"/>
      <c r="E63" s="980"/>
      <c r="F63" s="980"/>
      <c r="G63" s="1044"/>
      <c r="H63" s="1019"/>
      <c r="I63" s="1019"/>
      <c r="J63" s="1019"/>
      <c r="K63" s="1019"/>
      <c r="L63" s="1019"/>
      <c r="M63" s="1019"/>
      <c r="N63" s="1019"/>
      <c r="O63" s="1019"/>
      <c r="P63" s="1019"/>
      <c r="Q63" s="1019"/>
      <c r="R63" s="1019"/>
      <c r="S63" s="1019"/>
      <c r="T63" s="1019"/>
      <c r="U63" s="1019"/>
      <c r="V63" s="1019"/>
      <c r="W63" s="1019"/>
      <c r="X63" s="1019"/>
      <c r="Y63" s="1045"/>
      <c r="Z63" s="1020"/>
      <c r="AA63" s="826"/>
    </row>
    <row r="64" spans="2:28">
      <c r="B64" s="904">
        <v>60</v>
      </c>
      <c r="C64" s="979" t="s">
        <v>2716</v>
      </c>
      <c r="D64" s="980">
        <f>'1501 Summary'!F342</f>
        <v>100000</v>
      </c>
      <c r="E64" s="980"/>
      <c r="F64" s="980">
        <f>'1501 Summary'!H342</f>
        <v>100000</v>
      </c>
      <c r="G64" s="980"/>
      <c r="H64" s="980">
        <f>'1501 Summary'!J342</f>
        <v>100000</v>
      </c>
      <c r="I64" s="980"/>
      <c r="J64" s="980">
        <f>'1501 Summary'!L342</f>
        <v>100000</v>
      </c>
      <c r="K64" s="980"/>
      <c r="L64" s="980">
        <f>'1501 Summary'!N342</f>
        <v>100000</v>
      </c>
      <c r="M64" s="980"/>
      <c r="N64" s="980">
        <f>'1501 Summary'!P342</f>
        <v>100000</v>
      </c>
      <c r="O64" s="980"/>
      <c r="P64" s="980">
        <f>'1501 Summary'!R342</f>
        <v>100000</v>
      </c>
      <c r="Q64" s="980"/>
      <c r="R64" s="980">
        <f>'1501 Summary'!T342</f>
        <v>100000</v>
      </c>
      <c r="S64" s="980"/>
      <c r="T64" s="980">
        <f>'1501 Summary'!V342</f>
        <v>100000</v>
      </c>
      <c r="U64" s="980"/>
      <c r="V64" s="980">
        <f>'1501 Summary'!X342</f>
        <v>100000</v>
      </c>
      <c r="W64" s="980"/>
      <c r="X64" s="980">
        <f>'1501 Summary'!Z342</f>
        <v>100000</v>
      </c>
      <c r="Y64" s="980"/>
      <c r="Z64" s="981">
        <f>'1501 Summary'!AB342</f>
        <v>100000</v>
      </c>
      <c r="AA64" s="826"/>
    </row>
    <row r="65" spans="2:27">
      <c r="B65" s="904">
        <v>61</v>
      </c>
      <c r="C65" s="1046" t="s">
        <v>2494</v>
      </c>
      <c r="D65" s="1047">
        <f>'1501 Summary'!F343</f>
        <v>200000.00000000003</v>
      </c>
      <c r="E65" s="1047"/>
      <c r="F65" s="1047">
        <f>'1501 Summary'!H343</f>
        <v>200000.00000000003</v>
      </c>
      <c r="G65" s="1047"/>
      <c r="H65" s="1047">
        <f>'1501 Summary'!J343</f>
        <v>200000.00000000003</v>
      </c>
      <c r="I65" s="1047"/>
      <c r="J65" s="1047">
        <f>'1501 Summary'!L343</f>
        <v>200000.00000000003</v>
      </c>
      <c r="K65" s="1047"/>
      <c r="L65" s="1047">
        <f>'1501 Summary'!N343</f>
        <v>200000.00000000003</v>
      </c>
      <c r="M65" s="1047"/>
      <c r="N65" s="1047">
        <f>'1501 Summary'!P343</f>
        <v>200000.00000000003</v>
      </c>
      <c r="O65" s="1047"/>
      <c r="P65" s="1047">
        <f>'1501 Summary'!R343</f>
        <v>200000.00000000003</v>
      </c>
      <c r="Q65" s="1047"/>
      <c r="R65" s="1047">
        <f>'1501 Summary'!T343</f>
        <v>200000.00000000003</v>
      </c>
      <c r="S65" s="1047"/>
      <c r="T65" s="1047">
        <f>'1501 Summary'!V343</f>
        <v>200000.00000000003</v>
      </c>
      <c r="U65" s="1047"/>
      <c r="V65" s="1047">
        <f>'1501 Summary'!X343</f>
        <v>200000.00000000003</v>
      </c>
      <c r="W65" s="1047"/>
      <c r="X65" s="1047">
        <f>'1501 Summary'!Z343</f>
        <v>200000.00000000003</v>
      </c>
      <c r="Y65" s="1047"/>
      <c r="Z65" s="1048">
        <f>'1501 Summary'!AB343</f>
        <v>200000.00000000003</v>
      </c>
      <c r="AA65" s="826"/>
    </row>
    <row r="66" spans="2:27">
      <c r="B66" s="904">
        <v>62</v>
      </c>
      <c r="C66" s="1046" t="s">
        <v>2494</v>
      </c>
      <c r="D66" s="1047">
        <f>'1501 Summary'!F344</f>
        <v>200000</v>
      </c>
      <c r="E66" s="1047"/>
      <c r="F66" s="1047">
        <f>'1501 Summary'!H344</f>
        <v>200000</v>
      </c>
      <c r="G66" s="1047"/>
      <c r="H66" s="1047">
        <f>'1501 Summary'!J344</f>
        <v>200000</v>
      </c>
      <c r="I66" s="1047"/>
      <c r="J66" s="1047">
        <f>'1501 Summary'!L344</f>
        <v>200000</v>
      </c>
      <c r="K66" s="1047"/>
      <c r="L66" s="1047">
        <f>'1501 Summary'!N344</f>
        <v>200000</v>
      </c>
      <c r="M66" s="1047"/>
      <c r="N66" s="1047">
        <f>'1501 Summary'!P344</f>
        <v>81981.387478849399</v>
      </c>
      <c r="O66" s="1047"/>
      <c r="P66" s="1047">
        <f>'1501 Summary'!R344</f>
        <v>200000</v>
      </c>
      <c r="Q66" s="1047"/>
      <c r="R66" s="1047">
        <f>'1501 Summary'!T344</f>
        <v>200000</v>
      </c>
      <c r="S66" s="1047"/>
      <c r="T66" s="1047">
        <f>'1501 Summary'!V344</f>
        <v>200000</v>
      </c>
      <c r="U66" s="1047"/>
      <c r="V66" s="1047">
        <f>'1501 Summary'!X344</f>
        <v>200000</v>
      </c>
      <c r="W66" s="1047"/>
      <c r="X66" s="1047">
        <f>'1501 Summary'!Z344</f>
        <v>200000</v>
      </c>
      <c r="Y66" s="1047"/>
      <c r="Z66" s="1048">
        <f>'1501 Summary'!AB344</f>
        <v>200000</v>
      </c>
      <c r="AA66" s="826"/>
    </row>
    <row r="67" spans="2:27">
      <c r="B67" s="904">
        <v>63</v>
      </c>
      <c r="C67" s="1046" t="s">
        <v>2717</v>
      </c>
      <c r="D67" s="1047">
        <f>'1501 Summary'!F345</f>
        <v>3950624.555160142</v>
      </c>
      <c r="E67" s="1047"/>
      <c r="F67" s="1047">
        <f>'1501 Summary'!H345</f>
        <v>3588087.1886120997</v>
      </c>
      <c r="G67" s="1047"/>
      <c r="H67" s="1047">
        <f>'1501 Summary'!J345</f>
        <v>5346715.3024911033</v>
      </c>
      <c r="I67" s="1047"/>
      <c r="J67" s="1047">
        <f>'1501 Summary'!L345</f>
        <v>2588142.3487544484</v>
      </c>
      <c r="K67" s="1047"/>
      <c r="L67" s="1047">
        <f>'1501 Summary'!N345</f>
        <v>2051096.0854092527</v>
      </c>
      <c r="M67" s="1047"/>
      <c r="N67" s="1047">
        <f>'1501 Summary'!P345</f>
        <v>-42820.284697508898</v>
      </c>
      <c r="O67" s="1047"/>
      <c r="P67" s="1047">
        <f>'1501 Summary'!R345</f>
        <v>6276820.2846975094</v>
      </c>
      <c r="Q67" s="1047"/>
      <c r="R67" s="1047">
        <f>'1501 Summary'!T345</f>
        <v>13622838.078291817</v>
      </c>
      <c r="S67" s="1047"/>
      <c r="T67" s="1047">
        <f>'1501 Summary'!V345</f>
        <v>15105297.153024912</v>
      </c>
      <c r="U67" s="1047"/>
      <c r="V67" s="1047">
        <f>'1501 Summary'!X345</f>
        <v>14012834.519572955</v>
      </c>
      <c r="W67" s="1047"/>
      <c r="X67" s="1047">
        <f>'1501 Summary'!Z345</f>
        <v>167138.79003558721</v>
      </c>
      <c r="Y67" s="1047"/>
      <c r="Z67" s="1048">
        <f>'1501 Summary'!AB345</f>
        <v>5456005.3380782921</v>
      </c>
      <c r="AA67" s="826"/>
    </row>
    <row r="68" spans="2:27">
      <c r="B68" s="904">
        <v>64</v>
      </c>
      <c r="C68" s="1046" t="s">
        <v>2986</v>
      </c>
      <c r="D68" s="1047">
        <f>D64/'1501 Summary'!F339</f>
        <v>100000</v>
      </c>
      <c r="E68" s="1047"/>
      <c r="F68" s="1047">
        <f>F64/'1501 Summary'!H339</f>
        <v>100000</v>
      </c>
      <c r="G68" s="1047"/>
      <c r="H68" s="1047">
        <f>H64/'1501 Summary'!J339</f>
        <v>100000</v>
      </c>
      <c r="I68" s="1047"/>
      <c r="J68" s="1047">
        <f>J64/'1501 Summary'!L339</f>
        <v>100000</v>
      </c>
      <c r="K68" s="1047"/>
      <c r="L68" s="1047">
        <f>L64/'1501 Summary'!N339</f>
        <v>100000</v>
      </c>
      <c r="M68" s="1047"/>
      <c r="N68" s="1047">
        <f>N64/'1501 Summary'!P339</f>
        <v>100000</v>
      </c>
      <c r="O68" s="1047"/>
      <c r="P68" s="1047">
        <f>P64/'1501 Summary'!R339</f>
        <v>100000</v>
      </c>
      <c r="Q68" s="1047"/>
      <c r="R68" s="1047">
        <f>R64/'1501 Summary'!T339</f>
        <v>100000</v>
      </c>
      <c r="S68" s="1047"/>
      <c r="T68" s="1047">
        <f>T64/'1501 Summary'!V339</f>
        <v>100000</v>
      </c>
      <c r="U68" s="1047"/>
      <c r="V68" s="1047">
        <f>V64/'1501 Summary'!X339</f>
        <v>100000</v>
      </c>
      <c r="W68" s="1047"/>
      <c r="X68" s="1047">
        <f>X64/'1501 Summary'!Z339</f>
        <v>100000</v>
      </c>
      <c r="Y68" s="1047"/>
      <c r="Z68" s="1048">
        <f>Z64/'1501 Summary'!AB339</f>
        <v>100000</v>
      </c>
      <c r="AA68" s="826"/>
    </row>
    <row r="69" spans="2:27">
      <c r="B69" s="904">
        <v>65</v>
      </c>
      <c r="C69" s="1046" t="s">
        <v>2987</v>
      </c>
      <c r="D69" s="1047">
        <f>D65/'1501 Summary'!F339</f>
        <v>200000.00000000003</v>
      </c>
      <c r="E69" s="1047"/>
      <c r="F69" s="1047">
        <f>F65/'1501 Summary'!H339</f>
        <v>200000.00000000003</v>
      </c>
      <c r="G69" s="1047"/>
      <c r="H69" s="1047">
        <f>H65/'1501 Summary'!J339</f>
        <v>200000.00000000003</v>
      </c>
      <c r="I69" s="1047"/>
      <c r="J69" s="1047">
        <f>J65/'1501 Summary'!L339</f>
        <v>200000.00000000003</v>
      </c>
      <c r="K69" s="1047"/>
      <c r="L69" s="1047">
        <f>L65/'1501 Summary'!N339</f>
        <v>200000.00000000003</v>
      </c>
      <c r="M69" s="1047"/>
      <c r="N69" s="1047">
        <f>N65/'1501 Summary'!P339</f>
        <v>200000.00000000003</v>
      </c>
      <c r="O69" s="1047"/>
      <c r="P69" s="1047">
        <f>P65/'1501 Summary'!R339</f>
        <v>200000.00000000003</v>
      </c>
      <c r="Q69" s="1047"/>
      <c r="R69" s="1047">
        <f>R65/'1501 Summary'!T339</f>
        <v>200000.00000000003</v>
      </c>
      <c r="S69" s="1047"/>
      <c r="T69" s="1047">
        <f>T65/'1501 Summary'!V339</f>
        <v>200000.00000000003</v>
      </c>
      <c r="U69" s="1047"/>
      <c r="V69" s="1047">
        <f>V65/'1501 Summary'!X339</f>
        <v>200000.00000000003</v>
      </c>
      <c r="W69" s="1047"/>
      <c r="X69" s="1047">
        <f>X65/'1501 Summary'!Z339</f>
        <v>200000.00000000003</v>
      </c>
      <c r="Y69" s="1047"/>
      <c r="Z69" s="1048">
        <f>Z65/'1501 Summary'!AB339</f>
        <v>200000.00000000003</v>
      </c>
      <c r="AA69" s="826"/>
    </row>
    <row r="70" spans="2:27">
      <c r="B70" s="904">
        <v>66</v>
      </c>
      <c r="C70" s="1046" t="s">
        <v>2987</v>
      </c>
      <c r="D70" s="1047">
        <f>D66/'1501 Summary'!F339</f>
        <v>200000</v>
      </c>
      <c r="E70" s="1047"/>
      <c r="F70" s="1047">
        <f>F66/'1501 Summary'!H339</f>
        <v>200000</v>
      </c>
      <c r="G70" s="1047"/>
      <c r="H70" s="1047">
        <f>H66/'1501 Summary'!J339</f>
        <v>200000</v>
      </c>
      <c r="I70" s="1047"/>
      <c r="J70" s="1047">
        <f>J66/'1501 Summary'!L339</f>
        <v>200000</v>
      </c>
      <c r="K70" s="1047"/>
      <c r="L70" s="1047">
        <f>L66/'1501 Summary'!N339</f>
        <v>200000</v>
      </c>
      <c r="M70" s="1047"/>
      <c r="N70" s="1047">
        <f>N66/'1501 Summary'!P339</f>
        <v>81981.387478849399</v>
      </c>
      <c r="O70" s="1047"/>
      <c r="P70" s="1047">
        <f>P66/'1501 Summary'!R339</f>
        <v>200000</v>
      </c>
      <c r="Q70" s="1047"/>
      <c r="R70" s="1047">
        <f>R66/'1501 Summary'!T339</f>
        <v>200000</v>
      </c>
      <c r="S70" s="1047"/>
      <c r="T70" s="1047">
        <f>T66/'1501 Summary'!V339</f>
        <v>200000</v>
      </c>
      <c r="U70" s="1047"/>
      <c r="V70" s="1047">
        <f>V66/'1501 Summary'!X339</f>
        <v>200000</v>
      </c>
      <c r="W70" s="1047"/>
      <c r="X70" s="1047">
        <f>X66/'1501 Summary'!Z339</f>
        <v>200000</v>
      </c>
      <c r="Y70" s="1047"/>
      <c r="Z70" s="1048">
        <f>Z66/'1501 Summary'!AB339</f>
        <v>200000</v>
      </c>
      <c r="AA70" s="826"/>
    </row>
    <row r="71" spans="2:27">
      <c r="B71" s="904">
        <v>67</v>
      </c>
      <c r="C71" s="1046" t="s">
        <v>2988</v>
      </c>
      <c r="D71" s="1047">
        <f>D67/'1501 Summary'!F339</f>
        <v>3950624.555160142</v>
      </c>
      <c r="E71" s="1047"/>
      <c r="F71" s="1047">
        <f>F67/'1501 Summary'!H339</f>
        <v>3588087.1886120997</v>
      </c>
      <c r="G71" s="1047"/>
      <c r="H71" s="1047">
        <f>H67/'1501 Summary'!J339</f>
        <v>5346715.3024911033</v>
      </c>
      <c r="I71" s="1047"/>
      <c r="J71" s="1047">
        <f>J67/'1501 Summary'!L339</f>
        <v>2588142.3487544484</v>
      </c>
      <c r="K71" s="1047"/>
      <c r="L71" s="1047">
        <f>L67/'1501 Summary'!N339</f>
        <v>2051096.0854092527</v>
      </c>
      <c r="M71" s="1047"/>
      <c r="N71" s="1047">
        <f>N67/'1501 Summary'!P339</f>
        <v>-42820.284697508898</v>
      </c>
      <c r="O71" s="1047"/>
      <c r="P71" s="1047">
        <f>P67/'1501 Summary'!R339</f>
        <v>6276820.2846975094</v>
      </c>
      <c r="Q71" s="1047"/>
      <c r="R71" s="1047">
        <f>R67/'1501 Summary'!T339</f>
        <v>13622838.078291817</v>
      </c>
      <c r="S71" s="1047"/>
      <c r="T71" s="1047">
        <f>T67/'1501 Summary'!V339</f>
        <v>15105297.153024912</v>
      </c>
      <c r="U71" s="1047"/>
      <c r="V71" s="1047">
        <f>V67/'1501 Summary'!X339</f>
        <v>14012834.519572955</v>
      </c>
      <c r="W71" s="1047"/>
      <c r="X71" s="1047">
        <f>X67/'1501 Summary'!Z339</f>
        <v>167138.79003558721</v>
      </c>
      <c r="Y71" s="1047"/>
      <c r="Z71" s="1048">
        <f>Z67/'1501 Summary'!AB339</f>
        <v>5456005.3380782921</v>
      </c>
      <c r="AA71" s="826"/>
    </row>
    <row r="72" spans="2:27">
      <c r="B72" s="904">
        <v>68</v>
      </c>
      <c r="C72" s="1049" t="s">
        <v>2992</v>
      </c>
      <c r="D72" s="1050">
        <f>SUM(D68:D71)</f>
        <v>4450624.5551601425</v>
      </c>
      <c r="E72" s="1050"/>
      <c r="F72" s="1050">
        <f t="shared" ref="F72:Z72" si="1">SUM(F68:F71)</f>
        <v>4088087.1886120997</v>
      </c>
      <c r="G72" s="1050"/>
      <c r="H72" s="1050">
        <f t="shared" si="1"/>
        <v>5846715.3024911033</v>
      </c>
      <c r="I72" s="1050"/>
      <c r="J72" s="1050">
        <f t="shared" si="1"/>
        <v>3088142.3487544484</v>
      </c>
      <c r="K72" s="1050"/>
      <c r="L72" s="1050">
        <f t="shared" si="1"/>
        <v>2551096.0854092529</v>
      </c>
      <c r="M72" s="1050"/>
      <c r="N72" s="1050">
        <f t="shared" si="1"/>
        <v>339161.10278134048</v>
      </c>
      <c r="O72" s="1050"/>
      <c r="P72" s="1050">
        <f t="shared" si="1"/>
        <v>6776820.2846975094</v>
      </c>
      <c r="Q72" s="1050"/>
      <c r="R72" s="1050">
        <f t="shared" si="1"/>
        <v>14122838.078291817</v>
      </c>
      <c r="S72" s="1050"/>
      <c r="T72" s="1050">
        <f t="shared" si="1"/>
        <v>15605297.153024912</v>
      </c>
      <c r="U72" s="1050"/>
      <c r="V72" s="1050">
        <f t="shared" si="1"/>
        <v>14512834.519572955</v>
      </c>
      <c r="W72" s="1050"/>
      <c r="X72" s="1050">
        <f t="shared" si="1"/>
        <v>667138.79003558727</v>
      </c>
      <c r="Y72" s="1050"/>
      <c r="Z72" s="1051">
        <f t="shared" si="1"/>
        <v>5956005.3380782921</v>
      </c>
      <c r="AA72" s="826"/>
    </row>
    <row r="73" spans="2:27">
      <c r="B73" s="904">
        <v>69</v>
      </c>
      <c r="C73" s="1049">
        <v>6635</v>
      </c>
      <c r="D73" s="1052"/>
      <c r="E73" s="1052"/>
      <c r="F73" s="1052"/>
      <c r="G73" s="1052"/>
      <c r="H73" s="1052"/>
      <c r="I73" s="1052"/>
      <c r="J73" s="1052"/>
      <c r="K73" s="1052"/>
      <c r="L73" s="1052"/>
      <c r="M73" s="1052"/>
      <c r="N73" s="1052"/>
      <c r="O73" s="1052"/>
      <c r="P73" s="1052"/>
      <c r="Q73" s="1052"/>
      <c r="R73" s="1052"/>
      <c r="S73" s="1052"/>
      <c r="T73" s="1052"/>
      <c r="U73" s="1052"/>
      <c r="V73" s="1052"/>
      <c r="W73" s="1052"/>
      <c r="X73" s="1052"/>
      <c r="Y73" s="1052"/>
      <c r="Z73" s="1053"/>
      <c r="AA73" s="826"/>
    </row>
    <row r="74" spans="2:27">
      <c r="B74" s="904">
        <v>70</v>
      </c>
      <c r="C74" s="1046" t="s">
        <v>2716</v>
      </c>
      <c r="D74" s="1047">
        <f>'1501 Summary'!F360</f>
        <v>57483.023822922529</v>
      </c>
      <c r="E74" s="1047"/>
      <c r="F74" s="1047">
        <f>'1501 Summary'!H360</f>
        <v>100000</v>
      </c>
      <c r="G74" s="1047"/>
      <c r="H74" s="1047">
        <f>'1501 Summary'!J360</f>
        <v>100000</v>
      </c>
      <c r="I74" s="1047"/>
      <c r="J74" s="1047">
        <f>'1501 Summary'!L360</f>
        <v>0</v>
      </c>
      <c r="K74" s="1047"/>
      <c r="L74" s="1047">
        <f>'1501 Summary'!N360</f>
        <v>24269.930594635149</v>
      </c>
      <c r="M74" s="1047"/>
      <c r="N74" s="1047">
        <f>'1501 Summary'!P360</f>
        <v>100000</v>
      </c>
      <c r="O74" s="1047"/>
      <c r="P74" s="1047">
        <f>'1501 Summary'!R360</f>
        <v>100000</v>
      </c>
      <c r="Q74" s="1047"/>
      <c r="R74" s="1047">
        <f>'1501 Summary'!T360</f>
        <v>100000</v>
      </c>
      <c r="S74" s="1047"/>
      <c r="T74" s="1047">
        <f>'1501 Summary'!V360</f>
        <v>100000</v>
      </c>
      <c r="U74" s="1047"/>
      <c r="V74" s="1047">
        <f>'1501 Summary'!X360</f>
        <v>100000</v>
      </c>
      <c r="W74" s="1047"/>
      <c r="X74" s="1047">
        <f>'1501 Summary'!Z360</f>
        <v>100000</v>
      </c>
      <c r="Y74" s="1047"/>
      <c r="Z74" s="1048">
        <f>'1501 Summary'!AB360</f>
        <v>100000</v>
      </c>
      <c r="AA74" s="826"/>
    </row>
    <row r="75" spans="2:27">
      <c r="B75" s="904">
        <v>71</v>
      </c>
      <c r="C75" s="1046" t="s">
        <v>2494</v>
      </c>
      <c r="D75" s="1047">
        <f>'1501 Summary'!F361</f>
        <v>0</v>
      </c>
      <c r="E75" s="1047"/>
      <c r="F75" s="1047">
        <f>'1501 Summary'!H361</f>
        <v>6085.8611825192811</v>
      </c>
      <c r="G75" s="1047"/>
      <c r="H75" s="1047">
        <f>'1501 Summary'!J361</f>
        <v>128696.1439588689</v>
      </c>
      <c r="I75" s="1047"/>
      <c r="J75" s="1047">
        <f>'1501 Summary'!L361</f>
        <v>0</v>
      </c>
      <c r="K75" s="1047"/>
      <c r="L75" s="1047">
        <f>'1501 Summary'!N361</f>
        <v>0</v>
      </c>
      <c r="M75" s="1047"/>
      <c r="N75" s="1047">
        <f>'1501 Summary'!P361</f>
        <v>134043.18766066839</v>
      </c>
      <c r="O75" s="1047"/>
      <c r="P75" s="1047">
        <f>'1501 Summary'!R361</f>
        <v>200000.00000000003</v>
      </c>
      <c r="Q75" s="1047"/>
      <c r="R75" s="1047">
        <f>'1501 Summary'!T361</f>
        <v>200000.00000000003</v>
      </c>
      <c r="S75" s="1047"/>
      <c r="T75" s="1047">
        <f>'1501 Summary'!V361</f>
        <v>200000.00000000003</v>
      </c>
      <c r="U75" s="1047"/>
      <c r="V75" s="1047">
        <f>'1501 Summary'!X361</f>
        <v>200000.00000000003</v>
      </c>
      <c r="W75" s="1047"/>
      <c r="X75" s="1047">
        <f>'1501 Summary'!Z361</f>
        <v>200000.00000000003</v>
      </c>
      <c r="Y75" s="1047"/>
      <c r="Z75" s="1048">
        <f>'1501 Summary'!AB361</f>
        <v>111268.89460154242</v>
      </c>
      <c r="AA75" s="826"/>
    </row>
    <row r="76" spans="2:27">
      <c r="B76" s="904">
        <v>72</v>
      </c>
      <c r="C76" s="1046" t="s">
        <v>2494</v>
      </c>
      <c r="D76" s="1047">
        <f>'1501 Summary'!F362</f>
        <v>0</v>
      </c>
      <c r="E76" s="1047"/>
      <c r="F76" s="1047">
        <f>'1501 Summary'!H362</f>
        <v>0</v>
      </c>
      <c r="G76" s="1047"/>
      <c r="H76" s="1047">
        <f>'1501 Summary'!J362</f>
        <v>0</v>
      </c>
      <c r="I76" s="1047"/>
      <c r="J76" s="1047">
        <f>'1501 Summary'!L362</f>
        <v>0</v>
      </c>
      <c r="K76" s="1047"/>
      <c r="L76" s="1047">
        <f>'1501 Summary'!N362</f>
        <v>0</v>
      </c>
      <c r="M76" s="1047"/>
      <c r="N76" s="1047">
        <f>'1501 Summary'!P362</f>
        <v>0</v>
      </c>
      <c r="O76" s="1047"/>
      <c r="P76" s="1047">
        <f>'1501 Summary'!R362</f>
        <v>200000</v>
      </c>
      <c r="Q76" s="1047"/>
      <c r="R76" s="1047">
        <f>'1501 Summary'!T362</f>
        <v>200000</v>
      </c>
      <c r="S76" s="1047"/>
      <c r="T76" s="1047">
        <f>'1501 Summary'!V362</f>
        <v>200000</v>
      </c>
      <c r="U76" s="1047"/>
      <c r="V76" s="1047">
        <f>'1501 Summary'!X362</f>
        <v>200000</v>
      </c>
      <c r="W76" s="1047"/>
      <c r="X76" s="1047">
        <f>'1501 Summary'!Z362</f>
        <v>200000</v>
      </c>
      <c r="Y76" s="1047"/>
      <c r="Z76" s="1048">
        <f>'1501 Summary'!AB362</f>
        <v>0</v>
      </c>
      <c r="AA76" s="826"/>
    </row>
    <row r="77" spans="2:27">
      <c r="B77" s="904">
        <v>73</v>
      </c>
      <c r="C77" s="1046" t="s">
        <v>2717</v>
      </c>
      <c r="D77" s="1047">
        <f>'1501 Summary'!F363</f>
        <v>0</v>
      </c>
      <c r="E77" s="1047"/>
      <c r="F77" s="1047">
        <f>'1501 Summary'!H363</f>
        <v>0</v>
      </c>
      <c r="G77" s="1047"/>
      <c r="H77" s="1047">
        <f>'1501 Summary'!J363</f>
        <v>0</v>
      </c>
      <c r="I77" s="1047"/>
      <c r="J77" s="1047">
        <f>'1501 Summary'!L363</f>
        <v>0</v>
      </c>
      <c r="K77" s="1047"/>
      <c r="L77" s="1047">
        <f>'1501 Summary'!N363</f>
        <v>0</v>
      </c>
      <c r="M77" s="1047"/>
      <c r="N77" s="1047">
        <f>'1501 Summary'!P363</f>
        <v>0</v>
      </c>
      <c r="O77" s="1047"/>
      <c r="P77" s="1047">
        <f>'1501 Summary'!R363</f>
        <v>612893.23843416374</v>
      </c>
      <c r="Q77" s="1047"/>
      <c r="R77" s="1047">
        <f>'1501 Summary'!T363</f>
        <v>4550507.1174377222</v>
      </c>
      <c r="S77" s="1047"/>
      <c r="T77" s="1047">
        <f>'1501 Summary'!V363</f>
        <v>9000953.736654805</v>
      </c>
      <c r="U77" s="1047"/>
      <c r="V77" s="1047">
        <f>'1501 Summary'!X363</f>
        <v>4352567.6156583633</v>
      </c>
      <c r="W77" s="1047"/>
      <c r="X77" s="1047">
        <f>'1501 Summary'!Z363</f>
        <v>397403.91459074733</v>
      </c>
      <c r="Y77" s="1047"/>
      <c r="Z77" s="1048">
        <f>'1501 Summary'!AB363</f>
        <v>0</v>
      </c>
      <c r="AA77" s="826"/>
    </row>
    <row r="78" spans="2:27">
      <c r="B78" s="904">
        <v>74</v>
      </c>
      <c r="C78" s="1046" t="s">
        <v>2986</v>
      </c>
      <c r="D78" s="1047">
        <f>D74/'1501 Summary'!F358</f>
        <v>57483.023822922529</v>
      </c>
      <c r="E78" s="1047"/>
      <c r="F78" s="1047">
        <f>F74/'1501 Summary'!H358</f>
        <v>100000</v>
      </c>
      <c r="G78" s="1047"/>
      <c r="H78" s="1047">
        <f>H74/'1501 Summary'!J358</f>
        <v>100000</v>
      </c>
      <c r="I78" s="1047"/>
      <c r="J78" s="1047">
        <f>J74/'1501 Summary'!L358</f>
        <v>0</v>
      </c>
      <c r="K78" s="1047"/>
      <c r="L78" s="1047">
        <f>L74/'1501 Summary'!N358</f>
        <v>24269.930594635149</v>
      </c>
      <c r="M78" s="1047"/>
      <c r="N78" s="1047">
        <f>N74/'1501 Summary'!P358</f>
        <v>100000</v>
      </c>
      <c r="O78" s="1047"/>
      <c r="P78" s="1047">
        <f>P74/'1501 Summary'!R358</f>
        <v>100000</v>
      </c>
      <c r="Q78" s="1047"/>
      <c r="R78" s="1047">
        <f>R74/'1501 Summary'!T358</f>
        <v>100000</v>
      </c>
      <c r="S78" s="1047"/>
      <c r="T78" s="1047">
        <f>T74/'1501 Summary'!V358</f>
        <v>100000</v>
      </c>
      <c r="U78" s="1047"/>
      <c r="V78" s="1047">
        <f>V74/'1501 Summary'!X358</f>
        <v>100000</v>
      </c>
      <c r="W78" s="1047"/>
      <c r="X78" s="1047">
        <f>X74/'1501 Summary'!Z358</f>
        <v>100000</v>
      </c>
      <c r="Y78" s="1047"/>
      <c r="Z78" s="1048">
        <f>Z74/'1501 Summary'!AB358</f>
        <v>100000</v>
      </c>
      <c r="AA78" s="826"/>
    </row>
    <row r="79" spans="2:27">
      <c r="B79" s="904">
        <v>75</v>
      </c>
      <c r="C79" s="1046" t="s">
        <v>2987</v>
      </c>
      <c r="D79" s="1047">
        <f>D75/'1501 Summary'!F358</f>
        <v>0</v>
      </c>
      <c r="E79" s="1047"/>
      <c r="F79" s="1047">
        <f>F75/'1501 Summary'!H358</f>
        <v>6085.8611825192811</v>
      </c>
      <c r="G79" s="1047"/>
      <c r="H79" s="1047">
        <f>H75/'1501 Summary'!J358</f>
        <v>128696.1439588689</v>
      </c>
      <c r="I79" s="1047"/>
      <c r="J79" s="1047">
        <f>J75/'1501 Summary'!L358</f>
        <v>0</v>
      </c>
      <c r="K79" s="1047"/>
      <c r="L79" s="1047">
        <f>L75/'1501 Summary'!N358</f>
        <v>0</v>
      </c>
      <c r="M79" s="1047"/>
      <c r="N79" s="1047">
        <f>N75/'1501 Summary'!P358</f>
        <v>134043.18766066839</v>
      </c>
      <c r="O79" s="1047"/>
      <c r="P79" s="1047">
        <f>P75/'1501 Summary'!R358</f>
        <v>200000.00000000003</v>
      </c>
      <c r="Q79" s="1047"/>
      <c r="R79" s="1047">
        <f>R75/'1501 Summary'!T358</f>
        <v>200000.00000000003</v>
      </c>
      <c r="S79" s="1047"/>
      <c r="T79" s="1047">
        <f>T75/'1501 Summary'!V358</f>
        <v>200000.00000000003</v>
      </c>
      <c r="U79" s="1047"/>
      <c r="V79" s="1047">
        <f>V75/'1501 Summary'!X358</f>
        <v>200000.00000000003</v>
      </c>
      <c r="W79" s="1047"/>
      <c r="X79" s="1047">
        <f>X75/'1501 Summary'!Z358</f>
        <v>200000.00000000003</v>
      </c>
      <c r="Y79" s="1047"/>
      <c r="Z79" s="1048">
        <f>Z75/'1501 Summary'!AB358</f>
        <v>111268.89460154242</v>
      </c>
      <c r="AA79" s="826"/>
    </row>
    <row r="80" spans="2:27">
      <c r="B80" s="904">
        <v>76</v>
      </c>
      <c r="C80" s="1046" t="s">
        <v>2987</v>
      </c>
      <c r="D80" s="1047">
        <f>D76/'1501 Summary'!F358</f>
        <v>0</v>
      </c>
      <c r="E80" s="1047"/>
      <c r="F80" s="1047">
        <f>F76/'1501 Summary'!H358</f>
        <v>0</v>
      </c>
      <c r="G80" s="1047"/>
      <c r="H80" s="1047">
        <f>H76/'1501 Summary'!J358</f>
        <v>0</v>
      </c>
      <c r="I80" s="1047"/>
      <c r="J80" s="1047">
        <f>J76/'1501 Summary'!L358</f>
        <v>0</v>
      </c>
      <c r="K80" s="1047"/>
      <c r="L80" s="1047">
        <f>L76/'1501 Summary'!N358</f>
        <v>0</v>
      </c>
      <c r="M80" s="1047"/>
      <c r="N80" s="1047">
        <f>N76/'1501 Summary'!P358</f>
        <v>0</v>
      </c>
      <c r="O80" s="1047"/>
      <c r="P80" s="1047">
        <f>P76/'1501 Summary'!R358</f>
        <v>200000</v>
      </c>
      <c r="Q80" s="1047"/>
      <c r="R80" s="1047">
        <f>R76/'1501 Summary'!T358</f>
        <v>200000</v>
      </c>
      <c r="S80" s="1047"/>
      <c r="T80" s="1047">
        <f>T76/'1501 Summary'!V358</f>
        <v>200000</v>
      </c>
      <c r="U80" s="1047"/>
      <c r="V80" s="1047">
        <f>V76/'1501 Summary'!X358</f>
        <v>200000</v>
      </c>
      <c r="W80" s="1047"/>
      <c r="X80" s="1047">
        <f>X76/'1501 Summary'!Z358</f>
        <v>200000</v>
      </c>
      <c r="Y80" s="1047"/>
      <c r="Z80" s="1048">
        <f>Z76/'1501 Summary'!AB358</f>
        <v>0</v>
      </c>
      <c r="AA80" s="826"/>
    </row>
    <row r="81" spans="2:28">
      <c r="B81" s="904">
        <v>77</v>
      </c>
      <c r="C81" s="1046" t="s">
        <v>2988</v>
      </c>
      <c r="D81" s="1047">
        <f>D77/'1501 Summary'!F358</f>
        <v>0</v>
      </c>
      <c r="E81" s="1047"/>
      <c r="F81" s="1047">
        <f>F77/'1501 Summary'!H358</f>
        <v>0</v>
      </c>
      <c r="G81" s="1047"/>
      <c r="H81" s="1047">
        <f>H77/'1501 Summary'!J358</f>
        <v>0</v>
      </c>
      <c r="I81" s="1047"/>
      <c r="J81" s="1047">
        <f>J77/'1501 Summary'!L358</f>
        <v>0</v>
      </c>
      <c r="K81" s="1047"/>
      <c r="L81" s="1047">
        <f>L77/'1501 Summary'!N358</f>
        <v>0</v>
      </c>
      <c r="M81" s="1047"/>
      <c r="N81" s="1047">
        <f>N77/'1501 Summary'!P358</f>
        <v>0</v>
      </c>
      <c r="O81" s="1047"/>
      <c r="P81" s="1047">
        <f>P77/'1501 Summary'!R358</f>
        <v>612893.23843416374</v>
      </c>
      <c r="Q81" s="1047"/>
      <c r="R81" s="1047">
        <f>R77/'1501 Summary'!T358</f>
        <v>4550507.1174377222</v>
      </c>
      <c r="S81" s="1047"/>
      <c r="T81" s="1047">
        <f>T77/'1501 Summary'!V358</f>
        <v>9000953.736654805</v>
      </c>
      <c r="U81" s="1047"/>
      <c r="V81" s="1047">
        <f>V77/'1501 Summary'!X358</f>
        <v>4352567.6156583633</v>
      </c>
      <c r="W81" s="1047"/>
      <c r="X81" s="1047">
        <f>X77/'1501 Summary'!Z358</f>
        <v>397403.91459074733</v>
      </c>
      <c r="Y81" s="1047"/>
      <c r="Z81" s="1048">
        <f>Z77/'1501 Summary'!AB358</f>
        <v>0</v>
      </c>
      <c r="AA81" s="826"/>
    </row>
    <row r="82" spans="2:28">
      <c r="B82" s="904">
        <v>78</v>
      </c>
      <c r="C82" s="1054" t="s">
        <v>2993</v>
      </c>
      <c r="D82" s="1055">
        <v>-9355</v>
      </c>
      <c r="E82" s="1055"/>
      <c r="F82" s="1055">
        <v>-91658</v>
      </c>
      <c r="G82" s="1055"/>
      <c r="H82" s="1055">
        <v>-92891</v>
      </c>
      <c r="I82" s="1055"/>
      <c r="J82" s="1055">
        <v>-93856</v>
      </c>
      <c r="K82" s="1055"/>
      <c r="L82" s="1055">
        <v>-93736</v>
      </c>
      <c r="M82" s="1055"/>
      <c r="N82" s="1055">
        <v>-87451</v>
      </c>
      <c r="O82" s="1055"/>
      <c r="P82" s="1055">
        <v>-91178</v>
      </c>
      <c r="Q82" s="1055"/>
      <c r="R82" s="1055">
        <v>-87456</v>
      </c>
      <c r="S82" s="1055"/>
      <c r="T82" s="1055">
        <v>-88987</v>
      </c>
      <c r="U82" s="1055"/>
      <c r="V82" s="1055">
        <v>-96465</v>
      </c>
      <c r="W82" s="1055"/>
      <c r="X82" s="1055">
        <v>-97394</v>
      </c>
      <c r="Y82" s="1055"/>
      <c r="Z82" s="1056">
        <v>-99941</v>
      </c>
      <c r="AA82" s="826"/>
    </row>
    <row r="83" spans="2:28">
      <c r="B83" s="904">
        <v>79</v>
      </c>
      <c r="C83" s="1049" t="s">
        <v>2994</v>
      </c>
      <c r="D83" s="1050">
        <f>SUM(D74:D77)/'1501 Summary'!F358</f>
        <v>57483.023822922529</v>
      </c>
      <c r="E83" s="1050"/>
      <c r="F83" s="1050">
        <f>SUM(F74:F77)/'1501 Summary'!H358</f>
        <v>106085.86118251928</v>
      </c>
      <c r="G83" s="1050"/>
      <c r="H83" s="1050">
        <f>SUM(H74:H77)/'1501 Summary'!J358</f>
        <v>228696.1439588689</v>
      </c>
      <c r="I83" s="1050"/>
      <c r="J83" s="1050">
        <f>SUM(J74:J77)/'1501 Summary'!L358</f>
        <v>0</v>
      </c>
      <c r="K83" s="1050"/>
      <c r="L83" s="1050">
        <f>SUM(L74:L77)/'1501 Summary'!N358</f>
        <v>24269.930594635149</v>
      </c>
      <c r="M83" s="1050"/>
      <c r="N83" s="1050">
        <f>SUM(N74:N77)/'1501 Summary'!P358</f>
        <v>234043.18766066839</v>
      </c>
      <c r="O83" s="1050"/>
      <c r="P83" s="1050">
        <f>SUM(P74:P77)/'1501 Summary'!R358</f>
        <v>1112893.2384341639</v>
      </c>
      <c r="Q83" s="1050"/>
      <c r="R83" s="1050">
        <f>SUM(R74:R77)/'1501 Summary'!T358</f>
        <v>5050507.1174377222</v>
      </c>
      <c r="S83" s="1050"/>
      <c r="T83" s="1050">
        <f>SUM(T74:T77)/'1501 Summary'!V358</f>
        <v>9500953.736654805</v>
      </c>
      <c r="U83" s="1050"/>
      <c r="V83" s="1050">
        <f>SUM(V74:V77)/'1501 Summary'!X358</f>
        <v>4852567.6156583633</v>
      </c>
      <c r="W83" s="1050"/>
      <c r="X83" s="1050">
        <f>SUM(X74:X77)/'1501 Summary'!Z358</f>
        <v>897403.91459074733</v>
      </c>
      <c r="Y83" s="1050"/>
      <c r="Z83" s="1051">
        <f>SUM(Z74:Z77)/'1501 Summary'!AB358</f>
        <v>211268.89460154242</v>
      </c>
      <c r="AA83" s="826"/>
    </row>
    <row r="84" spans="2:28">
      <c r="B84" s="904">
        <v>80</v>
      </c>
      <c r="C84" s="1049">
        <v>906</v>
      </c>
      <c r="D84" s="1050"/>
      <c r="E84" s="1050"/>
      <c r="F84" s="1050"/>
      <c r="G84" s="1050"/>
      <c r="H84" s="1050"/>
      <c r="I84" s="1050"/>
      <c r="J84" s="1050"/>
      <c r="K84" s="1050"/>
      <c r="L84" s="1050"/>
      <c r="M84" s="1050"/>
      <c r="N84" s="1050"/>
      <c r="O84" s="1050"/>
      <c r="P84" s="1050"/>
      <c r="Q84" s="1050"/>
      <c r="R84" s="1050"/>
      <c r="S84" s="1050"/>
      <c r="T84" s="1050"/>
      <c r="U84" s="1050"/>
      <c r="V84" s="1050"/>
      <c r="W84" s="1050"/>
      <c r="X84" s="1050"/>
      <c r="Y84" s="1050"/>
      <c r="Z84" s="1051"/>
    </row>
    <row r="85" spans="2:28">
      <c r="B85" s="904">
        <v>81</v>
      </c>
      <c r="C85" s="1046" t="s">
        <v>2716</v>
      </c>
      <c r="D85" s="1057">
        <f>'1501 Summary'!F252</f>
        <v>2617900</v>
      </c>
      <c r="E85" s="1057"/>
      <c r="F85" s="1057">
        <f>'1501 Summary'!H252</f>
        <v>3202150</v>
      </c>
      <c r="G85" s="1057"/>
      <c r="H85" s="1057">
        <f>'1501 Summary'!J252</f>
        <v>2316550</v>
      </c>
      <c r="I85" s="1057"/>
      <c r="J85" s="1057">
        <f>'1501 Summary'!L252</f>
        <v>2298400</v>
      </c>
      <c r="K85" s="1057"/>
      <c r="L85" s="1057">
        <f>'1501 Summary'!N252</f>
        <v>2069824.9999999998</v>
      </c>
      <c r="M85" s="1057"/>
      <c r="N85" s="1057">
        <f>'1501 Summary'!P252</f>
        <v>1973650</v>
      </c>
      <c r="O85" s="1057"/>
      <c r="P85" s="1057">
        <f>'1501 Summary'!R252</f>
        <v>2265725</v>
      </c>
      <c r="Q85" s="1057"/>
      <c r="R85" s="1057">
        <f>'1501 Summary'!T252</f>
        <v>2468675</v>
      </c>
      <c r="S85" s="1057"/>
      <c r="T85" s="1057">
        <f>'1501 Summary'!V252</f>
        <v>2310625</v>
      </c>
      <c r="U85" s="1057"/>
      <c r="V85" s="1057">
        <f>'1501 Summary'!X252</f>
        <v>2238150</v>
      </c>
      <c r="W85" s="1057"/>
      <c r="X85" s="1057">
        <f>'1501 Summary'!Z252</f>
        <v>2832250</v>
      </c>
      <c r="Y85" s="1057"/>
      <c r="Z85" s="1058">
        <f>'1501 Summary'!AB252</f>
        <v>3143974.9999999995</v>
      </c>
    </row>
    <row r="86" spans="2:28">
      <c r="B86" s="904">
        <v>82</v>
      </c>
      <c r="C86" s="1046" t="s">
        <v>2995</v>
      </c>
      <c r="D86" s="1057">
        <f>'1501 Summary'!F253</f>
        <v>2545058.179517509</v>
      </c>
      <c r="E86" s="1057"/>
      <c r="F86" s="1057">
        <f>'1501 Summary'!H253</f>
        <v>3006870.1345143453</v>
      </c>
      <c r="G86" s="1057"/>
      <c r="H86" s="1057">
        <f>'1501 Summary'!J253</f>
        <v>2292202.1566308145</v>
      </c>
      <c r="I86" s="1057"/>
      <c r="J86" s="1057">
        <f>'1501 Summary'!L253</f>
        <v>2283506.8632575027</v>
      </c>
      <c r="K86" s="1057"/>
      <c r="L86" s="1057">
        <f>'1501 Summary'!N253</f>
        <v>2069825.7365279344</v>
      </c>
      <c r="M86" s="1057"/>
      <c r="N86" s="1057">
        <f>'1501 Summary'!P253</f>
        <v>1973659.6704536076</v>
      </c>
      <c r="O86" s="1057"/>
      <c r="P86" s="1057">
        <f>'1501 Summary'!R253</f>
        <v>2265713.2836354636</v>
      </c>
      <c r="Q86" s="1057"/>
      <c r="R86" s="1057">
        <f>'1501 Summary'!T253</f>
        <v>2468668.1245018495</v>
      </c>
      <c r="S86" s="1057"/>
      <c r="T86" s="1057">
        <f>'1501 Summary'!V253</f>
        <v>2310614.9475792442</v>
      </c>
      <c r="U86" s="1057"/>
      <c r="V86" s="1057">
        <f>'1501 Summary'!X253</f>
        <v>2238144.1894368259</v>
      </c>
      <c r="W86" s="1057"/>
      <c r="X86" s="1057">
        <f>'1501 Summary'!Z253</f>
        <v>2855886.1798587129</v>
      </c>
      <c r="Y86" s="1057"/>
      <c r="Z86" s="1058">
        <f>'1501 Summary'!AB253</f>
        <v>3224084.2546987939</v>
      </c>
    </row>
    <row r="87" spans="2:28">
      <c r="B87" s="904">
        <v>83</v>
      </c>
      <c r="C87" s="1046" t="s">
        <v>2986</v>
      </c>
      <c r="D87" s="1057">
        <f>D85/'1501 Summary'!F249</f>
        <v>2617900</v>
      </c>
      <c r="E87" s="1057"/>
      <c r="F87" s="1057">
        <f>F85/'1501 Summary'!H249</f>
        <v>3202150</v>
      </c>
      <c r="G87" s="1057"/>
      <c r="H87" s="1057">
        <f>H85/'1501 Summary'!J249</f>
        <v>2316550</v>
      </c>
      <c r="I87" s="1057"/>
      <c r="J87" s="1057">
        <f>J85/'1501 Summary'!L249</f>
        <v>2298400</v>
      </c>
      <c r="K87" s="1057"/>
      <c r="L87" s="1057">
        <f>L85/'1501 Summary'!N249</f>
        <v>2069824.9999999998</v>
      </c>
      <c r="M87" s="1057"/>
      <c r="N87" s="1057">
        <f>N85/'1501 Summary'!P249</f>
        <v>1973650</v>
      </c>
      <c r="O87" s="1057"/>
      <c r="P87" s="1057">
        <f>P85/'1501 Summary'!R249</f>
        <v>2265725</v>
      </c>
      <c r="Q87" s="1057"/>
      <c r="R87" s="1057">
        <f>R85/'1501 Summary'!T249</f>
        <v>2468675</v>
      </c>
      <c r="S87" s="1057"/>
      <c r="T87" s="1057">
        <f>T85/'1501 Summary'!V249</f>
        <v>2310625</v>
      </c>
      <c r="U87" s="1057"/>
      <c r="V87" s="1057">
        <f>V85/'1501 Summary'!X249</f>
        <v>2238150</v>
      </c>
      <c r="W87" s="1057"/>
      <c r="X87" s="1057">
        <f>X85/'1501 Summary'!Z249</f>
        <v>2832250</v>
      </c>
      <c r="Y87" s="1057"/>
      <c r="Z87" s="1058">
        <f>Z85/'1501 Summary'!AB249</f>
        <v>3143974.9999999995</v>
      </c>
    </row>
    <row r="88" spans="2:28">
      <c r="B88" s="904">
        <v>84</v>
      </c>
      <c r="C88" s="1046" t="s">
        <v>2996</v>
      </c>
      <c r="D88" s="1057">
        <f>D86/'1501 Summary'!F249</f>
        <v>2545058.179517509</v>
      </c>
      <c r="E88" s="1057"/>
      <c r="F88" s="1057">
        <f>F86/'1501 Summary'!H249</f>
        <v>3006870.1345143453</v>
      </c>
      <c r="G88" s="1057"/>
      <c r="H88" s="1057">
        <f>H86/'1501 Summary'!J249</f>
        <v>2292202.1566308145</v>
      </c>
      <c r="I88" s="1057"/>
      <c r="J88" s="1057">
        <f>J86/'1501 Summary'!L249</f>
        <v>2283506.8632575027</v>
      </c>
      <c r="K88" s="1057"/>
      <c r="L88" s="1057">
        <f>L86/'1501 Summary'!N249</f>
        <v>2069825.7365279344</v>
      </c>
      <c r="M88" s="1057"/>
      <c r="N88" s="1057">
        <f>N86/'1501 Summary'!P249</f>
        <v>1973659.6704536076</v>
      </c>
      <c r="O88" s="1057"/>
      <c r="P88" s="1057">
        <f>P86/'1501 Summary'!R249</f>
        <v>2265713.2836354636</v>
      </c>
      <c r="Q88" s="1057"/>
      <c r="R88" s="1057">
        <f>R86/'1501 Summary'!T249</f>
        <v>2468668.1245018495</v>
      </c>
      <c r="S88" s="1057"/>
      <c r="T88" s="1057">
        <f>T86/'1501 Summary'!V249</f>
        <v>2310614.9475792442</v>
      </c>
      <c r="U88" s="1057"/>
      <c r="V88" s="1057">
        <f>V86/'1501 Summary'!X249</f>
        <v>2238144.1894368259</v>
      </c>
      <c r="W88" s="1057"/>
      <c r="X88" s="1057">
        <f>X86/'1501 Summary'!Z249</f>
        <v>2855886.1798587129</v>
      </c>
      <c r="Y88" s="1057"/>
      <c r="Z88" s="1058">
        <f>Z86/'1501 Summary'!AB249</f>
        <v>3224084.2546987939</v>
      </c>
    </row>
    <row r="89" spans="2:28">
      <c r="B89" s="904">
        <v>85</v>
      </c>
      <c r="C89" s="1049" t="s">
        <v>2997</v>
      </c>
      <c r="D89" s="1050">
        <f>SUM(D85:D86)/'1501 Summary'!F249</f>
        <v>5162958.1795175094</v>
      </c>
      <c r="E89" s="1050"/>
      <c r="F89" s="1050">
        <f>SUM(F85:F86)/'1501 Summary'!H249</f>
        <v>6209020.1345143449</v>
      </c>
      <c r="G89" s="1050"/>
      <c r="H89" s="1050">
        <f>SUM(H85:H86)/'1501 Summary'!J249</f>
        <v>4608752.1566308141</v>
      </c>
      <c r="I89" s="1050"/>
      <c r="J89" s="1050">
        <f>SUM(J85:J86)/'1501 Summary'!L249</f>
        <v>4581906.8632575031</v>
      </c>
      <c r="K89" s="1050"/>
      <c r="L89" s="1050">
        <f>SUM(L85:L86)/'1501 Summary'!N249</f>
        <v>4139650.7365279342</v>
      </c>
      <c r="M89" s="1050"/>
      <c r="N89" s="1050">
        <f>SUM(N85:N86)/'1501 Summary'!P249</f>
        <v>3947309.6704536076</v>
      </c>
      <c r="O89" s="1050"/>
      <c r="P89" s="1050">
        <f>SUM(P85:P86)/'1501 Summary'!R249</f>
        <v>4531438.2836354636</v>
      </c>
      <c r="Q89" s="1050"/>
      <c r="R89" s="1050">
        <f>SUM(R85:R86)/'1501 Summary'!T249</f>
        <v>4937343.1245018495</v>
      </c>
      <c r="S89" s="1050"/>
      <c r="T89" s="1050">
        <f>SUM(T85:T86)/'1501 Summary'!V249</f>
        <v>4621239.9475792442</v>
      </c>
      <c r="U89" s="1050"/>
      <c r="V89" s="1050">
        <f>SUM(V85:V86)/'1501 Summary'!X249</f>
        <v>4476294.1894368259</v>
      </c>
      <c r="W89" s="1050"/>
      <c r="X89" s="1050">
        <f>SUM(X85:X86)/'1501 Summary'!Z249</f>
        <v>5688136.1798587125</v>
      </c>
      <c r="Y89" s="1050"/>
      <c r="Z89" s="1051">
        <f>SUM(Z85:Z86)/'1501 Summary'!AB249</f>
        <v>6368059.2546987934</v>
      </c>
      <c r="AA89" s="1873" t="s">
        <v>2985</v>
      </c>
      <c r="AB89" s="1874"/>
    </row>
    <row r="90" spans="2:28">
      <c r="B90" s="904">
        <v>86</v>
      </c>
      <c r="C90" s="1049" t="s">
        <v>2998</v>
      </c>
      <c r="D90" s="1050">
        <f>SUM(D44,D54,D64,D74,D85)/SUM('1501 Summary'!F220,'1501 Summary'!F319,'1501 Summary'!F339,'1501 Summary'!F358,'1501 Summary'!F249)</f>
        <v>56217.269040807441</v>
      </c>
      <c r="E90" s="1050"/>
      <c r="F90" s="1050">
        <f>SUM(F44,F54,F64,F74,F85)/SUM('1501 Summary'!H220,'1501 Summary'!H319,'1501 Summary'!H339,'1501 Summary'!H358,'1501 Summary'!H249)</f>
        <v>62593.857964037277</v>
      </c>
      <c r="G90" s="1050"/>
      <c r="H90" s="1050">
        <f>SUM(H44,H54,H64,H74,H85)/SUM('1501 Summary'!J220,'1501 Summary'!J319,'1501 Summary'!J339,'1501 Summary'!J358,'1501 Summary'!J249)</f>
        <v>58811.504753724483</v>
      </c>
      <c r="I90" s="1050"/>
      <c r="J90" s="1050">
        <f>SUM(J44,J54,J64,J74,J85)/SUM('1501 Summary'!L220,'1501 Summary'!L319,'1501 Summary'!L339,'1501 Summary'!L358,'1501 Summary'!L249)</f>
        <v>56586.48461333412</v>
      </c>
      <c r="K90" s="1050"/>
      <c r="L90" s="1050">
        <f>SUM(L44,L54,L64,L74,L85)/SUM('1501 Summary'!N220,'1501 Summary'!N319,'1501 Summary'!N339,'1501 Summary'!N358,'1501 Summary'!N249)</f>
        <v>51029.27459962952</v>
      </c>
      <c r="M90" s="1050"/>
      <c r="N90" s="1050">
        <f>SUM(N44,N54,N64,N74,N85)/SUM('1501 Summary'!P220,'1501 Summary'!P319,'1501 Summary'!P339,'1501 Summary'!P358,'1501 Summary'!P249)</f>
        <v>48737.163826828881</v>
      </c>
      <c r="O90" s="1050"/>
      <c r="P90" s="1050">
        <f>SUM(P44,P54,P64,P74,P85)/SUM('1501 Summary'!R220,'1501 Summary'!R319,'1501 Summary'!R339,'1501 Summary'!R358,'1501 Summary'!R249)</f>
        <v>50801.219356331087</v>
      </c>
      <c r="Q90" s="1050"/>
      <c r="R90" s="1050">
        <f>SUM(R44,R54,R64,R74,R85)/SUM('1501 Summary'!T220,'1501 Summary'!T319,'1501 Summary'!T339,'1501 Summary'!T358,'1501 Summary'!T249)</f>
        <v>51391.20718779492</v>
      </c>
      <c r="S90" s="1050"/>
      <c r="T90" s="1050">
        <f>SUM(T44,T54,T64,T74,T85)/SUM('1501 Summary'!V220,'1501 Summary'!V319,'1501 Summary'!V339,'1501 Summary'!V358,'1501 Summary'!V249)</f>
        <v>50942.481549545111</v>
      </c>
      <c r="U90" s="1050"/>
      <c r="V90" s="1050">
        <f>SUM(V44,V54,V64,V74,V85)/SUM('1501 Summary'!X220,'1501 Summary'!X319,'1501 Summary'!X339,'1501 Summary'!X358,'1501 Summary'!X249)</f>
        <v>56382.041472332618</v>
      </c>
      <c r="W90" s="1050"/>
      <c r="X90" s="1050">
        <f>SUM(X44,X54,X64,X74,X85)/SUM('1501 Summary'!Z220,'1501 Summary'!Z319,'1501 Summary'!Z339,'1501 Summary'!Z358,'1501 Summary'!Z249)</f>
        <v>64651.934083253815</v>
      </c>
      <c r="Y90" s="1050"/>
      <c r="Z90" s="1059">
        <f>SUM(Z44,Z54,Z64,Z74,Z85)/SUM('1501 Summary'!AB220,'1501 Summary'!AB319,'1501 Summary'!AB339,'1501 Summary'!AB358,'1501 Summary'!AB249)</f>
        <v>61524.548769320441</v>
      </c>
      <c r="AA90" s="1060">
        <f>SUM(AA44,X54,X64,X74,X85)/SUM('1501 Summary'!Z220,'1501 Summary'!Z319,'1501 Summary'!Z339,'1501 Summary'!Z358,'1501 Summary'!Z249,'1501 Summary'!Z74)</f>
        <v>64640.376246440843</v>
      </c>
      <c r="AB90" s="1061">
        <f>SUM(AB44,Z54,Z64,Z74,Z85)/SUM('1501 Summary'!AB220,'1501 Summary'!AB319,'1501 Summary'!AB339,'1501 Summary'!AB358,'1501 Summary'!AB249,'1501 Summary'!AB74)</f>
        <v>61873.953431511261</v>
      </c>
    </row>
    <row r="91" spans="2:28">
      <c r="B91" s="904">
        <v>87</v>
      </c>
      <c r="C91" s="1049" t="s">
        <v>2999</v>
      </c>
      <c r="D91" s="1050">
        <f>SUM(D45,D55,D65,D75,D86)/SUM('1501 Summary'!F220,'1501 Summary'!F319,'1501 Summary'!F339,'1501 Summary'!F358,'1501 Summary'!F249)</f>
        <v>44090.34888534584</v>
      </c>
      <c r="E91" s="1050"/>
      <c r="F91" s="1050">
        <f>SUM(F45,F55,F65,F75,F86)/SUM('1501 Summary'!H220,'1501 Summary'!H319,'1501 Summary'!H339,'1501 Summary'!H358,'1501 Summary'!H249)</f>
        <v>48078.968523480537</v>
      </c>
      <c r="G91" s="1050"/>
      <c r="H91" s="1050">
        <f>SUM(H45,H55,H65,H75,H86)/SUM('1501 Summary'!J220,'1501 Summary'!J319,'1501 Summary'!J339,'1501 Summary'!J358,'1501 Summary'!J249)</f>
        <v>42853.39519590565</v>
      </c>
      <c r="I91" s="1050"/>
      <c r="J91" s="1050">
        <f>SUM(J45,J55,J65,J75,J86)/SUM('1501 Summary'!L220,'1501 Summary'!L319,'1501 Summary'!L339,'1501 Summary'!L358,'1501 Summary'!L249)</f>
        <v>42085.622646558899</v>
      </c>
      <c r="K91" s="1050"/>
      <c r="L91" s="1050">
        <f>SUM(L45,L55,L65,L75,L86)/SUM('1501 Summary'!N220,'1501 Summary'!N319,'1501 Summary'!N339,'1501 Summary'!N358,'1501 Summary'!N249)</f>
        <v>40492.119370037581</v>
      </c>
      <c r="M91" s="1050"/>
      <c r="N91" s="1050">
        <f>SUM(N45,N55,N65,N75,N86)/SUM('1501 Summary'!P220,'1501 Summary'!P319,'1501 Summary'!P339,'1501 Summary'!P358,'1501 Summary'!P249)</f>
        <v>39708.939281351253</v>
      </c>
      <c r="O91" s="1050"/>
      <c r="P91" s="1050">
        <f>SUM(P45,P55,P65,P75,P86)/SUM('1501 Summary'!R220,'1501 Summary'!R319,'1501 Summary'!R339,'1501 Summary'!R358,'1501 Summary'!R249)</f>
        <v>49633.742255740042</v>
      </c>
      <c r="Q91" s="1050"/>
      <c r="R91" s="1050">
        <f>SUM(R45,R55,R65,R75,R86)/SUM('1501 Summary'!T220,'1501 Summary'!T319,'1501 Summary'!T339,'1501 Summary'!T358,'1501 Summary'!T249)</f>
        <v>39984.071026162739</v>
      </c>
      <c r="S91" s="1050"/>
      <c r="T91" s="1050">
        <f>SUM(T45,T55,T65,T75,T86)/SUM('1501 Summary'!V220,'1501 Summary'!V319,'1501 Summary'!V339,'1501 Summary'!V358,'1501 Summary'!V249)</f>
        <v>39459.289505788423</v>
      </c>
      <c r="U91" s="1050"/>
      <c r="V91" s="1050">
        <f>SUM(V45,V55,V65,V75,V86)/SUM('1501 Summary'!X220,'1501 Summary'!X319,'1501 Summary'!X339,'1501 Summary'!X358,'1501 Summary'!X249)</f>
        <v>42943.087924345222</v>
      </c>
      <c r="W91" s="1050"/>
      <c r="X91" s="1050">
        <f>SUM(X45,X55,X65,X75,X86)/SUM('1501 Summary'!Z220,'1501 Summary'!Z319,'1501 Summary'!Z339,'1501 Summary'!Z358,'1501 Summary'!Z249)</f>
        <v>52202.105789161724</v>
      </c>
      <c r="Y91" s="1050"/>
      <c r="Z91" s="1059">
        <f>SUM(Z45,Z55,Z65,Z75,Z86)/SUM('1501 Summary'!AB220,'1501 Summary'!AB319,'1501 Summary'!AB339,'1501 Summary'!AB358,'1501 Summary'!AB249)</f>
        <v>46592.945449841493</v>
      </c>
      <c r="AA91" s="1060">
        <f>SUM(AA45,X55,X65,X75,X86)/SUM('1501 Summary'!Z220,'1501 Summary'!Z319,'1501 Summary'!Z339,'1501 Summary'!Z358,'1501 Summary'!Z249,'1501 Summary'!Z74)</f>
        <v>51336.060027255269</v>
      </c>
      <c r="AB91" s="1061">
        <f>SUM(AB45,Z55,Z65,Z75,Z86)/SUM('1501 Summary'!AB220,'1501 Summary'!AB319,'1501 Summary'!AB339,'1501 Summary'!AB358,'1501 Summary'!AB249,'1501 Summary'!AB74)</f>
        <v>45939.315303992313</v>
      </c>
    </row>
    <row r="92" spans="2:28">
      <c r="B92" s="904">
        <v>88</v>
      </c>
      <c r="C92" s="1049" t="s">
        <v>2999</v>
      </c>
      <c r="D92" s="1050">
        <f>SUM(D46,D56,D66,D76)/SUM('1501 Summary'!F220,'1501 Summary'!F319,'1501 Summary'!F339,'1501 Summary'!F358)</f>
        <v>16827.660521863032</v>
      </c>
      <c r="E92" s="1050"/>
      <c r="F92" s="1050">
        <f>SUM(F46,F56,F66,F76)/SUM('1501 Summary'!H220,'1501 Summary'!H319,'1501 Summary'!H339,'1501 Summary'!H358)</f>
        <v>17609.956362988691</v>
      </c>
      <c r="G92" s="1050"/>
      <c r="H92" s="1050">
        <f>SUM(H46,H56,H66,H76)/SUM('1501 Summary'!J220,'1501 Summary'!J319,'1501 Summary'!J339,'1501 Summary'!J358)</f>
        <v>17268.091030358373</v>
      </c>
      <c r="I92" s="1050"/>
      <c r="J92" s="1050">
        <f>SUM(J46,J56,J66,J76)/SUM('1501 Summary'!L220,'1501 Summary'!L319,'1501 Summary'!L339,'1501 Summary'!L358)</f>
        <v>15731.470290691948</v>
      </c>
      <c r="K92" s="1050"/>
      <c r="L92" s="1050">
        <f>SUM(L46,L56,L66,L76)/SUM('1501 Summary'!N220,'1501 Summary'!N319,'1501 Summary'!N339,'1501 Summary'!N358)</f>
        <v>15431.365774576767</v>
      </c>
      <c r="M92" s="1050"/>
      <c r="N92" s="1050">
        <f>SUM(N46,N56,N66,N76)/SUM('1501 Summary'!P220,'1501 Summary'!P319,'1501 Summary'!P339,'1501 Summary'!P358)</f>
        <v>15773.533047526365</v>
      </c>
      <c r="O92" s="1050"/>
      <c r="P92" s="1050">
        <f>SUM(P46,P56,P66,P76)/SUM('1501 Summary'!R220,'1501 Summary'!R319,'1501 Summary'!R339,'1501 Summary'!R358)</f>
        <v>2083.3333333333335</v>
      </c>
      <c r="Q92" s="1050"/>
      <c r="R92" s="1050">
        <f>SUM(R46,R56,R66,R76)/SUM('1501 Summary'!T220,'1501 Summary'!T319,'1501 Summary'!T339,'1501 Summary'!T358)</f>
        <v>14483.705231246475</v>
      </c>
      <c r="S92" s="1050"/>
      <c r="T92" s="1050">
        <f>SUM(T46,T56,T66,T76)/SUM('1501 Summary'!V220,'1501 Summary'!V319,'1501 Summary'!V339,'1501 Summary'!V358)</f>
        <v>15236.071615240826</v>
      </c>
      <c r="U92" s="1050"/>
      <c r="V92" s="1050">
        <f>SUM(V46,V56,V66,V76)/SUM('1501 Summary'!X220,'1501 Summary'!X319,'1501 Summary'!X339,'1501 Summary'!X358)</f>
        <v>16082.424971057082</v>
      </c>
      <c r="W92" s="1050"/>
      <c r="X92" s="1050">
        <f>SUM(X46,X56,X66,X76)/SUM('1501 Summary'!Z220,'1501 Summary'!Z319,'1501 Summary'!Z339,'1501 Summary'!Z358)</f>
        <v>17645.742605383115</v>
      </c>
      <c r="Y92" s="1050"/>
      <c r="Z92" s="1059">
        <f>SUM(Z46,Z56,Z66,Z76)/SUM('1501 Summary'!AB220,'1501 Summary'!AB319,'1501 Summary'!AB339,'1501 Summary'!AB358)</f>
        <v>14222.156674440937</v>
      </c>
      <c r="AA92" s="1060">
        <f>SUM(AA46,X56,X66,X76)/SUM('1501 Summary'!Z220,'1501 Summary'!Z319,'1501 Summary'!Z339,'1501 Summary'!Z358,'1501 Summary'!Z74)</f>
        <v>20664.08455128298</v>
      </c>
      <c r="AB92" s="1061">
        <f>SUM(AB46,Z56,Z66,Z76)/SUM('1501 Summary'!AB220,'1501 Summary'!AB319,'1501 Summary'!AB339,'1501 Summary'!AB358,'1501 Summary'!AB74)</f>
        <v>17873.621781073492</v>
      </c>
    </row>
    <row r="93" spans="2:28">
      <c r="B93" s="904">
        <v>89</v>
      </c>
      <c r="C93" s="1062" t="s">
        <v>3000</v>
      </c>
      <c r="D93" s="1063">
        <f>SUM(D47,D57,D67,D77,D82)/SUM('1501 Summary'!F220,'1501 Summary'!F319,'1501 Summary'!F339,'1501 Summary'!F358)</f>
        <v>163342.80286570516</v>
      </c>
      <c r="E93" s="1063"/>
      <c r="F93" s="1063">
        <f>SUM(F47,F57,F67,F77,F82)/SUM('1501 Summary'!H220,'1501 Summary'!H319,'1501 Summary'!H339,'1501 Summary'!H358)</f>
        <v>167624.0232627833</v>
      </c>
      <c r="G93" s="1063"/>
      <c r="H93" s="1063">
        <f>SUM(H47,H57,H67,H77,H82)/SUM('1501 Summary'!J220,'1501 Summary'!J319,'1501 Summary'!J339,'1501 Summary'!J358)</f>
        <v>135689.75369523058</v>
      </c>
      <c r="I93" s="1063"/>
      <c r="J93" s="1063">
        <f>SUM(J47,J57,J67,J77,J82)/SUM('1501 Summary'!L220,'1501 Summary'!L319,'1501 Summary'!L339,'1501 Summary'!L358)</f>
        <v>132857.25515449356</v>
      </c>
      <c r="K93" s="1063"/>
      <c r="L93" s="1063">
        <f>SUM(L47,L57,L67,L77,L82)/SUM('1501 Summary'!N220,'1501 Summary'!N319,'1501 Summary'!N339,'1501 Summary'!N358)</f>
        <v>112868.62894300462</v>
      </c>
      <c r="M93" s="1063"/>
      <c r="N93" s="1063">
        <f>SUM(N47,N57,N67,N77,N82)/SUM('1501 Summary'!P220,'1501 Summary'!P319,'1501 Summary'!P339,'1501 Summary'!P358)</f>
        <v>100485.72398724024</v>
      </c>
      <c r="O93" s="1063"/>
      <c r="P93" s="1063">
        <f>SUM(P47,P57,P67,P77,P82)/SUM('1501 Summary'!R220,'1501 Summary'!R319,'1501 Summary'!R339,'1501 Summary'!R358)</f>
        <v>137431.75381820876</v>
      </c>
      <c r="Q93" s="1063"/>
      <c r="R93" s="1063">
        <f>SUM(R47,R57,R67,R77,R82)/SUM('1501 Summary'!T220,'1501 Summary'!T319,'1501 Summary'!T339,'1501 Summary'!T358)</f>
        <v>233215.37411032026</v>
      </c>
      <c r="S93" s="1063"/>
      <c r="T93" s="1063">
        <f>SUM(T47,T57,T67,T77,T82)/SUM('1501 Summary'!V220,'1501 Summary'!V319,'1501 Summary'!V339,'1501 Summary'!V358)</f>
        <v>281231.25436455442</v>
      </c>
      <c r="U93" s="1063"/>
      <c r="V93" s="1063">
        <f>SUM(V47,V57,V67,V77,V82)/SUM('1501 Summary'!X220,'1501 Summary'!X319,'1501 Summary'!X339,'1501 Summary'!X358)</f>
        <v>259354.55768870574</v>
      </c>
      <c r="W93" s="1063"/>
      <c r="X93" s="1063">
        <f>SUM(X47,X57,X67,X77,X82)/SUM('1501 Summary'!Z220,'1501 Summary'!Z319,'1501 Summary'!Z339,'1501 Summary'!Z358)</f>
        <v>148163.22046555043</v>
      </c>
      <c r="Y93" s="1063"/>
      <c r="Z93" s="1064">
        <f>SUM(Z47,Z57,Z67,Z77,Z82)/SUM('1501 Summary'!AB220,'1501 Summary'!AB319,'1501 Summary'!AB339,'1501 Summary'!AB358)</f>
        <v>174114.11135904587</v>
      </c>
      <c r="AA93" s="1063">
        <f>SUM(X47,X57,X67,X77,X82)/SUM('1501 Summary'!Z220,'1501 Summary'!Z319,'1501 Summary'!Z339,'1501 Summary'!Z358)</f>
        <v>148163.22046555043</v>
      </c>
      <c r="AB93" s="1064">
        <f>SUM(Z47,Z57,Z67,Z77,Z82)/SUM('1501 Summary'!AB220,'1501 Summary'!AB319,'1501 Summary'!AB339,'1501 Summary'!AB358)</f>
        <v>174114.11135904587</v>
      </c>
    </row>
    <row r="94" spans="2:28" ht="15" thickBot="1">
      <c r="B94" s="904">
        <v>90</v>
      </c>
      <c r="C94" s="906"/>
      <c r="D94" s="1065"/>
      <c r="E94" s="1065"/>
      <c r="F94" s="1066"/>
      <c r="G94" s="1067"/>
      <c r="H94" s="1066"/>
      <c r="I94" s="1066"/>
      <c r="J94" s="1066"/>
      <c r="K94" s="1066"/>
      <c r="L94" s="1066"/>
      <c r="M94" s="1066"/>
      <c r="N94" s="1066"/>
      <c r="O94" s="1066"/>
      <c r="P94" s="1066"/>
      <c r="Q94" s="1066"/>
      <c r="R94" s="1066"/>
      <c r="S94" s="1066"/>
      <c r="T94" s="1066"/>
      <c r="U94" s="1066"/>
      <c r="V94" s="1066"/>
      <c r="W94" s="1066"/>
      <c r="X94" s="1066"/>
      <c r="Y94" s="1068"/>
      <c r="Z94" s="1068"/>
    </row>
    <row r="95" spans="2:28" ht="15" thickBot="1">
      <c r="B95" s="904">
        <v>91</v>
      </c>
    </row>
    <row r="96" spans="2:28" ht="15" customHeight="1">
      <c r="B96" s="904">
        <v>92</v>
      </c>
      <c r="C96" s="1861" t="s">
        <v>3001</v>
      </c>
      <c r="D96" s="1861"/>
      <c r="E96" s="1861"/>
      <c r="F96" s="1861"/>
      <c r="G96" s="1861"/>
      <c r="H96" s="1861"/>
      <c r="I96" s="1861"/>
      <c r="J96" s="1861"/>
      <c r="K96" s="1861"/>
      <c r="L96" s="1861"/>
      <c r="M96" s="1861"/>
      <c r="N96" s="1861"/>
      <c r="O96" s="1861"/>
      <c r="P96" s="1861"/>
      <c r="Q96" s="1861"/>
      <c r="R96" s="1861"/>
      <c r="S96" s="1861"/>
      <c r="T96" s="1861"/>
      <c r="U96" s="1861"/>
      <c r="V96" s="1861"/>
      <c r="W96" s="1861"/>
      <c r="X96" s="1861"/>
      <c r="Y96" s="1861"/>
      <c r="Z96" s="1862"/>
    </row>
    <row r="97" spans="1:32">
      <c r="B97" s="904">
        <v>93</v>
      </c>
      <c r="C97" s="583" t="s">
        <v>778</v>
      </c>
      <c r="D97" s="583" t="s">
        <v>776</v>
      </c>
      <c r="E97" s="583"/>
      <c r="F97" s="583" t="s">
        <v>777</v>
      </c>
      <c r="G97" s="583"/>
      <c r="H97" s="583" t="s">
        <v>780</v>
      </c>
      <c r="I97" s="583"/>
      <c r="J97" s="583" t="s">
        <v>781</v>
      </c>
      <c r="K97" s="583"/>
      <c r="L97" s="583" t="s">
        <v>782</v>
      </c>
      <c r="M97" s="583"/>
      <c r="N97" s="583" t="s">
        <v>783</v>
      </c>
      <c r="O97" s="583"/>
      <c r="P97" s="583" t="s">
        <v>784</v>
      </c>
      <c r="Q97" s="583"/>
      <c r="R97" s="583" t="s">
        <v>785</v>
      </c>
      <c r="S97" s="583"/>
      <c r="T97" s="583" t="s">
        <v>786</v>
      </c>
      <c r="U97" s="583"/>
      <c r="V97" s="583" t="s">
        <v>787</v>
      </c>
      <c r="W97" s="583"/>
      <c r="X97" s="583" t="s">
        <v>788</v>
      </c>
      <c r="Y97" s="583"/>
      <c r="Z97" s="822" t="s">
        <v>789</v>
      </c>
      <c r="AA97" s="583" t="s">
        <v>790</v>
      </c>
      <c r="AB97" s="583" t="s">
        <v>791</v>
      </c>
      <c r="AC97" s="822" t="s">
        <v>995</v>
      </c>
      <c r="AD97" s="583" t="s">
        <v>996</v>
      </c>
    </row>
    <row r="98" spans="1:32" ht="43.5" customHeight="1">
      <c r="B98" s="904">
        <v>94</v>
      </c>
      <c r="C98" s="1069" t="s">
        <v>2857</v>
      </c>
      <c r="D98" s="1069" t="s">
        <v>2950</v>
      </c>
      <c r="E98" s="1069"/>
      <c r="F98" s="1069" t="s">
        <v>2951</v>
      </c>
      <c r="G98" s="1069"/>
      <c r="H98" s="1069" t="s">
        <v>2952</v>
      </c>
      <c r="I98" s="1069"/>
      <c r="J98" s="1069" t="s">
        <v>2953</v>
      </c>
      <c r="K98" s="1069"/>
      <c r="L98" s="1069" t="s">
        <v>2520</v>
      </c>
      <c r="M98" s="1069"/>
      <c r="N98" s="1069" t="s">
        <v>2954</v>
      </c>
      <c r="O98" s="1069"/>
      <c r="P98" s="1069" t="s">
        <v>2955</v>
      </c>
      <c r="Q98" s="1069"/>
      <c r="R98" s="1069" t="s">
        <v>2956</v>
      </c>
      <c r="S98" s="1069"/>
      <c r="T98" s="1069" t="s">
        <v>2957</v>
      </c>
      <c r="U98" s="1069"/>
      <c r="V98" s="1069" t="s">
        <v>2958</v>
      </c>
      <c r="W98" s="1069"/>
      <c r="X98" s="1069" t="s">
        <v>2959</v>
      </c>
      <c r="Y98" s="1069"/>
      <c r="Z98" s="1070" t="s">
        <v>2960</v>
      </c>
      <c r="AA98" s="1071"/>
      <c r="AB98" s="1072" t="s">
        <v>3002</v>
      </c>
      <c r="AC98" s="1072" t="s">
        <v>3003</v>
      </c>
      <c r="AD98" s="1072" t="s">
        <v>3004</v>
      </c>
      <c r="AF98" s="1616" t="s">
        <v>1807</v>
      </c>
    </row>
    <row r="99" spans="1:32">
      <c r="B99" s="904">
        <v>95</v>
      </c>
      <c r="C99" s="1046" t="s">
        <v>3005</v>
      </c>
      <c r="D99" s="1047">
        <f>D8*SUM('1501 Summary'!$AB$6)</f>
        <v>21481403.558054745</v>
      </c>
      <c r="E99" s="1047"/>
      <c r="F99" s="1047">
        <f>F8*SUM('1501 Summary'!$AB$6)</f>
        <v>17282496.365299165</v>
      </c>
      <c r="G99" s="1047"/>
      <c r="H99" s="1047">
        <f>H8*SUM('1501 Summary'!$AB$6)</f>
        <v>14550887.329602273</v>
      </c>
      <c r="I99" s="1047"/>
      <c r="J99" s="1047">
        <f>J8*SUM('1501 Summary'!$AB$6)</f>
        <v>9553553.7802296188</v>
      </c>
      <c r="K99" s="1047"/>
      <c r="L99" s="1047">
        <f>L8*SUM('1501 Summary'!$AB$6)</f>
        <v>6059718.5388262738</v>
      </c>
      <c r="M99" s="1047"/>
      <c r="N99" s="1047">
        <f>N8*SUM('1501 Summary'!$AB$6)</f>
        <v>3709463.2561856038</v>
      </c>
      <c r="O99" s="1047"/>
      <c r="P99" s="1047">
        <f>P8*SUM('1501 Summary'!$AB$6)</f>
        <v>3106265.7935826126</v>
      </c>
      <c r="Q99" s="1047"/>
      <c r="R99" s="1047">
        <f>R8*SUM('1501 Summary'!$AB$6)</f>
        <v>3112645.5987847848</v>
      </c>
      <c r="S99" s="1047"/>
      <c r="T99" s="1047">
        <f>T8*SUM('1501 Summary'!$AB$6)</f>
        <v>3972281.2075161906</v>
      </c>
      <c r="U99" s="1047"/>
      <c r="V99" s="1047">
        <f>V8*SUM('1501 Summary'!$AB$6)</f>
        <v>9102021.7976925541</v>
      </c>
      <c r="W99" s="1047"/>
      <c r="X99" s="1047">
        <f>X8*SUM('1501 Summary'!$AB$6)</f>
        <v>17003957.468034908</v>
      </c>
      <c r="Y99" s="1047"/>
      <c r="Z99" s="1048">
        <f>Z8*SUM('1501 Summary'!$AB$6)</f>
        <v>22806992.536832273</v>
      </c>
      <c r="AA99" s="1073">
        <f>SUM(D99:Z99)</f>
        <v>131741687.23064102</v>
      </c>
      <c r="AB99" s="1074">
        <f>SUM('1501 Summary'!$AB$6)*12</f>
        <v>2344308</v>
      </c>
      <c r="AC99" s="1075">
        <f>SUM('1501 Summary'!F6,'1501 Summary'!H6,'1501 Summary'!J6,'1501 Summary'!L6,'1501 Summary'!N6,'1501 Summary'!P6,'1501 Summary'!R6,'1501 Summary'!T6,'1501 Summary'!V6,'1501 Summary'!X6,'1501 Summary'!Z6,'1501 Summary'!AB6)/12</f>
        <v>193477.59333333335</v>
      </c>
      <c r="AD99" s="1074">
        <f>('2020 New Customers'!C18)*12</f>
        <v>2386620</v>
      </c>
      <c r="AE99" s="826"/>
      <c r="AF99" s="1011">
        <f>AD99-AB99</f>
        <v>42312</v>
      </c>
    </row>
    <row r="100" spans="1:32">
      <c r="B100" s="904">
        <v>96</v>
      </c>
      <c r="C100" s="1076" t="s">
        <v>3006</v>
      </c>
      <c r="D100" s="1077">
        <f>D10*SUM('1501 Summary'!$AB$30,'1501 Summary'!$AB$49)</f>
        <v>14962920.09105991</v>
      </c>
      <c r="E100" s="1077"/>
      <c r="F100" s="1077">
        <f>F10*SUM('1501 Summary'!$AB$30,'1501 Summary'!$AB$49)</f>
        <v>11941476.853740096</v>
      </c>
      <c r="G100" s="1077"/>
      <c r="H100" s="1077">
        <f>H10*SUM('1501 Summary'!$AB$30,'1501 Summary'!$AB$49)</f>
        <v>9514310.0195858628</v>
      </c>
      <c r="I100" s="1077"/>
      <c r="J100" s="1077">
        <f>J10*SUM('1501 Summary'!$AB$30,'1501 Summary'!$AB$49)</f>
        <v>6184290.0073053576</v>
      </c>
      <c r="K100" s="1077"/>
      <c r="L100" s="1077">
        <f>L10*SUM('1501 Summary'!$AB$30,'1501 Summary'!$AB$49)</f>
        <v>4507576.2480000183</v>
      </c>
      <c r="M100" s="1077"/>
      <c r="N100" s="1077">
        <f>N10*SUM('1501 Summary'!$AB$30,'1501 Summary'!$AB$49)</f>
        <v>3185951.0085212658</v>
      </c>
      <c r="O100" s="1077"/>
      <c r="P100" s="1077">
        <f>P10*SUM('1501 Summary'!$AB$30,'1501 Summary'!$AB$49)</f>
        <v>3154644.5544320531</v>
      </c>
      <c r="Q100" s="1077"/>
      <c r="R100" s="1077">
        <f>R10*SUM('1501 Summary'!$AB$30,'1501 Summary'!$AB$49)</f>
        <v>3172920.6924638362</v>
      </c>
      <c r="S100" s="1077"/>
      <c r="T100" s="1077">
        <f>T10*SUM('1501 Summary'!$AB$30,'1501 Summary'!$AB$49)</f>
        <v>3848957.8058954026</v>
      </c>
      <c r="U100" s="1077"/>
      <c r="V100" s="1077">
        <f>V10*SUM('1501 Summary'!$AB$30,'1501 Summary'!$AB$49)</f>
        <v>7254098.4631915251</v>
      </c>
      <c r="W100" s="1077"/>
      <c r="X100" s="1077">
        <f>X10*SUM('1501 Summary'!$AB$30,'1501 Summary'!$AB$49)</f>
        <v>11095081.839790983</v>
      </c>
      <c r="Y100" s="1077"/>
      <c r="Z100" s="1078">
        <f>Z10*SUM('1501 Summary'!$AB$30,'1501 Summary'!$AB$49)</f>
        <v>14473775.727049282</v>
      </c>
      <c r="AA100" s="1073">
        <f>SUM(D100:Z100)</f>
        <v>93296003.311035588</v>
      </c>
      <c r="AB100" s="1079">
        <f>SUM('1501 Summary'!$AB$30,'1501 Summary'!$AB$49)*12</f>
        <v>322116</v>
      </c>
      <c r="AC100" s="1074">
        <f>SUM('1501 Summary'!F49,'1501 Summary'!H49,'1501 Summary'!J49,'1501 Summary'!L49,'1501 Summary'!N49,'1501 Summary'!P49,'1501 Summary'!R49,'1501 Summary'!T49,'1501 Summary'!V49,'1501 Summary'!X49,'1501 Summary'!Z49,'1501 Summary'!AB49,'1501 Summary'!AB30,'1501 Summary'!Z30,'1501 Summary'!X30,'1501 Summary'!V30,'1501 Summary'!T30,'1501 Summary'!R30,'1501 Summary'!P30,'1501 Summary'!N30,'1501 Summary'!L30,'1501 Summary'!J30,'1501 Summary'!H30,'1501 Summary'!F30)/12</f>
        <v>26611.29294871795</v>
      </c>
      <c r="AD100" s="1074">
        <f>('2020 New Customers'!D18)*12</f>
        <v>324384</v>
      </c>
      <c r="AE100" s="826"/>
      <c r="AF100" s="1011">
        <f>AD100-AB100</f>
        <v>2268</v>
      </c>
    </row>
    <row r="101" spans="1:32">
      <c r="B101" s="904">
        <v>97</v>
      </c>
      <c r="C101" s="1046">
        <v>505</v>
      </c>
      <c r="D101" s="1047"/>
      <c r="E101" s="1047"/>
      <c r="F101" s="1047"/>
      <c r="G101" s="1047"/>
      <c r="H101" s="1047"/>
      <c r="I101" s="1047"/>
      <c r="J101" s="1047"/>
      <c r="K101" s="1047"/>
      <c r="L101" s="1047"/>
      <c r="M101" s="1047"/>
      <c r="N101" s="1047"/>
      <c r="O101" s="1047"/>
      <c r="P101" s="1047"/>
      <c r="Q101" s="1047"/>
      <c r="R101" s="1047"/>
      <c r="S101" s="1047"/>
      <c r="T101" s="1047"/>
      <c r="U101" s="1047"/>
      <c r="V101" s="1047"/>
      <c r="W101" s="1047"/>
      <c r="X101" s="1047"/>
      <c r="Y101" s="1047"/>
      <c r="Z101" s="1048"/>
      <c r="AA101" s="1080"/>
      <c r="AB101" s="1079"/>
      <c r="AC101" s="820"/>
      <c r="AD101" s="1074"/>
      <c r="AE101" s="826"/>
      <c r="AF101" s="1011"/>
    </row>
    <row r="102" spans="1:32">
      <c r="B102" s="904">
        <v>98</v>
      </c>
      <c r="C102" s="1046" t="s">
        <v>2681</v>
      </c>
      <c r="D102" s="1047">
        <f>(D20)*($AB$102/12)</f>
        <v>194340.07098025919</v>
      </c>
      <c r="E102" s="1047"/>
      <c r="F102" s="1047">
        <f t="shared" ref="F102:Z102" si="2">(F20)*($AB$102/12)</f>
        <v>198435.0250724245</v>
      </c>
      <c r="G102" s="1047"/>
      <c r="H102" s="1047">
        <f t="shared" si="2"/>
        <v>205749.5769055803</v>
      </c>
      <c r="I102" s="1047"/>
      <c r="J102" s="1047">
        <f t="shared" si="2"/>
        <v>183273.59427443455</v>
      </c>
      <c r="K102" s="1047"/>
      <c r="L102" s="1047">
        <f t="shared" si="2"/>
        <v>141801.01412570136</v>
      </c>
      <c r="M102" s="1047"/>
      <c r="N102" s="1047">
        <f t="shared" si="2"/>
        <v>106600.76388016609</v>
      </c>
      <c r="O102" s="1047"/>
      <c r="P102" s="1047">
        <f t="shared" si="2"/>
        <v>90402.736365577541</v>
      </c>
      <c r="Q102" s="1047"/>
      <c r="R102" s="1047">
        <f t="shared" si="2"/>
        <v>84398.169395629971</v>
      </c>
      <c r="S102" s="1047"/>
      <c r="T102" s="1047">
        <f t="shared" si="2"/>
        <v>92092.139562676224</v>
      </c>
      <c r="U102" s="1047"/>
      <c r="V102" s="1047">
        <f t="shared" si="2"/>
        <v>133088.39782184863</v>
      </c>
      <c r="W102" s="1047"/>
      <c r="X102" s="1047">
        <f t="shared" si="2"/>
        <v>174658.5047865161</v>
      </c>
      <c r="Y102" s="1047"/>
      <c r="Z102" s="1048">
        <f t="shared" si="2"/>
        <v>191214.32972942691</v>
      </c>
      <c r="AA102" s="1073">
        <f>SUM(D102:Z102)</f>
        <v>1796054.322900241</v>
      </c>
      <c r="AB102" s="1079">
        <f>SUM('1501 Summary'!$AB$101,'1501 Summary'!$AB$180)*12</f>
        <v>5856</v>
      </c>
      <c r="AC102" s="1074">
        <f>SUM('1501 Summary'!F101,'1501 Summary'!H101,'1501 Summary'!J101,'1501 Summary'!L101,'1501 Summary'!N101,'1501 Summary'!P101,'1501 Summary'!R101,'1501 Summary'!T101,'1501 Summary'!V101,'1501 Summary'!X101,'1501 Summary'!Z101,'1501 Summary'!AB101,'1501 Summary'!F180,'1501 Summary'!H180,'1501 Summary'!J180,'1501 Summary'!L180,'1501 Summary'!N180,'1501 Summary'!P180,'1501 Summary'!R180,'1501 Summary'!T180,'1501 Summary'!V180,'1501 Summary'!X180,'1501 Summary'!Z180,'1501 Summary'!AB180)/12</f>
        <v>481.91666666666669</v>
      </c>
      <c r="AD102" s="1074">
        <f>('2020 New Customers'!E18)*12</f>
        <v>5856</v>
      </c>
      <c r="AE102" s="826"/>
      <c r="AF102" s="1011">
        <f>AD102-AB102</f>
        <v>0</v>
      </c>
    </row>
    <row r="103" spans="1:32">
      <c r="B103" s="904">
        <v>99</v>
      </c>
      <c r="C103" s="1046" t="s">
        <v>2682</v>
      </c>
      <c r="D103" s="1047">
        <f t="shared" ref="D103:Z104" si="3">(D21)*($AB$102/12)</f>
        <v>698387.7119573321</v>
      </c>
      <c r="E103" s="1047"/>
      <c r="F103" s="1047">
        <f t="shared" si="3"/>
        <v>723016.34030108422</v>
      </c>
      <c r="G103" s="1047"/>
      <c r="H103" s="1047">
        <f t="shared" si="3"/>
        <v>768541.60303038161</v>
      </c>
      <c r="I103" s="1047"/>
      <c r="J103" s="1047">
        <f t="shared" si="3"/>
        <v>585399.82631121867</v>
      </c>
      <c r="K103" s="1047"/>
      <c r="L103" s="1047">
        <f t="shared" si="3"/>
        <v>412618.147901399</v>
      </c>
      <c r="M103" s="1047"/>
      <c r="N103" s="1047">
        <f t="shared" si="3"/>
        <v>303387.93231473467</v>
      </c>
      <c r="O103" s="1047"/>
      <c r="P103" s="1047">
        <f t="shared" si="3"/>
        <v>279357.09619900072</v>
      </c>
      <c r="Q103" s="1047"/>
      <c r="R103" s="1047">
        <f t="shared" si="3"/>
        <v>272356.05256572872</v>
      </c>
      <c r="S103" s="1047"/>
      <c r="T103" s="1047">
        <f t="shared" si="3"/>
        <v>298836.84950773552</v>
      </c>
      <c r="U103" s="1047"/>
      <c r="V103" s="1047">
        <f t="shared" si="3"/>
        <v>407885.21791435569</v>
      </c>
      <c r="W103" s="1047"/>
      <c r="X103" s="1047">
        <f t="shared" si="3"/>
        <v>542537.34133536008</v>
      </c>
      <c r="Y103" s="1047"/>
      <c r="Z103" s="1048">
        <f t="shared" si="3"/>
        <v>663264.02434806665</v>
      </c>
      <c r="AA103" s="1073">
        <f t="shared" ref="AA103:AA120" si="4">SUM(D103:Z103)</f>
        <v>5955588.143686397</v>
      </c>
      <c r="AB103" s="1079"/>
      <c r="AC103" s="820"/>
      <c r="AD103" s="1074"/>
      <c r="AE103" s="826"/>
      <c r="AF103" s="1011"/>
    </row>
    <row r="104" spans="1:32">
      <c r="B104" s="904">
        <v>100</v>
      </c>
      <c r="C104" s="1046" t="s">
        <v>2683</v>
      </c>
      <c r="D104" s="1047">
        <f t="shared" si="3"/>
        <v>562177.83876820025</v>
      </c>
      <c r="E104" s="1047"/>
      <c r="F104" s="1047">
        <f t="shared" si="3"/>
        <v>725105.85736923234</v>
      </c>
      <c r="G104" s="1047"/>
      <c r="H104" s="1047">
        <f t="shared" si="3"/>
        <v>816782.44734708616</v>
      </c>
      <c r="I104" s="1047"/>
      <c r="J104" s="1047">
        <f t="shared" si="3"/>
        <v>582014.37290593912</v>
      </c>
      <c r="K104" s="1047"/>
      <c r="L104" s="1047">
        <f t="shared" si="3"/>
        <v>257597.30651931031</v>
      </c>
      <c r="M104" s="1047"/>
      <c r="N104" s="1047">
        <f t="shared" si="3"/>
        <v>175201.87107495344</v>
      </c>
      <c r="O104" s="1047"/>
      <c r="P104" s="1047">
        <f t="shared" si="3"/>
        <v>178651.78946509288</v>
      </c>
      <c r="Q104" s="1047"/>
      <c r="R104" s="1047">
        <f t="shared" si="3"/>
        <v>206663.57161042653</v>
      </c>
      <c r="S104" s="1047"/>
      <c r="T104" s="1047">
        <f t="shared" si="3"/>
        <v>271927.92957544461</v>
      </c>
      <c r="U104" s="1047"/>
      <c r="V104" s="1047">
        <f t="shared" si="3"/>
        <v>763197.04454235022</v>
      </c>
      <c r="W104" s="1047"/>
      <c r="X104" s="1047">
        <f t="shared" si="3"/>
        <v>453753.09697827091</v>
      </c>
      <c r="Y104" s="1047"/>
      <c r="Z104" s="1048">
        <f t="shared" si="3"/>
        <v>568661.79001721169</v>
      </c>
      <c r="AA104" s="1073">
        <f t="shared" si="4"/>
        <v>5561734.9161735196</v>
      </c>
      <c r="AB104" s="1079"/>
      <c r="AC104" s="820"/>
      <c r="AD104" s="1074"/>
      <c r="AE104" s="826"/>
      <c r="AF104" s="1011"/>
    </row>
    <row r="105" spans="1:32">
      <c r="A105" s="613" t="s">
        <v>3007</v>
      </c>
      <c r="B105" s="904">
        <v>101</v>
      </c>
      <c r="C105" s="1046" t="s">
        <v>3008</v>
      </c>
      <c r="D105" s="1047">
        <f>SUM(D102:D104)</f>
        <v>1454905.6217057914</v>
      </c>
      <c r="E105" s="1047"/>
      <c r="F105" s="1047">
        <f t="shared" ref="F105:Z105" si="5">SUM(F102:F104)</f>
        <v>1646557.222742741</v>
      </c>
      <c r="G105" s="1047"/>
      <c r="H105" s="1047">
        <f t="shared" si="5"/>
        <v>1791073.6272830481</v>
      </c>
      <c r="I105" s="1047"/>
      <c r="J105" s="1047">
        <f t="shared" si="5"/>
        <v>1350687.7934915924</v>
      </c>
      <c r="K105" s="1047"/>
      <c r="L105" s="1047">
        <f t="shared" si="5"/>
        <v>812016.46854641067</v>
      </c>
      <c r="M105" s="1047"/>
      <c r="N105" s="1047">
        <f t="shared" si="5"/>
        <v>585190.56726985425</v>
      </c>
      <c r="O105" s="1047"/>
      <c r="P105" s="1047">
        <f t="shared" si="5"/>
        <v>548411.62202967121</v>
      </c>
      <c r="Q105" s="1047"/>
      <c r="R105" s="1047">
        <f t="shared" si="5"/>
        <v>563417.79357178521</v>
      </c>
      <c r="S105" s="1047"/>
      <c r="T105" s="1047">
        <f t="shared" si="5"/>
        <v>662856.91864585644</v>
      </c>
      <c r="U105" s="1047"/>
      <c r="V105" s="1047">
        <f t="shared" si="5"/>
        <v>1304170.6602785545</v>
      </c>
      <c r="W105" s="1047"/>
      <c r="X105" s="1047">
        <f t="shared" si="5"/>
        <v>1170948.9431001469</v>
      </c>
      <c r="Y105" s="1047"/>
      <c r="Z105" s="1048">
        <f t="shared" si="5"/>
        <v>1423140.1440947051</v>
      </c>
      <c r="AA105" s="1073">
        <f t="shared" si="4"/>
        <v>13313377.38276016</v>
      </c>
      <c r="AC105" s="820"/>
      <c r="AD105" s="1074"/>
      <c r="AE105" s="826"/>
      <c r="AF105" s="1011"/>
    </row>
    <row r="106" spans="1:32" ht="15" thickBot="1">
      <c r="A106" s="613" t="s">
        <v>3009</v>
      </c>
      <c r="B106" s="904">
        <v>102</v>
      </c>
      <c r="C106" s="1081">
        <v>511</v>
      </c>
      <c r="D106" s="1082"/>
      <c r="E106" s="1082"/>
      <c r="F106" s="1082"/>
      <c r="G106" s="1082"/>
      <c r="H106" s="1082"/>
      <c r="I106" s="1082"/>
      <c r="J106" s="1082"/>
      <c r="K106" s="1082"/>
      <c r="L106" s="1082"/>
      <c r="M106" s="1082"/>
      <c r="N106" s="1082"/>
      <c r="O106" s="1082"/>
      <c r="P106" s="1082"/>
      <c r="Q106" s="1082"/>
      <c r="R106" s="1082"/>
      <c r="S106" s="1082"/>
      <c r="T106" s="1082"/>
      <c r="U106" s="1082"/>
      <c r="V106" s="1082"/>
      <c r="W106" s="1082"/>
      <c r="X106" s="1083"/>
      <c r="Y106" s="1083"/>
      <c r="Z106" s="1084"/>
      <c r="AA106" s="1073"/>
      <c r="AC106" s="820"/>
      <c r="AD106" s="1074"/>
      <c r="AE106" s="826"/>
      <c r="AF106" s="825"/>
    </row>
    <row r="107" spans="1:32">
      <c r="B107" s="904">
        <v>103</v>
      </c>
      <c r="C107" s="1085" t="s">
        <v>2688</v>
      </c>
      <c r="D107" s="1086">
        <f>D33*($AB$107/12)</f>
        <v>1152660.454862653</v>
      </c>
      <c r="E107" s="1086"/>
      <c r="F107" s="1086">
        <f>F33*($AB$107/12)</f>
        <v>1188660.5976019793</v>
      </c>
      <c r="G107" s="1086"/>
      <c r="H107" s="1086">
        <f t="shared" ref="H107:V109" si="6">H33*($AB$107/12)</f>
        <v>1220204.8848569433</v>
      </c>
      <c r="I107" s="1086"/>
      <c r="J107" s="1086">
        <f t="shared" si="6"/>
        <v>909291.85994006821</v>
      </c>
      <c r="K107" s="1086"/>
      <c r="L107" s="1086">
        <f t="shared" si="6"/>
        <v>636471.26408134785</v>
      </c>
      <c r="M107" s="1086"/>
      <c r="N107" s="1086">
        <f t="shared" si="6"/>
        <v>479376.73213039583</v>
      </c>
      <c r="O107" s="1086"/>
      <c r="P107" s="1086">
        <f t="shared" si="6"/>
        <v>427946.61959689669</v>
      </c>
      <c r="Q107" s="1086"/>
      <c r="R107" s="1086">
        <f t="shared" si="6"/>
        <v>424333.87173918157</v>
      </c>
      <c r="S107" s="1086"/>
      <c r="T107" s="1086">
        <f t="shared" si="6"/>
        <v>383562.99740467471</v>
      </c>
      <c r="U107" s="1086"/>
      <c r="V107" s="1086">
        <f t="shared" si="6"/>
        <v>632564.29114688281</v>
      </c>
      <c r="W107" s="1087"/>
      <c r="X107" s="1088">
        <f>AA33*($AB$107/12)</f>
        <v>856018.82625399716</v>
      </c>
      <c r="Y107" s="1089"/>
      <c r="Z107" s="1089">
        <f>AB33*($AB$107/12)</f>
        <v>1082224.2149337055</v>
      </c>
      <c r="AA107" s="1090">
        <f>SUM(D107:Z107)</f>
        <v>9393316.614548726</v>
      </c>
      <c r="AB107" s="1091">
        <f>SUM('1501 Summary'!$AB$128,'1501 Summary'!$AB$154)*12</f>
        <v>1080</v>
      </c>
      <c r="AC107" s="1092">
        <f>SUM('1501 Summary'!F128,'1501 Summary'!H128,'1501 Summary'!J128,'1501 Summary'!L128,'1501 Summary'!N128,'1501 Summary'!P128,'1501 Summary'!R128,'1501 Summary'!T128,'1501 Summary'!V128,'1501 Summary'!X128,'1501 Summary'!Z128,'1501 Summary'!AB128,'1501 Summary'!F154,'1501 Summary'!H154,'1501 Summary'!J154,'1501 Summary'!L154,'1501 Summary'!N154,'1501 Summary'!P154,'1501 Summary'!R154,'1501 Summary'!T154,'1501 Summary'!V154,'1501 Summary'!X154,'1501 Summary'!Z154,'1501 Summary'!AB154)/12</f>
        <v>87.666666666666671</v>
      </c>
      <c r="AD107" s="1093">
        <f>SUM('2020 New Customers'!F18:H18)*12</f>
        <v>1092</v>
      </c>
      <c r="AE107" s="826"/>
      <c r="AF107" s="1011">
        <f>AD107-AB107</f>
        <v>12</v>
      </c>
    </row>
    <row r="108" spans="1:32">
      <c r="B108" s="904">
        <v>104</v>
      </c>
      <c r="C108" s="1085" t="s">
        <v>2689</v>
      </c>
      <c r="D108" s="1082">
        <f>D34*($AB$107/12)</f>
        <v>538971.12742501509</v>
      </c>
      <c r="E108" s="1082"/>
      <c r="F108" s="1082">
        <f>F34*($AB$107/12)</f>
        <v>534793.43921737408</v>
      </c>
      <c r="G108" s="1082"/>
      <c r="H108" s="1082">
        <f t="shared" si="6"/>
        <v>571373.17916970141</v>
      </c>
      <c r="I108" s="1082"/>
      <c r="J108" s="1082">
        <f t="shared" si="6"/>
        <v>456881.38897219487</v>
      </c>
      <c r="K108" s="1082"/>
      <c r="L108" s="1082">
        <f t="shared" si="6"/>
        <v>366872.00863593799</v>
      </c>
      <c r="M108" s="1082"/>
      <c r="N108" s="1082">
        <f t="shared" si="6"/>
        <v>289320.8302986162</v>
      </c>
      <c r="O108" s="1082"/>
      <c r="P108" s="1082">
        <f t="shared" si="6"/>
        <v>273004.01653742342</v>
      </c>
      <c r="Q108" s="1082"/>
      <c r="R108" s="1082">
        <f t="shared" si="6"/>
        <v>279187.11179488857</v>
      </c>
      <c r="S108" s="1082"/>
      <c r="T108" s="1082">
        <f t="shared" si="6"/>
        <v>256085.28646366115</v>
      </c>
      <c r="U108" s="1082"/>
      <c r="V108" s="1082">
        <f t="shared" si="6"/>
        <v>418924.56443284207</v>
      </c>
      <c r="W108" s="1094"/>
      <c r="X108" s="1095">
        <f>AA34*($AB$107/12)</f>
        <v>496561.67212248791</v>
      </c>
      <c r="Y108" s="1096"/>
      <c r="Z108" s="1055">
        <f>AB34*($AB$107/12)</f>
        <v>425639.20247632917</v>
      </c>
      <c r="AA108" s="1097">
        <f t="shared" si="4"/>
        <v>4907613.8275464717</v>
      </c>
      <c r="AB108" s="1098"/>
      <c r="AC108" s="820"/>
      <c r="AD108" s="1074"/>
      <c r="AE108" s="826"/>
      <c r="AF108" s="825"/>
    </row>
    <row r="109" spans="1:32">
      <c r="B109" s="904">
        <v>105</v>
      </c>
      <c r="C109" s="1085" t="s">
        <v>2889</v>
      </c>
      <c r="D109" s="1082">
        <f>D35*($AB$107/12)</f>
        <v>158068.55934762911</v>
      </c>
      <c r="E109" s="1082"/>
      <c r="F109" s="1082">
        <f>F35*($AB$107/12)</f>
        <v>172131.15372999094</v>
      </c>
      <c r="G109" s="1082"/>
      <c r="H109" s="1082">
        <f t="shared" si="6"/>
        <v>202976.74418604653</v>
      </c>
      <c r="I109" s="1082"/>
      <c r="J109" s="1082">
        <f t="shared" si="6"/>
        <v>82179.792847371515</v>
      </c>
      <c r="K109" s="1082"/>
      <c r="L109" s="1082">
        <f t="shared" si="6"/>
        <v>25083.451985445339</v>
      </c>
      <c r="M109" s="1082"/>
      <c r="N109" s="1082">
        <f t="shared" si="6"/>
        <v>40215.946843853824</v>
      </c>
      <c r="O109" s="1082"/>
      <c r="P109" s="1082">
        <f t="shared" si="6"/>
        <v>62799.687316787182</v>
      </c>
      <c r="Q109" s="1082"/>
      <c r="R109" s="1082">
        <f t="shared" si="6"/>
        <v>57516.144686251821</v>
      </c>
      <c r="S109" s="1082"/>
      <c r="T109" s="1082">
        <f t="shared" si="6"/>
        <v>35539.960431520405</v>
      </c>
      <c r="U109" s="1082"/>
      <c r="V109" s="1082">
        <f t="shared" si="6"/>
        <v>75578.782336033444</v>
      </c>
      <c r="W109" s="1094"/>
      <c r="X109" s="1095">
        <f>AA35*($AB$107/12)</f>
        <v>154778.21182140123</v>
      </c>
      <c r="Y109" s="1096"/>
      <c r="Z109" s="1055">
        <f>AB35*($AB$107/12)</f>
        <v>137160.20671834625</v>
      </c>
      <c r="AA109" s="1097">
        <f t="shared" si="4"/>
        <v>1204028.6422506776</v>
      </c>
      <c r="AB109" s="1079"/>
      <c r="AC109" s="820"/>
      <c r="AD109" s="1074"/>
      <c r="AE109" s="826"/>
      <c r="AF109" s="825"/>
    </row>
    <row r="110" spans="1:32" ht="15" thickBot="1">
      <c r="B110" s="904">
        <v>106</v>
      </c>
      <c r="C110" s="1085" t="s">
        <v>3010</v>
      </c>
      <c r="D110" s="1082">
        <f>SUM(D107:D109)</f>
        <v>1849700.1416352973</v>
      </c>
      <c r="E110" s="1082"/>
      <c r="F110" s="1082">
        <f t="shared" ref="F110:Z110" si="7">SUM(F107:F109)</f>
        <v>1895585.1905493443</v>
      </c>
      <c r="G110" s="1082"/>
      <c r="H110" s="1082">
        <f t="shared" si="7"/>
        <v>1994554.8082126912</v>
      </c>
      <c r="I110" s="1082"/>
      <c r="J110" s="1082">
        <f t="shared" si="7"/>
        <v>1448353.0417596346</v>
      </c>
      <c r="K110" s="1082"/>
      <c r="L110" s="1082">
        <f t="shared" si="7"/>
        <v>1028426.7247027312</v>
      </c>
      <c r="M110" s="1082"/>
      <c r="N110" s="1082">
        <f t="shared" si="7"/>
        <v>808913.50927286583</v>
      </c>
      <c r="O110" s="1082"/>
      <c r="P110" s="1082">
        <f t="shared" si="7"/>
        <v>763750.32345110737</v>
      </c>
      <c r="Q110" s="1082"/>
      <c r="R110" s="1082">
        <f t="shared" si="7"/>
        <v>761037.12822032208</v>
      </c>
      <c r="S110" s="1082"/>
      <c r="T110" s="1082">
        <f t="shared" si="7"/>
        <v>675188.24429985625</v>
      </c>
      <c r="U110" s="1082"/>
      <c r="V110" s="1082">
        <f t="shared" si="7"/>
        <v>1127067.6379157584</v>
      </c>
      <c r="W110" s="1094"/>
      <c r="X110" s="1099">
        <f>SUM(X107:X109)</f>
        <v>1507358.7101978862</v>
      </c>
      <c r="Y110" s="1100"/>
      <c r="Z110" s="1101">
        <f t="shared" si="7"/>
        <v>1645023.624128381</v>
      </c>
      <c r="AA110" s="1102">
        <f>SUM(D110:Z110)</f>
        <v>15504959.084345875</v>
      </c>
      <c r="AB110" s="1079"/>
      <c r="AC110" s="820"/>
      <c r="AD110" s="1074"/>
      <c r="AE110" s="826"/>
      <c r="AF110" s="825"/>
    </row>
    <row r="111" spans="1:32">
      <c r="B111" s="904">
        <v>107</v>
      </c>
      <c r="C111" s="1103">
        <v>570</v>
      </c>
      <c r="D111" s="1104"/>
      <c r="E111" s="1104"/>
      <c r="F111" s="1104"/>
      <c r="G111" s="1104"/>
      <c r="H111" s="1104"/>
      <c r="I111" s="1104"/>
      <c r="J111" s="1104"/>
      <c r="K111" s="1104"/>
      <c r="L111" s="1104"/>
      <c r="M111" s="1104"/>
      <c r="N111" s="1104"/>
      <c r="O111" s="1104"/>
      <c r="P111" s="1104"/>
      <c r="Q111" s="1104"/>
      <c r="R111" s="1104"/>
      <c r="S111" s="1104"/>
      <c r="T111" s="1104"/>
      <c r="U111" s="1104"/>
      <c r="V111" s="1104"/>
      <c r="W111" s="1104"/>
      <c r="X111" s="1104"/>
      <c r="Y111" s="1104"/>
      <c r="Z111" s="1105"/>
      <c r="AA111" s="1073"/>
      <c r="AB111" s="1079"/>
      <c r="AC111" s="820"/>
      <c r="AD111" s="1074"/>
      <c r="AE111" s="826"/>
      <c r="AF111" s="825"/>
    </row>
    <row r="112" spans="1:32">
      <c r="B112" s="904">
        <v>108</v>
      </c>
      <c r="C112" s="998" t="s">
        <v>2709</v>
      </c>
      <c r="D112" s="1047">
        <f>D40*($AB$112/12)</f>
        <v>121886.13046231792</v>
      </c>
      <c r="E112" s="1047"/>
      <c r="F112" s="1047">
        <f>F40*($AB$112/12)</f>
        <v>121680.05066497781</v>
      </c>
      <c r="G112" s="1047"/>
      <c r="H112" s="1047">
        <f>H40*($AB$112/12)</f>
        <v>123408.99303356554</v>
      </c>
      <c r="I112" s="1047"/>
      <c r="J112" s="1047">
        <f>J40*($AB$112/12)</f>
        <v>118029.8923369221</v>
      </c>
      <c r="K112" s="1047"/>
      <c r="L112" s="1047">
        <f>L40*($AB$112/12)</f>
        <v>117574.73988962271</v>
      </c>
      <c r="M112" s="1047"/>
      <c r="N112" s="1047">
        <f>N40*($AB$112/12)</f>
        <v>103179.37211616755</v>
      </c>
      <c r="O112" s="1047"/>
      <c r="P112" s="1047">
        <f>P40*($AB$112/12)</f>
        <v>91853.722971139054</v>
      </c>
      <c r="Q112" s="1047"/>
      <c r="R112" s="1047">
        <f>R40*($AB$112/12)</f>
        <v>99416.972767574407</v>
      </c>
      <c r="S112" s="1047"/>
      <c r="T112" s="1047">
        <f>T40*($AB$112/12)</f>
        <v>76300.949968334389</v>
      </c>
      <c r="U112" s="1047"/>
      <c r="V112" s="1047">
        <f>V40*($AB$112/12)</f>
        <v>80596.960101329954</v>
      </c>
      <c r="W112" s="1047"/>
      <c r="X112" s="1047">
        <f>X40*($AB$112/12)</f>
        <v>134706.01646611778</v>
      </c>
      <c r="Y112" s="1047"/>
      <c r="Z112" s="1047">
        <f>Z40*($AB$112/12)</f>
        <v>112878.91070297657</v>
      </c>
      <c r="AA112" s="1073">
        <f>SUM(D112:Z112)</f>
        <v>1301512.7114810457</v>
      </c>
      <c r="AB112" s="1079">
        <f>SUM('1501 Summary'!$AB$199)*12</f>
        <v>96</v>
      </c>
      <c r="AC112" s="1106">
        <f>SUM('1501 Summary'!F199,'1501 Summary'!H199,'1501 Summary'!J199,'1501 Summary'!L199,'1501 Summary'!N199,'1501 Summary'!P199,'1501 Summary'!R199,'1501 Summary'!T199,'1501 Summary'!V199,'1501 Summary'!X199,'1501 Summary'!Z199,'1501 Summary'!AB199)/12</f>
        <v>7.75</v>
      </c>
      <c r="AD112" s="1074">
        <f>SUM('2020 New Customers'!I18)*12</f>
        <v>84</v>
      </c>
      <c r="AE112" s="826"/>
      <c r="AF112" s="1011">
        <f>AD112-AB112</f>
        <v>-12</v>
      </c>
    </row>
    <row r="113" spans="2:32">
      <c r="B113" s="904">
        <v>109</v>
      </c>
      <c r="C113" s="998" t="s">
        <v>2710</v>
      </c>
      <c r="D113" s="1047">
        <f>D41*($AB$112/12)</f>
        <v>138595.64056939504</v>
      </c>
      <c r="E113" s="1047"/>
      <c r="F113" s="1047">
        <f>F41*($AB$112/12)</f>
        <v>137130.78291814946</v>
      </c>
      <c r="G113" s="1047"/>
      <c r="H113" s="1047">
        <f>H41*($AB$112/12)</f>
        <v>146774.91103202847</v>
      </c>
      <c r="I113" s="1047"/>
      <c r="J113" s="1047">
        <f>J41*($AB$112/12)</f>
        <v>130114.76868327403</v>
      </c>
      <c r="K113" s="1047"/>
      <c r="L113" s="1047">
        <f>L41*($AB$112/12)</f>
        <v>101244.534824606</v>
      </c>
      <c r="M113" s="1047"/>
      <c r="N113" s="1047">
        <f>N41*($AB$112/12)</f>
        <v>59399.084900864269</v>
      </c>
      <c r="O113" s="1047"/>
      <c r="P113" s="1047">
        <f>P41*($AB$112/12)</f>
        <v>34988.815455007629</v>
      </c>
      <c r="Q113" s="1047"/>
      <c r="R113" s="1047">
        <f>R41*($AB$112/12)</f>
        <v>20611.20996441281</v>
      </c>
      <c r="S113" s="1047"/>
      <c r="T113" s="1047">
        <f>T41*($AB$112/12)</f>
        <v>17325.177935943062</v>
      </c>
      <c r="U113" s="1047"/>
      <c r="V113" s="1047">
        <f>V41*($AB$112/12)</f>
        <v>30845.195729537365</v>
      </c>
      <c r="W113" s="1047"/>
      <c r="X113" s="1047">
        <f>X41*($AB$112/12)</f>
        <v>98114.32384341638</v>
      </c>
      <c r="Y113" s="1047"/>
      <c r="Z113" s="1047">
        <f>Z41*($AB$112/12)</f>
        <v>117354.09252669038</v>
      </c>
      <c r="AA113" s="1073">
        <f t="shared" si="4"/>
        <v>1032498.538383325</v>
      </c>
      <c r="AB113" s="1079"/>
      <c r="AE113" s="826"/>
      <c r="AF113" s="825"/>
    </row>
    <row r="114" spans="2:32">
      <c r="B114" s="904">
        <v>110</v>
      </c>
      <c r="C114" s="1046" t="s">
        <v>3011</v>
      </c>
      <c r="D114" s="1107">
        <f>SUM(D112:D113)</f>
        <v>260481.77103171294</v>
      </c>
      <c r="E114" s="1107"/>
      <c r="F114" s="1107">
        <f t="shared" ref="F114:Z114" si="8">SUM(F112:F113)</f>
        <v>258810.83358312727</v>
      </c>
      <c r="G114" s="1107"/>
      <c r="H114" s="1107">
        <f t="shared" si="8"/>
        <v>270183.90406559402</v>
      </c>
      <c r="I114" s="1107"/>
      <c r="J114" s="1107">
        <f t="shared" si="8"/>
        <v>248144.66102019613</v>
      </c>
      <c r="K114" s="1107"/>
      <c r="L114" s="1107">
        <f t="shared" si="8"/>
        <v>218819.2747142287</v>
      </c>
      <c r="M114" s="1107"/>
      <c r="N114" s="1107">
        <f t="shared" si="8"/>
        <v>162578.45701703182</v>
      </c>
      <c r="O114" s="1107"/>
      <c r="P114" s="1107">
        <f t="shared" si="8"/>
        <v>126842.53842614668</v>
      </c>
      <c r="Q114" s="1107"/>
      <c r="R114" s="1107">
        <f t="shared" si="8"/>
        <v>120028.18273198721</v>
      </c>
      <c r="S114" s="1107"/>
      <c r="T114" s="1107">
        <f t="shared" si="8"/>
        <v>93626.127904277455</v>
      </c>
      <c r="U114" s="1107"/>
      <c r="V114" s="1107">
        <f t="shared" si="8"/>
        <v>111442.15583086733</v>
      </c>
      <c r="W114" s="1107"/>
      <c r="X114" s="1107">
        <f t="shared" si="8"/>
        <v>232820.34030953416</v>
      </c>
      <c r="Y114" s="1107"/>
      <c r="Z114" s="1108">
        <f t="shared" si="8"/>
        <v>230233.00322966697</v>
      </c>
      <c r="AA114" s="1073">
        <f t="shared" si="4"/>
        <v>2334011.2498643706</v>
      </c>
      <c r="AB114" s="1079"/>
      <c r="AE114" s="826"/>
      <c r="AF114" s="825"/>
    </row>
    <row r="115" spans="2:32">
      <c r="B115" s="904">
        <v>111</v>
      </c>
      <c r="C115" s="1109" t="s">
        <v>3012</v>
      </c>
      <c r="D115" s="1110"/>
      <c r="E115" s="1110"/>
      <c r="F115" s="1110"/>
      <c r="G115" s="1110"/>
      <c r="H115" s="1110"/>
      <c r="I115" s="1110"/>
      <c r="J115" s="1110"/>
      <c r="K115" s="1110"/>
      <c r="L115" s="1110"/>
      <c r="M115" s="1110"/>
      <c r="N115" s="1110"/>
      <c r="O115" s="1110"/>
      <c r="P115" s="1110"/>
      <c r="Q115" s="1110"/>
      <c r="R115" s="1110"/>
      <c r="S115" s="1110"/>
      <c r="T115" s="1110"/>
      <c r="U115" s="1110"/>
      <c r="V115" s="1110"/>
      <c r="W115" s="1110"/>
      <c r="X115" s="1110"/>
      <c r="Y115" s="1110"/>
      <c r="Z115" s="1111"/>
      <c r="AA115" s="1073"/>
      <c r="AB115" s="1079"/>
      <c r="AC115" s="1112" t="s">
        <v>3013</v>
      </c>
      <c r="AE115" s="826"/>
      <c r="AF115" s="1011">
        <f>SUM(AF99:AF112)</f>
        <v>44580</v>
      </c>
    </row>
    <row r="116" spans="2:32">
      <c r="B116" s="904">
        <v>112</v>
      </c>
      <c r="C116" s="1113" t="s">
        <v>2998</v>
      </c>
      <c r="D116" s="988">
        <f>D90*($AB$116/12)</f>
        <v>10521998.855471125</v>
      </c>
      <c r="E116" s="988"/>
      <c r="F116" s="988">
        <f>F90*($AB$116/12)</f>
        <v>11715483.748935644</v>
      </c>
      <c r="G116" s="988"/>
      <c r="H116" s="988">
        <f t="shared" ref="H116:V119" si="9">H90*($AB$116/12)</f>
        <v>11007553.306405433</v>
      </c>
      <c r="I116" s="988"/>
      <c r="J116" s="988">
        <f t="shared" si="9"/>
        <v>10591103.70346237</v>
      </c>
      <c r="K116" s="988"/>
      <c r="L116" s="988">
        <f t="shared" si="9"/>
        <v>9550979.2292306572</v>
      </c>
      <c r="M116" s="988"/>
      <c r="N116" s="988">
        <f t="shared" si="9"/>
        <v>9121972.4962548055</v>
      </c>
      <c r="O116" s="988"/>
      <c r="P116" s="988">
        <f t="shared" si="9"/>
        <v>9508294.8895266354</v>
      </c>
      <c r="Q116" s="988"/>
      <c r="R116" s="988">
        <f t="shared" si="9"/>
        <v>9618720.9453156162</v>
      </c>
      <c r="S116" s="988"/>
      <c r="T116" s="988">
        <f t="shared" si="9"/>
        <v>9534734.4633565266</v>
      </c>
      <c r="U116" s="988"/>
      <c r="V116" s="988">
        <f t="shared" si="9"/>
        <v>10552838.762238255</v>
      </c>
      <c r="W116" s="988"/>
      <c r="X116" s="988">
        <f>X90*($AB$116/12)</f>
        <v>12100686.995915672</v>
      </c>
      <c r="Y116" s="988"/>
      <c r="Z116" s="988">
        <f>Z90*($AB$116/12)</f>
        <v>11515344.711324476</v>
      </c>
      <c r="AA116" s="1073">
        <f>SUM(D116:Z116)</f>
        <v>125339712.10743719</v>
      </c>
      <c r="AB116" s="1114">
        <f>SUM('1501 Summary'!$AB$220,'1501 Summary'!$AB$249,'1501 Summary'!$AB$319,'1501 Summary'!$AB$339,'1501 Summary'!$AB$358)*12+AC116</f>
        <v>2246</v>
      </c>
      <c r="AC116" s="1115">
        <f>'1501 Summary'!$AB$74*2</f>
        <v>14</v>
      </c>
      <c r="AE116" s="826"/>
      <c r="AF116" s="1011">
        <f>AF115/12</f>
        <v>3715</v>
      </c>
    </row>
    <row r="117" spans="2:32">
      <c r="B117" s="904">
        <v>113</v>
      </c>
      <c r="C117" s="1113" t="s">
        <v>2999</v>
      </c>
      <c r="D117" s="1116">
        <f>D91*($AB$116/12)</f>
        <v>8252243.6330405623</v>
      </c>
      <c r="E117" s="1116"/>
      <c r="F117" s="1116">
        <f>F91*($AB$116/12)</f>
        <v>8998780.2753114402</v>
      </c>
      <c r="G117" s="1116"/>
      <c r="H117" s="1116">
        <f t="shared" si="9"/>
        <v>8020727.1341670072</v>
      </c>
      <c r="I117" s="1116"/>
      <c r="J117" s="1116">
        <f t="shared" si="9"/>
        <v>7877025.7053476069</v>
      </c>
      <c r="K117" s="1116"/>
      <c r="L117" s="1116">
        <f t="shared" si="9"/>
        <v>7578775.0087587005</v>
      </c>
      <c r="M117" s="1116"/>
      <c r="N117" s="1116">
        <f t="shared" si="9"/>
        <v>7432189.8021595757</v>
      </c>
      <c r="O117" s="1116"/>
      <c r="P117" s="1116">
        <f t="shared" si="9"/>
        <v>9289782.0921993442</v>
      </c>
      <c r="Q117" s="1116"/>
      <c r="R117" s="1116">
        <f t="shared" si="9"/>
        <v>7483685.2937301258</v>
      </c>
      <c r="S117" s="1116"/>
      <c r="T117" s="1116">
        <f t="shared" si="9"/>
        <v>7385463.6858333992</v>
      </c>
      <c r="U117" s="1116"/>
      <c r="V117" s="1116">
        <f t="shared" si="9"/>
        <v>8037514.6231732806</v>
      </c>
      <c r="W117" s="1116"/>
      <c r="X117" s="1116">
        <f>X91*($AB$116/12)</f>
        <v>9770494.1335381027</v>
      </c>
      <c r="Y117" s="1116"/>
      <c r="Z117" s="1116">
        <f>Z91*($AB$116/12)</f>
        <v>8720646.2900286652</v>
      </c>
      <c r="AA117" s="1073">
        <f t="shared" si="4"/>
        <v>98847327.677287802</v>
      </c>
      <c r="AB117" s="1079"/>
      <c r="AC117" s="824"/>
      <c r="AE117" s="826"/>
    </row>
    <row r="118" spans="2:32">
      <c r="B118" s="904">
        <v>114</v>
      </c>
      <c r="C118" s="1113" t="s">
        <v>2999</v>
      </c>
      <c r="D118" s="1116">
        <f>D92*($AB$116/12)</f>
        <v>3149577.1276753638</v>
      </c>
      <c r="E118" s="1116"/>
      <c r="F118" s="1116">
        <f>F92*($AB$116/12)</f>
        <v>3295996.8326060497</v>
      </c>
      <c r="G118" s="1116"/>
      <c r="H118" s="1116">
        <f t="shared" si="9"/>
        <v>3232011.0378487422</v>
      </c>
      <c r="I118" s="1116"/>
      <c r="J118" s="1116">
        <f t="shared" si="9"/>
        <v>2944406.8560745097</v>
      </c>
      <c r="K118" s="1116"/>
      <c r="L118" s="1116">
        <f t="shared" si="9"/>
        <v>2888237.2941416181</v>
      </c>
      <c r="M118" s="1116"/>
      <c r="N118" s="1116">
        <f t="shared" si="9"/>
        <v>2952279.6020620181</v>
      </c>
      <c r="O118" s="1116"/>
      <c r="P118" s="1116">
        <f t="shared" si="9"/>
        <v>389930.55555555556</v>
      </c>
      <c r="Q118" s="1116"/>
      <c r="R118" s="1116">
        <f t="shared" si="9"/>
        <v>2710866.8291149652</v>
      </c>
      <c r="S118" s="1116"/>
      <c r="T118" s="1116">
        <f t="shared" si="9"/>
        <v>2851684.7373192413</v>
      </c>
      <c r="U118" s="1116"/>
      <c r="V118" s="1116">
        <f t="shared" si="9"/>
        <v>3010093.8737495169</v>
      </c>
      <c r="W118" s="1116"/>
      <c r="X118" s="1116">
        <f>X92*($AB$116/12)</f>
        <v>3302694.8243075395</v>
      </c>
      <c r="Y118" s="1116"/>
      <c r="Z118" s="1116">
        <f>Z92*($AB$116/12)</f>
        <v>2661913.6575661954</v>
      </c>
      <c r="AA118" s="1073">
        <f t="shared" si="4"/>
        <v>33389693.228021316</v>
      </c>
      <c r="AB118" s="1079"/>
      <c r="AC118" s="826"/>
      <c r="AE118" s="826"/>
    </row>
    <row r="119" spans="2:32">
      <c r="B119" s="904">
        <v>115</v>
      </c>
      <c r="C119" s="1117" t="s">
        <v>3000</v>
      </c>
      <c r="D119" s="1118">
        <f>D93*($AB$116/12)</f>
        <v>30572327.936364483</v>
      </c>
      <c r="E119" s="1118"/>
      <c r="F119" s="1118">
        <f>F93*($AB$116/12)</f>
        <v>31373629.68735094</v>
      </c>
      <c r="G119" s="1118"/>
      <c r="H119" s="1118">
        <f t="shared" si="9"/>
        <v>25396598.899957322</v>
      </c>
      <c r="I119" s="1118"/>
      <c r="J119" s="1118">
        <f t="shared" si="9"/>
        <v>24866449.589749377</v>
      </c>
      <c r="K119" s="1118"/>
      <c r="L119" s="1118">
        <f t="shared" si="9"/>
        <v>21125245.050499029</v>
      </c>
      <c r="M119" s="1118"/>
      <c r="N119" s="1118">
        <f t="shared" si="9"/>
        <v>18807578.006278463</v>
      </c>
      <c r="O119" s="1118"/>
      <c r="P119" s="1118">
        <f t="shared" si="9"/>
        <v>25722643.256308071</v>
      </c>
      <c r="Q119" s="1118"/>
      <c r="R119" s="1118">
        <f t="shared" si="9"/>
        <v>43650144.187648274</v>
      </c>
      <c r="S119" s="1118"/>
      <c r="T119" s="1118">
        <f t="shared" si="9"/>
        <v>52637116.441899098</v>
      </c>
      <c r="U119" s="1118"/>
      <c r="V119" s="1118">
        <f t="shared" si="9"/>
        <v>48542528.047402754</v>
      </c>
      <c r="W119" s="1118"/>
      <c r="X119" s="1118">
        <f>X93*($AB$116/12)</f>
        <v>27731216.097135521</v>
      </c>
      <c r="Y119" s="1118"/>
      <c r="Z119" s="1118">
        <f>Z93*($AB$116/12)</f>
        <v>32588357.842701416</v>
      </c>
      <c r="AA119" s="1073">
        <f t="shared" si="4"/>
        <v>383013835.04329479</v>
      </c>
      <c r="AB119" s="1079"/>
    </row>
    <row r="120" spans="2:32">
      <c r="B120" s="904">
        <v>116</v>
      </c>
      <c r="C120" s="987" t="s">
        <v>3014</v>
      </c>
      <c r="D120" s="988">
        <f>SUM(D116:D119)</f>
        <v>52496147.552551538</v>
      </c>
      <c r="E120" s="988"/>
      <c r="F120" s="988">
        <f t="shared" ref="F120:Z120" si="10">SUM(F116:F119)</f>
        <v>55383890.544204071</v>
      </c>
      <c r="G120" s="988"/>
      <c r="H120" s="988">
        <f t="shared" si="10"/>
        <v>47656890.378378503</v>
      </c>
      <c r="I120" s="988"/>
      <c r="J120" s="988">
        <f t="shared" si="10"/>
        <v>46278985.85463386</v>
      </c>
      <c r="K120" s="988"/>
      <c r="L120" s="988">
        <f t="shared" si="10"/>
        <v>41143236.582630008</v>
      </c>
      <c r="M120" s="988"/>
      <c r="N120" s="988">
        <f t="shared" si="10"/>
        <v>38314019.906754866</v>
      </c>
      <c r="O120" s="988"/>
      <c r="P120" s="988">
        <f t="shared" si="10"/>
        <v>44910650.793589607</v>
      </c>
      <c r="Q120" s="988"/>
      <c r="R120" s="988">
        <f t="shared" si="10"/>
        <v>63463417.255808979</v>
      </c>
      <c r="S120" s="988"/>
      <c r="T120" s="988">
        <f t="shared" si="10"/>
        <v>72408999.328408271</v>
      </c>
      <c r="U120" s="988"/>
      <c r="V120" s="988">
        <f t="shared" si="10"/>
        <v>70142975.30656381</v>
      </c>
      <c r="W120" s="988"/>
      <c r="X120" s="988">
        <f t="shared" si="10"/>
        <v>52905092.050896838</v>
      </c>
      <c r="Y120" s="988"/>
      <c r="Z120" s="989">
        <f t="shared" si="10"/>
        <v>55486262.501620755</v>
      </c>
      <c r="AA120" s="1073">
        <f t="shared" si="4"/>
        <v>640590568.056041</v>
      </c>
      <c r="AB120" s="826"/>
      <c r="AC120" s="826"/>
    </row>
    <row r="121" spans="2:32" ht="15" thickBot="1">
      <c r="B121" s="904">
        <v>117</v>
      </c>
      <c r="C121" s="906"/>
      <c r="D121" s="906"/>
      <c r="E121" s="906"/>
      <c r="F121" s="906"/>
      <c r="G121" s="906"/>
      <c r="H121" s="906"/>
      <c r="I121" s="906"/>
      <c r="J121" s="906"/>
      <c r="K121" s="906"/>
      <c r="L121" s="906"/>
      <c r="M121" s="906"/>
      <c r="N121" s="906"/>
      <c r="O121" s="906"/>
      <c r="P121" s="906"/>
      <c r="Q121" s="906"/>
      <c r="R121" s="906"/>
      <c r="S121" s="906"/>
      <c r="T121" s="906"/>
      <c r="U121" s="906"/>
      <c r="V121" s="906"/>
      <c r="W121" s="906"/>
      <c r="X121" s="906"/>
      <c r="Y121" s="906"/>
      <c r="Z121" s="823"/>
      <c r="AA121" s="1119"/>
      <c r="AB121" s="826"/>
      <c r="AC121" s="826"/>
    </row>
    <row r="122" spans="2:32" ht="15" thickBot="1">
      <c r="B122" s="904">
        <v>118</v>
      </c>
    </row>
    <row r="123" spans="2:32">
      <c r="B123" s="904">
        <v>119</v>
      </c>
      <c r="C123" s="1863" t="s">
        <v>3015</v>
      </c>
      <c r="D123" s="1861"/>
      <c r="E123" s="1861"/>
      <c r="F123" s="1861"/>
      <c r="G123" s="1861"/>
      <c r="H123" s="1861"/>
      <c r="I123" s="1861"/>
      <c r="J123" s="1861"/>
      <c r="K123" s="1861"/>
      <c r="L123" s="1861"/>
      <c r="M123" s="1861"/>
      <c r="N123" s="1861"/>
      <c r="O123" s="1861"/>
      <c r="P123" s="1861"/>
      <c r="Q123" s="1861"/>
      <c r="R123" s="1861"/>
      <c r="S123" s="1861"/>
      <c r="T123" s="1861"/>
      <c r="U123" s="1861"/>
      <c r="V123" s="1861"/>
      <c r="W123" s="1861"/>
      <c r="X123" s="1861"/>
      <c r="Y123" s="1861"/>
      <c r="Z123" s="1862"/>
    </row>
    <row r="124" spans="2:32">
      <c r="B124" s="904">
        <v>120</v>
      </c>
      <c r="C124" s="904" t="s">
        <v>778</v>
      </c>
      <c r="D124" s="583" t="s">
        <v>776</v>
      </c>
      <c r="E124" s="583"/>
      <c r="F124" s="583" t="s">
        <v>777</v>
      </c>
      <c r="G124" s="583"/>
      <c r="H124" s="583" t="s">
        <v>780</v>
      </c>
      <c r="I124" s="583"/>
      <c r="J124" s="583" t="s">
        <v>781</v>
      </c>
      <c r="K124" s="583"/>
      <c r="L124" s="583" t="s">
        <v>782</v>
      </c>
      <c r="M124" s="583"/>
      <c r="N124" s="583" t="s">
        <v>783</v>
      </c>
      <c r="O124" s="583"/>
      <c r="P124" s="583" t="s">
        <v>784</v>
      </c>
      <c r="Q124" s="583"/>
      <c r="R124" s="583" t="s">
        <v>785</v>
      </c>
      <c r="S124" s="583"/>
      <c r="T124" s="583" t="s">
        <v>786</v>
      </c>
      <c r="U124" s="583"/>
      <c r="V124" s="583" t="s">
        <v>787</v>
      </c>
      <c r="W124" s="583"/>
      <c r="X124" s="583" t="s">
        <v>788</v>
      </c>
      <c r="Y124" s="583"/>
      <c r="Z124" s="822" t="s">
        <v>789</v>
      </c>
    </row>
    <row r="125" spans="2:32">
      <c r="B125" s="904">
        <v>121</v>
      </c>
      <c r="C125" s="1120" t="s">
        <v>2857</v>
      </c>
      <c r="D125" s="1069" t="s">
        <v>2950</v>
      </c>
      <c r="E125" s="1069"/>
      <c r="F125" s="1069" t="s">
        <v>2951</v>
      </c>
      <c r="G125" s="1069"/>
      <c r="H125" s="1069" t="s">
        <v>2952</v>
      </c>
      <c r="I125" s="1069"/>
      <c r="J125" s="1069" t="s">
        <v>2953</v>
      </c>
      <c r="K125" s="1069"/>
      <c r="L125" s="1069" t="s">
        <v>2520</v>
      </c>
      <c r="M125" s="1069"/>
      <c r="N125" s="1069" t="s">
        <v>2954</v>
      </c>
      <c r="O125" s="1069"/>
      <c r="P125" s="1069" t="s">
        <v>2955</v>
      </c>
      <c r="Q125" s="1069"/>
      <c r="R125" s="1069" t="s">
        <v>2956</v>
      </c>
      <c r="S125" s="1069"/>
      <c r="T125" s="1069" t="s">
        <v>2957</v>
      </c>
      <c r="U125" s="1069"/>
      <c r="V125" s="1069" t="s">
        <v>2958</v>
      </c>
      <c r="W125" s="1069"/>
      <c r="X125" s="1069" t="s">
        <v>2959</v>
      </c>
      <c r="Y125" s="1069"/>
      <c r="Z125" s="1070" t="s">
        <v>2960</v>
      </c>
    </row>
    <row r="126" spans="2:32">
      <c r="B126" s="904">
        <v>122</v>
      </c>
      <c r="C126" s="1121" t="s">
        <v>3005</v>
      </c>
      <c r="D126" s="1047">
        <f>D8*'2020 New Customers'!$C$18</f>
        <v>21869117.607295889</v>
      </c>
      <c r="E126" s="1047"/>
      <c r="F126" s="1047">
        <f>F8*'2020 New Customers'!$C$18</f>
        <v>17594425.082092583</v>
      </c>
      <c r="G126" s="1047"/>
      <c r="H126" s="1047">
        <f>H8*'2020 New Customers'!$C$18</f>
        <v>14813513.718579374</v>
      </c>
      <c r="I126" s="1047"/>
      <c r="J126" s="1047">
        <f>J8*'2020 New Customers'!$C$18</f>
        <v>9725984.1808207836</v>
      </c>
      <c r="K126" s="1047"/>
      <c r="L126" s="1047">
        <f>L8*'2020 New Customers'!$C$18</f>
        <v>6169089.3257769719</v>
      </c>
      <c r="M126" s="1047"/>
      <c r="N126" s="1047">
        <f>N8*'2020 New Customers'!$C$18</f>
        <v>3776414.7016849685</v>
      </c>
      <c r="O126" s="1047"/>
      <c r="P126" s="1047">
        <f>P8*'2020 New Customers'!$C$18</f>
        <v>3162330.23488387</v>
      </c>
      <c r="Q126" s="1047"/>
      <c r="R126" s="1047">
        <f>R8*'2020 New Customers'!$C$18</f>
        <v>3168825.1880605039</v>
      </c>
      <c r="S126" s="1047"/>
      <c r="T126" s="1047">
        <f>T8*'2020 New Customers'!$C$18</f>
        <v>4043976.2076835856</v>
      </c>
      <c r="U126" s="1047"/>
      <c r="V126" s="1047">
        <f>V8*'2020 New Customers'!$C$18</f>
        <v>9266302.5774808601</v>
      </c>
      <c r="W126" s="1047"/>
      <c r="X126" s="1047">
        <f>X8*'2020 New Customers'!$C$18</f>
        <v>17310858.885590747</v>
      </c>
      <c r="Y126" s="1047"/>
      <c r="Z126" s="1048">
        <f>Z8*'2020 New Customers'!$C$18</f>
        <v>23218631.906837601</v>
      </c>
      <c r="AA126" s="1073">
        <f>SUM(D126:Z126)</f>
        <v>134119469.61678773</v>
      </c>
    </row>
    <row r="127" spans="2:32">
      <c r="B127" s="904">
        <v>123</v>
      </c>
      <c r="C127" s="1122" t="s">
        <v>3006</v>
      </c>
      <c r="D127" s="1077">
        <f>D10*'2020 New Customers'!$D$18</f>
        <v>15068273.140168069</v>
      </c>
      <c r="E127" s="1077"/>
      <c r="F127" s="1077">
        <f>F10*'2020 New Customers'!$D$18</f>
        <v>12025556.096945286</v>
      </c>
      <c r="G127" s="1077"/>
      <c r="H127" s="1077">
        <f>H10*'2020 New Customers'!$D$18</f>
        <v>9581299.7224395573</v>
      </c>
      <c r="I127" s="1077"/>
      <c r="J127" s="1077">
        <f>J10*'2020 New Customers'!$D$18</f>
        <v>6227833.2331512291</v>
      </c>
      <c r="K127" s="1077"/>
      <c r="L127" s="1077">
        <f>L10*'2020 New Customers'!$D$18</f>
        <v>4539313.8298974214</v>
      </c>
      <c r="M127" s="1077"/>
      <c r="N127" s="1077">
        <f>N10*'2020 New Customers'!$D$18</f>
        <v>3208383.1040623947</v>
      </c>
      <c r="O127" s="1077"/>
      <c r="P127" s="1077">
        <f>P10*'2020 New Customers'!$D$18</f>
        <v>3176856.2230528356</v>
      </c>
      <c r="Q127" s="1077"/>
      <c r="R127" s="1077">
        <f>R10*'2020 New Customers'!$D$18</f>
        <v>3195261.0423083268</v>
      </c>
      <c r="S127" s="1077"/>
      <c r="T127" s="1077">
        <f>T10*'2020 New Customers'!$D$18</f>
        <v>3876058.0936916335</v>
      </c>
      <c r="U127" s="1077"/>
      <c r="V127" s="1077">
        <f>V10*'2020 New Customers'!$D$18</f>
        <v>7305174.1480830498</v>
      </c>
      <c r="W127" s="1077"/>
      <c r="X127" s="1077">
        <f>X10*'2020 New Customers'!$D$18</f>
        <v>11173201.664986398</v>
      </c>
      <c r="Y127" s="1077"/>
      <c r="Z127" s="1078">
        <f>Z10*'2020 New Customers'!$D$18</f>
        <v>14575684.739172081</v>
      </c>
      <c r="AA127" s="1073">
        <f t="shared" ref="AA127:AA141" si="11">SUM(D127:Z127)</f>
        <v>93952895.037958279</v>
      </c>
    </row>
    <row r="128" spans="2:32">
      <c r="B128" s="904">
        <v>124</v>
      </c>
      <c r="C128" s="1121">
        <v>505</v>
      </c>
      <c r="D128" s="1047"/>
      <c r="E128" s="1047"/>
      <c r="F128" s="1047"/>
      <c r="G128" s="1047"/>
      <c r="H128" s="1047"/>
      <c r="I128" s="1047"/>
      <c r="J128" s="1047"/>
      <c r="K128" s="1047"/>
      <c r="L128" s="1047"/>
      <c r="M128" s="1047"/>
      <c r="N128" s="1047"/>
      <c r="O128" s="1047"/>
      <c r="P128" s="1047"/>
      <c r="Q128" s="1047"/>
      <c r="R128" s="1047"/>
      <c r="S128" s="1047"/>
      <c r="T128" s="1047"/>
      <c r="U128" s="1047"/>
      <c r="V128" s="1047"/>
      <c r="W128" s="1047"/>
      <c r="X128" s="1047"/>
      <c r="Y128" s="1047"/>
      <c r="Z128" s="1048"/>
      <c r="AA128" s="1073"/>
    </row>
    <row r="129" spans="2:30">
      <c r="B129" s="904">
        <v>125</v>
      </c>
      <c r="C129" s="1121" t="s">
        <v>2681</v>
      </c>
      <c r="D129" s="1047">
        <f>D20*'2020 New Customers'!$E$18</f>
        <v>194340.07098025919</v>
      </c>
      <c r="E129" s="1047"/>
      <c r="F129" s="1047">
        <f>F20*'2020 New Customers'!$E$18</f>
        <v>198435.0250724245</v>
      </c>
      <c r="G129" s="1047"/>
      <c r="H129" s="1047">
        <f>H20*'2020 New Customers'!$E$18</f>
        <v>205749.5769055803</v>
      </c>
      <c r="I129" s="1047"/>
      <c r="J129" s="1047">
        <f>J20*'2020 New Customers'!$E$18</f>
        <v>183273.59427443455</v>
      </c>
      <c r="K129" s="1047"/>
      <c r="L129" s="1047">
        <f>L20*'2020 New Customers'!$E$18</f>
        <v>141801.01412570136</v>
      </c>
      <c r="M129" s="1047"/>
      <c r="N129" s="1047">
        <f>N20*'2020 New Customers'!$E$18</f>
        <v>106600.76388016609</v>
      </c>
      <c r="O129" s="1047"/>
      <c r="P129" s="1047">
        <f>P20*'2020 New Customers'!$E$18</f>
        <v>90402.736365577541</v>
      </c>
      <c r="Q129" s="1047"/>
      <c r="R129" s="1047">
        <f>R20*'2020 New Customers'!$E$18</f>
        <v>84398.169395629971</v>
      </c>
      <c r="S129" s="1047"/>
      <c r="T129" s="1047">
        <f>T20*'2020 New Customers'!$E$18</f>
        <v>92092.139562676224</v>
      </c>
      <c r="U129" s="1047"/>
      <c r="V129" s="1047">
        <f>V20*'2020 New Customers'!$E$18</f>
        <v>133088.39782184863</v>
      </c>
      <c r="W129" s="1047"/>
      <c r="X129" s="1047">
        <f>X20*'2020 New Customers'!$E$18</f>
        <v>174658.5047865161</v>
      </c>
      <c r="Y129" s="1047"/>
      <c r="Z129" s="1048">
        <f>Z20*'2020 New Customers'!$E$18</f>
        <v>191214.32972942691</v>
      </c>
      <c r="AA129" s="1073">
        <f t="shared" si="11"/>
        <v>1796054.322900241</v>
      </c>
    </row>
    <row r="130" spans="2:30">
      <c r="B130" s="904">
        <v>126</v>
      </c>
      <c r="C130" s="1121" t="s">
        <v>2682</v>
      </c>
      <c r="D130" s="1047">
        <f>D21*'2020 New Customers'!$E$18</f>
        <v>698387.7119573321</v>
      </c>
      <c r="E130" s="1047"/>
      <c r="F130" s="1047">
        <f>F21*'2020 New Customers'!$E$18</f>
        <v>723016.34030108422</v>
      </c>
      <c r="G130" s="1047"/>
      <c r="H130" s="1047">
        <f>H21*'2020 New Customers'!$E$18</f>
        <v>768541.60303038161</v>
      </c>
      <c r="I130" s="1047"/>
      <c r="J130" s="1047">
        <f>J21*'2020 New Customers'!$E$18</f>
        <v>585399.82631121867</v>
      </c>
      <c r="K130" s="1047"/>
      <c r="L130" s="1047">
        <f>L21*'2020 New Customers'!$E$18</f>
        <v>412618.147901399</v>
      </c>
      <c r="M130" s="1047"/>
      <c r="N130" s="1047">
        <f>N21*'2020 New Customers'!$E$18</f>
        <v>303387.93231473467</v>
      </c>
      <c r="O130" s="1047"/>
      <c r="P130" s="1047">
        <f>P21*'2020 New Customers'!$E$18</f>
        <v>279357.09619900072</v>
      </c>
      <c r="Q130" s="1047"/>
      <c r="R130" s="1047">
        <f>R21*'2020 New Customers'!$E$18</f>
        <v>272356.05256572872</v>
      </c>
      <c r="S130" s="1047"/>
      <c r="T130" s="1047">
        <f>T21*'2020 New Customers'!$E$18</f>
        <v>298836.84950773552</v>
      </c>
      <c r="U130" s="1047"/>
      <c r="V130" s="1047">
        <f>V21*'2020 New Customers'!$E$18</f>
        <v>407885.21791435569</v>
      </c>
      <c r="W130" s="1047"/>
      <c r="X130" s="1047">
        <f>X21*'2020 New Customers'!$E$18</f>
        <v>542537.34133536008</v>
      </c>
      <c r="Y130" s="1047"/>
      <c r="Z130" s="1048">
        <f>Z21*'2020 New Customers'!$E$18</f>
        <v>663264.02434806665</v>
      </c>
      <c r="AA130" s="1073">
        <f t="shared" si="11"/>
        <v>5955588.143686397</v>
      </c>
    </row>
    <row r="131" spans="2:30">
      <c r="B131" s="904">
        <v>127</v>
      </c>
      <c r="C131" s="1121" t="s">
        <v>2683</v>
      </c>
      <c r="D131" s="1047">
        <f>D22*'2020 New Customers'!$E$18</f>
        <v>562177.83876820025</v>
      </c>
      <c r="E131" s="1047"/>
      <c r="F131" s="1047">
        <f>F22*'2020 New Customers'!$E$18</f>
        <v>725105.85736923234</v>
      </c>
      <c r="G131" s="1047"/>
      <c r="H131" s="1047">
        <f>H22*'2020 New Customers'!$E$18</f>
        <v>816782.44734708616</v>
      </c>
      <c r="I131" s="1047"/>
      <c r="J131" s="1047">
        <f>J22*'2020 New Customers'!$E$18</f>
        <v>582014.37290593912</v>
      </c>
      <c r="K131" s="1047"/>
      <c r="L131" s="1047">
        <f>L22*'2020 New Customers'!$E$18</f>
        <v>257597.30651931031</v>
      </c>
      <c r="M131" s="1047"/>
      <c r="N131" s="1047">
        <f>N22*'2020 New Customers'!$E$18</f>
        <v>175201.87107495344</v>
      </c>
      <c r="O131" s="1047"/>
      <c r="P131" s="1047">
        <f>P22*'2020 New Customers'!$E$18</f>
        <v>178651.78946509288</v>
      </c>
      <c r="Q131" s="1047"/>
      <c r="R131" s="1047">
        <f>R22*'2020 New Customers'!$E$18</f>
        <v>206663.57161042653</v>
      </c>
      <c r="S131" s="1047"/>
      <c r="T131" s="1047">
        <f>T22*'2020 New Customers'!$E$18</f>
        <v>271927.92957544461</v>
      </c>
      <c r="U131" s="1047"/>
      <c r="V131" s="1047">
        <f>V22*'2020 New Customers'!$E$18</f>
        <v>763197.04454235022</v>
      </c>
      <c r="W131" s="1047"/>
      <c r="X131" s="1047">
        <f>X22*'2020 New Customers'!$E$18</f>
        <v>453753.09697827091</v>
      </c>
      <c r="Y131" s="1047"/>
      <c r="Z131" s="1048">
        <f>Z22*'2020 New Customers'!$E$18</f>
        <v>568661.79001721169</v>
      </c>
      <c r="AA131" s="1073">
        <f t="shared" si="11"/>
        <v>5561734.9161735196</v>
      </c>
    </row>
    <row r="132" spans="2:30">
      <c r="B132" s="904">
        <v>128</v>
      </c>
      <c r="C132" s="1121" t="s">
        <v>3008</v>
      </c>
      <c r="D132" s="1047">
        <f>SUM(D129:D131)</f>
        <v>1454905.6217057914</v>
      </c>
      <c r="E132" s="1047"/>
      <c r="F132" s="1047">
        <f t="shared" ref="F132:Z132" si="12">SUM(F129:F131)</f>
        <v>1646557.222742741</v>
      </c>
      <c r="G132" s="1047"/>
      <c r="H132" s="1047">
        <f t="shared" si="12"/>
        <v>1791073.6272830481</v>
      </c>
      <c r="I132" s="1047"/>
      <c r="J132" s="1047">
        <f t="shared" si="12"/>
        <v>1350687.7934915924</v>
      </c>
      <c r="K132" s="1047"/>
      <c r="L132" s="1047">
        <f t="shared" si="12"/>
        <v>812016.46854641067</v>
      </c>
      <c r="M132" s="1047"/>
      <c r="N132" s="1047">
        <f t="shared" si="12"/>
        <v>585190.56726985425</v>
      </c>
      <c r="O132" s="1047"/>
      <c r="P132" s="1047">
        <f t="shared" si="12"/>
        <v>548411.62202967121</v>
      </c>
      <c r="Q132" s="1047"/>
      <c r="R132" s="1047">
        <f t="shared" si="12"/>
        <v>563417.79357178521</v>
      </c>
      <c r="S132" s="1047"/>
      <c r="T132" s="1047">
        <f t="shared" si="12"/>
        <v>662856.91864585644</v>
      </c>
      <c r="U132" s="1047"/>
      <c r="V132" s="1047">
        <f t="shared" si="12"/>
        <v>1304170.6602785545</v>
      </c>
      <c r="W132" s="1047"/>
      <c r="X132" s="1047">
        <f t="shared" si="12"/>
        <v>1170948.9431001469</v>
      </c>
      <c r="Y132" s="1047"/>
      <c r="Z132" s="1048">
        <f t="shared" si="12"/>
        <v>1423140.1440947051</v>
      </c>
      <c r="AA132" s="1073">
        <f>SUM(D132:Z132)</f>
        <v>13313377.38276016</v>
      </c>
    </row>
    <row r="133" spans="2:30" ht="15" thickBot="1">
      <c r="B133" s="904">
        <v>129</v>
      </c>
      <c r="C133" s="1123">
        <v>511</v>
      </c>
      <c r="D133" s="1082"/>
      <c r="E133" s="1082"/>
      <c r="F133" s="1082"/>
      <c r="G133" s="1082"/>
      <c r="H133" s="1082"/>
      <c r="I133" s="1082"/>
      <c r="J133" s="1082"/>
      <c r="K133" s="1082"/>
      <c r="L133" s="1082"/>
      <c r="M133" s="1082"/>
      <c r="N133" s="1082"/>
      <c r="O133" s="1082"/>
      <c r="P133" s="1082"/>
      <c r="Q133" s="1082"/>
      <c r="R133" s="1082"/>
      <c r="S133" s="1082"/>
      <c r="T133" s="1082"/>
      <c r="U133" s="1082"/>
      <c r="V133" s="1082"/>
      <c r="W133" s="1082"/>
      <c r="X133" s="1083"/>
      <c r="Y133" s="1083"/>
      <c r="Z133" s="1084"/>
      <c r="AA133" s="1073"/>
      <c r="AC133" s="824"/>
      <c r="AD133" s="824"/>
    </row>
    <row r="134" spans="2:30">
      <c r="B134" s="904">
        <v>130</v>
      </c>
      <c r="C134" s="1124" t="s">
        <v>2688</v>
      </c>
      <c r="D134" s="1086">
        <f>D33*SUM('2020 New Customers'!$F$18:$H$18)</f>
        <v>1165467.7932500159</v>
      </c>
      <c r="E134" s="1086"/>
      <c r="F134" s="1086">
        <f>F33*SUM('2020 New Customers'!$F$18:$H$18)</f>
        <v>1201867.9375753347</v>
      </c>
      <c r="G134" s="1086"/>
      <c r="H134" s="1086">
        <f>H33*SUM('2020 New Customers'!$F$18:$H$18)</f>
        <v>1233762.7169109094</v>
      </c>
      <c r="I134" s="1086"/>
      <c r="J134" s="1086">
        <f>J33*SUM('2020 New Customers'!$F$18:$H$18)</f>
        <v>919395.10282829113</v>
      </c>
      <c r="K134" s="1086"/>
      <c r="L134" s="1086">
        <f>L33*SUM('2020 New Customers'!$F$18:$H$18)</f>
        <v>643543.167015585</v>
      </c>
      <c r="M134" s="1086"/>
      <c r="N134" s="1086">
        <f>N33*SUM('2020 New Customers'!$F$18:$H$18)</f>
        <v>484703.14026517799</v>
      </c>
      <c r="O134" s="1086"/>
      <c r="P134" s="1086">
        <f>P33*SUM('2020 New Customers'!$F$18:$H$18)</f>
        <v>432701.58203686221</v>
      </c>
      <c r="Q134" s="1086"/>
      <c r="R134" s="1086">
        <f>R33*SUM('2020 New Customers'!$F$18:$H$18)</f>
        <v>429048.69253628358</v>
      </c>
      <c r="S134" s="1086"/>
      <c r="T134" s="1086">
        <f>T33*SUM('2020 New Customers'!$F$18:$H$18)</f>
        <v>387824.8084869489</v>
      </c>
      <c r="U134" s="1086"/>
      <c r="V134" s="1086">
        <f>V33*SUM('2020 New Customers'!$F$18:$H$18)</f>
        <v>639592.78327073704</v>
      </c>
      <c r="W134" s="1087"/>
      <c r="X134" s="1088">
        <f>AA33*SUM('2020 New Customers'!$F$18:$H$18)</f>
        <v>865530.14654570818</v>
      </c>
      <c r="Y134" s="1089"/>
      <c r="Z134" s="1125">
        <f>AB33*SUM('2020 New Customers'!$F$18:$H$18)</f>
        <v>1094248.9284329689</v>
      </c>
      <c r="AA134" s="1090">
        <f t="shared" si="11"/>
        <v>9497686.7991548236</v>
      </c>
      <c r="AC134" s="905"/>
      <c r="AD134" s="905"/>
    </row>
    <row r="135" spans="2:30">
      <c r="B135" s="904">
        <v>131</v>
      </c>
      <c r="C135" s="1124" t="s">
        <v>2689</v>
      </c>
      <c r="D135" s="1086">
        <f>D34*SUM('2020 New Customers'!$F$18:$H$18)</f>
        <v>544959.69550751522</v>
      </c>
      <c r="E135" s="1086"/>
      <c r="F135" s="1086">
        <f>F34*SUM('2020 New Customers'!$F$18:$H$18)</f>
        <v>540735.58854201157</v>
      </c>
      <c r="G135" s="1086"/>
      <c r="H135" s="1086">
        <f>H34*SUM('2020 New Customers'!$F$18:$H$18)</f>
        <v>577721.77004936477</v>
      </c>
      <c r="I135" s="1086"/>
      <c r="J135" s="1086">
        <f>J34*SUM('2020 New Customers'!$F$18:$H$18)</f>
        <v>461957.84884966369</v>
      </c>
      <c r="K135" s="1086"/>
      <c r="L135" s="1086">
        <f>L34*SUM('2020 New Customers'!$F$18:$H$18)</f>
        <v>370948.36428744841</v>
      </c>
      <c r="M135" s="1086"/>
      <c r="N135" s="1086">
        <f>N34*SUM('2020 New Customers'!$F$18:$H$18)</f>
        <v>292535.50619082304</v>
      </c>
      <c r="O135" s="1086"/>
      <c r="P135" s="1086">
        <f>P34*SUM('2020 New Customers'!$F$18:$H$18)</f>
        <v>276037.39449895034</v>
      </c>
      <c r="Q135" s="1086"/>
      <c r="R135" s="1086">
        <f>R34*SUM('2020 New Customers'!$F$18:$H$18)</f>
        <v>282289.19081483176</v>
      </c>
      <c r="S135" s="1086"/>
      <c r="T135" s="1086">
        <f>T34*SUM('2020 New Customers'!$F$18:$H$18)</f>
        <v>258930.67853547962</v>
      </c>
      <c r="U135" s="1086"/>
      <c r="V135" s="1086">
        <f>V34*SUM('2020 New Customers'!$F$18:$H$18)</f>
        <v>423579.28181542922</v>
      </c>
      <c r="W135" s="1087"/>
      <c r="X135" s="1126">
        <f>AA34*SUM('2020 New Customers'!$F$18:$H$18)</f>
        <v>502079.02403496002</v>
      </c>
      <c r="Y135" s="1055"/>
      <c r="Z135" s="1056">
        <f>AB34*SUM('2020 New Customers'!$F$18:$H$18)</f>
        <v>430368.52694828837</v>
      </c>
      <c r="AA135" s="1097">
        <f t="shared" si="11"/>
        <v>4962142.8700747658</v>
      </c>
      <c r="AC135" s="905"/>
      <c r="AD135" s="905"/>
    </row>
    <row r="136" spans="2:30">
      <c r="B136" s="904">
        <v>132</v>
      </c>
      <c r="C136" s="1124" t="s">
        <v>2889</v>
      </c>
      <c r="D136" s="1086">
        <f>D35*SUM('2020 New Customers'!$F$18:$H$18)</f>
        <v>159824.87667371388</v>
      </c>
      <c r="E136" s="1086"/>
      <c r="F136" s="1086">
        <f>F35*SUM('2020 New Customers'!$F$18:$H$18)</f>
        <v>174043.72210476862</v>
      </c>
      <c r="G136" s="1086"/>
      <c r="H136" s="1086">
        <f>H35*SUM('2020 New Customers'!$F$18:$H$18)</f>
        <v>205232.04134366926</v>
      </c>
      <c r="I136" s="1086"/>
      <c r="J136" s="1086">
        <f>J35*SUM('2020 New Customers'!$F$18:$H$18)</f>
        <v>83092.901656786751</v>
      </c>
      <c r="K136" s="1086"/>
      <c r="L136" s="1086">
        <f>L35*SUM('2020 New Customers'!$F$18:$H$18)</f>
        <v>25362.157007505844</v>
      </c>
      <c r="M136" s="1086"/>
      <c r="N136" s="1086">
        <f>N35*SUM('2020 New Customers'!$F$18:$H$18)</f>
        <v>40662.79069767442</v>
      </c>
      <c r="O136" s="1086"/>
      <c r="P136" s="1086">
        <f>P35*SUM('2020 New Customers'!$F$18:$H$18)</f>
        <v>63497.461620307033</v>
      </c>
      <c r="Q136" s="1086"/>
      <c r="R136" s="1086">
        <f>R35*SUM('2020 New Customers'!$F$18:$H$18)</f>
        <v>58155.212960543504</v>
      </c>
      <c r="S136" s="1086"/>
      <c r="T136" s="1086">
        <f>T35*SUM('2020 New Customers'!$F$18:$H$18)</f>
        <v>35934.84888075952</v>
      </c>
      <c r="U136" s="1086"/>
      <c r="V136" s="1086">
        <f>V35*SUM('2020 New Customers'!$F$18:$H$18)</f>
        <v>76418.546584211595</v>
      </c>
      <c r="W136" s="1087"/>
      <c r="X136" s="1126">
        <f>AA35*SUM('2020 New Customers'!$F$18:$H$18)</f>
        <v>156497.9697305279</v>
      </c>
      <c r="Y136" s="1055"/>
      <c r="Z136" s="1056">
        <f>AB35*SUM('2020 New Customers'!$F$18:$H$18)</f>
        <v>138684.20901521677</v>
      </c>
      <c r="AA136" s="1097">
        <f t="shared" si="11"/>
        <v>1217406.7382756851</v>
      </c>
      <c r="AC136" s="905"/>
      <c r="AD136" s="905"/>
    </row>
    <row r="137" spans="2:30" ht="15" thickBot="1">
      <c r="B137" s="904">
        <v>133</v>
      </c>
      <c r="C137" s="1124" t="s">
        <v>3010</v>
      </c>
      <c r="D137" s="1082">
        <f>SUM(D134:D136)</f>
        <v>1870252.365431245</v>
      </c>
      <c r="E137" s="1082"/>
      <c r="F137" s="1082">
        <f t="shared" ref="F137:V137" si="13">SUM(F134:F136)</f>
        <v>1916647.248222115</v>
      </c>
      <c r="G137" s="1082"/>
      <c r="H137" s="1082">
        <f t="shared" si="13"/>
        <v>2016716.5283039433</v>
      </c>
      <c r="I137" s="1082"/>
      <c r="J137" s="1082">
        <f t="shared" si="13"/>
        <v>1464445.8533347414</v>
      </c>
      <c r="K137" s="1082"/>
      <c r="L137" s="1082">
        <f t="shared" si="13"/>
        <v>1039853.6883105393</v>
      </c>
      <c r="M137" s="1082"/>
      <c r="N137" s="1082">
        <f t="shared" si="13"/>
        <v>817901.43715367548</v>
      </c>
      <c r="O137" s="1082"/>
      <c r="P137" s="1082">
        <f t="shared" si="13"/>
        <v>772236.43815611955</v>
      </c>
      <c r="Q137" s="1082"/>
      <c r="R137" s="1082">
        <f t="shared" si="13"/>
        <v>769493.09631165874</v>
      </c>
      <c r="S137" s="1082"/>
      <c r="T137" s="1082">
        <f t="shared" si="13"/>
        <v>682690.3359031881</v>
      </c>
      <c r="U137" s="1082"/>
      <c r="V137" s="1082">
        <f t="shared" si="13"/>
        <v>1139590.6116703779</v>
      </c>
      <c r="W137" s="1094"/>
      <c r="X137" s="1099">
        <f>SUM(X134:X136)</f>
        <v>1524107.140311196</v>
      </c>
      <c r="Y137" s="1100"/>
      <c r="Z137" s="1101">
        <f>SUM(Z134:Z136)</f>
        <v>1663301.6643964739</v>
      </c>
      <c r="AA137" s="1102">
        <f t="shared" si="11"/>
        <v>15677236.407505274</v>
      </c>
      <c r="AC137" s="905"/>
      <c r="AD137" s="905"/>
    </row>
    <row r="138" spans="2:30">
      <c r="B138" s="904">
        <v>134</v>
      </c>
      <c r="C138" s="1127">
        <v>570</v>
      </c>
      <c r="D138" s="1104"/>
      <c r="E138" s="1104"/>
      <c r="F138" s="1104"/>
      <c r="G138" s="1104"/>
      <c r="H138" s="1104"/>
      <c r="I138" s="1104"/>
      <c r="J138" s="1104"/>
      <c r="K138" s="1104"/>
      <c r="L138" s="1104"/>
      <c r="M138" s="1104"/>
      <c r="N138" s="1104"/>
      <c r="O138" s="1104"/>
      <c r="P138" s="1104"/>
      <c r="Q138" s="1104"/>
      <c r="R138" s="1104"/>
      <c r="S138" s="1104"/>
      <c r="T138" s="1104"/>
      <c r="U138" s="1104"/>
      <c r="V138" s="1104"/>
      <c r="W138" s="1104"/>
      <c r="X138" s="1104"/>
      <c r="Y138" s="1104"/>
      <c r="Z138" s="1105"/>
      <c r="AA138" s="1073"/>
    </row>
    <row r="139" spans="2:30">
      <c r="B139" s="904">
        <v>135</v>
      </c>
      <c r="C139" s="1128" t="s">
        <v>2709</v>
      </c>
      <c r="D139" s="1047">
        <f>D38*'2020 New Customers'!$I$18</f>
        <v>853202.91323622537</v>
      </c>
      <c r="E139" s="1047"/>
      <c r="F139" s="1047">
        <f>F38*'2020 New Customers'!$I$18</f>
        <v>851760.35465484462</v>
      </c>
      <c r="G139" s="1047"/>
      <c r="H139" s="1047">
        <f>H38*'2020 New Customers'!$I$18</f>
        <v>863862.95123495872</v>
      </c>
      <c r="I139" s="1047"/>
      <c r="J139" s="1047">
        <f>J38*'2020 New Customers'!$I$18</f>
        <v>826209.24635845469</v>
      </c>
      <c r="K139" s="1047"/>
      <c r="L139" s="1047">
        <f>L38*'2020 New Customers'!$I$18</f>
        <v>720145.28182393918</v>
      </c>
      <c r="M139" s="1047"/>
      <c r="N139" s="1047">
        <f>N38*'2020 New Customers'!$I$18</f>
        <v>631973.65421152627</v>
      </c>
      <c r="O139" s="1047"/>
      <c r="P139" s="1047">
        <f>P38*'2020 New Customers'!$I$18</f>
        <v>562604.05319822673</v>
      </c>
      <c r="Q139" s="1047"/>
      <c r="R139" s="1047">
        <f>R38*'2020 New Customers'!$I$18</f>
        <v>695918.80937302089</v>
      </c>
      <c r="S139" s="1047"/>
      <c r="T139" s="1047">
        <f>T38*'2020 New Customers'!$I$18</f>
        <v>534106.64977834071</v>
      </c>
      <c r="U139" s="1047"/>
      <c r="V139" s="1047">
        <f>V38*'2020 New Customers'!$I$18</f>
        <v>564178.72070930968</v>
      </c>
      <c r="W139" s="1047"/>
      <c r="X139" s="1047">
        <f>X38*'2020 New Customers'!$I$18</f>
        <v>942942.11526282446</v>
      </c>
      <c r="Y139" s="1047"/>
      <c r="Z139" s="1048">
        <f>Z38*'2020 New Customers'!$I$18</f>
        <v>790152.37492083595</v>
      </c>
      <c r="AA139" s="1073">
        <f t="shared" si="11"/>
        <v>8837057.1247625072</v>
      </c>
    </row>
    <row r="140" spans="2:30">
      <c r="B140" s="904">
        <v>136</v>
      </c>
      <c r="C140" s="1128" t="s">
        <v>2710</v>
      </c>
      <c r="D140" s="1047">
        <f>D39*'2020 New Customers'!$I$18</f>
        <v>970169.48398576526</v>
      </c>
      <c r="E140" s="1047"/>
      <c r="F140" s="1047">
        <f>F39*'2020 New Customers'!$I$18</f>
        <v>959915.48042704619</v>
      </c>
      <c r="G140" s="1047"/>
      <c r="H140" s="1047">
        <f>H39*'2020 New Customers'!$I$18</f>
        <v>1027424.3772241992</v>
      </c>
      <c r="I140" s="1047"/>
      <c r="J140" s="1047">
        <f>J39*'2020 New Customers'!$I$18</f>
        <v>910803.38078291819</v>
      </c>
      <c r="K140" s="1047"/>
      <c r="L140" s="1047">
        <f>L39*'2020 New Customers'!$I$18</f>
        <v>620122.77580071171</v>
      </c>
      <c r="M140" s="1047"/>
      <c r="N140" s="1047">
        <f>N39*'2020 New Customers'!$I$18</f>
        <v>363819.39501779363</v>
      </c>
      <c r="O140" s="1047"/>
      <c r="P140" s="1047">
        <f>P39*'2020 New Customers'!$I$18</f>
        <v>214306.49466192172</v>
      </c>
      <c r="Q140" s="1047"/>
      <c r="R140" s="1047">
        <f>R39*'2020 New Customers'!$I$18</f>
        <v>144278.46975088966</v>
      </c>
      <c r="S140" s="1047"/>
      <c r="T140" s="1047">
        <f>T39*'2020 New Customers'!$I$18</f>
        <v>121276.24555160143</v>
      </c>
      <c r="U140" s="1047"/>
      <c r="V140" s="1047">
        <f>V39*'2020 New Customers'!$I$18</f>
        <v>215916.37010676155</v>
      </c>
      <c r="W140" s="1047"/>
      <c r="X140" s="1047">
        <f>X39*'2020 New Customers'!$I$18</f>
        <v>686800.26690391463</v>
      </c>
      <c r="Y140" s="1047"/>
      <c r="Z140" s="1048">
        <f>Z39*'2020 New Customers'!$I$18</f>
        <v>821478.6476868327</v>
      </c>
      <c r="AA140" s="1073">
        <f t="shared" si="11"/>
        <v>7056311.3879003543</v>
      </c>
    </row>
    <row r="141" spans="2:30">
      <c r="B141" s="904">
        <v>137</v>
      </c>
      <c r="C141" s="1121" t="s">
        <v>3011</v>
      </c>
      <c r="D141" s="1107">
        <f>SUM(D139:D140)</f>
        <v>1823372.3972219906</v>
      </c>
      <c r="E141" s="1107"/>
      <c r="F141" s="1107">
        <f t="shared" ref="F141:Z141" si="14">SUM(F139:F140)</f>
        <v>1811675.8350818907</v>
      </c>
      <c r="G141" s="1107"/>
      <c r="H141" s="1107">
        <f t="shared" si="14"/>
        <v>1891287.3284591581</v>
      </c>
      <c r="I141" s="1107"/>
      <c r="J141" s="1107">
        <f t="shared" si="14"/>
        <v>1737012.6271413728</v>
      </c>
      <c r="K141" s="1107"/>
      <c r="L141" s="1107">
        <f t="shared" si="14"/>
        <v>1340268.0576246509</v>
      </c>
      <c r="M141" s="1107"/>
      <c r="N141" s="1107">
        <f t="shared" si="14"/>
        <v>995793.04922931991</v>
      </c>
      <c r="O141" s="1107"/>
      <c r="P141" s="1107">
        <f t="shared" si="14"/>
        <v>776910.54786014848</v>
      </c>
      <c r="Q141" s="1107"/>
      <c r="R141" s="1107">
        <f t="shared" si="14"/>
        <v>840197.27912391059</v>
      </c>
      <c r="S141" s="1107"/>
      <c r="T141" s="1107">
        <f t="shared" si="14"/>
        <v>655382.89532994211</v>
      </c>
      <c r="U141" s="1107"/>
      <c r="V141" s="1107">
        <f t="shared" si="14"/>
        <v>780095.09081607126</v>
      </c>
      <c r="W141" s="1107"/>
      <c r="X141" s="1107">
        <f t="shared" si="14"/>
        <v>1629742.3821667391</v>
      </c>
      <c r="Y141" s="1107"/>
      <c r="Z141" s="1108">
        <f t="shared" si="14"/>
        <v>1611631.0226076688</v>
      </c>
      <c r="AA141" s="1073">
        <f t="shared" si="11"/>
        <v>15893368.512662865</v>
      </c>
    </row>
    <row r="142" spans="2:30" ht="15" thickBot="1">
      <c r="B142" s="904">
        <v>138</v>
      </c>
      <c r="C142" s="1129"/>
      <c r="D142" s="1130"/>
      <c r="E142" s="1130"/>
      <c r="F142" s="1130"/>
      <c r="G142" s="1130"/>
      <c r="H142" s="1130"/>
      <c r="I142" s="1130"/>
      <c r="J142" s="1130"/>
      <c r="K142" s="1130"/>
      <c r="L142" s="1130"/>
      <c r="M142" s="1130"/>
      <c r="N142" s="1130"/>
      <c r="O142" s="1130"/>
      <c r="P142" s="1130"/>
      <c r="Q142" s="1130"/>
      <c r="R142" s="1130"/>
      <c r="S142" s="1130"/>
      <c r="T142" s="1130"/>
      <c r="U142" s="1130"/>
      <c r="V142" s="1130"/>
      <c r="W142" s="1130"/>
      <c r="X142" s="1130"/>
      <c r="Y142" s="1130"/>
      <c r="Z142" s="1131"/>
      <c r="AA142" s="1073"/>
    </row>
    <row r="143" spans="2:30">
      <c r="B143" s="904">
        <v>139</v>
      </c>
      <c r="C143" s="1132"/>
      <c r="D143" s="905"/>
      <c r="E143" s="905"/>
      <c r="F143" s="905"/>
      <c r="G143" s="905"/>
      <c r="H143" s="905"/>
      <c r="I143" s="905"/>
      <c r="J143" s="905"/>
      <c r="K143" s="905"/>
      <c r="L143" s="905"/>
      <c r="M143" s="905"/>
      <c r="N143" s="905"/>
      <c r="O143" s="905"/>
      <c r="P143" s="905"/>
      <c r="Q143" s="905"/>
      <c r="R143" s="905"/>
      <c r="S143" s="905"/>
      <c r="T143" s="905"/>
      <c r="U143" s="905"/>
      <c r="V143" s="905"/>
      <c r="W143" s="905"/>
      <c r="X143" s="905"/>
      <c r="Y143" s="905"/>
      <c r="Z143" s="905"/>
      <c r="AA143" s="1073"/>
    </row>
    <row r="144" spans="2:30">
      <c r="B144" s="1133">
        <v>140</v>
      </c>
      <c r="C144" s="1864" t="s">
        <v>3016</v>
      </c>
      <c r="D144" s="1865"/>
      <c r="E144" s="1865"/>
      <c r="F144" s="1865"/>
      <c r="G144" s="1865"/>
      <c r="H144" s="1865"/>
      <c r="I144" s="1865"/>
      <c r="J144" s="1865"/>
      <c r="K144" s="1865"/>
      <c r="L144" s="1865"/>
      <c r="M144" s="1865"/>
      <c r="N144" s="1865"/>
      <c r="O144" s="1865"/>
      <c r="P144" s="1865"/>
      <c r="Q144" s="1865"/>
      <c r="R144" s="1865"/>
      <c r="S144" s="1865"/>
      <c r="T144" s="1865"/>
      <c r="U144" s="1865"/>
      <c r="V144" s="1865"/>
      <c r="W144" s="1865"/>
      <c r="X144" s="1865"/>
      <c r="Y144" s="1865"/>
      <c r="Z144" s="1865"/>
      <c r="AA144" s="1134"/>
    </row>
    <row r="145" spans="2:29">
      <c r="B145" s="1133">
        <v>141</v>
      </c>
      <c r="C145" s="1135" t="s">
        <v>3012</v>
      </c>
      <c r="D145" s="907"/>
      <c r="E145" s="907"/>
      <c r="F145" s="907"/>
      <c r="G145" s="907"/>
      <c r="H145" s="907"/>
      <c r="I145" s="907"/>
      <c r="J145" s="1866" t="s">
        <v>3017</v>
      </c>
      <c r="K145" s="1866"/>
      <c r="L145" s="1866"/>
      <c r="M145" s="1866"/>
      <c r="N145" s="1866"/>
      <c r="O145" s="1866"/>
      <c r="P145" s="1866"/>
      <c r="Q145" s="907"/>
      <c r="R145" s="907"/>
      <c r="S145" s="907"/>
      <c r="T145" s="907"/>
      <c r="U145" s="907"/>
      <c r="V145" s="907"/>
      <c r="W145" s="907"/>
      <c r="X145" s="907"/>
      <c r="Y145" s="907"/>
      <c r="Z145" s="907"/>
      <c r="AA145" s="907"/>
    </row>
    <row r="146" spans="2:29">
      <c r="B146" s="1133">
        <v>142</v>
      </c>
      <c r="C146" s="1117" t="s">
        <v>2998</v>
      </c>
      <c r="D146" s="1136">
        <f>D90*($AB$116/12)</f>
        <v>10521998.855471125</v>
      </c>
      <c r="E146" s="1136"/>
      <c r="F146" s="1136">
        <f>F90*($AB$116/12)</f>
        <v>11715483.748935644</v>
      </c>
      <c r="G146" s="1136"/>
      <c r="H146" s="1136">
        <f>H90*($AB$116/12)</f>
        <v>11007553.306405433</v>
      </c>
      <c r="I146" s="1136"/>
      <c r="J146" s="1136">
        <f>J90*($AB$116/12)</f>
        <v>10591103.70346237</v>
      </c>
      <c r="K146" s="1136"/>
      <c r="L146" s="1136">
        <f>L90*($AB$116/12)</f>
        <v>9550979.2292306572</v>
      </c>
      <c r="M146" s="1136"/>
      <c r="N146" s="1136">
        <f>N90*($AB$116/12)</f>
        <v>9121972.4962548055</v>
      </c>
      <c r="O146" s="1136"/>
      <c r="P146" s="1136">
        <f>P90*($AB$116/12)</f>
        <v>9508294.8895266354</v>
      </c>
      <c r="Q146" s="1136"/>
      <c r="R146" s="1136">
        <f>R90*($AB$116/12)</f>
        <v>9618720.9453156162</v>
      </c>
      <c r="S146" s="1136"/>
      <c r="T146" s="1136">
        <f>T90*($AB$116/12)</f>
        <v>9534734.4633565266</v>
      </c>
      <c r="U146" s="1136"/>
      <c r="V146" s="1136">
        <f>V90*($AB$116/12)</f>
        <v>10552838.762238255</v>
      </c>
      <c r="W146" s="1136"/>
      <c r="X146" s="1136">
        <f>AA90*(($AB$116)/12)</f>
        <v>12098523.754125511</v>
      </c>
      <c r="Y146" s="1136"/>
      <c r="Z146" s="1136">
        <f>AB90*(($AB$116)/12)</f>
        <v>11580741.617264524</v>
      </c>
      <c r="AA146" s="1134">
        <f>SUM(D146:Z146)</f>
        <v>125402945.77158709</v>
      </c>
    </row>
    <row r="147" spans="2:29">
      <c r="B147" s="1133">
        <v>143</v>
      </c>
      <c r="C147" s="1117" t="s">
        <v>2999</v>
      </c>
      <c r="D147" s="1118">
        <f>D91*($AB$116/12)</f>
        <v>8252243.6330405623</v>
      </c>
      <c r="E147" s="1118"/>
      <c r="F147" s="1118">
        <f>F91*($AB$116/12)</f>
        <v>8998780.2753114402</v>
      </c>
      <c r="G147" s="1118"/>
      <c r="H147" s="1118">
        <f>H91*($AB$116/12)</f>
        <v>8020727.1341670072</v>
      </c>
      <c r="I147" s="1118"/>
      <c r="J147" s="1118">
        <f>J91*($AB$116/12)</f>
        <v>7877025.7053476069</v>
      </c>
      <c r="K147" s="1118"/>
      <c r="L147" s="1118">
        <f>L91*($AB$116/12)</f>
        <v>7578775.0087587005</v>
      </c>
      <c r="M147" s="1118"/>
      <c r="N147" s="1118">
        <f>N91*($AB$116/12)</f>
        <v>7432189.8021595757</v>
      </c>
      <c r="O147" s="1118"/>
      <c r="P147" s="1118">
        <f>P91*($AB$116/12)</f>
        <v>9289782.0921993442</v>
      </c>
      <c r="Q147" s="1118"/>
      <c r="R147" s="1118">
        <f>R91*($AB$116/12)</f>
        <v>7483685.2937301258</v>
      </c>
      <c r="S147" s="1118"/>
      <c r="T147" s="1118">
        <f>T91*($AB$116/12)</f>
        <v>7385463.6858333992</v>
      </c>
      <c r="U147" s="1118"/>
      <c r="V147" s="1118">
        <f>V91*($AB$116/12)</f>
        <v>8037514.6231732806</v>
      </c>
      <c r="W147" s="1118"/>
      <c r="X147" s="1136">
        <f>AA91*(($AB$116)/12)</f>
        <v>9608399.235101277</v>
      </c>
      <c r="Y147" s="1136"/>
      <c r="Z147" s="1136">
        <f>AB91*(($AB$116)/12)</f>
        <v>8598308.5143972281</v>
      </c>
      <c r="AA147" s="1134">
        <f>SUM(D147:Z147)</f>
        <v>98562895.00321956</v>
      </c>
    </row>
    <row r="148" spans="2:29">
      <c r="B148" s="1133">
        <v>144</v>
      </c>
      <c r="C148" s="1117" t="s">
        <v>2999</v>
      </c>
      <c r="D148" s="1118">
        <f>D92*($AB$116/12)</f>
        <v>3149577.1276753638</v>
      </c>
      <c r="E148" s="1118"/>
      <c r="F148" s="1118">
        <f>F92*($AB$116/12)</f>
        <v>3295996.8326060497</v>
      </c>
      <c r="G148" s="1118"/>
      <c r="H148" s="1118">
        <f>H92*($AB$116/12)</f>
        <v>3232011.0378487422</v>
      </c>
      <c r="I148" s="1118"/>
      <c r="J148" s="1118">
        <f>J92*($AB$116/12)</f>
        <v>2944406.8560745097</v>
      </c>
      <c r="K148" s="1118"/>
      <c r="L148" s="1118">
        <f>L92*($AB$116/12)</f>
        <v>2888237.2941416181</v>
      </c>
      <c r="M148" s="1118"/>
      <c r="N148" s="1118">
        <f>N92*($AB$116/12)</f>
        <v>2952279.6020620181</v>
      </c>
      <c r="O148" s="1118"/>
      <c r="P148" s="1118">
        <f>P92*($AB$116/12)</f>
        <v>389930.55555555556</v>
      </c>
      <c r="Q148" s="1118"/>
      <c r="R148" s="1118">
        <f>R92*($AB$116/12)</f>
        <v>2710866.8291149652</v>
      </c>
      <c r="S148" s="1118"/>
      <c r="T148" s="1118">
        <f>T92*($AB$116/12)</f>
        <v>2851684.7373192413</v>
      </c>
      <c r="U148" s="1118"/>
      <c r="V148" s="1118">
        <f>V92*($AB$116/12)</f>
        <v>3010093.8737495169</v>
      </c>
      <c r="W148" s="1118"/>
      <c r="X148" s="1136">
        <f>AA92*(($AB$116)/12)</f>
        <v>3867627.8251817976</v>
      </c>
      <c r="Y148" s="1136"/>
      <c r="Z148" s="1136">
        <f>AB92*(($AB$116)/12)</f>
        <v>3345346.2100242553</v>
      </c>
      <c r="AA148" s="1134">
        <f>SUM(D148:Z148)</f>
        <v>34638058.781353638</v>
      </c>
    </row>
    <row r="149" spans="2:29">
      <c r="B149" s="1133">
        <v>145</v>
      </c>
      <c r="C149" s="1117" t="s">
        <v>3000</v>
      </c>
      <c r="D149" s="1118">
        <f>D93*($AB$116/12)</f>
        <v>30572327.936364483</v>
      </c>
      <c r="E149" s="1118"/>
      <c r="F149" s="1118">
        <f>F93*($AB$116/12)</f>
        <v>31373629.68735094</v>
      </c>
      <c r="G149" s="1118"/>
      <c r="H149" s="1118">
        <f>H93*($AB$116/12)</f>
        <v>25396598.899957322</v>
      </c>
      <c r="I149" s="1118"/>
      <c r="J149" s="1118">
        <f>J93*($AB$116/12)</f>
        <v>24866449.589749377</v>
      </c>
      <c r="K149" s="1118"/>
      <c r="L149" s="1118">
        <f>L93*($AB$116/12)</f>
        <v>21125245.050499029</v>
      </c>
      <c r="M149" s="1118"/>
      <c r="N149" s="1118">
        <f>N93*($AB$116/12)</f>
        <v>18807578.006278463</v>
      </c>
      <c r="O149" s="1118"/>
      <c r="P149" s="1118">
        <f>P93*($AB$116/12)</f>
        <v>25722643.256308071</v>
      </c>
      <c r="Q149" s="1118"/>
      <c r="R149" s="1118">
        <f>R93*($AB$116/12)</f>
        <v>43650144.187648274</v>
      </c>
      <c r="S149" s="1118"/>
      <c r="T149" s="1118">
        <f>T93*($AB$116/12)</f>
        <v>52637116.441899098</v>
      </c>
      <c r="U149" s="1118"/>
      <c r="V149" s="1118">
        <f>V93*($AB$116/12)</f>
        <v>48542528.047402754</v>
      </c>
      <c r="W149" s="1118"/>
      <c r="X149" s="1136">
        <f>AA93*(($AB$116)/12)</f>
        <v>27731216.097135521</v>
      </c>
      <c r="Y149" s="1136"/>
      <c r="Z149" s="1136">
        <f>AB93*(($AB$116)/12)</f>
        <v>32588357.842701416</v>
      </c>
      <c r="AA149" s="1134">
        <f>SUM(D149:Z149)</f>
        <v>383013835.04329479</v>
      </c>
    </row>
    <row r="150" spans="2:29">
      <c r="B150" s="1133">
        <v>146</v>
      </c>
      <c r="C150" s="1137" t="s">
        <v>3014</v>
      </c>
      <c r="D150" s="1138">
        <f>SUM(D146:D149)</f>
        <v>52496147.552551538</v>
      </c>
      <c r="E150" s="1138"/>
      <c r="F150" s="1138">
        <f t="shared" ref="F150:Z150" si="15">SUM(F146:F149)</f>
        <v>55383890.544204071</v>
      </c>
      <c r="G150" s="1138"/>
      <c r="H150" s="1138">
        <f t="shared" si="15"/>
        <v>47656890.378378503</v>
      </c>
      <c r="I150" s="1138"/>
      <c r="J150" s="1138">
        <f t="shared" si="15"/>
        <v>46278985.85463386</v>
      </c>
      <c r="K150" s="1138"/>
      <c r="L150" s="1138">
        <f t="shared" si="15"/>
        <v>41143236.582630008</v>
      </c>
      <c r="M150" s="1138"/>
      <c r="N150" s="1138">
        <f t="shared" si="15"/>
        <v>38314019.906754866</v>
      </c>
      <c r="O150" s="1138"/>
      <c r="P150" s="1138">
        <f t="shared" si="15"/>
        <v>44910650.793589607</v>
      </c>
      <c r="Q150" s="1138"/>
      <c r="R150" s="1138">
        <f t="shared" si="15"/>
        <v>63463417.255808979</v>
      </c>
      <c r="S150" s="1138"/>
      <c r="T150" s="1138">
        <f t="shared" si="15"/>
        <v>72408999.328408271</v>
      </c>
      <c r="U150" s="1138"/>
      <c r="V150" s="1138">
        <f t="shared" si="15"/>
        <v>70142975.30656381</v>
      </c>
      <c r="W150" s="1138"/>
      <c r="X150" s="1138">
        <f>SUM(X146:X149)</f>
        <v>53305766.911544107</v>
      </c>
      <c r="Y150" s="1138"/>
      <c r="Z150" s="1138">
        <f t="shared" si="15"/>
        <v>56112754.184387423</v>
      </c>
      <c r="AA150" s="1134">
        <f>SUM(D150:Z150)</f>
        <v>641617734.599455</v>
      </c>
      <c r="AC150" s="826"/>
    </row>
    <row r="152" spans="2:29">
      <c r="D152" s="826"/>
      <c r="F152" s="826"/>
      <c r="H152" s="826"/>
      <c r="J152" s="826"/>
      <c r="L152" s="826"/>
      <c r="N152" s="826"/>
      <c r="P152" s="826"/>
      <c r="R152" s="826"/>
      <c r="T152" s="826"/>
      <c r="V152" s="826"/>
      <c r="X152" s="826"/>
      <c r="Z152" s="826"/>
      <c r="AA152" s="826"/>
    </row>
    <row r="159" spans="2:29">
      <c r="D159" s="826"/>
      <c r="F159" s="826"/>
      <c r="H159" s="826"/>
      <c r="J159" s="826"/>
      <c r="L159" s="826"/>
      <c r="N159" s="826"/>
      <c r="P159" s="826"/>
      <c r="R159" s="826"/>
      <c r="T159" s="826"/>
      <c r="V159" s="826"/>
      <c r="X159" s="826"/>
      <c r="Z159" s="826"/>
    </row>
    <row r="160" spans="2:29">
      <c r="D160" s="826"/>
      <c r="F160" s="826"/>
      <c r="H160" s="826"/>
      <c r="J160" s="826"/>
      <c r="L160" s="826"/>
      <c r="N160" s="826"/>
      <c r="P160" s="826"/>
      <c r="R160" s="826"/>
      <c r="T160" s="826"/>
      <c r="V160" s="826"/>
      <c r="X160" s="826"/>
      <c r="Z160" s="826"/>
    </row>
    <row r="161" spans="4:26">
      <c r="D161" s="826"/>
      <c r="F161" s="826"/>
      <c r="H161" s="826"/>
      <c r="J161" s="826"/>
      <c r="L161" s="826"/>
      <c r="N161" s="826"/>
      <c r="P161" s="826"/>
      <c r="R161" s="826"/>
      <c r="T161" s="826"/>
      <c r="V161" s="826"/>
      <c r="X161" s="826"/>
      <c r="Z161" s="826"/>
    </row>
    <row r="164" spans="4:26">
      <c r="D164" s="826"/>
      <c r="F164" s="826"/>
      <c r="H164" s="826"/>
      <c r="J164" s="826"/>
      <c r="L164" s="826"/>
      <c r="N164" s="826"/>
      <c r="P164" s="826"/>
      <c r="R164" s="826"/>
      <c r="T164" s="826"/>
      <c r="V164" s="826"/>
      <c r="X164" s="826"/>
      <c r="Z164" s="826"/>
    </row>
    <row r="165" spans="4:26">
      <c r="D165" s="826"/>
      <c r="F165" s="826"/>
      <c r="H165" s="826"/>
      <c r="J165" s="826"/>
      <c r="L165" s="826"/>
      <c r="N165" s="826"/>
      <c r="P165" s="826"/>
      <c r="R165" s="826"/>
      <c r="T165" s="826"/>
      <c r="V165" s="826"/>
      <c r="X165" s="826"/>
      <c r="Z165" s="826"/>
    </row>
    <row r="166" spans="4:26">
      <c r="D166" s="826"/>
      <c r="F166" s="826"/>
      <c r="H166" s="826"/>
      <c r="J166" s="826"/>
      <c r="L166" s="826"/>
      <c r="N166" s="826"/>
      <c r="P166" s="826"/>
      <c r="R166" s="826"/>
      <c r="T166" s="826"/>
      <c r="V166" s="826"/>
      <c r="X166" s="826"/>
      <c r="Z166" s="826"/>
    </row>
  </sheetData>
  <mergeCells count="10">
    <mergeCell ref="AA4:AB4"/>
    <mergeCell ref="AA25:AB25"/>
    <mergeCell ref="AA31:AB31"/>
    <mergeCell ref="AA43:AB43"/>
    <mergeCell ref="AA89:AB89"/>
    <mergeCell ref="C96:Z96"/>
    <mergeCell ref="C123:Z123"/>
    <mergeCell ref="C144:Z144"/>
    <mergeCell ref="J145:P145"/>
    <mergeCell ref="B4:Z4"/>
  </mergeCells>
  <pageMargins left="0.7" right="0.7" top="1.5" bottom="0.75" header="0.3" footer="0.3"/>
  <pageSetup scale="28" fitToHeight="0" orientation="landscape" r:id="rId1"/>
  <headerFooter scaleWithDoc="0">
    <oddHeader>&amp;CCascade Natural Gas Corporation
End of Period Calculations
IDM WP-1.3&amp;RPage &amp;P of &amp;N</oddHeader>
    <oddFooter>&amp;L&amp;A</oddFooter>
  </headerFooter>
  <rowBreaks count="1" manualBreakCount="1">
    <brk id="94" max="16383" man="1"/>
  </rowBreaks>
  <cellWatches>
    <cellWatch r="AF116"/>
  </cellWatch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481D9-67E7-4EA0-A0FD-D9140EB7C878}">
  <sheetPr codeName="Sheet54">
    <tabColor theme="8" tint="0.79998168889431442"/>
    <pageSetUpPr fitToPage="1"/>
  </sheetPr>
  <dimension ref="A1:AB32"/>
  <sheetViews>
    <sheetView topLeftCell="B1" zoomScale="80" zoomScaleNormal="80" workbookViewId="0">
      <pane xSplit="2" ySplit="4" topLeftCell="K5" activePane="bottomRight" state="frozen"/>
      <selection activeCell="F27" sqref="F27"/>
      <selection pane="topRight" activeCell="F27" sqref="F27"/>
      <selection pane="bottomLeft" activeCell="F27" sqref="F27"/>
      <selection pane="bottomRight" activeCell="F27" sqref="F27"/>
    </sheetView>
  </sheetViews>
  <sheetFormatPr defaultColWidth="8.6640625" defaultRowHeight="14.4"/>
  <cols>
    <col min="1" max="1" width="8.6640625" style="894"/>
    <col min="2" max="2" width="8.6640625" style="1145"/>
    <col min="3" max="3" width="34.33203125" style="894" customWidth="1"/>
    <col min="4" max="4" width="15.88671875" style="894" bestFit="1" customWidth="1"/>
    <col min="5" max="5" width="16.88671875" style="894" bestFit="1" customWidth="1"/>
    <col min="6" max="8" width="16.44140625" style="894" bestFit="1" customWidth="1"/>
    <col min="9" max="11" width="15.44140625" style="894" bestFit="1" customWidth="1"/>
    <col min="12" max="13" width="16.44140625" style="894" bestFit="1" customWidth="1"/>
    <col min="14" max="14" width="16.88671875" style="894" bestFit="1" customWidth="1"/>
    <col min="15" max="15" width="15.88671875" style="894" bestFit="1" customWidth="1"/>
    <col min="16" max="16" width="18.109375" style="894" bestFit="1" customWidth="1"/>
    <col min="17" max="16384" width="8.6640625" style="894"/>
  </cols>
  <sheetData>
    <row r="1" spans="1:28">
      <c r="A1" s="1139"/>
      <c r="B1" s="1139" t="s">
        <v>3018</v>
      </c>
      <c r="C1" s="1140"/>
      <c r="D1" s="1140"/>
      <c r="E1" s="1140"/>
    </row>
    <row r="2" spans="1:28">
      <c r="B2" s="1141"/>
      <c r="C2" s="1140"/>
      <c r="D2" s="1142" t="s">
        <v>2901</v>
      </c>
      <c r="E2" s="1142" t="s">
        <v>2902</v>
      </c>
      <c r="F2" s="1142" t="s">
        <v>2903</v>
      </c>
      <c r="G2" s="1142" t="s">
        <v>2904</v>
      </c>
      <c r="H2" s="1142" t="s">
        <v>2905</v>
      </c>
      <c r="I2" s="1142" t="s">
        <v>2906</v>
      </c>
      <c r="J2" s="1142" t="s">
        <v>2907</v>
      </c>
      <c r="K2" s="1142" t="s">
        <v>2908</v>
      </c>
      <c r="L2" s="1142" t="s">
        <v>2909</v>
      </c>
      <c r="M2" s="1142" t="s">
        <v>2910</v>
      </c>
      <c r="N2" s="1142" t="s">
        <v>2911</v>
      </c>
      <c r="O2" s="1142" t="s">
        <v>2912</v>
      </c>
      <c r="P2" s="1140"/>
    </row>
    <row r="3" spans="1:28" s="613" customFormat="1">
      <c r="A3" s="583" t="s">
        <v>778</v>
      </c>
      <c r="B3" s="583" t="s">
        <v>776</v>
      </c>
      <c r="C3" s="583" t="s">
        <v>777</v>
      </c>
      <c r="D3" s="583" t="s">
        <v>780</v>
      </c>
      <c r="E3" s="583" t="s">
        <v>781</v>
      </c>
      <c r="F3" s="583" t="s">
        <v>782</v>
      </c>
      <c r="G3" s="583" t="s">
        <v>783</v>
      </c>
      <c r="H3" s="583" t="s">
        <v>784</v>
      </c>
      <c r="I3" s="583" t="s">
        <v>785</v>
      </c>
      <c r="J3" s="1143">
        <v>43664</v>
      </c>
      <c r="K3" s="583" t="s">
        <v>787</v>
      </c>
      <c r="L3" s="583" t="s">
        <v>788</v>
      </c>
      <c r="M3" s="583" t="s">
        <v>789</v>
      </c>
      <c r="N3" s="1143" t="s">
        <v>790</v>
      </c>
      <c r="O3" s="583" t="s">
        <v>791</v>
      </c>
      <c r="P3" s="583" t="s">
        <v>995</v>
      </c>
      <c r="Q3" s="583"/>
      <c r="R3" s="583"/>
      <c r="S3" s="583"/>
      <c r="T3" s="583"/>
      <c r="U3" s="583"/>
      <c r="V3" s="583"/>
      <c r="W3" s="583"/>
      <c r="X3" s="822"/>
      <c r="Z3" s="894"/>
      <c r="AA3" s="894"/>
      <c r="AB3" s="894"/>
    </row>
    <row r="4" spans="1:28">
      <c r="A4" s="894">
        <v>1</v>
      </c>
      <c r="B4" s="1141"/>
      <c r="C4" s="1140"/>
      <c r="D4" s="1144">
        <v>43466</v>
      </c>
      <c r="E4" s="1144">
        <v>43497</v>
      </c>
      <c r="F4" s="1144">
        <v>43525</v>
      </c>
      <c r="G4" s="1144">
        <v>43556</v>
      </c>
      <c r="H4" s="1144">
        <v>43586</v>
      </c>
      <c r="I4" s="1144">
        <v>43617</v>
      </c>
      <c r="J4" s="1144">
        <v>43647</v>
      </c>
      <c r="K4" s="1144">
        <v>43678</v>
      </c>
      <c r="L4" s="1144">
        <v>43709</v>
      </c>
      <c r="M4" s="1144">
        <v>43739</v>
      </c>
      <c r="N4" s="1144">
        <v>43770</v>
      </c>
      <c r="O4" s="1144">
        <v>43800</v>
      </c>
      <c r="P4" s="1145" t="s">
        <v>51</v>
      </c>
    </row>
    <row r="5" spans="1:28">
      <c r="A5" s="894">
        <v>2</v>
      </c>
      <c r="B5" s="1141"/>
      <c r="C5" s="1140" t="s">
        <v>114</v>
      </c>
      <c r="D5" s="1141"/>
      <c r="E5" s="1141"/>
    </row>
    <row r="6" spans="1:28">
      <c r="A6" s="894">
        <v>3</v>
      </c>
      <c r="C6" s="1140"/>
      <c r="D6" s="1146"/>
      <c r="E6" s="1146"/>
    </row>
    <row r="7" spans="1:28">
      <c r="A7" s="894">
        <v>4</v>
      </c>
      <c r="B7" s="1141" t="s">
        <v>115</v>
      </c>
      <c r="C7" s="1140" t="s">
        <v>116</v>
      </c>
      <c r="D7" s="1147">
        <v>16583857.109999999</v>
      </c>
      <c r="E7" s="1148">
        <v>17381490.5</v>
      </c>
      <c r="F7" s="1147">
        <v>13368158.75</v>
      </c>
      <c r="G7" s="1147">
        <v>7807312.8099999996</v>
      </c>
      <c r="H7" s="1147">
        <v>5376355.6399999997</v>
      </c>
      <c r="I7" s="1147">
        <v>3642488.93</v>
      </c>
      <c r="J7" s="1147">
        <v>3619300.15</v>
      </c>
      <c r="K7" s="1147">
        <v>2777963.49</v>
      </c>
      <c r="L7" s="1147">
        <v>4437051.1900000004</v>
      </c>
      <c r="M7" s="1147">
        <v>9781859.5199999996</v>
      </c>
      <c r="N7" s="1147">
        <v>15742840.050000001</v>
      </c>
      <c r="O7" s="1147">
        <v>19957748.239999998</v>
      </c>
      <c r="P7" s="1149">
        <f>SUM(D7:O7)</f>
        <v>120476426.37999998</v>
      </c>
    </row>
    <row r="8" spans="1:28">
      <c r="A8" s="894">
        <v>5</v>
      </c>
      <c r="B8" s="1141" t="s">
        <v>117</v>
      </c>
      <c r="C8" s="1140" t="s">
        <v>118</v>
      </c>
      <c r="D8" s="1147">
        <v>12485477.529999999</v>
      </c>
      <c r="E8" s="1148">
        <v>13238064.689999999</v>
      </c>
      <c r="F8" s="1147">
        <v>10959478.15</v>
      </c>
      <c r="G8" s="1147">
        <v>6700490.8300000001</v>
      </c>
      <c r="H8" s="1147">
        <v>4478338.24</v>
      </c>
      <c r="I8" s="1147">
        <v>3704662.03</v>
      </c>
      <c r="J8" s="1147">
        <v>3762010.33</v>
      </c>
      <c r="K8" s="1147">
        <v>3029249.83</v>
      </c>
      <c r="L8" s="1147">
        <v>4689397.0999999996</v>
      </c>
      <c r="M8" s="1147">
        <v>9110023.1600000001</v>
      </c>
      <c r="N8" s="1147">
        <v>13131146.380000001</v>
      </c>
      <c r="O8" s="1147">
        <v>15716835.310000001</v>
      </c>
      <c r="P8" s="1149">
        <f>SUM(D8:O8)</f>
        <v>101005173.58</v>
      </c>
    </row>
    <row r="9" spans="1:28">
      <c r="A9" s="894">
        <v>6</v>
      </c>
      <c r="C9" s="1140" t="s">
        <v>119</v>
      </c>
      <c r="D9" s="1150">
        <f>SUM(D7:D8)</f>
        <v>29069334.640000001</v>
      </c>
      <c r="E9" s="1150">
        <f t="shared" ref="E9:O9" si="0">SUM(E7:E8)</f>
        <v>30619555.189999998</v>
      </c>
      <c r="F9" s="1150">
        <f t="shared" si="0"/>
        <v>24327636.899999999</v>
      </c>
      <c r="G9" s="1150">
        <f t="shared" si="0"/>
        <v>14507803.640000001</v>
      </c>
      <c r="H9" s="1150">
        <f t="shared" si="0"/>
        <v>9854693.879999999</v>
      </c>
      <c r="I9" s="1150">
        <f t="shared" si="0"/>
        <v>7347150.96</v>
      </c>
      <c r="J9" s="1150">
        <f t="shared" si="0"/>
        <v>7381310.4800000004</v>
      </c>
      <c r="K9" s="1150">
        <f t="shared" si="0"/>
        <v>5807213.3200000003</v>
      </c>
      <c r="L9" s="1150">
        <f t="shared" si="0"/>
        <v>9126448.2899999991</v>
      </c>
      <c r="M9" s="1150">
        <f t="shared" si="0"/>
        <v>18891882.68</v>
      </c>
      <c r="N9" s="1150">
        <f t="shared" si="0"/>
        <v>28873986.43</v>
      </c>
      <c r="O9" s="1150">
        <f t="shared" si="0"/>
        <v>35674583.549999997</v>
      </c>
      <c r="P9" s="1149">
        <f>SUM(D9:O9)</f>
        <v>221481599.95999998</v>
      </c>
    </row>
    <row r="10" spans="1:28">
      <c r="A10" s="894">
        <v>7</v>
      </c>
      <c r="D10" s="1147"/>
      <c r="E10" s="1147"/>
      <c r="F10" s="1147"/>
      <c r="G10" s="1147"/>
      <c r="H10" s="1147"/>
      <c r="I10" s="1147"/>
      <c r="J10" s="1147"/>
      <c r="K10" s="1147"/>
      <c r="L10" s="1147"/>
      <c r="M10" s="1147"/>
      <c r="N10" s="1147"/>
      <c r="O10" s="1147"/>
      <c r="P10" s="1149"/>
    </row>
    <row r="11" spans="1:28">
      <c r="A11" s="894">
        <v>8</v>
      </c>
      <c r="C11" s="894" t="s">
        <v>120</v>
      </c>
      <c r="D11" s="1147"/>
      <c r="E11" s="1147"/>
      <c r="F11" s="1147"/>
      <c r="G11" s="1147"/>
      <c r="H11" s="1147"/>
      <c r="I11" s="1147"/>
      <c r="J11" s="1147"/>
      <c r="K11" s="1147"/>
      <c r="L11" s="1147"/>
      <c r="M11" s="1147"/>
      <c r="N11" s="1147"/>
      <c r="O11" s="1147"/>
      <c r="P11" s="1149"/>
    </row>
    <row r="12" spans="1:28">
      <c r="A12" s="894">
        <v>9</v>
      </c>
      <c r="B12" s="1145" t="s">
        <v>121</v>
      </c>
      <c r="C12" s="894" t="s">
        <v>122</v>
      </c>
      <c r="D12" s="1147">
        <v>66421.89</v>
      </c>
      <c r="E12" s="1147">
        <v>14644.71</v>
      </c>
      <c r="F12" s="1147">
        <v>69959.820000000007</v>
      </c>
      <c r="G12" s="1147">
        <v>68192.789999999994</v>
      </c>
      <c r="H12" s="1147">
        <v>46271.35</v>
      </c>
      <c r="I12" s="1147">
        <v>40123.03</v>
      </c>
      <c r="J12" s="1147">
        <v>33854.82</v>
      </c>
      <c r="K12" s="1147">
        <v>33959.660000000003</v>
      </c>
      <c r="L12" s="1147">
        <v>29505.35</v>
      </c>
      <c r="M12" s="1147">
        <v>37754.480000000003</v>
      </c>
      <c r="N12" s="1147">
        <v>42062.09</v>
      </c>
      <c r="O12" s="1147">
        <v>44919.77</v>
      </c>
      <c r="P12" s="1149">
        <f t="shared" ref="P12:P20" si="1">SUM(D12:O12)</f>
        <v>527669.75999999989</v>
      </c>
    </row>
    <row r="13" spans="1:28">
      <c r="A13" s="894">
        <v>10</v>
      </c>
      <c r="B13" s="1145" t="s">
        <v>123</v>
      </c>
      <c r="C13" s="894" t="s">
        <v>124</v>
      </c>
      <c r="D13" s="1147">
        <v>2025875.34</v>
      </c>
      <c r="E13" s="1147">
        <v>2005205.72</v>
      </c>
      <c r="F13" s="1147">
        <v>1979521.56</v>
      </c>
      <c r="G13" s="1147">
        <v>1883940.32</v>
      </c>
      <c r="H13" s="1147">
        <v>1796713.64</v>
      </c>
      <c r="I13" s="1147">
        <v>1839573.39</v>
      </c>
      <c r="J13" s="1147">
        <v>2062751.65</v>
      </c>
      <c r="K13" s="1147">
        <v>2149495.98</v>
      </c>
      <c r="L13" s="1147">
        <v>2113869.06</v>
      </c>
      <c r="M13" s="1147">
        <v>2074979.45</v>
      </c>
      <c r="N13" s="1147">
        <v>1968942.06</v>
      </c>
      <c r="O13" s="1147">
        <v>2193759.77</v>
      </c>
      <c r="P13" s="1149">
        <f t="shared" si="1"/>
        <v>24094627.939999998</v>
      </c>
    </row>
    <row r="14" spans="1:28">
      <c r="A14" s="894">
        <v>11</v>
      </c>
      <c r="B14" s="1145" t="s">
        <v>125</v>
      </c>
      <c r="C14" s="894" t="s">
        <v>126</v>
      </c>
      <c r="D14" s="1147">
        <v>0</v>
      </c>
      <c r="E14" s="1147">
        <v>0</v>
      </c>
      <c r="F14" s="1147">
        <v>0</v>
      </c>
      <c r="G14" s="1147">
        <v>0</v>
      </c>
      <c r="H14" s="1147">
        <v>0</v>
      </c>
      <c r="I14" s="1147">
        <v>0</v>
      </c>
      <c r="J14" s="1147">
        <v>0</v>
      </c>
      <c r="K14" s="1147">
        <v>0</v>
      </c>
      <c r="L14" s="1147">
        <v>0</v>
      </c>
      <c r="M14" s="1147">
        <v>0</v>
      </c>
      <c r="N14" s="1147">
        <v>0</v>
      </c>
      <c r="O14" s="1147">
        <v>0</v>
      </c>
      <c r="P14" s="1149">
        <f t="shared" si="1"/>
        <v>0</v>
      </c>
    </row>
    <row r="15" spans="1:28">
      <c r="A15" s="894">
        <v>12</v>
      </c>
      <c r="B15" s="1145" t="s">
        <v>127</v>
      </c>
      <c r="C15" s="894" t="s">
        <v>128</v>
      </c>
      <c r="D15" s="1147">
        <v>10662.11</v>
      </c>
      <c r="E15" s="1147">
        <v>10662.11</v>
      </c>
      <c r="F15" s="1147">
        <v>10662.11</v>
      </c>
      <c r="G15" s="1151">
        <v>10662.11</v>
      </c>
      <c r="H15" s="1147">
        <v>10662.12</v>
      </c>
      <c r="I15" s="1147">
        <v>10662.11</v>
      </c>
      <c r="J15" s="1147">
        <v>10662.11</v>
      </c>
      <c r="K15" s="1147">
        <v>10662.11</v>
      </c>
      <c r="L15" s="1147">
        <v>10662.11</v>
      </c>
      <c r="M15" s="1147">
        <v>10662.11</v>
      </c>
      <c r="N15" s="1147">
        <v>10662.11</v>
      </c>
      <c r="O15" s="1147">
        <v>10662.11</v>
      </c>
      <c r="P15" s="1149">
        <f t="shared" si="1"/>
        <v>127945.33</v>
      </c>
    </row>
    <row r="16" spans="1:28">
      <c r="A16" s="894">
        <v>13</v>
      </c>
      <c r="B16" s="1145" t="s">
        <v>129</v>
      </c>
      <c r="C16" s="894" t="s">
        <v>130</v>
      </c>
      <c r="D16" s="1147">
        <v>758.61</v>
      </c>
      <c r="E16" s="1147">
        <v>-1414.28</v>
      </c>
      <c r="F16" s="1147">
        <v>590</v>
      </c>
      <c r="G16" s="1151">
        <v>3893.43</v>
      </c>
      <c r="H16" s="1147">
        <v>9911.27</v>
      </c>
      <c r="I16" s="1147">
        <v>8751.5499999999993</v>
      </c>
      <c r="J16" s="1147">
        <v>6555.58</v>
      </c>
      <c r="K16" s="1147">
        <v>11095.07</v>
      </c>
      <c r="L16" s="1147">
        <v>1654.42</v>
      </c>
      <c r="M16" s="1147">
        <v>3824.81</v>
      </c>
      <c r="N16" s="1147">
        <v>30694.58</v>
      </c>
      <c r="O16" s="1147">
        <v>15142.4</v>
      </c>
      <c r="P16" s="1149">
        <f t="shared" si="1"/>
        <v>91457.44</v>
      </c>
    </row>
    <row r="17" spans="1:16">
      <c r="A17" s="894">
        <v>14</v>
      </c>
      <c r="B17" s="1145" t="s">
        <v>131</v>
      </c>
      <c r="C17" s="894" t="s">
        <v>132</v>
      </c>
      <c r="D17" s="1152">
        <v>0</v>
      </c>
      <c r="E17" s="1152">
        <v>0</v>
      </c>
      <c r="F17" s="1152">
        <v>0</v>
      </c>
      <c r="G17" s="1151">
        <v>0</v>
      </c>
      <c r="H17" s="1152">
        <v>0</v>
      </c>
      <c r="I17" s="1152">
        <v>0</v>
      </c>
      <c r="J17" s="1152">
        <v>0</v>
      </c>
      <c r="K17" s="1152">
        <v>0</v>
      </c>
      <c r="L17" s="1152">
        <v>0</v>
      </c>
      <c r="M17" s="1152">
        <v>0</v>
      </c>
      <c r="N17" s="1152">
        <v>0</v>
      </c>
      <c r="O17" s="1152">
        <v>0</v>
      </c>
      <c r="P17" s="1149">
        <f t="shared" si="1"/>
        <v>0</v>
      </c>
    </row>
    <row r="18" spans="1:16">
      <c r="A18" s="894">
        <v>15</v>
      </c>
      <c r="B18" s="1145">
        <v>4962</v>
      </c>
      <c r="C18" s="894" t="s">
        <v>1261</v>
      </c>
      <c r="D18" s="1152">
        <v>354297.65</v>
      </c>
      <c r="E18" s="1152">
        <v>448508.07</v>
      </c>
      <c r="F18" s="1152">
        <v>317473.7</v>
      </c>
      <c r="G18" s="1151">
        <v>58290.45</v>
      </c>
      <c r="H18" s="1152">
        <v>-25498.89</v>
      </c>
      <c r="I18" s="1152">
        <v>-69341.63</v>
      </c>
      <c r="J18" s="1152">
        <v>-44833.55</v>
      </c>
      <c r="K18" s="1152">
        <v>-61267.14</v>
      </c>
      <c r="L18" s="1152">
        <v>95572.82</v>
      </c>
      <c r="M18" s="1152">
        <v>122423.86</v>
      </c>
      <c r="N18" s="1152">
        <v>108511.64</v>
      </c>
      <c r="O18" s="1152">
        <v>-302447.98</v>
      </c>
      <c r="P18" s="1149">
        <f t="shared" si="1"/>
        <v>1001689</v>
      </c>
    </row>
    <row r="19" spans="1:16">
      <c r="A19" s="894">
        <v>16</v>
      </c>
      <c r="C19" s="894" t="s">
        <v>133</v>
      </c>
      <c r="D19" s="1150">
        <f>SUM(D12:D18)</f>
        <v>2458015.5999999996</v>
      </c>
      <c r="E19" s="1150">
        <f t="shared" ref="E19:O19" si="2">SUM(E12:E18)</f>
        <v>2477606.33</v>
      </c>
      <c r="F19" s="1150">
        <f t="shared" si="2"/>
        <v>2378207.1900000004</v>
      </c>
      <c r="G19" s="1150">
        <f t="shared" si="2"/>
        <v>2024979.1</v>
      </c>
      <c r="H19" s="1150">
        <f t="shared" si="2"/>
        <v>1838059.4900000002</v>
      </c>
      <c r="I19" s="1150">
        <f t="shared" si="2"/>
        <v>1829768.4500000002</v>
      </c>
      <c r="J19" s="1150">
        <f t="shared" si="2"/>
        <v>2068990.61</v>
      </c>
      <c r="K19" s="1150">
        <f t="shared" si="2"/>
        <v>2143945.6799999997</v>
      </c>
      <c r="L19" s="1150">
        <f t="shared" si="2"/>
        <v>2251263.7599999998</v>
      </c>
      <c r="M19" s="1150">
        <f t="shared" si="2"/>
        <v>2249644.71</v>
      </c>
      <c r="N19" s="1150">
        <f t="shared" si="2"/>
        <v>2160872.4800000004</v>
      </c>
      <c r="O19" s="1150">
        <f t="shared" si="2"/>
        <v>1962036.0699999998</v>
      </c>
      <c r="P19" s="1149">
        <f>SUM(D19:O19)</f>
        <v>25843389.470000003</v>
      </c>
    </row>
    <row r="20" spans="1:16" ht="15" thickBot="1">
      <c r="A20" s="894">
        <v>17</v>
      </c>
      <c r="C20" s="894" t="s">
        <v>134</v>
      </c>
      <c r="D20" s="1153">
        <f>D19+D9</f>
        <v>31527350.240000002</v>
      </c>
      <c r="E20" s="1153">
        <f t="shared" ref="E20:O20" si="3">E19+E9</f>
        <v>33097161.519999996</v>
      </c>
      <c r="F20" s="1153">
        <f t="shared" si="3"/>
        <v>26705844.09</v>
      </c>
      <c r="G20" s="1153">
        <f t="shared" si="3"/>
        <v>16532782.74</v>
      </c>
      <c r="H20" s="1153">
        <f t="shared" si="3"/>
        <v>11692753.369999999</v>
      </c>
      <c r="I20" s="1153">
        <f t="shared" si="3"/>
        <v>9176919.4100000001</v>
      </c>
      <c r="J20" s="1153">
        <f t="shared" si="3"/>
        <v>9450301.0899999999</v>
      </c>
      <c r="K20" s="1153">
        <f t="shared" si="3"/>
        <v>7951159</v>
      </c>
      <c r="L20" s="1153">
        <f t="shared" si="3"/>
        <v>11377712.049999999</v>
      </c>
      <c r="M20" s="1153">
        <f t="shared" si="3"/>
        <v>21141527.390000001</v>
      </c>
      <c r="N20" s="1153">
        <f t="shared" si="3"/>
        <v>31034858.91</v>
      </c>
      <c r="O20" s="1153">
        <f t="shared" si="3"/>
        <v>37636619.619999997</v>
      </c>
      <c r="P20" s="1149">
        <f t="shared" si="1"/>
        <v>247324989.42999998</v>
      </c>
    </row>
    <row r="21" spans="1:16" ht="15" thickTop="1">
      <c r="A21" s="894">
        <v>18</v>
      </c>
      <c r="G21" s="1154"/>
    </row>
    <row r="22" spans="1:16">
      <c r="A22" s="894">
        <v>19</v>
      </c>
      <c r="G22" s="1154"/>
    </row>
    <row r="23" spans="1:16">
      <c r="A23" s="894">
        <v>20</v>
      </c>
      <c r="P23" s="928"/>
    </row>
    <row r="24" spans="1:16">
      <c r="A24" s="894">
        <v>21</v>
      </c>
      <c r="D24" s="1149"/>
      <c r="E24" s="1149"/>
      <c r="F24" s="1149"/>
      <c r="G24" s="1149"/>
      <c r="H24" s="1149"/>
      <c r="I24" s="1149"/>
      <c r="J24" s="1149"/>
      <c r="K24" s="1149"/>
      <c r="L24" s="1149"/>
      <c r="M24" s="1149"/>
      <c r="N24" s="1149"/>
      <c r="O24" s="1149"/>
    </row>
    <row r="25" spans="1:16">
      <c r="A25" s="894">
        <v>22</v>
      </c>
      <c r="D25" s="1149"/>
      <c r="E25" s="1149"/>
      <c r="F25" s="1149"/>
      <c r="G25" s="1149"/>
      <c r="H25" s="1149"/>
      <c r="I25" s="1149"/>
      <c r="J25" s="1149"/>
      <c r="K25" s="1149"/>
      <c r="L25" s="1149"/>
      <c r="M25" s="1149"/>
      <c r="N25" s="1149"/>
      <c r="O25" s="1149"/>
      <c r="P25" s="1149">
        <f>P9+P19</f>
        <v>247324989.42999998</v>
      </c>
    </row>
    <row r="26" spans="1:16">
      <c r="A26" s="894">
        <v>23</v>
      </c>
      <c r="C26" s="1155" t="s">
        <v>3019</v>
      </c>
      <c r="D26" s="1149">
        <f>D9</f>
        <v>29069334.640000001</v>
      </c>
      <c r="E26" s="1149">
        <f t="shared" ref="E26:O26" si="4">E9</f>
        <v>30619555.189999998</v>
      </c>
      <c r="F26" s="1149">
        <f t="shared" si="4"/>
        <v>24327636.899999999</v>
      </c>
      <c r="G26" s="1149">
        <f t="shared" si="4"/>
        <v>14507803.640000001</v>
      </c>
      <c r="H26" s="1149">
        <f t="shared" si="4"/>
        <v>9854693.879999999</v>
      </c>
      <c r="I26" s="1149">
        <f t="shared" si="4"/>
        <v>7347150.96</v>
      </c>
      <c r="J26" s="1149">
        <f t="shared" si="4"/>
        <v>7381310.4800000004</v>
      </c>
      <c r="K26" s="1149">
        <f t="shared" si="4"/>
        <v>5807213.3200000003</v>
      </c>
      <c r="L26" s="1149">
        <f t="shared" si="4"/>
        <v>9126448.2899999991</v>
      </c>
      <c r="M26" s="1149">
        <f t="shared" si="4"/>
        <v>18891882.68</v>
      </c>
      <c r="N26" s="1149">
        <f t="shared" si="4"/>
        <v>28873986.43</v>
      </c>
      <c r="O26" s="1149">
        <f t="shared" si="4"/>
        <v>35674583.549999997</v>
      </c>
    </row>
    <row r="27" spans="1:16">
      <c r="A27" s="894">
        <v>24</v>
      </c>
      <c r="C27" s="894" t="s">
        <v>3020</v>
      </c>
      <c r="D27" s="1156">
        <f>D19</f>
        <v>2458015.5999999996</v>
      </c>
      <c r="E27" s="1156">
        <f t="shared" ref="E27:O27" si="5">E19</f>
        <v>2477606.33</v>
      </c>
      <c r="F27" s="1156">
        <f t="shared" si="5"/>
        <v>2378207.1900000004</v>
      </c>
      <c r="G27" s="1156">
        <f t="shared" si="5"/>
        <v>2024979.1</v>
      </c>
      <c r="H27" s="1156">
        <f t="shared" si="5"/>
        <v>1838059.4900000002</v>
      </c>
      <c r="I27" s="1156">
        <f t="shared" si="5"/>
        <v>1829768.4500000002</v>
      </c>
      <c r="J27" s="1156">
        <f t="shared" si="5"/>
        <v>2068990.61</v>
      </c>
      <c r="K27" s="1156">
        <f t="shared" si="5"/>
        <v>2143945.6799999997</v>
      </c>
      <c r="L27" s="1156">
        <f t="shared" si="5"/>
        <v>2251263.7599999998</v>
      </c>
      <c r="M27" s="1156">
        <f t="shared" si="5"/>
        <v>2249644.71</v>
      </c>
      <c r="N27" s="1156">
        <f t="shared" si="5"/>
        <v>2160872.4800000004</v>
      </c>
      <c r="O27" s="1156">
        <f t="shared" si="5"/>
        <v>1962036.0699999998</v>
      </c>
    </row>
    <row r="28" spans="1:16">
      <c r="A28" s="894">
        <v>25</v>
      </c>
      <c r="C28" s="894" t="s">
        <v>2787</v>
      </c>
      <c r="D28" s="1149">
        <f>SUM(D26:D27)</f>
        <v>31527350.240000002</v>
      </c>
      <c r="E28" s="1149">
        <f t="shared" ref="E28:O28" si="6">SUM(E26:E27)</f>
        <v>33097161.519999996</v>
      </c>
      <c r="F28" s="1149">
        <f t="shared" si="6"/>
        <v>26705844.09</v>
      </c>
      <c r="G28" s="1149">
        <f t="shared" si="6"/>
        <v>16532782.74</v>
      </c>
      <c r="H28" s="1149">
        <f t="shared" si="6"/>
        <v>11692753.369999999</v>
      </c>
      <c r="I28" s="1149">
        <f t="shared" si="6"/>
        <v>9176919.4100000001</v>
      </c>
      <c r="J28" s="1149">
        <f t="shared" si="6"/>
        <v>9450301.0899999999</v>
      </c>
      <c r="K28" s="1149">
        <f t="shared" si="6"/>
        <v>7951159</v>
      </c>
      <c r="L28" s="1149">
        <f t="shared" si="6"/>
        <v>11377712.049999999</v>
      </c>
      <c r="M28" s="1149">
        <f t="shared" si="6"/>
        <v>21141527.390000001</v>
      </c>
      <c r="N28" s="1149">
        <f t="shared" si="6"/>
        <v>31034858.91</v>
      </c>
      <c r="O28" s="1149">
        <f t="shared" si="6"/>
        <v>37636619.619999997</v>
      </c>
    </row>
    <row r="29" spans="1:16">
      <c r="A29" s="894">
        <v>26</v>
      </c>
      <c r="C29" s="894" t="s">
        <v>2673</v>
      </c>
      <c r="D29" s="1149">
        <f>D20-D28</f>
        <v>0</v>
      </c>
      <c r="E29" s="1149">
        <f t="shared" ref="E29:O29" si="7">E20-E28</f>
        <v>0</v>
      </c>
      <c r="F29" s="1149">
        <f t="shared" si="7"/>
        <v>0</v>
      </c>
      <c r="G29" s="1149">
        <f t="shared" si="7"/>
        <v>0</v>
      </c>
      <c r="H29" s="1149">
        <f t="shared" si="7"/>
        <v>0</v>
      </c>
      <c r="I29" s="1149">
        <f t="shared" si="7"/>
        <v>0</v>
      </c>
      <c r="J29" s="1149">
        <f t="shared" si="7"/>
        <v>0</v>
      </c>
      <c r="K29" s="1149">
        <f t="shared" si="7"/>
        <v>0</v>
      </c>
      <c r="L29" s="1149">
        <f t="shared" si="7"/>
        <v>0</v>
      </c>
      <c r="M29" s="1149">
        <f t="shared" si="7"/>
        <v>0</v>
      </c>
      <c r="N29" s="1149">
        <f t="shared" si="7"/>
        <v>0</v>
      </c>
      <c r="O29" s="1149">
        <f t="shared" si="7"/>
        <v>0</v>
      </c>
    </row>
    <row r="32" spans="1:16">
      <c r="C32" s="1155"/>
      <c r="D32" s="1157"/>
    </row>
  </sheetData>
  <printOptions horizontalCentered="1"/>
  <pageMargins left="0.5" right="0.5" top="1" bottom="0.75" header="0.5" footer="0.3"/>
  <pageSetup scale="48" fitToHeight="0" orientation="landscape" horizontalDpi="1200" verticalDpi="1200" r:id="rId1"/>
  <headerFooter scaleWithDoc="0">
    <oddHeader>&amp;C&amp;10Cascade Natural Gas Corporation
Allocation Report Summary 2019
IDM WP-1.4&amp;R&amp;9Page &amp;P of &amp;N</oddHeader>
    <oddFooter>&amp;L&amp;A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992E7-32E8-4379-AB37-D4D788998D90}">
  <sheetPr codeName="Sheet55">
    <tabColor theme="8" tint="0.79998168889431442"/>
    <pageSetUpPr fitToPage="1"/>
  </sheetPr>
  <dimension ref="A1:T20"/>
  <sheetViews>
    <sheetView zoomScale="80" zoomScaleNormal="80" workbookViewId="0">
      <selection activeCell="F27" sqref="F27"/>
    </sheetView>
  </sheetViews>
  <sheetFormatPr defaultColWidth="9" defaultRowHeight="14.4"/>
  <cols>
    <col min="1" max="1" width="5" style="613" customWidth="1"/>
    <col min="2" max="2" width="9.6640625" style="613" bestFit="1" customWidth="1"/>
    <col min="3" max="3" width="12.5546875" style="613" bestFit="1" customWidth="1"/>
    <col min="4" max="4" width="11.5546875" style="613" bestFit="1" customWidth="1"/>
    <col min="5" max="5" width="12.5546875" style="613" bestFit="1" customWidth="1"/>
    <col min="6" max="6" width="9" style="613"/>
    <col min="7" max="7" width="9.6640625" style="613" bestFit="1" customWidth="1"/>
    <col min="8" max="8" width="11.5546875" style="613" bestFit="1" customWidth="1"/>
    <col min="9" max="9" width="11.88671875" style="613" customWidth="1"/>
    <col min="10" max="10" width="11.5546875" style="613" bestFit="1" customWidth="1"/>
    <col min="11" max="16384" width="9" style="613"/>
  </cols>
  <sheetData>
    <row r="1" spans="1:10">
      <c r="A1" s="583"/>
      <c r="B1" s="583" t="s">
        <v>778</v>
      </c>
      <c r="C1" s="583" t="s">
        <v>776</v>
      </c>
      <c r="D1" s="583" t="s">
        <v>777</v>
      </c>
      <c r="E1" s="583" t="s">
        <v>780</v>
      </c>
      <c r="F1" s="583" t="s">
        <v>781</v>
      </c>
      <c r="G1" s="583" t="s">
        <v>782</v>
      </c>
      <c r="H1" s="583" t="s">
        <v>783</v>
      </c>
      <c r="I1" s="583" t="s">
        <v>783</v>
      </c>
      <c r="J1" s="583" t="s">
        <v>785</v>
      </c>
    </row>
    <row r="2" spans="1:10">
      <c r="A2" s="613">
        <v>1</v>
      </c>
      <c r="B2" s="1833" t="s">
        <v>3021</v>
      </c>
      <c r="C2" s="1833"/>
      <c r="D2" s="1833"/>
      <c r="E2" s="1833"/>
      <c r="G2" s="1833" t="s">
        <v>3022</v>
      </c>
      <c r="H2" s="1833"/>
      <c r="I2" s="1833"/>
      <c r="J2" s="1833"/>
    </row>
    <row r="3" spans="1:10">
      <c r="A3" s="613">
        <v>2</v>
      </c>
      <c r="B3" s="613" t="s">
        <v>677</v>
      </c>
      <c r="C3" s="613" t="s">
        <v>3023</v>
      </c>
      <c r="D3" s="613" t="s">
        <v>1</v>
      </c>
      <c r="E3" s="613" t="s">
        <v>51</v>
      </c>
      <c r="G3" s="613" t="s">
        <v>677</v>
      </c>
      <c r="H3" s="613" t="s">
        <v>3023</v>
      </c>
      <c r="I3" s="613" t="s">
        <v>1</v>
      </c>
      <c r="J3" s="613" t="s">
        <v>51</v>
      </c>
    </row>
    <row r="4" spans="1:10">
      <c r="A4" s="613">
        <v>3</v>
      </c>
      <c r="B4" s="908">
        <v>43466</v>
      </c>
      <c r="C4" s="905">
        <v>19427395</v>
      </c>
      <c r="D4" s="905">
        <v>1699732.9212850221</v>
      </c>
      <c r="E4" s="826">
        <f>SUM(C4:D4)</f>
        <v>21127127.921285022</v>
      </c>
      <c r="G4" s="908">
        <v>43466</v>
      </c>
      <c r="H4" s="905">
        <v>13076462</v>
      </c>
      <c r="I4" s="905">
        <v>1776838.6079321075</v>
      </c>
      <c r="J4" s="826">
        <f t="shared" ref="J4:J15" si="0">SUM(H4:I4)</f>
        <v>14853300.607932108</v>
      </c>
    </row>
    <row r="5" spans="1:10">
      <c r="A5" s="613">
        <v>4</v>
      </c>
      <c r="B5" s="908">
        <v>43497</v>
      </c>
      <c r="C5" s="905">
        <v>24276433</v>
      </c>
      <c r="D5" s="905">
        <v>-7255475.5054688565</v>
      </c>
      <c r="E5" s="826">
        <f t="shared" ref="E5:E15" si="1">SUM(C5:D5)</f>
        <v>17020957.494531143</v>
      </c>
      <c r="G5" s="908">
        <v>43497</v>
      </c>
      <c r="H5" s="905">
        <v>16468355</v>
      </c>
      <c r="I5" s="905">
        <v>-4596174.2258246187</v>
      </c>
      <c r="J5" s="826">
        <f t="shared" si="0"/>
        <v>11872180.774175381</v>
      </c>
    </row>
    <row r="6" spans="1:10">
      <c r="A6" s="613">
        <v>5</v>
      </c>
      <c r="B6" s="908">
        <v>43525</v>
      </c>
      <c r="C6" s="905">
        <v>16312080</v>
      </c>
      <c r="D6" s="905">
        <v>-1929747.2700163256</v>
      </c>
      <c r="E6" s="826">
        <f t="shared" si="1"/>
        <v>14382332.729983674</v>
      </c>
      <c r="G6" s="908">
        <v>43525</v>
      </c>
      <c r="H6" s="905">
        <v>11893162</v>
      </c>
      <c r="I6" s="905">
        <v>-2408625.181682447</v>
      </c>
      <c r="J6" s="826">
        <f t="shared" si="0"/>
        <v>9484536.818317553</v>
      </c>
    </row>
    <row r="7" spans="1:10">
      <c r="A7" s="613">
        <v>6</v>
      </c>
      <c r="B7" s="908">
        <v>43556</v>
      </c>
      <c r="C7" s="905">
        <v>6952137.9999999991</v>
      </c>
      <c r="D7" s="905">
        <v>2502300.0865489123</v>
      </c>
      <c r="E7" s="826">
        <f t="shared" si="1"/>
        <v>9454438.0865489114</v>
      </c>
      <c r="G7" s="908">
        <v>43556</v>
      </c>
      <c r="H7" s="905">
        <v>5188753</v>
      </c>
      <c r="I7" s="905">
        <v>973880.58810159191</v>
      </c>
      <c r="J7" s="826">
        <f t="shared" si="0"/>
        <v>6162633.5881015919</v>
      </c>
    </row>
    <row r="8" spans="1:10">
      <c r="A8" s="613">
        <v>7</v>
      </c>
      <c r="B8" s="908">
        <v>43586</v>
      </c>
      <c r="C8" s="905">
        <v>5018427</v>
      </c>
      <c r="D8" s="905">
        <v>983526.0208063405</v>
      </c>
      <c r="E8" s="826">
        <f t="shared" si="1"/>
        <v>6001953.0208063405</v>
      </c>
      <c r="G8" s="908">
        <v>43586</v>
      </c>
      <c r="H8" s="905">
        <v>3351647</v>
      </c>
      <c r="I8" s="905">
        <v>1126542.5980950147</v>
      </c>
      <c r="J8" s="826">
        <f t="shared" si="0"/>
        <v>4478189.5980950147</v>
      </c>
    </row>
    <row r="9" spans="1:10">
      <c r="A9" s="613">
        <v>8</v>
      </c>
      <c r="B9" s="908">
        <v>43617</v>
      </c>
      <c r="C9" s="905">
        <v>2902522.0000000005</v>
      </c>
      <c r="D9" s="905">
        <v>771184.32337854942</v>
      </c>
      <c r="E9" s="826">
        <f t="shared" si="1"/>
        <v>3673706.3233785499</v>
      </c>
      <c r="G9" s="908">
        <v>43617</v>
      </c>
      <c r="H9" s="905">
        <v>2869000</v>
      </c>
      <c r="I9" s="905">
        <v>281663.1401956589</v>
      </c>
      <c r="J9" s="826">
        <f t="shared" si="0"/>
        <v>3150663.1401956589</v>
      </c>
    </row>
    <row r="10" spans="1:10">
      <c r="A10" s="613">
        <v>9</v>
      </c>
      <c r="B10" s="908">
        <v>43647</v>
      </c>
      <c r="C10" s="905">
        <v>3088926</v>
      </c>
      <c r="D10" s="905">
        <v>-10517.523819486611</v>
      </c>
      <c r="E10" s="826">
        <f t="shared" si="1"/>
        <v>3078408.4761805134</v>
      </c>
      <c r="G10" s="908">
        <v>43647</v>
      </c>
      <c r="H10" s="905">
        <v>3138682</v>
      </c>
      <c r="I10" s="905">
        <v>-25875.297573229764</v>
      </c>
      <c r="J10" s="826">
        <f t="shared" si="0"/>
        <v>3112806.7024267702</v>
      </c>
    </row>
    <row r="11" spans="1:10">
      <c r="A11" s="613">
        <v>10</v>
      </c>
      <c r="B11" s="908">
        <v>43678</v>
      </c>
      <c r="C11" s="905">
        <v>1817452</v>
      </c>
      <c r="D11" s="905">
        <v>1261486.801196483</v>
      </c>
      <c r="E11" s="826">
        <f t="shared" si="1"/>
        <v>3078938.801196483</v>
      </c>
      <c r="G11" s="908">
        <v>43678</v>
      </c>
      <c r="H11" s="905">
        <v>1851549.0000000002</v>
      </c>
      <c r="I11" s="905">
        <v>1263154.941161711</v>
      </c>
      <c r="J11" s="826">
        <f t="shared" si="0"/>
        <v>3114703.9411617112</v>
      </c>
    </row>
    <row r="12" spans="1:10">
      <c r="A12" s="613">
        <v>11</v>
      </c>
      <c r="B12" s="908">
        <v>43709</v>
      </c>
      <c r="C12" s="905">
        <v>4287507</v>
      </c>
      <c r="D12" s="905">
        <v>-365326.89299783669</v>
      </c>
      <c r="E12" s="826">
        <f t="shared" si="1"/>
        <v>3922180.1070021633</v>
      </c>
      <c r="G12" s="908">
        <v>43709</v>
      </c>
      <c r="H12" s="905">
        <v>4407615</v>
      </c>
      <c r="I12" s="905">
        <v>-619630.08418907691</v>
      </c>
      <c r="J12" s="826">
        <f t="shared" si="0"/>
        <v>3787984.9158109231</v>
      </c>
    </row>
    <row r="13" spans="1:10">
      <c r="A13" s="613">
        <v>12</v>
      </c>
      <c r="B13" s="908">
        <v>43739</v>
      </c>
      <c r="C13" s="905">
        <v>11085416</v>
      </c>
      <c r="D13" s="905">
        <v>-2043729.8829160277</v>
      </c>
      <c r="E13" s="826">
        <f t="shared" si="1"/>
        <v>9041686.1170839723</v>
      </c>
      <c r="G13" s="908">
        <v>43739</v>
      </c>
      <c r="H13" s="905">
        <v>9618877</v>
      </c>
      <c r="I13" s="905">
        <v>-2455579.7543934081</v>
      </c>
      <c r="J13" s="826">
        <f t="shared" si="0"/>
        <v>7163297.2456065919</v>
      </c>
    </row>
    <row r="14" spans="1:10">
      <c r="A14" s="613">
        <v>13</v>
      </c>
      <c r="B14" s="908">
        <v>43770</v>
      </c>
      <c r="C14" s="905">
        <v>15903738</v>
      </c>
      <c r="D14" s="905">
        <v>1036088.7350640781</v>
      </c>
      <c r="E14" s="826">
        <f t="shared" si="1"/>
        <v>16939826.735064078</v>
      </c>
      <c r="G14" s="908">
        <v>43770</v>
      </c>
      <c r="H14" s="905">
        <v>11991964</v>
      </c>
      <c r="I14" s="905">
        <v>-966322.00482716225</v>
      </c>
      <c r="J14" s="826">
        <f t="shared" si="0"/>
        <v>11025641.995172838</v>
      </c>
    </row>
    <row r="15" spans="1:10">
      <c r="A15" s="613">
        <v>14</v>
      </c>
      <c r="B15" s="908">
        <v>43800</v>
      </c>
      <c r="C15" s="1158">
        <v>19793412</v>
      </c>
      <c r="D15" s="1158">
        <v>3013580.536832273</v>
      </c>
      <c r="E15" s="1159">
        <f t="shared" si="1"/>
        <v>22806992.536832273</v>
      </c>
      <c r="G15" s="908">
        <v>43800</v>
      </c>
      <c r="H15" s="1158">
        <v>13349454</v>
      </c>
      <c r="I15" s="1158">
        <v>1124321.72704928</v>
      </c>
      <c r="J15" s="1159">
        <f t="shared" si="0"/>
        <v>14473775.72704928</v>
      </c>
    </row>
    <row r="16" spans="1:10">
      <c r="A16" s="613">
        <v>15</v>
      </c>
      <c r="C16" s="834">
        <f>SUM(C4:C15)</f>
        <v>130865446</v>
      </c>
      <c r="D16" s="834">
        <f>SUM(D4:D15)</f>
        <v>-336897.65010687523</v>
      </c>
      <c r="E16" s="826">
        <f>SUM(E4:E15)</f>
        <v>130528548.34989311</v>
      </c>
      <c r="G16" s="1160"/>
      <c r="H16" s="826">
        <f>SUM(H4:H15)</f>
        <v>97205520</v>
      </c>
      <c r="I16" s="826">
        <f>SUM(I4:I15)</f>
        <v>-4525804.9459545789</v>
      </c>
      <c r="J16" s="826">
        <f>SUM(J4:J15)</f>
        <v>92679715.054045424</v>
      </c>
    </row>
    <row r="19" spans="8:20">
      <c r="I19" s="905"/>
      <c r="J19" s="905"/>
      <c r="K19" s="905"/>
      <c r="L19" s="905"/>
      <c r="M19" s="905"/>
      <c r="N19" s="905"/>
      <c r="O19" s="905"/>
      <c r="P19" s="905"/>
      <c r="Q19" s="905"/>
      <c r="R19" s="905"/>
      <c r="S19" s="905"/>
      <c r="T19" s="905"/>
    </row>
    <row r="20" spans="8:20">
      <c r="H20" s="905"/>
      <c r="I20" s="905"/>
      <c r="J20" s="905"/>
      <c r="K20" s="905"/>
      <c r="L20" s="905"/>
      <c r="M20" s="905"/>
      <c r="N20" s="905"/>
      <c r="O20" s="905"/>
      <c r="P20" s="905"/>
      <c r="Q20" s="905"/>
      <c r="R20" s="905"/>
      <c r="S20" s="905"/>
    </row>
  </sheetData>
  <mergeCells count="2">
    <mergeCell ref="B2:E2"/>
    <mergeCell ref="G2:J2"/>
  </mergeCells>
  <pageMargins left="0.7" right="0.7" top="1.5" bottom="0.75" header="0.3" footer="0.3"/>
  <pageSetup scale="86" fitToHeight="0" orientation="portrait" r:id="rId1"/>
  <headerFooter>
    <oddHeader>&amp;CCascade Natural Gas Corporation
Weather Normalization
IDM WP-1.5&amp;RPage &amp;P of &amp;N</oddHeader>
    <oddFooter>&amp;L&amp;A</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3DD1A-1796-4B57-9CA7-79569BB62FC5}">
  <sheetPr codeName="Sheet56">
    <tabColor theme="8" tint="0.79998168889431442"/>
  </sheetPr>
  <dimension ref="A1:AZ201"/>
  <sheetViews>
    <sheetView topLeftCell="D1" zoomScale="80" zoomScaleNormal="80" workbookViewId="0">
      <selection activeCell="F27" sqref="F27"/>
    </sheetView>
  </sheetViews>
  <sheetFormatPr defaultColWidth="9.109375" defaultRowHeight="14.4"/>
  <cols>
    <col min="1" max="1" width="7.5546875" style="830" customWidth="1"/>
    <col min="2" max="2" width="24.6640625" style="830" bestFit="1" customWidth="1"/>
    <col min="3" max="3" width="65.6640625" style="830" bestFit="1" customWidth="1"/>
    <col min="4" max="4" width="17.5546875" style="830" customWidth="1"/>
    <col min="5" max="5" width="14" style="830" bestFit="1" customWidth="1"/>
    <col min="6" max="6" width="16.5546875" style="830" customWidth="1"/>
    <col min="7" max="7" width="20.6640625" style="830" customWidth="1"/>
    <col min="8" max="13" width="14" style="830" customWidth="1"/>
    <col min="14" max="14" width="14.33203125" style="830" customWidth="1"/>
    <col min="15" max="15" width="16.88671875" style="830" customWidth="1"/>
    <col min="16" max="16" width="18.33203125" style="830" customWidth="1"/>
    <col min="17" max="17" width="1.6640625" style="830" customWidth="1"/>
    <col min="18" max="18" width="16.88671875" style="830" customWidth="1"/>
    <col min="19" max="19" width="1" style="830" customWidth="1"/>
    <col min="20" max="20" width="18.6640625" style="830" customWidth="1"/>
    <col min="21" max="21" width="14.33203125" style="830" customWidth="1"/>
    <col min="22" max="23" width="13.33203125" style="830" customWidth="1"/>
    <col min="24" max="24" width="11.5546875" style="830" customWidth="1"/>
    <col min="25" max="25" width="3.109375" style="830" customWidth="1"/>
    <col min="26" max="26" width="9.109375" style="830" customWidth="1"/>
    <col min="27" max="27" width="3.88671875" style="830" customWidth="1"/>
    <col min="28" max="28" width="9.6640625" style="830" customWidth="1"/>
    <col min="29" max="29" width="9.109375" style="830" customWidth="1"/>
    <col min="30" max="30" width="17.33203125" style="830" customWidth="1"/>
    <col min="31" max="31" width="17.6640625" style="830" customWidth="1"/>
    <col min="32" max="32" width="9.6640625" style="830" bestFit="1" customWidth="1"/>
    <col min="33" max="33" width="9.109375" style="830"/>
    <col min="34" max="34" width="18.6640625" style="830" bestFit="1" customWidth="1"/>
    <col min="35" max="35" width="13.33203125" style="830" bestFit="1" customWidth="1"/>
    <col min="36" max="36" width="10.5546875" style="830" bestFit="1" customWidth="1"/>
    <col min="37" max="37" width="7.5546875" style="830" bestFit="1" customWidth="1"/>
    <col min="38" max="38" width="10.5546875" style="830" bestFit="1" customWidth="1"/>
    <col min="39" max="39" width="9.109375" style="830"/>
    <col min="40" max="40" width="8" style="830" bestFit="1" customWidth="1"/>
    <col min="41" max="41" width="9.109375" style="830"/>
    <col min="42" max="42" width="9.6640625" style="830" bestFit="1" customWidth="1"/>
    <col min="43" max="43" width="9.109375" style="830"/>
    <col min="44" max="44" width="18.6640625" style="830" bestFit="1" customWidth="1"/>
    <col min="45" max="45" width="13.33203125" style="830" bestFit="1" customWidth="1"/>
    <col min="46" max="46" width="10.5546875" style="830" bestFit="1" customWidth="1"/>
    <col min="47" max="47" width="7.5546875" style="830" bestFit="1" customWidth="1"/>
    <col min="48" max="48" width="10.5546875" style="830" bestFit="1" customWidth="1"/>
    <col min="49" max="49" width="9.109375" style="830"/>
    <col min="50" max="50" width="8" style="830" bestFit="1" customWidth="1"/>
    <col min="51" max="51" width="9.109375" style="830"/>
    <col min="52" max="52" width="9.6640625" style="830" bestFit="1" customWidth="1"/>
    <col min="53" max="16384" width="9.109375" style="830"/>
  </cols>
  <sheetData>
    <row r="1" spans="1:52" s="871" customFormat="1">
      <c r="A1" s="871">
        <v>1</v>
      </c>
      <c r="B1" s="871" t="s">
        <v>778</v>
      </c>
      <c r="C1" s="871" t="s">
        <v>776</v>
      </c>
      <c r="D1" s="871" t="s">
        <v>777</v>
      </c>
      <c r="E1" s="871" t="s">
        <v>780</v>
      </c>
      <c r="F1" s="871" t="s">
        <v>781</v>
      </c>
      <c r="G1" s="871" t="s">
        <v>782</v>
      </c>
      <c r="H1" s="871" t="s">
        <v>783</v>
      </c>
      <c r="I1" s="871" t="s">
        <v>784</v>
      </c>
      <c r="J1" s="871" t="s">
        <v>785</v>
      </c>
      <c r="K1" s="871" t="s">
        <v>786</v>
      </c>
      <c r="L1" s="871" t="s">
        <v>787</v>
      </c>
      <c r="M1" s="871" t="s">
        <v>788</v>
      </c>
      <c r="N1" s="871" t="s">
        <v>789</v>
      </c>
      <c r="O1" s="871" t="s">
        <v>790</v>
      </c>
      <c r="P1" s="871" t="s">
        <v>791</v>
      </c>
      <c r="Q1" s="871" t="s">
        <v>995</v>
      </c>
      <c r="R1" s="871" t="s">
        <v>996</v>
      </c>
      <c r="S1" s="871" t="s">
        <v>997</v>
      </c>
      <c r="T1" s="871" t="s">
        <v>998</v>
      </c>
      <c r="U1" s="871" t="s">
        <v>999</v>
      </c>
      <c r="V1" s="871" t="s">
        <v>1000</v>
      </c>
      <c r="W1" s="871" t="s">
        <v>1001</v>
      </c>
      <c r="X1" s="871" t="s">
        <v>1002</v>
      </c>
      <c r="Y1" s="1161" t="s">
        <v>1003</v>
      </c>
      <c r="Z1" s="871" t="s">
        <v>1004</v>
      </c>
      <c r="AA1" s="1162" t="s">
        <v>1005</v>
      </c>
      <c r="AB1" s="1162" t="s">
        <v>740</v>
      </c>
      <c r="AC1" s="1162" t="s">
        <v>1006</v>
      </c>
      <c r="AD1" s="1162" t="s">
        <v>1007</v>
      </c>
      <c r="AE1" s="1162"/>
      <c r="AF1" s="1162"/>
      <c r="AG1" s="1162"/>
      <c r="AH1" s="1162"/>
      <c r="AI1" s="1162"/>
      <c r="AJ1" s="1162"/>
      <c r="AK1" s="1162"/>
      <c r="AL1" s="1162"/>
    </row>
    <row r="2" spans="1:52" ht="27.75" customHeight="1">
      <c r="A2" s="830">
        <v>2</v>
      </c>
      <c r="B2" s="1875" t="s">
        <v>3024</v>
      </c>
      <c r="C2" s="1875"/>
      <c r="D2" s="1875"/>
      <c r="E2" s="1875"/>
      <c r="F2" s="1875"/>
      <c r="G2" s="1875"/>
      <c r="H2" s="1875"/>
      <c r="I2" s="1875"/>
      <c r="J2" s="1875"/>
      <c r="K2" s="1875"/>
      <c r="L2" s="1875"/>
      <c r="M2" s="1875"/>
      <c r="N2" s="1875"/>
      <c r="O2" s="1875"/>
      <c r="P2" s="1875"/>
    </row>
    <row r="3" spans="1:52" ht="21">
      <c r="A3" s="830">
        <v>3</v>
      </c>
      <c r="B3" s="1876" t="s">
        <v>3025</v>
      </c>
      <c r="C3" s="1876"/>
      <c r="D3" s="1876"/>
      <c r="E3" s="1876"/>
      <c r="F3" s="1876"/>
      <c r="G3" s="1876"/>
      <c r="H3" s="1876"/>
      <c r="I3" s="1876"/>
      <c r="J3" s="1876"/>
      <c r="K3" s="1876"/>
      <c r="L3" s="1876"/>
      <c r="M3" s="1876"/>
      <c r="N3" s="1876"/>
      <c r="O3" s="1876"/>
      <c r="P3" s="1876"/>
    </row>
    <row r="4" spans="1:52" ht="18" thickBot="1">
      <c r="A4" s="830">
        <v>4</v>
      </c>
      <c r="B4" s="1877" t="s">
        <v>3026</v>
      </c>
      <c r="C4" s="1877"/>
      <c r="D4" s="1877"/>
      <c r="E4" s="1877"/>
      <c r="F4" s="1877"/>
      <c r="G4" s="1877"/>
      <c r="H4" s="1877"/>
      <c r="I4" s="1877"/>
      <c r="J4" s="1877"/>
      <c r="K4" s="1877"/>
      <c r="L4" s="1877"/>
      <c r="M4" s="1877"/>
      <c r="N4" s="1877"/>
      <c r="O4" s="1877"/>
      <c r="P4" s="1877"/>
      <c r="Q4" s="1163"/>
    </row>
    <row r="5" spans="1:52" ht="15.6">
      <c r="A5" s="830">
        <v>5</v>
      </c>
      <c r="B5" s="1164" t="s">
        <v>2593</v>
      </c>
      <c r="C5" s="1165"/>
      <c r="D5" s="1166">
        <v>43496</v>
      </c>
      <c r="E5" s="1166">
        <v>43524</v>
      </c>
      <c r="F5" s="1166">
        <v>43555</v>
      </c>
      <c r="G5" s="1166">
        <v>43585</v>
      </c>
      <c r="H5" s="1166">
        <v>43616</v>
      </c>
      <c r="I5" s="1166">
        <v>43646</v>
      </c>
      <c r="J5" s="1166">
        <v>43677</v>
      </c>
      <c r="K5" s="1166">
        <v>43708</v>
      </c>
      <c r="L5" s="1166">
        <v>43738</v>
      </c>
      <c r="M5" s="1166">
        <v>43769</v>
      </c>
      <c r="N5" s="1166" t="s">
        <v>3027</v>
      </c>
      <c r="O5" s="1166">
        <v>43799</v>
      </c>
      <c r="P5" s="1167">
        <v>43830</v>
      </c>
      <c r="R5" s="1168" t="s">
        <v>1084</v>
      </c>
    </row>
    <row r="6" spans="1:52">
      <c r="A6" s="830">
        <v>6</v>
      </c>
      <c r="B6" s="1169"/>
      <c r="C6" s="847" t="s">
        <v>3028</v>
      </c>
      <c r="D6" s="1170">
        <v>5.1799999999999999E-2</v>
      </c>
      <c r="E6" s="1170">
        <v>5.1799999999999999E-2</v>
      </c>
      <c r="F6" s="1170">
        <v>5.1799999999999999E-2</v>
      </c>
      <c r="G6" s="1170">
        <v>5.45E-2</v>
      </c>
      <c r="H6" s="1170">
        <v>5.45E-2</v>
      </c>
      <c r="I6" s="1170">
        <v>5.45E-2</v>
      </c>
      <c r="J6" s="1170">
        <v>5.5E-2</v>
      </c>
      <c r="K6" s="1170">
        <v>5.5E-2</v>
      </c>
      <c r="L6" s="1170">
        <v>5.5E-2</v>
      </c>
      <c r="M6" s="1170">
        <v>5.4199999999999998E-2</v>
      </c>
      <c r="N6" s="1170"/>
      <c r="O6" s="1170">
        <v>5.4199999999999998E-2</v>
      </c>
      <c r="P6" s="1171">
        <v>5.4199999999999998E-2</v>
      </c>
      <c r="Q6" s="1172"/>
      <c r="R6" s="1173"/>
      <c r="T6" s="1174" t="s">
        <v>3029</v>
      </c>
    </row>
    <row r="7" spans="1:52" ht="15.6">
      <c r="A7" s="830">
        <v>7</v>
      </c>
      <c r="B7" s="1175"/>
      <c r="C7" s="847" t="s">
        <v>3030</v>
      </c>
      <c r="D7" s="899">
        <v>31</v>
      </c>
      <c r="E7" s="899">
        <v>28</v>
      </c>
      <c r="F7" s="899">
        <v>31</v>
      </c>
      <c r="G7" s="899">
        <v>30</v>
      </c>
      <c r="H7" s="899">
        <v>31</v>
      </c>
      <c r="I7" s="899">
        <v>30</v>
      </c>
      <c r="J7" s="899">
        <v>31</v>
      </c>
      <c r="K7" s="899">
        <v>31</v>
      </c>
      <c r="L7" s="899">
        <v>30</v>
      </c>
      <c r="M7" s="899">
        <v>31</v>
      </c>
      <c r="N7" s="899"/>
      <c r="O7" s="899">
        <v>30</v>
      </c>
      <c r="P7" s="1176">
        <v>31</v>
      </c>
      <c r="R7" s="1177"/>
    </row>
    <row r="8" spans="1:52">
      <c r="A8" s="830">
        <v>8</v>
      </c>
      <c r="B8" s="1178" t="s">
        <v>3031</v>
      </c>
      <c r="C8" s="1179">
        <v>502</v>
      </c>
      <c r="D8" s="899" t="s">
        <v>3032</v>
      </c>
      <c r="P8" s="1180"/>
      <c r="R8" s="1172"/>
    </row>
    <row r="9" spans="1:52">
      <c r="A9" s="830">
        <v>9</v>
      </c>
      <c r="B9" s="1181" t="s">
        <v>1057</v>
      </c>
      <c r="C9" s="830" t="s">
        <v>3033</v>
      </c>
      <c r="D9" s="899">
        <v>0</v>
      </c>
      <c r="E9" s="899">
        <v>0</v>
      </c>
      <c r="F9" s="899">
        <v>0</v>
      </c>
      <c r="G9" s="899">
        <v>0</v>
      </c>
      <c r="H9" s="899">
        <v>0</v>
      </c>
      <c r="I9" s="899">
        <v>0</v>
      </c>
      <c r="J9" s="899">
        <v>0</v>
      </c>
      <c r="K9" s="899">
        <v>0</v>
      </c>
      <c r="L9" s="899">
        <v>0</v>
      </c>
      <c r="M9" s="899">
        <v>0</v>
      </c>
      <c r="N9" s="899"/>
      <c r="O9" s="899">
        <v>0</v>
      </c>
      <c r="P9" s="1182">
        <v>0</v>
      </c>
      <c r="R9" s="1172"/>
      <c r="V9" s="899"/>
      <c r="X9" s="899"/>
      <c r="AJ9" s="899"/>
      <c r="AL9" s="899"/>
      <c r="AT9" s="899"/>
      <c r="AV9" s="899"/>
    </row>
    <row r="10" spans="1:52">
      <c r="A10" s="830">
        <v>10</v>
      </c>
      <c r="B10" s="1181" t="s">
        <v>3034</v>
      </c>
      <c r="C10" s="830" t="s">
        <v>3035</v>
      </c>
      <c r="D10" s="1183">
        <v>0</v>
      </c>
      <c r="E10" s="1183">
        <v>0</v>
      </c>
      <c r="F10" s="1183">
        <v>0</v>
      </c>
      <c r="G10" s="1183">
        <v>0</v>
      </c>
      <c r="H10" s="1183">
        <v>0</v>
      </c>
      <c r="I10" s="1183">
        <v>0</v>
      </c>
      <c r="J10" s="1183">
        <v>0</v>
      </c>
      <c r="K10" s="1183">
        <f>51.97-51.97</f>
        <v>0</v>
      </c>
      <c r="L10" s="1183">
        <v>0</v>
      </c>
      <c r="M10" s="1183">
        <v>0</v>
      </c>
      <c r="N10" s="1183"/>
      <c r="O10" s="1183">
        <v>0</v>
      </c>
      <c r="P10" s="1184">
        <v>0</v>
      </c>
      <c r="R10" s="1172"/>
      <c r="T10" s="850"/>
      <c r="U10" s="928"/>
      <c r="V10" s="1185"/>
      <c r="X10" s="1185"/>
      <c r="AB10" s="1185"/>
      <c r="AF10" s="1185"/>
      <c r="AH10" s="850"/>
      <c r="AI10" s="928"/>
      <c r="AJ10" s="1185"/>
      <c r="AL10" s="1185"/>
      <c r="AP10" s="1185"/>
      <c r="AR10" s="850"/>
      <c r="AS10" s="928"/>
      <c r="AT10" s="1185"/>
      <c r="AV10" s="1185"/>
      <c r="AZ10" s="1185"/>
    </row>
    <row r="11" spans="1:52" ht="28.8">
      <c r="A11" s="830">
        <v>11</v>
      </c>
      <c r="B11" s="1181"/>
      <c r="C11" s="850" t="s">
        <v>3036</v>
      </c>
      <c r="D11" s="928">
        <f t="shared" ref="D11:M11" si="0">D10</f>
        <v>0</v>
      </c>
      <c r="E11" s="928">
        <f t="shared" si="0"/>
        <v>0</v>
      </c>
      <c r="F11" s="928">
        <f t="shared" si="0"/>
        <v>0</v>
      </c>
      <c r="G11" s="928">
        <f t="shared" si="0"/>
        <v>0</v>
      </c>
      <c r="H11" s="928">
        <f t="shared" si="0"/>
        <v>0</v>
      </c>
      <c r="I11" s="928">
        <f t="shared" si="0"/>
        <v>0</v>
      </c>
      <c r="J11" s="928">
        <f t="shared" si="0"/>
        <v>0</v>
      </c>
      <c r="K11" s="928">
        <f t="shared" si="0"/>
        <v>0</v>
      </c>
      <c r="L11" s="928">
        <f t="shared" si="0"/>
        <v>0</v>
      </c>
      <c r="M11" s="928">
        <f t="shared" si="0"/>
        <v>0</v>
      </c>
      <c r="N11" s="928"/>
      <c r="O11" s="928">
        <f>O10</f>
        <v>0</v>
      </c>
      <c r="P11" s="1182">
        <f>P10</f>
        <v>0</v>
      </c>
      <c r="R11" s="1172"/>
      <c r="T11" s="850"/>
      <c r="U11" s="928"/>
      <c r="V11" s="1185"/>
      <c r="X11" s="1185"/>
      <c r="AB11" s="1185"/>
      <c r="AD11" s="1186" t="s">
        <v>3037</v>
      </c>
      <c r="AF11" s="1185"/>
      <c r="AH11" s="850"/>
      <c r="AI11" s="928"/>
      <c r="AJ11" s="1185"/>
      <c r="AL11" s="1185"/>
      <c r="AP11" s="1185"/>
      <c r="AR11" s="850"/>
      <c r="AS11" s="928"/>
      <c r="AT11" s="1185"/>
      <c r="AV11" s="1185"/>
      <c r="AZ11" s="1185"/>
    </row>
    <row r="12" spans="1:52">
      <c r="A12" s="830">
        <v>12</v>
      </c>
      <c r="B12" s="1181"/>
      <c r="C12" s="850" t="s">
        <v>3038</v>
      </c>
      <c r="D12" s="1183">
        <v>0</v>
      </c>
      <c r="E12" s="1183">
        <v>0</v>
      </c>
      <c r="F12" s="1183">
        <v>0</v>
      </c>
      <c r="G12" s="1183">
        <v>0</v>
      </c>
      <c r="H12" s="1183">
        <v>0</v>
      </c>
      <c r="I12" s="1183">
        <v>0</v>
      </c>
      <c r="J12" s="1183">
        <v>0</v>
      </c>
      <c r="K12" s="1183">
        <v>0</v>
      </c>
      <c r="L12" s="1183">
        <v>0</v>
      </c>
      <c r="M12" s="1183">
        <v>0</v>
      </c>
      <c r="N12" s="1183"/>
      <c r="O12" s="1183">
        <v>0</v>
      </c>
      <c r="P12" s="1184">
        <v>0</v>
      </c>
      <c r="R12" s="1172"/>
    </row>
    <row r="13" spans="1:52">
      <c r="A13" s="830">
        <v>13</v>
      </c>
      <c r="B13" s="1181"/>
      <c r="C13" s="850" t="s">
        <v>3039</v>
      </c>
      <c r="D13" s="928">
        <f t="shared" ref="D13:M13" si="1">SUM(D11:D12)</f>
        <v>0</v>
      </c>
      <c r="E13" s="928">
        <f t="shared" si="1"/>
        <v>0</v>
      </c>
      <c r="F13" s="928">
        <f t="shared" si="1"/>
        <v>0</v>
      </c>
      <c r="G13" s="928">
        <f t="shared" si="1"/>
        <v>0</v>
      </c>
      <c r="H13" s="928">
        <f t="shared" si="1"/>
        <v>0</v>
      </c>
      <c r="I13" s="928">
        <f t="shared" si="1"/>
        <v>0</v>
      </c>
      <c r="J13" s="928">
        <f t="shared" si="1"/>
        <v>0</v>
      </c>
      <c r="K13" s="928">
        <f t="shared" si="1"/>
        <v>0</v>
      </c>
      <c r="L13" s="928">
        <f t="shared" si="1"/>
        <v>0</v>
      </c>
      <c r="M13" s="928">
        <f t="shared" si="1"/>
        <v>0</v>
      </c>
      <c r="N13" s="928">
        <v>-8606.2899999999991</v>
      </c>
      <c r="O13" s="928">
        <f>SUM(O11:O12)</f>
        <v>0</v>
      </c>
      <c r="P13" s="1182">
        <f>SUM(P11:P12)</f>
        <v>0</v>
      </c>
      <c r="R13" s="1187">
        <f>SUM(D13:Q13)-N13</f>
        <v>0</v>
      </c>
    </row>
    <row r="14" spans="1:52">
      <c r="A14" s="830">
        <v>14</v>
      </c>
      <c r="B14" s="1181"/>
      <c r="C14" s="850" t="s">
        <v>3040</v>
      </c>
      <c r="D14" s="928">
        <v>37.86</v>
      </c>
      <c r="E14" s="928">
        <f>ROUND(ROUND(D16*E$6,2)/365*E$7,2)</f>
        <v>34.35</v>
      </c>
      <c r="F14" s="928">
        <f>ROUND(ROUND(E16*F$6,2)/365*F$7,2)</f>
        <v>38.18</v>
      </c>
      <c r="G14" s="928">
        <f>ROUND(ROUND(F16*G$6,2)/365*G$7,2)</f>
        <v>39.049999999999997</v>
      </c>
      <c r="H14" s="928">
        <v>40.53</v>
      </c>
      <c r="I14" s="928">
        <v>39.4</v>
      </c>
      <c r="J14" s="928">
        <v>41.27</v>
      </c>
      <c r="K14" s="928">
        <v>41.47</v>
      </c>
      <c r="L14" s="928">
        <v>40.32</v>
      </c>
      <c r="M14" s="928">
        <v>41.24</v>
      </c>
      <c r="N14" s="928">
        <v>-393.67</v>
      </c>
      <c r="O14" s="928">
        <f>ROUND(ROUND(N16*O$6,2)/365*O$7,2)</f>
        <v>0</v>
      </c>
      <c r="P14" s="1182">
        <f>ROUND(ROUND(O16*P$6,2)/365*P$7,2)</f>
        <v>0</v>
      </c>
      <c r="R14" s="1188">
        <f>SUM(D14:Q14)</f>
        <v>0</v>
      </c>
    </row>
    <row r="15" spans="1:52">
      <c r="A15" s="830">
        <v>15</v>
      </c>
      <c r="B15" s="1181"/>
      <c r="C15" s="850" t="s">
        <v>3041</v>
      </c>
      <c r="D15" s="1183">
        <f t="shared" ref="D15:P15" si="2">SUM(D13:D14)</f>
        <v>37.86</v>
      </c>
      <c r="E15" s="1183">
        <f t="shared" si="2"/>
        <v>34.35</v>
      </c>
      <c r="F15" s="1183">
        <f t="shared" si="2"/>
        <v>38.18</v>
      </c>
      <c r="G15" s="1189">
        <v>39.049999999999997</v>
      </c>
      <c r="H15" s="1183">
        <f t="shared" si="2"/>
        <v>40.53</v>
      </c>
      <c r="I15" s="1183">
        <f t="shared" si="2"/>
        <v>39.4</v>
      </c>
      <c r="J15" s="1183">
        <f t="shared" si="2"/>
        <v>41.27</v>
      </c>
      <c r="K15" s="1183">
        <f t="shared" si="2"/>
        <v>41.47</v>
      </c>
      <c r="L15" s="1183">
        <f t="shared" si="2"/>
        <v>40.32</v>
      </c>
      <c r="M15" s="1183">
        <f t="shared" si="2"/>
        <v>41.24</v>
      </c>
      <c r="N15" s="1183">
        <f t="shared" si="2"/>
        <v>-8999.9599999999991</v>
      </c>
      <c r="O15" s="1183">
        <f t="shared" si="2"/>
        <v>0</v>
      </c>
      <c r="P15" s="1184">
        <f t="shared" si="2"/>
        <v>0</v>
      </c>
      <c r="R15" s="1190">
        <f>SUM(R13:R14)</f>
        <v>0</v>
      </c>
    </row>
    <row r="16" spans="1:52">
      <c r="A16" s="830">
        <v>16</v>
      </c>
      <c r="B16" s="1181"/>
      <c r="C16" s="850" t="s">
        <v>3042</v>
      </c>
      <c r="D16" s="928">
        <v>8644.1500000000051</v>
      </c>
      <c r="E16" s="928">
        <f t="shared" ref="E16:P16" si="3">D16+E15</f>
        <v>8678.5000000000055</v>
      </c>
      <c r="F16" s="928">
        <f t="shared" si="3"/>
        <v>8716.6800000000057</v>
      </c>
      <c r="G16" s="928">
        <f t="shared" si="3"/>
        <v>8755.730000000005</v>
      </c>
      <c r="H16" s="928">
        <f t="shared" si="3"/>
        <v>8796.2600000000057</v>
      </c>
      <c r="I16" s="928">
        <f t="shared" si="3"/>
        <v>8835.6600000000053</v>
      </c>
      <c r="J16" s="928">
        <f t="shared" si="3"/>
        <v>8876.9300000000057</v>
      </c>
      <c r="K16" s="928">
        <f t="shared" si="3"/>
        <v>8918.4000000000051</v>
      </c>
      <c r="L16" s="928">
        <f t="shared" si="3"/>
        <v>8958.7200000000048</v>
      </c>
      <c r="M16" s="928">
        <f t="shared" si="3"/>
        <v>8999.9600000000046</v>
      </c>
      <c r="N16" s="928">
        <f t="shared" si="3"/>
        <v>0</v>
      </c>
      <c r="O16" s="928">
        <f t="shared" si="3"/>
        <v>0</v>
      </c>
      <c r="P16" s="1191">
        <f t="shared" si="3"/>
        <v>0</v>
      </c>
      <c r="R16" s="1172"/>
    </row>
    <row r="17" spans="1:52">
      <c r="A17" s="830">
        <v>17</v>
      </c>
      <c r="B17" s="1181"/>
      <c r="D17" s="899"/>
      <c r="E17" s="899"/>
      <c r="F17" s="928"/>
      <c r="G17" s="1192"/>
      <c r="H17" s="1193"/>
      <c r="I17" s="1193"/>
      <c r="J17" s="1193"/>
      <c r="K17" s="1193"/>
      <c r="L17" s="1193"/>
      <c r="M17" s="1193"/>
      <c r="N17" s="1193"/>
      <c r="O17" s="1193"/>
      <c r="P17" s="1194"/>
      <c r="Q17" s="834"/>
      <c r="R17" s="1195"/>
      <c r="U17" s="830">
        <v>503</v>
      </c>
      <c r="AK17" s="849"/>
      <c r="AU17" s="849"/>
    </row>
    <row r="18" spans="1:52" ht="15.6">
      <c r="A18" s="830">
        <v>18</v>
      </c>
      <c r="B18" s="829" t="s">
        <v>3031</v>
      </c>
      <c r="C18" s="890">
        <v>503</v>
      </c>
      <c r="D18" s="899"/>
      <c r="E18" s="899"/>
      <c r="F18" s="928"/>
      <c r="G18" s="1192"/>
      <c r="H18" s="899"/>
      <c r="I18" s="899"/>
      <c r="J18" s="899"/>
      <c r="K18" s="899"/>
      <c r="L18" s="899"/>
      <c r="M18" s="899"/>
      <c r="N18" s="899"/>
      <c r="O18" s="899"/>
      <c r="P18" s="1196"/>
      <c r="Q18" s="834"/>
      <c r="R18" s="1195"/>
      <c r="V18" s="1197">
        <v>17650518</v>
      </c>
      <c r="W18" s="830" t="s">
        <v>2514</v>
      </c>
      <c r="X18" s="899">
        <f>V18</f>
        <v>17650518</v>
      </c>
      <c r="AJ18" s="899"/>
      <c r="AL18" s="899"/>
      <c r="AT18" s="899"/>
      <c r="AV18" s="899"/>
    </row>
    <row r="19" spans="1:52" ht="15.6">
      <c r="A19" s="830">
        <v>19</v>
      </c>
      <c r="B19" s="1181" t="s">
        <v>1057</v>
      </c>
      <c r="C19" s="830" t="s">
        <v>3043</v>
      </c>
      <c r="D19" s="899">
        <v>190816</v>
      </c>
      <c r="E19" s="899">
        <v>191181</v>
      </c>
      <c r="F19" s="899">
        <v>191240</v>
      </c>
      <c r="G19" s="1192">
        <v>191097</v>
      </c>
      <c r="H19" s="899">
        <v>190896</v>
      </c>
      <c r="I19" s="899">
        <v>190735</v>
      </c>
      <c r="J19" s="899">
        <v>190627</v>
      </c>
      <c r="K19" s="899">
        <v>190658</v>
      </c>
      <c r="L19" s="899">
        <v>191291</v>
      </c>
      <c r="M19" s="899">
        <v>192838</v>
      </c>
      <c r="N19" s="899"/>
      <c r="O19" s="899">
        <v>193448</v>
      </c>
      <c r="P19" s="1196">
        <v>193905</v>
      </c>
      <c r="Q19" s="928"/>
      <c r="R19" s="1198"/>
      <c r="T19" s="850" t="s">
        <v>2696</v>
      </c>
      <c r="U19" s="1199">
        <v>4801832.72</v>
      </c>
      <c r="V19" s="1185">
        <f>U19/V18</f>
        <v>0.2720505267890721</v>
      </c>
      <c r="X19" s="1185">
        <f>U19/X18</f>
        <v>0.2720505267890721</v>
      </c>
      <c r="Z19" s="830">
        <v>0.27205000000000001</v>
      </c>
      <c r="AB19" s="1185">
        <f>Z19-X19</f>
        <v>-5.2678907208614234E-7</v>
      </c>
      <c r="AF19" s="1185"/>
      <c r="AH19" s="850"/>
      <c r="AI19" s="928"/>
      <c r="AJ19" s="1185"/>
      <c r="AL19" s="1185"/>
      <c r="AP19" s="1185"/>
      <c r="AR19" s="850"/>
      <c r="AS19" s="928"/>
      <c r="AT19" s="1185"/>
      <c r="AV19" s="1185"/>
      <c r="AZ19" s="1185"/>
    </row>
    <row r="20" spans="1:52" ht="15.6">
      <c r="A20" s="830">
        <v>20</v>
      </c>
      <c r="B20" s="1181" t="s">
        <v>3034</v>
      </c>
      <c r="C20" s="830" t="s">
        <v>3035</v>
      </c>
      <c r="D20" s="928">
        <v>5284738.49</v>
      </c>
      <c r="E20" s="928">
        <v>5665855.4100000001</v>
      </c>
      <c r="F20" s="928">
        <v>6095743.0599999996</v>
      </c>
      <c r="G20" s="1192">
        <v>3335957.1</v>
      </c>
      <c r="H20" s="928">
        <v>2015767.5</v>
      </c>
      <c r="I20" s="928">
        <v>1100880.3799999999</v>
      </c>
      <c r="J20" s="928">
        <v>875303.46</v>
      </c>
      <c r="K20" s="928">
        <v>754930.51</v>
      </c>
      <c r="L20" s="928">
        <v>732277.02</v>
      </c>
      <c r="M20" s="928">
        <v>1732073.44</v>
      </c>
      <c r="N20" s="928"/>
      <c r="O20" s="928">
        <v>3163652.94</v>
      </c>
      <c r="P20" s="1182">
        <v>4801832.72</v>
      </c>
      <c r="Q20" s="928"/>
      <c r="R20" s="1198"/>
      <c r="T20" s="850" t="s">
        <v>2650</v>
      </c>
      <c r="U20" s="1199">
        <v>7735997.6799999997</v>
      </c>
      <c r="V20" s="1185">
        <f>U20/V18</f>
        <v>0.4382872887923176</v>
      </c>
      <c r="X20" s="1185">
        <f>U20/X18</f>
        <v>0.4382872887923176</v>
      </c>
      <c r="Z20" s="830">
        <v>0.43833</v>
      </c>
      <c r="AB20" s="1185">
        <f>Z20-X20</f>
        <v>4.2711207682399888E-5</v>
      </c>
      <c r="AF20" s="1185"/>
      <c r="AH20" s="850"/>
      <c r="AI20" s="928"/>
      <c r="AJ20" s="1185"/>
      <c r="AL20" s="1185"/>
      <c r="AP20" s="1185"/>
      <c r="AR20" s="850"/>
      <c r="AS20" s="928"/>
      <c r="AT20" s="1185"/>
      <c r="AV20" s="1185"/>
      <c r="AZ20" s="1185"/>
    </row>
    <row r="21" spans="1:52">
      <c r="A21" s="830">
        <v>21</v>
      </c>
      <c r="B21" s="1181" t="s">
        <v>3044</v>
      </c>
      <c r="C21" s="830" t="s">
        <v>3045</v>
      </c>
      <c r="D21" s="928">
        <f>ROUND(13677389*0.27205,2)</f>
        <v>3720933.68</v>
      </c>
      <c r="E21" s="928">
        <f>ROUND(17127329*0.27205,2)</f>
        <v>4659489.8499999996</v>
      </c>
      <c r="F21" s="928">
        <f>ROUND(11032733*0.27205,2)</f>
        <v>3001455.01</v>
      </c>
      <c r="G21" s="1192">
        <v>1556809.66</v>
      </c>
      <c r="H21" s="928">
        <f>ROUND(3331371*0.27205,2)</f>
        <v>906299.48</v>
      </c>
      <c r="I21" s="928">
        <f>ROUND(2187188*0.27205,2)</f>
        <v>595024.5</v>
      </c>
      <c r="J21" s="928">
        <f>ROUND(2058587*0.27205,2)</f>
        <v>560038.59</v>
      </c>
      <c r="K21" s="928">
        <f>ROUND(1100941*0.27205,2)</f>
        <v>299511</v>
      </c>
      <c r="L21" s="928">
        <f>ROUND(2696601*0.27205,2)</f>
        <v>733610.3</v>
      </c>
      <c r="M21" s="928">
        <f>ROUND(7415550*0.27205,2)</f>
        <v>2017400.38</v>
      </c>
      <c r="N21" s="928"/>
      <c r="O21" s="928">
        <f>ROUND(11690320*0.27205,2)</f>
        <v>3180351.56</v>
      </c>
      <c r="P21" s="1182">
        <f>ROUND(13833214*0.27205,2)</f>
        <v>3763325.87</v>
      </c>
      <c r="Q21" s="928"/>
      <c r="R21" s="1198"/>
      <c r="T21" s="850"/>
      <c r="U21" s="928"/>
      <c r="V21" s="1185"/>
      <c r="X21" s="1185"/>
      <c r="AB21" s="1185"/>
      <c r="AD21" s="1200">
        <f>P21</f>
        <v>3763325.87</v>
      </c>
    </row>
    <row r="22" spans="1:52">
      <c r="A22" s="830">
        <v>22</v>
      </c>
      <c r="B22" s="1181" t="s">
        <v>3044</v>
      </c>
      <c r="C22" s="830" t="s">
        <v>3046</v>
      </c>
      <c r="D22" s="1183">
        <v>-3720439.63</v>
      </c>
      <c r="E22" s="1183">
        <f t="shared" ref="E22:M22" si="4">-D21</f>
        <v>-3720933.68</v>
      </c>
      <c r="F22" s="1183">
        <f t="shared" si="4"/>
        <v>-4659489.8499999996</v>
      </c>
      <c r="G22" s="1183">
        <f t="shared" si="4"/>
        <v>-3001455.01</v>
      </c>
      <c r="H22" s="1183">
        <f t="shared" si="4"/>
        <v>-1556809.66</v>
      </c>
      <c r="I22" s="1183">
        <f t="shared" si="4"/>
        <v>-906299.48</v>
      </c>
      <c r="J22" s="1183">
        <f t="shared" si="4"/>
        <v>-595024.5</v>
      </c>
      <c r="K22" s="1183">
        <f t="shared" si="4"/>
        <v>-560038.59</v>
      </c>
      <c r="L22" s="1183">
        <f t="shared" si="4"/>
        <v>-299511</v>
      </c>
      <c r="M22" s="1183">
        <f t="shared" si="4"/>
        <v>-733610.3</v>
      </c>
      <c r="N22" s="1183"/>
      <c r="O22" s="1183">
        <f>-M21</f>
        <v>-2017400.38</v>
      </c>
      <c r="P22" s="1184">
        <f>-O21</f>
        <v>-3180351.56</v>
      </c>
      <c r="Q22" s="928"/>
      <c r="R22" s="1198"/>
      <c r="V22" s="899"/>
      <c r="X22" s="899"/>
      <c r="AD22" s="1200">
        <f>+D22</f>
        <v>-3720439.63</v>
      </c>
      <c r="AE22" s="1200">
        <f>SUM(AD21:AD22)</f>
        <v>42886.240000000224</v>
      </c>
    </row>
    <row r="23" spans="1:52">
      <c r="A23" s="830">
        <v>23</v>
      </c>
      <c r="B23" s="1181"/>
      <c r="C23" s="850" t="s">
        <v>3036</v>
      </c>
      <c r="D23" s="928">
        <f t="shared" ref="D23:M23" si="5">SUM(D20:D22)</f>
        <v>5285232.54</v>
      </c>
      <c r="E23" s="928">
        <f t="shared" si="5"/>
        <v>6604411.5800000001</v>
      </c>
      <c r="F23" s="928">
        <f t="shared" si="5"/>
        <v>4437708.2200000007</v>
      </c>
      <c r="G23" s="928">
        <f t="shared" si="5"/>
        <v>1891311.75</v>
      </c>
      <c r="H23" s="928">
        <f t="shared" si="5"/>
        <v>1365257.32</v>
      </c>
      <c r="I23" s="928">
        <f t="shared" si="5"/>
        <v>789605.39999999991</v>
      </c>
      <c r="J23" s="928">
        <f t="shared" si="5"/>
        <v>840317.54999999981</v>
      </c>
      <c r="K23" s="928">
        <f t="shared" si="5"/>
        <v>494402.92000000004</v>
      </c>
      <c r="L23" s="928">
        <f t="shared" si="5"/>
        <v>1166376.32</v>
      </c>
      <c r="M23" s="928">
        <f t="shared" si="5"/>
        <v>3015863.5199999996</v>
      </c>
      <c r="N23" s="928"/>
      <c r="O23" s="928">
        <f>SUM(O20:O22)</f>
        <v>4326604.12</v>
      </c>
      <c r="P23" s="1182">
        <f>SUM(P20:P22)</f>
        <v>5384807.0299999993</v>
      </c>
      <c r="R23" s="1172"/>
      <c r="T23" s="850"/>
      <c r="U23" s="928"/>
      <c r="V23" s="1185"/>
      <c r="X23" s="1185"/>
      <c r="AB23" s="1185"/>
    </row>
    <row r="24" spans="1:52">
      <c r="A24" s="830">
        <v>24</v>
      </c>
      <c r="B24" s="1181"/>
      <c r="C24" s="850" t="s">
        <v>3038</v>
      </c>
      <c r="D24" s="1183">
        <v>-5791265.5999999996</v>
      </c>
      <c r="E24" s="1183">
        <v>-4263336.3</v>
      </c>
      <c r="F24" s="1183">
        <v>-3903208.4</v>
      </c>
      <c r="G24" s="1183">
        <v>-2392534.44</v>
      </c>
      <c r="H24" s="1183">
        <v>-1361088.48</v>
      </c>
      <c r="I24" s="1183">
        <v>-894547.15</v>
      </c>
      <c r="J24" s="1183">
        <v>-800633.4</v>
      </c>
      <c r="K24" s="1183">
        <v>-667303</v>
      </c>
      <c r="L24" s="1183">
        <v>-988974.47</v>
      </c>
      <c r="M24" s="1183">
        <v>-2493395.34</v>
      </c>
      <c r="N24" s="1183"/>
      <c r="O24" s="1183">
        <v>-4650489.92</v>
      </c>
      <c r="P24" s="1184">
        <v>-6197203.7999999998</v>
      </c>
      <c r="R24" s="1172"/>
      <c r="AT24" s="899"/>
      <c r="AV24" s="899"/>
    </row>
    <row r="25" spans="1:52">
      <c r="A25" s="830">
        <v>25</v>
      </c>
      <c r="B25" s="1181"/>
      <c r="C25" s="850" t="s">
        <v>3039</v>
      </c>
      <c r="D25" s="928">
        <f t="shared" ref="D25:M25" si="6">SUM(D23:D24)</f>
        <v>-506033.05999999959</v>
      </c>
      <c r="E25" s="928">
        <f t="shared" si="6"/>
        <v>2341075.2800000003</v>
      </c>
      <c r="F25" s="928">
        <f t="shared" si="6"/>
        <v>534499.82000000076</v>
      </c>
      <c r="G25" s="928">
        <f t="shared" si="6"/>
        <v>-501222.68999999994</v>
      </c>
      <c r="H25" s="928">
        <f t="shared" si="6"/>
        <v>4168.8400000000838</v>
      </c>
      <c r="I25" s="928">
        <f t="shared" si="6"/>
        <v>-104941.75000000012</v>
      </c>
      <c r="J25" s="928">
        <f t="shared" si="6"/>
        <v>39684.14999999979</v>
      </c>
      <c r="K25" s="928">
        <f t="shared" si="6"/>
        <v>-172900.07999999996</v>
      </c>
      <c r="L25" s="928">
        <f t="shared" si="6"/>
        <v>177401.85000000009</v>
      </c>
      <c r="M25" s="928">
        <f t="shared" si="6"/>
        <v>522468.1799999997</v>
      </c>
      <c r="N25" s="928">
        <v>1444647.4400000013</v>
      </c>
      <c r="O25" s="928">
        <f>SUM(O23:O24)</f>
        <v>-323885.79999999981</v>
      </c>
      <c r="P25" s="1182">
        <f>SUM(P23:P24)</f>
        <v>-812396.77000000048</v>
      </c>
      <c r="R25" s="1187">
        <f>SUM(D25:Q25)-N25</f>
        <v>1197917.9700000007</v>
      </c>
      <c r="AR25" s="850"/>
      <c r="AS25" s="928"/>
      <c r="AT25" s="1185"/>
      <c r="AV25" s="1185"/>
      <c r="AZ25" s="1185"/>
    </row>
    <row r="26" spans="1:52">
      <c r="A26" s="830">
        <v>26</v>
      </c>
      <c r="B26" s="1181"/>
      <c r="C26" s="850" t="s">
        <v>3040</v>
      </c>
      <c r="D26" s="928">
        <v>-6355.66</v>
      </c>
      <c r="E26" s="928">
        <f t="shared" ref="E26:M26" si="7">ROUND(ROUND(D28*E$6,2)/365*E$7,2)</f>
        <v>-7776.67</v>
      </c>
      <c r="F26" s="928">
        <f t="shared" si="7"/>
        <v>1655.35</v>
      </c>
      <c r="G26" s="928">
        <f t="shared" si="7"/>
        <v>4087.13</v>
      </c>
      <c r="H26" s="928">
        <f t="shared" si="7"/>
        <v>1922.24</v>
      </c>
      <c r="I26" s="928">
        <f t="shared" si="7"/>
        <v>1887.52</v>
      </c>
      <c r="J26" s="928">
        <f t="shared" si="7"/>
        <v>1486.94</v>
      </c>
      <c r="K26" s="928">
        <f t="shared" si="7"/>
        <v>1679.26</v>
      </c>
      <c r="L26" s="928">
        <f t="shared" si="7"/>
        <v>851.08</v>
      </c>
      <c r="M26" s="928">
        <f t="shared" si="7"/>
        <v>1687.21</v>
      </c>
      <c r="N26" s="928">
        <v>66080.39</v>
      </c>
      <c r="O26" s="928">
        <f>ROUND(ROUND(N28*O$6,2)/365*O$7,2)</f>
        <v>10697.77</v>
      </c>
      <c r="P26" s="1182">
        <f>ROUND(ROUND(O28*P$6,2)/365*P$7,2)</f>
        <v>9612.67</v>
      </c>
      <c r="R26" s="1188">
        <f>SUM(D26:Q26)</f>
        <v>87515.23000000001</v>
      </c>
    </row>
    <row r="27" spans="1:52">
      <c r="A27" s="830">
        <v>27</v>
      </c>
      <c r="B27" s="1181"/>
      <c r="C27" s="850" t="s">
        <v>3041</v>
      </c>
      <c r="D27" s="1183">
        <f t="shared" ref="D27:P27" si="8">SUM(D25:D26)</f>
        <v>-512388.71999999956</v>
      </c>
      <c r="E27" s="1183">
        <f t="shared" si="8"/>
        <v>2333298.6100000003</v>
      </c>
      <c r="F27" s="1183">
        <f t="shared" si="8"/>
        <v>536155.17000000074</v>
      </c>
      <c r="G27" s="1183">
        <f t="shared" si="8"/>
        <v>-497135.55999999994</v>
      </c>
      <c r="H27" s="1183">
        <f t="shared" si="8"/>
        <v>6091.0800000000836</v>
      </c>
      <c r="I27" s="1183">
        <f t="shared" si="8"/>
        <v>-103054.23000000011</v>
      </c>
      <c r="J27" s="1183">
        <f t="shared" si="8"/>
        <v>41171.089999999793</v>
      </c>
      <c r="K27" s="1183">
        <f t="shared" si="8"/>
        <v>-171220.81999999995</v>
      </c>
      <c r="L27" s="1183">
        <f t="shared" si="8"/>
        <v>178252.93000000008</v>
      </c>
      <c r="M27" s="1183">
        <f t="shared" si="8"/>
        <v>524155.38999999972</v>
      </c>
      <c r="N27" s="1183">
        <f t="shared" si="8"/>
        <v>1510727.8300000012</v>
      </c>
      <c r="O27" s="1183">
        <f t="shared" si="8"/>
        <v>-313188.0299999998</v>
      </c>
      <c r="P27" s="1184">
        <f t="shared" si="8"/>
        <v>-802784.10000000044</v>
      </c>
      <c r="R27" s="1190">
        <f>SUM(R25:R26)</f>
        <v>1285433.2000000007</v>
      </c>
    </row>
    <row r="28" spans="1:52">
      <c r="A28" s="830">
        <v>28</v>
      </c>
      <c r="B28" s="1181"/>
      <c r="C28" s="850" t="s">
        <v>3042</v>
      </c>
      <c r="D28" s="928">
        <v>-1957036.1600000006</v>
      </c>
      <c r="E28" s="928">
        <f t="shared" ref="E28:P28" si="9">D28+E27</f>
        <v>376262.44999999972</v>
      </c>
      <c r="F28" s="928">
        <f t="shared" si="9"/>
        <v>912417.62000000046</v>
      </c>
      <c r="G28" s="928">
        <f t="shared" si="9"/>
        <v>415282.06000000052</v>
      </c>
      <c r="H28" s="928">
        <f t="shared" si="9"/>
        <v>421373.1400000006</v>
      </c>
      <c r="I28" s="928">
        <f t="shared" si="9"/>
        <v>318318.9100000005</v>
      </c>
      <c r="J28" s="928">
        <f t="shared" si="9"/>
        <v>359490.00000000029</v>
      </c>
      <c r="K28" s="928">
        <f t="shared" si="9"/>
        <v>188269.18000000034</v>
      </c>
      <c r="L28" s="928">
        <f t="shared" si="9"/>
        <v>366522.11000000045</v>
      </c>
      <c r="M28" s="928">
        <f t="shared" si="9"/>
        <v>890677.50000000023</v>
      </c>
      <c r="N28" s="928">
        <f t="shared" si="9"/>
        <v>2401405.3300000015</v>
      </c>
      <c r="O28" s="928">
        <f t="shared" si="9"/>
        <v>2088217.3000000017</v>
      </c>
      <c r="P28" s="1191">
        <f t="shared" si="9"/>
        <v>1285433.2000000011</v>
      </c>
      <c r="R28" s="1172"/>
      <c r="V28" s="1200">
        <f>ROUND(U33/Z33,0)</f>
        <v>190723</v>
      </c>
    </row>
    <row r="29" spans="1:52">
      <c r="A29" s="830">
        <v>29</v>
      </c>
      <c r="B29" s="1181"/>
      <c r="C29" s="850"/>
      <c r="D29" s="928"/>
      <c r="E29" s="928"/>
      <c r="F29" s="928"/>
      <c r="G29" s="928"/>
      <c r="H29" s="928"/>
      <c r="I29" s="928"/>
      <c r="J29" s="928"/>
      <c r="K29" s="928"/>
      <c r="L29" s="928"/>
      <c r="M29" s="928"/>
      <c r="N29" s="928"/>
      <c r="O29" s="928"/>
      <c r="P29" s="1182"/>
      <c r="R29" s="1172"/>
      <c r="T29" s="850"/>
      <c r="U29" s="928"/>
      <c r="V29" s="1200">
        <f>ROUND(U34/Z34,0)</f>
        <v>663264</v>
      </c>
      <c r="AR29" s="850"/>
      <c r="AS29" s="928"/>
      <c r="AT29" s="1185"/>
      <c r="AV29" s="1185"/>
      <c r="AZ29" s="1185"/>
    </row>
    <row r="30" spans="1:52">
      <c r="A30" s="830">
        <v>30</v>
      </c>
      <c r="B30" s="829" t="s">
        <v>3047</v>
      </c>
      <c r="C30" s="890">
        <v>505</v>
      </c>
      <c r="D30" s="899"/>
      <c r="E30" s="899"/>
      <c r="F30" s="928"/>
      <c r="G30" s="899"/>
      <c r="H30" s="899"/>
      <c r="I30" s="899"/>
      <c r="J30" s="899"/>
      <c r="K30" s="899"/>
      <c r="L30" s="899"/>
      <c r="M30" s="899"/>
      <c r="N30" s="899"/>
      <c r="O30" s="899"/>
      <c r="P30" s="1196"/>
      <c r="R30" s="1172"/>
      <c r="U30" s="830">
        <v>505</v>
      </c>
      <c r="V30" s="1200">
        <f>ROUND(U35/Z35,0)</f>
        <v>568662</v>
      </c>
      <c r="W30" s="1200">
        <f>SUM(V28:V30)</f>
        <v>1422649</v>
      </c>
    </row>
    <row r="31" spans="1:52" ht="15.6">
      <c r="A31" s="830">
        <v>31</v>
      </c>
      <c r="B31" s="1181" t="s">
        <v>1057</v>
      </c>
      <c r="C31" s="830" t="s">
        <v>3043</v>
      </c>
      <c r="D31" s="899">
        <v>475</v>
      </c>
      <c r="E31" s="899">
        <v>479</v>
      </c>
      <c r="F31" s="899">
        <v>478</v>
      </c>
      <c r="G31" s="899">
        <v>479</v>
      </c>
      <c r="H31" s="899">
        <v>477</v>
      </c>
      <c r="I31" s="899">
        <v>478</v>
      </c>
      <c r="J31" s="899">
        <v>478</v>
      </c>
      <c r="K31" s="899">
        <v>478</v>
      </c>
      <c r="L31" s="899">
        <v>480</v>
      </c>
      <c r="M31" s="899">
        <v>481</v>
      </c>
      <c r="N31" s="899"/>
      <c r="O31" s="899">
        <v>481</v>
      </c>
      <c r="P31" s="1196">
        <v>479</v>
      </c>
      <c r="Q31" s="1200"/>
      <c r="R31" s="1187"/>
      <c r="V31" s="1197">
        <v>1422636</v>
      </c>
      <c r="W31" s="830" t="s">
        <v>2514</v>
      </c>
      <c r="X31" s="899"/>
    </row>
    <row r="32" spans="1:52">
      <c r="A32" s="830">
        <v>32</v>
      </c>
      <c r="B32" s="1181" t="s">
        <v>3034</v>
      </c>
      <c r="C32" s="830" t="s">
        <v>3048</v>
      </c>
      <c r="D32" s="928"/>
      <c r="E32" s="928"/>
      <c r="F32" s="928"/>
      <c r="G32" s="928"/>
      <c r="H32" s="928"/>
      <c r="I32" s="928"/>
      <c r="J32" s="928"/>
      <c r="K32" s="928"/>
      <c r="L32" s="928"/>
      <c r="M32" s="928"/>
      <c r="N32" s="928"/>
      <c r="O32" s="928"/>
      <c r="P32" s="1182"/>
      <c r="Q32" s="1200"/>
      <c r="R32" s="1187"/>
      <c r="T32" s="850"/>
      <c r="U32" s="928"/>
      <c r="V32" s="1185"/>
      <c r="X32" s="1185"/>
      <c r="AB32" s="1185">
        <f>Z32-X32</f>
        <v>0</v>
      </c>
    </row>
    <row r="33" spans="1:28" ht="15.6">
      <c r="A33" s="830">
        <v>33</v>
      </c>
      <c r="B33" s="1181" t="s">
        <v>3034</v>
      </c>
      <c r="C33" s="830" t="s">
        <v>3049</v>
      </c>
      <c r="D33" s="928">
        <v>34179.919999999998</v>
      </c>
      <c r="E33" s="928">
        <v>34768.1</v>
      </c>
      <c r="F33" s="928">
        <v>36803.620000000003</v>
      </c>
      <c r="G33" s="928">
        <v>32246.880000000001</v>
      </c>
      <c r="H33" s="928">
        <v>24615.73</v>
      </c>
      <c r="I33" s="928">
        <v>18807.37</v>
      </c>
      <c r="J33" s="928">
        <v>15807.1</v>
      </c>
      <c r="K33" s="928">
        <v>15067.69</v>
      </c>
      <c r="L33" s="928">
        <v>16169.87</v>
      </c>
      <c r="M33" s="928">
        <v>23148.720000000001</v>
      </c>
      <c r="N33" s="928"/>
      <c r="O33" s="928">
        <v>30802.25</v>
      </c>
      <c r="P33" s="1182">
        <v>34046.019999999997</v>
      </c>
      <c r="Q33" s="1200"/>
      <c r="R33" s="1187"/>
      <c r="T33" s="850" t="s">
        <v>2696</v>
      </c>
      <c r="U33" s="1199">
        <v>34046.019999999997</v>
      </c>
      <c r="V33" s="1185">
        <f>U33/V28</f>
        <v>0.17851030027841422</v>
      </c>
      <c r="X33" s="1185">
        <f>U33/V28</f>
        <v>0.17851030027841422</v>
      </c>
      <c r="Z33" s="830">
        <v>0.17851</v>
      </c>
      <c r="AB33" s="1185">
        <f>Z33-X33</f>
        <v>-3.002784142169812E-7</v>
      </c>
    </row>
    <row r="34" spans="1:28" ht="15.6">
      <c r="A34" s="830">
        <v>34</v>
      </c>
      <c r="B34" s="1181" t="s">
        <v>3034</v>
      </c>
      <c r="C34" s="830" t="s">
        <v>3050</v>
      </c>
      <c r="D34" s="928">
        <v>99484.49</v>
      </c>
      <c r="E34" s="928">
        <v>102595.79</v>
      </c>
      <c r="F34" s="928">
        <v>111335.74</v>
      </c>
      <c r="G34" s="928">
        <v>83417.279999999999</v>
      </c>
      <c r="H34" s="928">
        <v>58009.41</v>
      </c>
      <c r="I34" s="928">
        <v>43411.4</v>
      </c>
      <c r="J34" s="928">
        <v>39559.06</v>
      </c>
      <c r="K34" s="928">
        <v>39455.199999999997</v>
      </c>
      <c r="L34" s="928">
        <v>42494.6</v>
      </c>
      <c r="M34" s="928">
        <v>57638.77</v>
      </c>
      <c r="N34" s="928"/>
      <c r="O34" s="928">
        <v>77630.990000000005</v>
      </c>
      <c r="P34" s="1182">
        <v>95888.08</v>
      </c>
      <c r="Q34" s="1200"/>
      <c r="R34" s="1187"/>
      <c r="T34" s="850" t="s">
        <v>2696</v>
      </c>
      <c r="U34" s="1199">
        <v>95888.08</v>
      </c>
      <c r="V34" s="1185">
        <f>U34/V29</f>
        <v>0.14457000530708738</v>
      </c>
      <c r="X34" s="1185">
        <f>U34/V29</f>
        <v>0.14457000530708738</v>
      </c>
      <c r="Z34" s="830">
        <v>0.14457</v>
      </c>
      <c r="AB34" s="1185">
        <f>Z34-X34</f>
        <v>-5.3070873806682073E-9</v>
      </c>
    </row>
    <row r="35" spans="1:28" ht="15.6">
      <c r="A35" s="830">
        <v>35</v>
      </c>
      <c r="B35" s="1181" t="s">
        <v>3034</v>
      </c>
      <c r="C35" s="830" t="s">
        <v>3051</v>
      </c>
      <c r="D35" s="1183">
        <v>77265.63</v>
      </c>
      <c r="E35" s="1183">
        <v>99244.05</v>
      </c>
      <c r="F35" s="1183">
        <v>114125.53</v>
      </c>
      <c r="G35" s="1183">
        <v>79991.960000000006</v>
      </c>
      <c r="H35" s="1183">
        <v>34962.5</v>
      </c>
      <c r="I35" s="1183">
        <v>24179.84</v>
      </c>
      <c r="J35" s="1183">
        <v>24400.73</v>
      </c>
      <c r="K35" s="1183">
        <v>28876.22</v>
      </c>
      <c r="L35" s="1183">
        <v>37296.03</v>
      </c>
      <c r="M35" s="1183">
        <v>104021.38</v>
      </c>
      <c r="N35" s="1183"/>
      <c r="O35" s="1183">
        <v>62623.06</v>
      </c>
      <c r="P35" s="1184">
        <v>79294.2</v>
      </c>
      <c r="Q35" s="1200"/>
      <c r="R35" s="1187"/>
      <c r="T35" s="850" t="s">
        <v>2696</v>
      </c>
      <c r="U35" s="1199">
        <v>79294.2</v>
      </c>
      <c r="V35" s="1185">
        <f>U35/V30</f>
        <v>0.13943994851071462</v>
      </c>
      <c r="X35" s="1185">
        <f>U35/V30</f>
        <v>0.13943994851071462</v>
      </c>
      <c r="Z35" s="830">
        <v>0.13944000000000001</v>
      </c>
      <c r="AB35" s="1185">
        <f>Z35-X35</f>
        <v>5.1489285390893258E-8</v>
      </c>
    </row>
    <row r="36" spans="1:28" ht="15.6">
      <c r="A36" s="830">
        <v>36</v>
      </c>
      <c r="B36" s="1181"/>
      <c r="C36" s="850" t="s">
        <v>3036</v>
      </c>
      <c r="D36" s="928">
        <f t="shared" ref="D36:M36" si="10">SUM(D32:D35)</f>
        <v>210930.04</v>
      </c>
      <c r="E36" s="928">
        <f t="shared" si="10"/>
        <v>236607.94</v>
      </c>
      <c r="F36" s="928">
        <f t="shared" si="10"/>
        <v>262264.89</v>
      </c>
      <c r="G36" s="928">
        <f t="shared" si="10"/>
        <v>195656.12</v>
      </c>
      <c r="H36" s="928">
        <f t="shared" si="10"/>
        <v>117587.64</v>
      </c>
      <c r="I36" s="928">
        <f t="shared" si="10"/>
        <v>86398.61</v>
      </c>
      <c r="J36" s="928">
        <f t="shared" si="10"/>
        <v>79766.89</v>
      </c>
      <c r="K36" s="928">
        <f t="shared" si="10"/>
        <v>83399.11</v>
      </c>
      <c r="L36" s="928">
        <f t="shared" si="10"/>
        <v>95960.5</v>
      </c>
      <c r="M36" s="928">
        <f t="shared" si="10"/>
        <v>184808.87</v>
      </c>
      <c r="N36" s="928"/>
      <c r="O36" s="928">
        <f>SUM(O32:O35)</f>
        <v>171056.3</v>
      </c>
      <c r="P36" s="1191">
        <f>SUM(P32:P35)</f>
        <v>209228.3</v>
      </c>
      <c r="R36" s="1172"/>
      <c r="T36" s="850" t="s">
        <v>2650</v>
      </c>
      <c r="U36" s="1199">
        <v>600205.28</v>
      </c>
      <c r="V36" s="1185">
        <f>U36/V31</f>
        <v>0.42189659196027657</v>
      </c>
      <c r="X36" s="1185">
        <f>U36/V31</f>
        <v>0.42189659196027657</v>
      </c>
      <c r="Z36" s="1201">
        <v>0.42197000000000001</v>
      </c>
      <c r="AB36" s="1185">
        <f>Z36-X36</f>
        <v>7.3408039723443785E-5</v>
      </c>
    </row>
    <row r="37" spans="1:28">
      <c r="A37" s="830">
        <v>37</v>
      </c>
      <c r="B37" s="1181"/>
      <c r="C37" s="850" t="s">
        <v>3038</v>
      </c>
      <c r="D37" s="1183">
        <v>-236659.25</v>
      </c>
      <c r="E37" s="1183">
        <v>-202674.48</v>
      </c>
      <c r="F37" s="1183">
        <v>-190196.2</v>
      </c>
      <c r="G37" s="1183">
        <v>-138483.69</v>
      </c>
      <c r="H37" s="1183">
        <v>-100274.94</v>
      </c>
      <c r="I37" s="1183">
        <v>-90595.34</v>
      </c>
      <c r="J37" s="1183">
        <v>-72895</v>
      </c>
      <c r="K37" s="1183">
        <v>-77163.539999999994</v>
      </c>
      <c r="L37" s="1183">
        <v>-100656</v>
      </c>
      <c r="M37" s="1183">
        <v>-171846.87</v>
      </c>
      <c r="N37" s="1183"/>
      <c r="O37" s="1183">
        <v>-148162.43</v>
      </c>
      <c r="P37" s="1184">
        <v>-206175.97</v>
      </c>
      <c r="R37" s="1172"/>
    </row>
    <row r="38" spans="1:28">
      <c r="A38" s="830">
        <v>38</v>
      </c>
      <c r="B38" s="1181"/>
      <c r="C38" s="850" t="s">
        <v>3039</v>
      </c>
      <c r="D38" s="928">
        <f t="shared" ref="D38:M38" si="11">SUM(D36:D37)</f>
        <v>-25729.209999999992</v>
      </c>
      <c r="E38" s="928">
        <f t="shared" si="11"/>
        <v>33933.459999999992</v>
      </c>
      <c r="F38" s="928">
        <f t="shared" si="11"/>
        <v>72068.69</v>
      </c>
      <c r="G38" s="928">
        <f t="shared" si="11"/>
        <v>57172.429999999993</v>
      </c>
      <c r="H38" s="928">
        <f t="shared" si="11"/>
        <v>17312.699999999997</v>
      </c>
      <c r="I38" s="928">
        <f t="shared" si="11"/>
        <v>-4196.7299999999959</v>
      </c>
      <c r="J38" s="928">
        <f t="shared" si="11"/>
        <v>6871.8899999999994</v>
      </c>
      <c r="K38" s="928">
        <f t="shared" si="11"/>
        <v>6235.570000000007</v>
      </c>
      <c r="L38" s="928">
        <f t="shared" si="11"/>
        <v>-4695.5</v>
      </c>
      <c r="M38" s="928">
        <f t="shared" si="11"/>
        <v>12962</v>
      </c>
      <c r="N38" s="928">
        <v>-7433.6600000000544</v>
      </c>
      <c r="O38" s="928">
        <f>SUM(O36:O37)</f>
        <v>22893.869999999995</v>
      </c>
      <c r="P38" s="1182">
        <f>SUM(P36:P37)</f>
        <v>3052.3299999999872</v>
      </c>
      <c r="R38" s="1187">
        <f>SUM(D38:Q38)-N38</f>
        <v>197881.50000000003</v>
      </c>
    </row>
    <row r="39" spans="1:28">
      <c r="A39" s="830">
        <v>39</v>
      </c>
      <c r="B39" s="1181"/>
      <c r="C39" s="850" t="s">
        <v>3040</v>
      </c>
      <c r="D39" s="928">
        <v>32.700000000000003</v>
      </c>
      <c r="E39" s="928">
        <f t="shared" ref="E39:M39" si="12">ROUND(ROUND(D41*E$6,2)/365*E$7,2)</f>
        <v>-72.569999999999993</v>
      </c>
      <c r="F39" s="928">
        <f t="shared" si="12"/>
        <v>68.62</v>
      </c>
      <c r="G39" s="928">
        <f t="shared" si="12"/>
        <v>393.01</v>
      </c>
      <c r="H39" s="928">
        <f t="shared" si="12"/>
        <v>672.56</v>
      </c>
      <c r="I39" s="928">
        <f t="shared" si="12"/>
        <v>731.43</v>
      </c>
      <c r="J39" s="928">
        <f t="shared" si="12"/>
        <v>746.56</v>
      </c>
      <c r="K39" s="928">
        <f t="shared" si="12"/>
        <v>782.15</v>
      </c>
      <c r="L39" s="928">
        <f t="shared" si="12"/>
        <v>788.64</v>
      </c>
      <c r="M39" s="928">
        <f t="shared" si="12"/>
        <v>785.09</v>
      </c>
      <c r="N39" s="928">
        <v>-340.03</v>
      </c>
      <c r="O39" s="928">
        <f>ROUND(ROUND(N41*O$6,2)/365*O$7,2)</f>
        <v>786.38</v>
      </c>
      <c r="P39" s="1182">
        <f>ROUND(ROUND(O41*P$6,2)/365*P$7,2)</f>
        <v>921.6</v>
      </c>
      <c r="R39" s="1188">
        <f>SUM(D39:Q39)</f>
        <v>6296.1400000000012</v>
      </c>
    </row>
    <row r="40" spans="1:28">
      <c r="A40" s="830">
        <v>40</v>
      </c>
      <c r="B40" s="1181"/>
      <c r="C40" s="850" t="s">
        <v>3041</v>
      </c>
      <c r="D40" s="1183">
        <f t="shared" ref="D40:P40" si="13">SUM(D38:D39)</f>
        <v>-25696.509999999991</v>
      </c>
      <c r="E40" s="1183">
        <f t="shared" si="13"/>
        <v>33860.889999999992</v>
      </c>
      <c r="F40" s="1183">
        <f t="shared" si="13"/>
        <v>72137.31</v>
      </c>
      <c r="G40" s="1183">
        <f t="shared" si="13"/>
        <v>57565.439999999995</v>
      </c>
      <c r="H40" s="1183">
        <f t="shared" si="13"/>
        <v>17985.259999999998</v>
      </c>
      <c r="I40" s="1183">
        <f t="shared" si="13"/>
        <v>-3465.2999999999961</v>
      </c>
      <c r="J40" s="1183">
        <f t="shared" si="13"/>
        <v>7618.4499999999989</v>
      </c>
      <c r="K40" s="1183">
        <f t="shared" si="13"/>
        <v>7017.7200000000066</v>
      </c>
      <c r="L40" s="1183">
        <f t="shared" si="13"/>
        <v>-3906.86</v>
      </c>
      <c r="M40" s="1183">
        <f t="shared" si="13"/>
        <v>13747.09</v>
      </c>
      <c r="N40" s="1183">
        <f t="shared" si="13"/>
        <v>-7773.6900000000542</v>
      </c>
      <c r="O40" s="1183">
        <f t="shared" si="13"/>
        <v>23680.249999999996</v>
      </c>
      <c r="P40" s="1184">
        <f t="shared" si="13"/>
        <v>3973.9299999999871</v>
      </c>
      <c r="R40" s="1190">
        <f>SUM(R38:R39)</f>
        <v>204177.64000000004</v>
      </c>
    </row>
    <row r="41" spans="1:28">
      <c r="A41" s="830">
        <v>41</v>
      </c>
      <c r="B41" s="1181"/>
      <c r="C41" s="850" t="s">
        <v>3042</v>
      </c>
      <c r="D41" s="928">
        <v>-18262.849999999926</v>
      </c>
      <c r="E41" s="928">
        <f t="shared" ref="E41:P41" si="14">D41+E40</f>
        <v>15598.040000000066</v>
      </c>
      <c r="F41" s="928">
        <f t="shared" si="14"/>
        <v>87735.350000000064</v>
      </c>
      <c r="G41" s="928">
        <f t="shared" si="14"/>
        <v>145300.79000000007</v>
      </c>
      <c r="H41" s="928">
        <f t="shared" si="14"/>
        <v>163286.05000000008</v>
      </c>
      <c r="I41" s="928">
        <f t="shared" si="14"/>
        <v>159820.75000000009</v>
      </c>
      <c r="J41" s="928">
        <f t="shared" si="14"/>
        <v>167439.2000000001</v>
      </c>
      <c r="K41" s="928">
        <f t="shared" si="14"/>
        <v>174456.9200000001</v>
      </c>
      <c r="L41" s="928">
        <f t="shared" si="14"/>
        <v>170550.06000000011</v>
      </c>
      <c r="M41" s="928">
        <f t="shared" si="14"/>
        <v>184297.15000000011</v>
      </c>
      <c r="N41" s="928">
        <f t="shared" si="14"/>
        <v>176523.46000000005</v>
      </c>
      <c r="O41" s="928">
        <f t="shared" si="14"/>
        <v>200203.71000000005</v>
      </c>
      <c r="P41" s="1191">
        <f t="shared" si="14"/>
        <v>204177.64000000004</v>
      </c>
      <c r="R41" s="1172"/>
      <c r="V41" s="1200">
        <f>ROUND(U46/Z46,0)</f>
        <v>194349</v>
      </c>
    </row>
    <row r="42" spans="1:28">
      <c r="A42" s="830">
        <v>42</v>
      </c>
      <c r="B42" s="1181"/>
      <c r="C42" s="850"/>
      <c r="D42" s="928"/>
      <c r="E42" s="928"/>
      <c r="F42" s="928"/>
      <c r="G42" s="928"/>
      <c r="H42" s="928"/>
      <c r="I42" s="928"/>
      <c r="J42" s="928"/>
      <c r="K42" s="928"/>
      <c r="L42" s="928"/>
      <c r="M42" s="928"/>
      <c r="N42" s="928"/>
      <c r="O42" s="928"/>
      <c r="P42" s="1182"/>
      <c r="R42" s="1172"/>
      <c r="T42" s="850"/>
      <c r="U42" s="928"/>
      <c r="V42" s="1200">
        <f>ROUND(U47/Z47,0)</f>
        <v>150108</v>
      </c>
    </row>
    <row r="43" spans="1:28">
      <c r="A43" s="830">
        <v>43</v>
      </c>
      <c r="B43" s="829" t="s">
        <v>3047</v>
      </c>
      <c r="C43" s="890">
        <v>511</v>
      </c>
      <c r="D43" s="899"/>
      <c r="E43" s="899"/>
      <c r="F43" s="928"/>
      <c r="G43" s="899"/>
      <c r="H43" s="899"/>
      <c r="I43" s="899"/>
      <c r="J43" s="899"/>
      <c r="K43" s="899"/>
      <c r="L43" s="899"/>
      <c r="M43" s="899"/>
      <c r="N43" s="899"/>
      <c r="O43" s="899"/>
      <c r="P43" s="1196"/>
      <c r="R43" s="1172"/>
      <c r="U43" s="830">
        <v>511</v>
      </c>
      <c r="V43" s="1200">
        <f>ROUND(U48/Z48,0)</f>
        <v>30410</v>
      </c>
      <c r="W43" s="1200">
        <f>SUM(V41:V43)</f>
        <v>374867</v>
      </c>
    </row>
    <row r="44" spans="1:28" ht="15.6">
      <c r="A44" s="830">
        <v>44</v>
      </c>
      <c r="B44" s="1181" t="s">
        <v>1057</v>
      </c>
      <c r="C44" s="830" t="s">
        <v>3043</v>
      </c>
      <c r="D44" s="899">
        <v>13</v>
      </c>
      <c r="E44" s="899">
        <v>13</v>
      </c>
      <c r="F44" s="899">
        <v>13</v>
      </c>
      <c r="G44" s="899">
        <v>12</v>
      </c>
      <c r="H44" s="899">
        <v>11</v>
      </c>
      <c r="I44" s="899">
        <v>11</v>
      </c>
      <c r="J44" s="899">
        <v>12</v>
      </c>
      <c r="K44" s="899">
        <v>14</v>
      </c>
      <c r="L44" s="899">
        <v>14</v>
      </c>
      <c r="M44" s="899">
        <v>14</v>
      </c>
      <c r="N44" s="899"/>
      <c r="O44" s="899">
        <v>15</v>
      </c>
      <c r="P44" s="1196">
        <v>15</v>
      </c>
      <c r="Q44" s="1200"/>
      <c r="R44" s="1187"/>
      <c r="V44" s="1197">
        <v>368658</v>
      </c>
      <c r="W44" s="830" t="s">
        <v>2514</v>
      </c>
      <c r="X44" s="899"/>
    </row>
    <row r="45" spans="1:28">
      <c r="A45" s="830">
        <v>45</v>
      </c>
      <c r="B45" s="1181" t="s">
        <v>3034</v>
      </c>
      <c r="C45" s="830" t="s">
        <v>3048</v>
      </c>
      <c r="D45" s="928"/>
      <c r="E45" s="928"/>
      <c r="F45" s="928"/>
      <c r="G45" s="928"/>
      <c r="H45" s="928"/>
      <c r="I45" s="928"/>
      <c r="J45" s="928"/>
      <c r="K45" s="928"/>
      <c r="L45" s="928"/>
      <c r="M45" s="928"/>
      <c r="N45" s="928"/>
      <c r="O45" s="928"/>
      <c r="P45" s="1182"/>
      <c r="Q45" s="1200"/>
      <c r="R45" s="1187"/>
      <c r="T45" s="850"/>
      <c r="U45" s="928"/>
      <c r="V45" s="1185"/>
      <c r="X45" s="1185"/>
      <c r="AB45" s="1185">
        <f>Z45-X45</f>
        <v>0</v>
      </c>
    </row>
    <row r="46" spans="1:28" ht="15.6">
      <c r="A46" s="830">
        <v>46</v>
      </c>
      <c r="B46" s="1181" t="s">
        <v>3034</v>
      </c>
      <c r="C46" s="830" t="s">
        <v>3052</v>
      </c>
      <c r="D46" s="928">
        <v>24408.720000000001</v>
      </c>
      <c r="E46" s="928">
        <v>24347.09</v>
      </c>
      <c r="F46" s="928">
        <v>26046.639999999999</v>
      </c>
      <c r="G46" s="928">
        <v>21717.279999999999</v>
      </c>
      <c r="H46" s="928">
        <v>16779</v>
      </c>
      <c r="I46" s="928">
        <v>15091.22</v>
      </c>
      <c r="J46" s="928">
        <v>17932.71</v>
      </c>
      <c r="K46" s="928">
        <v>18108.96</v>
      </c>
      <c r="L46" s="928">
        <v>18207.560000000001</v>
      </c>
      <c r="M46" s="928">
        <v>26756.82</v>
      </c>
      <c r="N46" s="928"/>
      <c r="O46" s="928">
        <v>26775.89</v>
      </c>
      <c r="P46" s="1182">
        <v>27850.22</v>
      </c>
      <c r="Q46" s="1200"/>
      <c r="R46" s="1187"/>
      <c r="T46" s="850" t="s">
        <v>2696</v>
      </c>
      <c r="U46" s="1199">
        <v>27850.22</v>
      </c>
      <c r="V46" s="1185">
        <f>U46/V41</f>
        <v>0.14330004270667718</v>
      </c>
      <c r="X46" s="1185">
        <f>U46/V41</f>
        <v>0.14330004270667718</v>
      </c>
      <c r="Z46" s="1201">
        <v>0.14330000000000001</v>
      </c>
      <c r="AB46" s="1185">
        <f>Z46-X46</f>
        <v>-4.270667716688159E-8</v>
      </c>
    </row>
    <row r="47" spans="1:28" ht="15.6">
      <c r="A47" s="830">
        <v>47</v>
      </c>
      <c r="B47" s="1181" t="s">
        <v>3034</v>
      </c>
      <c r="C47" s="830" t="s">
        <v>3053</v>
      </c>
      <c r="D47" s="928">
        <v>17642.72</v>
      </c>
      <c r="E47" s="928">
        <v>17141.97</v>
      </c>
      <c r="F47" s="928">
        <v>17869.32</v>
      </c>
      <c r="G47" s="928">
        <v>18878.98</v>
      </c>
      <c r="H47" s="928">
        <v>15487.99</v>
      </c>
      <c r="I47" s="928">
        <v>14520.07</v>
      </c>
      <c r="J47" s="928">
        <v>14364.33</v>
      </c>
      <c r="K47" s="928">
        <v>18497.830000000002</v>
      </c>
      <c r="L47" s="928">
        <v>17425.45</v>
      </c>
      <c r="M47" s="928">
        <v>22192.17</v>
      </c>
      <c r="N47" s="928"/>
      <c r="O47" s="928">
        <v>24679.29</v>
      </c>
      <c r="P47" s="1182">
        <v>16487.87</v>
      </c>
      <c r="Q47" s="1200"/>
      <c r="R47" s="1187"/>
      <c r="T47" s="850" t="s">
        <v>2696</v>
      </c>
      <c r="U47" s="1199">
        <v>16487.87</v>
      </c>
      <c r="V47" s="1185">
        <f>U47/V42</f>
        <v>0.10984004849841447</v>
      </c>
      <c r="X47" s="1185">
        <f>U47/V42</f>
        <v>0.10984004849841447</v>
      </c>
      <c r="Z47" s="830">
        <v>0.10983999999999999</v>
      </c>
      <c r="AB47" s="1185">
        <f>Z47-X47</f>
        <v>-4.8498414478848062E-8</v>
      </c>
    </row>
    <row r="48" spans="1:28" ht="15.6">
      <c r="A48" s="830">
        <v>48</v>
      </c>
      <c r="B48" s="1181" t="s">
        <v>3034</v>
      </c>
      <c r="C48" s="830" t="s">
        <v>3054</v>
      </c>
      <c r="D48" s="1183">
        <v>0</v>
      </c>
      <c r="E48" s="1183">
        <v>0</v>
      </c>
      <c r="F48" s="1183">
        <v>0</v>
      </c>
      <c r="G48" s="1183">
        <v>423.17</v>
      </c>
      <c r="H48" s="1183">
        <v>259.12</v>
      </c>
      <c r="I48" s="1183">
        <v>1016.82</v>
      </c>
      <c r="J48" s="1183">
        <v>1606.73</v>
      </c>
      <c r="K48" s="1183">
        <v>1540.8</v>
      </c>
      <c r="L48" s="1183">
        <v>952.08</v>
      </c>
      <c r="M48" s="1183">
        <v>1230.6199999999999</v>
      </c>
      <c r="N48" s="1183"/>
      <c r="O48" s="1183">
        <v>2046.46</v>
      </c>
      <c r="P48" s="1184">
        <v>823.81</v>
      </c>
      <c r="Q48" s="1200"/>
      <c r="R48" s="1187"/>
      <c r="T48" s="850" t="s">
        <v>2696</v>
      </c>
      <c r="U48" s="1199">
        <v>823.81</v>
      </c>
      <c r="V48" s="1185">
        <f>U48/V43</f>
        <v>2.7090101940151264E-2</v>
      </c>
      <c r="X48" s="1185">
        <f>U48/V43</f>
        <v>2.7090101940151264E-2</v>
      </c>
      <c r="Z48" s="830">
        <v>2.7089999999999999E-2</v>
      </c>
      <c r="AB48" s="1185">
        <f>Z48-X48</f>
        <v>-1.0194015126474554E-7</v>
      </c>
    </row>
    <row r="49" spans="1:31" ht="15.6">
      <c r="A49" s="830">
        <v>49</v>
      </c>
      <c r="B49" s="1181"/>
      <c r="C49" s="850" t="s">
        <v>3036</v>
      </c>
      <c r="D49" s="928">
        <f t="shared" ref="D49:M49" si="15">SUM(D45:D48)</f>
        <v>42051.44</v>
      </c>
      <c r="E49" s="928">
        <f t="shared" si="15"/>
        <v>41489.06</v>
      </c>
      <c r="F49" s="928">
        <f t="shared" si="15"/>
        <v>43915.96</v>
      </c>
      <c r="G49" s="928">
        <f t="shared" si="15"/>
        <v>41019.429999999993</v>
      </c>
      <c r="H49" s="928">
        <f t="shared" si="15"/>
        <v>32526.109999999997</v>
      </c>
      <c r="I49" s="928">
        <f t="shared" si="15"/>
        <v>30628.11</v>
      </c>
      <c r="J49" s="928">
        <f t="shared" si="15"/>
        <v>33903.770000000004</v>
      </c>
      <c r="K49" s="928">
        <f t="shared" si="15"/>
        <v>38147.590000000004</v>
      </c>
      <c r="L49" s="928">
        <f t="shared" si="15"/>
        <v>36585.090000000004</v>
      </c>
      <c r="M49" s="928">
        <f t="shared" si="15"/>
        <v>50179.61</v>
      </c>
      <c r="N49" s="928"/>
      <c r="O49" s="928">
        <f>SUM(O45:O48)</f>
        <v>53501.64</v>
      </c>
      <c r="P49" s="1191">
        <f>SUM(P45:P48)</f>
        <v>45161.899999999994</v>
      </c>
      <c r="R49" s="1172"/>
      <c r="T49" s="850" t="s">
        <v>2650</v>
      </c>
      <c r="U49" s="1199">
        <v>158168.07999999999</v>
      </c>
      <c r="V49" s="1185">
        <f>U49/V44</f>
        <v>0.42903742764296443</v>
      </c>
      <c r="X49" s="1185">
        <f>U49/V44</f>
        <v>0.42903742764296443</v>
      </c>
      <c r="Z49" s="1201">
        <v>0.42197000000000001</v>
      </c>
      <c r="AB49" s="1185">
        <f>Z49-X49</f>
        <v>-7.0674276429644189E-3</v>
      </c>
    </row>
    <row r="50" spans="1:31">
      <c r="A50" s="830">
        <v>50</v>
      </c>
      <c r="B50" s="1181"/>
      <c r="C50" s="850" t="s">
        <v>3038</v>
      </c>
      <c r="D50" s="1183">
        <v>-27464.58</v>
      </c>
      <c r="E50" s="1183">
        <v>-22140.3</v>
      </c>
      <c r="F50" s="1183">
        <v>-27445.86</v>
      </c>
      <c r="G50" s="1183">
        <v>-15686.52</v>
      </c>
      <c r="H50" s="1183">
        <v>-8773.82</v>
      </c>
      <c r="I50" s="1183">
        <v>-9574.73</v>
      </c>
      <c r="J50" s="1183">
        <v>-6888</v>
      </c>
      <c r="K50" s="1183">
        <v>-11372.34</v>
      </c>
      <c r="L50" s="1183">
        <v>-10659.32</v>
      </c>
      <c r="M50" s="1183">
        <v>-12106.08</v>
      </c>
      <c r="N50" s="1183"/>
      <c r="O50" s="1183">
        <v>-17439.3</v>
      </c>
      <c r="P50" s="1184">
        <v>-28242.9</v>
      </c>
      <c r="R50" s="1172"/>
    </row>
    <row r="51" spans="1:31">
      <c r="A51" s="830">
        <v>51</v>
      </c>
      <c r="B51" s="1181"/>
      <c r="C51" s="850" t="s">
        <v>3039</v>
      </c>
      <c r="D51" s="928">
        <f t="shared" ref="D51:M51" si="16">SUM(D49:D50)</f>
        <v>14586.86</v>
      </c>
      <c r="E51" s="928">
        <f t="shared" si="16"/>
        <v>19348.759999999998</v>
      </c>
      <c r="F51" s="928">
        <f t="shared" si="16"/>
        <v>16470.099999999999</v>
      </c>
      <c r="G51" s="928">
        <f t="shared" si="16"/>
        <v>25332.909999999993</v>
      </c>
      <c r="H51" s="928">
        <f t="shared" si="16"/>
        <v>23752.289999999997</v>
      </c>
      <c r="I51" s="928">
        <f t="shared" si="16"/>
        <v>21053.38</v>
      </c>
      <c r="J51" s="928">
        <f t="shared" si="16"/>
        <v>27015.770000000004</v>
      </c>
      <c r="K51" s="928">
        <f t="shared" si="16"/>
        <v>26775.250000000004</v>
      </c>
      <c r="L51" s="928">
        <f t="shared" si="16"/>
        <v>25925.770000000004</v>
      </c>
      <c r="M51" s="928">
        <f t="shared" si="16"/>
        <v>38073.53</v>
      </c>
      <c r="N51" s="928">
        <v>-245706.20000000004</v>
      </c>
      <c r="O51" s="928">
        <f>SUM(O49:O50)</f>
        <v>36062.339999999997</v>
      </c>
      <c r="P51" s="1182">
        <f>SUM(P49:P50)</f>
        <v>16918.999999999993</v>
      </c>
      <c r="R51" s="1187">
        <f>SUM(D51:Q51)-N51</f>
        <v>291315.96000000002</v>
      </c>
    </row>
    <row r="52" spans="1:31">
      <c r="A52" s="830">
        <v>52</v>
      </c>
      <c r="B52" s="1181"/>
      <c r="C52" s="850" t="s">
        <v>3040</v>
      </c>
      <c r="D52" s="928">
        <v>1080.97</v>
      </c>
      <c r="E52" s="928">
        <f t="shared" ref="E52:M52" si="17">ROUND(ROUND(D54*E$6,2)/365*E$7,2)</f>
        <v>1038.6199999999999</v>
      </c>
      <c r="F52" s="928">
        <f t="shared" si="17"/>
        <v>1239.5999999999999</v>
      </c>
      <c r="G52" s="928">
        <f t="shared" si="17"/>
        <v>1341.47</v>
      </c>
      <c r="H52" s="928">
        <f t="shared" si="17"/>
        <v>1509.65</v>
      </c>
      <c r="I52" s="928">
        <f t="shared" si="17"/>
        <v>1574.11</v>
      </c>
      <c r="J52" s="928">
        <f t="shared" si="17"/>
        <v>1747.2</v>
      </c>
      <c r="K52" s="928">
        <f t="shared" si="17"/>
        <v>1881.56</v>
      </c>
      <c r="L52" s="928">
        <f t="shared" si="17"/>
        <v>1950.41</v>
      </c>
      <c r="M52" s="928">
        <f t="shared" si="17"/>
        <v>2114.4299999999998</v>
      </c>
      <c r="N52" s="928">
        <v>-11238.970000000001</v>
      </c>
      <c r="O52" s="928">
        <f>ROUND(ROUND(N54*O$6,2)/365*O$7,2)</f>
        <v>1080.6199999999999</v>
      </c>
      <c r="P52" s="1182">
        <f>ROUND(ROUND(O54*P$6,2)/365*P$7,2)</f>
        <v>1287.6199999999999</v>
      </c>
      <c r="R52" s="1188">
        <f>SUM(D52:Q52)</f>
        <v>6607.2899999999972</v>
      </c>
    </row>
    <row r="53" spans="1:31">
      <c r="A53" s="830">
        <v>53</v>
      </c>
      <c r="B53" s="1181"/>
      <c r="C53" s="850" t="s">
        <v>3041</v>
      </c>
      <c r="D53" s="1183">
        <f t="shared" ref="D53:P53" si="18">SUM(D51:D52)</f>
        <v>15667.83</v>
      </c>
      <c r="E53" s="1183">
        <f t="shared" si="18"/>
        <v>20387.379999999997</v>
      </c>
      <c r="F53" s="1183">
        <f t="shared" si="18"/>
        <v>17709.699999999997</v>
      </c>
      <c r="G53" s="1183">
        <f t="shared" si="18"/>
        <v>26674.379999999994</v>
      </c>
      <c r="H53" s="1183">
        <f t="shared" si="18"/>
        <v>25261.94</v>
      </c>
      <c r="I53" s="1183">
        <f t="shared" si="18"/>
        <v>22627.49</v>
      </c>
      <c r="J53" s="1183">
        <f t="shared" si="18"/>
        <v>28762.970000000005</v>
      </c>
      <c r="K53" s="1183">
        <f t="shared" si="18"/>
        <v>28656.810000000005</v>
      </c>
      <c r="L53" s="1183">
        <f t="shared" si="18"/>
        <v>27876.180000000004</v>
      </c>
      <c r="M53" s="1183">
        <f t="shared" si="18"/>
        <v>40187.96</v>
      </c>
      <c r="N53" s="1183">
        <f t="shared" si="18"/>
        <v>-256945.17000000004</v>
      </c>
      <c r="O53" s="1183">
        <f t="shared" si="18"/>
        <v>37142.959999999999</v>
      </c>
      <c r="P53" s="1184">
        <f t="shared" si="18"/>
        <v>18206.619999999992</v>
      </c>
      <c r="R53" s="1190">
        <f>SUM(R51:R52)</f>
        <v>297923.25</v>
      </c>
    </row>
    <row r="54" spans="1:31" ht="15" thickBot="1">
      <c r="A54" s="830">
        <v>54</v>
      </c>
      <c r="B54" s="1181"/>
      <c r="C54" s="1202" t="s">
        <v>3042</v>
      </c>
      <c r="D54" s="1203">
        <v>261374.02999999997</v>
      </c>
      <c r="E54" s="1203">
        <f t="shared" ref="E54:P54" si="19">D54+E53</f>
        <v>281761.40999999997</v>
      </c>
      <c r="F54" s="1203">
        <f t="shared" si="19"/>
        <v>299471.11</v>
      </c>
      <c r="G54" s="1203">
        <f t="shared" si="19"/>
        <v>326145.49</v>
      </c>
      <c r="H54" s="1203">
        <f t="shared" si="19"/>
        <v>351407.43</v>
      </c>
      <c r="I54" s="1203">
        <f t="shared" si="19"/>
        <v>374034.92</v>
      </c>
      <c r="J54" s="1203">
        <f t="shared" si="19"/>
        <v>402797.89</v>
      </c>
      <c r="K54" s="1204">
        <f t="shared" si="19"/>
        <v>431454.7</v>
      </c>
      <c r="L54" s="928">
        <f t="shared" si="19"/>
        <v>459330.88</v>
      </c>
      <c r="M54" s="928">
        <f t="shared" si="19"/>
        <v>499518.84</v>
      </c>
      <c r="N54" s="928">
        <f t="shared" si="19"/>
        <v>242573.66999999998</v>
      </c>
      <c r="O54" s="928">
        <f t="shared" si="19"/>
        <v>279716.63</v>
      </c>
      <c r="P54" s="1191">
        <f t="shared" si="19"/>
        <v>297923.25</v>
      </c>
      <c r="Q54" s="1172"/>
      <c r="R54" s="1172"/>
    </row>
    <row r="55" spans="1:31" ht="15" thickBot="1">
      <c r="A55" s="830">
        <v>55</v>
      </c>
      <c r="B55" s="1205"/>
      <c r="D55" s="899"/>
      <c r="E55" s="899"/>
      <c r="F55" s="928"/>
      <c r="G55" s="899"/>
      <c r="H55" s="899"/>
      <c r="I55" s="899"/>
      <c r="J55" s="899"/>
      <c r="K55" s="1206"/>
      <c r="L55" s="1206"/>
      <c r="M55" s="1206"/>
      <c r="N55" s="1206"/>
      <c r="O55" s="1206"/>
      <c r="P55" s="1206"/>
      <c r="Q55" s="1207"/>
      <c r="R55" s="832"/>
    </row>
    <row r="56" spans="1:31">
      <c r="A56" s="830">
        <v>56</v>
      </c>
      <c r="B56" s="831" t="s">
        <v>3055</v>
      </c>
      <c r="C56" s="1205" t="s">
        <v>3056</v>
      </c>
      <c r="D56" s="1206"/>
      <c r="E56" s="1206"/>
      <c r="F56" s="1208"/>
      <c r="G56" s="1206"/>
      <c r="H56" s="1206"/>
      <c r="I56" s="1206"/>
      <c r="J56" s="1206"/>
      <c r="K56" s="1206"/>
      <c r="L56" s="1206"/>
      <c r="M56" s="1206"/>
      <c r="N56" s="1206"/>
      <c r="O56" s="1206"/>
      <c r="P56" s="1209"/>
      <c r="Q56" s="832"/>
      <c r="R56" s="1210"/>
      <c r="T56" s="830">
        <v>504</v>
      </c>
      <c r="U56" s="850" t="s">
        <v>3056</v>
      </c>
    </row>
    <row r="57" spans="1:31" ht="15.6">
      <c r="A57" s="830">
        <v>57</v>
      </c>
      <c r="B57" s="1181" t="s">
        <v>1057</v>
      </c>
      <c r="C57" s="830" t="s">
        <v>3043</v>
      </c>
      <c r="D57" s="899">
        <v>1</v>
      </c>
      <c r="E57" s="899">
        <v>1</v>
      </c>
      <c r="F57" s="899">
        <v>1</v>
      </c>
      <c r="G57" s="899">
        <v>1</v>
      </c>
      <c r="H57" s="899">
        <v>1</v>
      </c>
      <c r="I57" s="899">
        <v>1</v>
      </c>
      <c r="J57" s="899">
        <v>1</v>
      </c>
      <c r="K57" s="899">
        <v>1</v>
      </c>
      <c r="L57" s="899">
        <v>1</v>
      </c>
      <c r="M57" s="899">
        <v>1</v>
      </c>
      <c r="N57" s="899"/>
      <c r="O57" s="899">
        <v>1</v>
      </c>
      <c r="P57" s="1196">
        <v>1</v>
      </c>
      <c r="Q57" s="834"/>
      <c r="R57" s="1195"/>
      <c r="V57" s="1197">
        <v>3958</v>
      </c>
      <c r="W57" s="830" t="s">
        <v>2514</v>
      </c>
      <c r="X57" s="899">
        <f>V57</f>
        <v>3958</v>
      </c>
    </row>
    <row r="58" spans="1:31" ht="15.6">
      <c r="A58" s="830">
        <v>58</v>
      </c>
      <c r="B58" s="1181" t="s">
        <v>3034</v>
      </c>
      <c r="C58" s="830" t="s">
        <v>3035</v>
      </c>
      <c r="D58" s="928">
        <v>1137.43</v>
      </c>
      <c r="E58" s="928">
        <v>1070.55</v>
      </c>
      <c r="F58" s="928">
        <v>1269.57</v>
      </c>
      <c r="G58" s="928">
        <v>816.22</v>
      </c>
      <c r="H58" s="928">
        <v>522.54999999999995</v>
      </c>
      <c r="I58" s="928">
        <v>149.27000000000001</v>
      </c>
      <c r="J58" s="928">
        <v>84.93</v>
      </c>
      <c r="K58" s="928">
        <v>35.869999999999997</v>
      </c>
      <c r="L58" s="928">
        <v>31.94</v>
      </c>
      <c r="M58" s="928">
        <v>143.25</v>
      </c>
      <c r="N58" s="928"/>
      <c r="O58" s="928">
        <v>683.85</v>
      </c>
      <c r="P58" s="1182">
        <v>915.96</v>
      </c>
      <c r="Q58" s="1200"/>
      <c r="R58" s="1187"/>
      <c r="T58" s="850" t="s">
        <v>2696</v>
      </c>
      <c r="U58" s="1199">
        <v>915.96</v>
      </c>
      <c r="V58" s="1185">
        <f>U58/V57</f>
        <v>0.23141990904497223</v>
      </c>
      <c r="X58" s="1185">
        <f>U58/X57</f>
        <v>0.23141990904497223</v>
      </c>
      <c r="Z58" s="830">
        <v>0.23141999999999999</v>
      </c>
      <c r="AB58" s="1185">
        <f>Z58-X58</f>
        <v>9.0955027759465068E-8</v>
      </c>
    </row>
    <row r="59" spans="1:31" ht="15.6">
      <c r="A59" s="830">
        <v>59</v>
      </c>
      <c r="B59" s="1181" t="s">
        <v>3044</v>
      </c>
      <c r="C59" s="830" t="s">
        <v>3057</v>
      </c>
      <c r="D59" s="928">
        <v>1070.55</v>
      </c>
      <c r="E59" s="928">
        <v>1269.57</v>
      </c>
      <c r="F59" s="928">
        <v>816.22</v>
      </c>
      <c r="G59" s="928">
        <v>522.54999999999995</v>
      </c>
      <c r="H59" s="928">
        <v>149.27000000000001</v>
      </c>
      <c r="I59" s="928">
        <v>84.93</v>
      </c>
      <c r="J59" s="928">
        <v>35.869999999999997</v>
      </c>
      <c r="K59" s="928">
        <v>31.94</v>
      </c>
      <c r="L59" s="928">
        <v>143.25</v>
      </c>
      <c r="M59" s="928">
        <v>683.85</v>
      </c>
      <c r="N59" s="928"/>
      <c r="O59" s="928">
        <v>915.96</v>
      </c>
      <c r="P59" s="928">
        <v>1053.42</v>
      </c>
      <c r="Q59" s="1187"/>
      <c r="R59" s="1187"/>
      <c r="T59" s="850" t="s">
        <v>2650</v>
      </c>
      <c r="U59" s="1199">
        <v>1724.03</v>
      </c>
      <c r="V59" s="1185">
        <f>U59/V57</f>
        <v>0.43558110156644769</v>
      </c>
      <c r="X59" s="1185">
        <f>U59/X57</f>
        <v>0.43558110156644769</v>
      </c>
      <c r="Z59" s="830">
        <v>0.43558000000000002</v>
      </c>
      <c r="AB59" s="1185">
        <f>Z59-X59</f>
        <v>-1.1015664476698994E-6</v>
      </c>
      <c r="AD59" s="1200">
        <f>P59</f>
        <v>1053.42</v>
      </c>
    </row>
    <row r="60" spans="1:31">
      <c r="A60" s="830">
        <v>60</v>
      </c>
      <c r="B60" s="1181" t="s">
        <v>3044</v>
      </c>
      <c r="C60" s="830" t="s">
        <v>3058</v>
      </c>
      <c r="D60" s="1183">
        <v>-1137.43</v>
      </c>
      <c r="E60" s="1183">
        <f t="shared" ref="E60:M60" si="20">-D59</f>
        <v>-1070.55</v>
      </c>
      <c r="F60" s="1183">
        <f t="shared" si="20"/>
        <v>-1269.57</v>
      </c>
      <c r="G60" s="1183">
        <f t="shared" si="20"/>
        <v>-816.22</v>
      </c>
      <c r="H60" s="1183">
        <f t="shared" si="20"/>
        <v>-522.54999999999995</v>
      </c>
      <c r="I60" s="1183">
        <f t="shared" si="20"/>
        <v>-149.27000000000001</v>
      </c>
      <c r="J60" s="1183">
        <f t="shared" si="20"/>
        <v>-84.93</v>
      </c>
      <c r="K60" s="1183">
        <f t="shared" si="20"/>
        <v>-35.869999999999997</v>
      </c>
      <c r="L60" s="1183">
        <f t="shared" si="20"/>
        <v>-31.94</v>
      </c>
      <c r="M60" s="1183">
        <f t="shared" si="20"/>
        <v>-143.25</v>
      </c>
      <c r="N60" s="1183"/>
      <c r="O60" s="1183">
        <f>-M59</f>
        <v>-683.85</v>
      </c>
      <c r="P60" s="1183">
        <f>-O59</f>
        <v>-915.96</v>
      </c>
      <c r="Q60" s="1187"/>
      <c r="R60" s="1187"/>
      <c r="T60" s="850"/>
      <c r="U60" s="928"/>
      <c r="V60" s="1185"/>
      <c r="X60" s="1185"/>
      <c r="AB60" s="1185"/>
      <c r="AD60" s="1200">
        <f>+D60</f>
        <v>-1137.43</v>
      </c>
      <c r="AE60" s="1200"/>
    </row>
    <row r="61" spans="1:31">
      <c r="A61" s="830">
        <v>61</v>
      </c>
      <c r="B61" s="829"/>
      <c r="C61" s="850" t="s">
        <v>3036</v>
      </c>
      <c r="D61" s="928">
        <f t="shared" ref="D61:M61" si="21">SUM(D58:D60)</f>
        <v>1070.55</v>
      </c>
      <c r="E61" s="928">
        <f t="shared" si="21"/>
        <v>1269.57</v>
      </c>
      <c r="F61" s="928">
        <f t="shared" si="21"/>
        <v>816.22</v>
      </c>
      <c r="G61" s="928">
        <f t="shared" si="21"/>
        <v>522.54999999999995</v>
      </c>
      <c r="H61" s="928">
        <f t="shared" si="21"/>
        <v>149.26999999999998</v>
      </c>
      <c r="I61" s="928">
        <f t="shared" si="21"/>
        <v>84.93</v>
      </c>
      <c r="J61" s="928">
        <f t="shared" si="21"/>
        <v>35.870000000000005</v>
      </c>
      <c r="K61" s="928">
        <f t="shared" si="21"/>
        <v>31.940000000000005</v>
      </c>
      <c r="L61" s="928">
        <f t="shared" si="21"/>
        <v>143.25</v>
      </c>
      <c r="M61" s="928">
        <f t="shared" si="21"/>
        <v>683.85</v>
      </c>
      <c r="N61" s="928"/>
      <c r="O61" s="928">
        <f>SUM(O58:O60)</f>
        <v>915.95999999999992</v>
      </c>
      <c r="P61" s="1182">
        <f>SUM(P58:P60)</f>
        <v>1053.42</v>
      </c>
      <c r="R61" s="1172"/>
    </row>
    <row r="62" spans="1:31">
      <c r="A62" s="830">
        <v>62</v>
      </c>
      <c r="B62" s="1181"/>
      <c r="C62" s="850" t="s">
        <v>3038</v>
      </c>
      <c r="D62" s="1183">
        <v>-127.65</v>
      </c>
      <c r="E62" s="1183">
        <v>-93.93</v>
      </c>
      <c r="F62" s="1183">
        <v>-78.319999999999993</v>
      </c>
      <c r="G62" s="1183">
        <v>-48.24</v>
      </c>
      <c r="H62" s="1183">
        <v>-31.22</v>
      </c>
      <c r="I62" s="1183">
        <v>-23.85</v>
      </c>
      <c r="J62" s="1183">
        <v>-24.45</v>
      </c>
      <c r="K62" s="1183">
        <v>-21.6</v>
      </c>
      <c r="L62" s="1183">
        <v>-32.049999999999997</v>
      </c>
      <c r="M62" s="1183">
        <v>-59.39</v>
      </c>
      <c r="N62" s="1183"/>
      <c r="O62" s="1183">
        <v>-89.84</v>
      </c>
      <c r="P62" s="1184">
        <v>-127</v>
      </c>
      <c r="R62" s="1172"/>
      <c r="U62" s="928"/>
    </row>
    <row r="63" spans="1:31">
      <c r="A63" s="830">
        <v>63</v>
      </c>
      <c r="B63" s="1181"/>
      <c r="C63" s="850" t="s">
        <v>3039</v>
      </c>
      <c r="D63" s="928">
        <f t="shared" ref="D63:M63" si="22">SUM(D61:D62)</f>
        <v>942.9</v>
      </c>
      <c r="E63" s="928">
        <f t="shared" si="22"/>
        <v>1175.6399999999999</v>
      </c>
      <c r="F63" s="928">
        <f t="shared" si="22"/>
        <v>737.90000000000009</v>
      </c>
      <c r="G63" s="928">
        <f t="shared" si="22"/>
        <v>474.30999999999995</v>
      </c>
      <c r="H63" s="928">
        <f t="shared" si="22"/>
        <v>118.04999999999998</v>
      </c>
      <c r="I63" s="928">
        <f t="shared" si="22"/>
        <v>61.080000000000005</v>
      </c>
      <c r="J63" s="928">
        <f t="shared" si="22"/>
        <v>11.420000000000005</v>
      </c>
      <c r="K63" s="928">
        <f t="shared" si="22"/>
        <v>10.340000000000003</v>
      </c>
      <c r="L63" s="928">
        <f t="shared" si="22"/>
        <v>111.2</v>
      </c>
      <c r="M63" s="928">
        <f t="shared" si="22"/>
        <v>624.46</v>
      </c>
      <c r="N63" s="928">
        <v>-6518.3300000000017</v>
      </c>
      <c r="O63" s="928">
        <f>SUM(O61:O62)</f>
        <v>826.11999999999989</v>
      </c>
      <c r="P63" s="1182">
        <f>SUM(P61:P62)</f>
        <v>926.42000000000007</v>
      </c>
      <c r="R63" s="1187">
        <f>SUM(D63:Q63)-N63</f>
        <v>6019.84</v>
      </c>
      <c r="U63" s="928">
        <v>948.8900000000001</v>
      </c>
    </row>
    <row r="64" spans="1:31">
      <c r="A64" s="830">
        <v>64</v>
      </c>
      <c r="B64" s="1181"/>
      <c r="C64" s="850" t="s">
        <v>3040</v>
      </c>
      <c r="D64" s="928">
        <v>28.68</v>
      </c>
      <c r="E64" s="928">
        <f t="shared" ref="E64:M64" si="23">ROUND(ROUND(D66*E$6,2)/365*E$7,2)</f>
        <v>29.76</v>
      </c>
      <c r="F64" s="928">
        <f t="shared" si="23"/>
        <v>38.25</v>
      </c>
      <c r="G64" s="928">
        <f t="shared" si="23"/>
        <v>42.43</v>
      </c>
      <c r="H64" s="928">
        <f t="shared" si="23"/>
        <v>46.23</v>
      </c>
      <c r="I64" s="928">
        <f t="shared" si="23"/>
        <v>45.48</v>
      </c>
      <c r="J64" s="928">
        <f t="shared" si="23"/>
        <v>47.92</v>
      </c>
      <c r="K64" s="928">
        <f t="shared" si="23"/>
        <v>48.2</v>
      </c>
      <c r="L64" s="928">
        <f t="shared" si="23"/>
        <v>46.91</v>
      </c>
      <c r="M64" s="928">
        <f t="shared" si="23"/>
        <v>48.5</v>
      </c>
      <c r="N64" s="928">
        <v>-298.17</v>
      </c>
      <c r="O64" s="928">
        <f>ROUND(ROUND(N66*O$6,2)/365*O$7,2)</f>
        <v>19.559999999999999</v>
      </c>
      <c r="P64" s="1182">
        <f>ROUND(ROUND(O66*P$6,2)/365*P$7,2)</f>
        <v>24.11</v>
      </c>
      <c r="R64" s="1188">
        <f>SUM(D64:Q64)</f>
        <v>167.86</v>
      </c>
      <c r="U64" s="928">
        <v>3.09</v>
      </c>
    </row>
    <row r="65" spans="1:31">
      <c r="A65" s="830">
        <v>65</v>
      </c>
      <c r="B65" s="1181"/>
      <c r="C65" s="850" t="s">
        <v>3041</v>
      </c>
      <c r="D65" s="1183">
        <f t="shared" ref="D65:P65" si="24">SUM(D63:D64)</f>
        <v>971.57999999999993</v>
      </c>
      <c r="E65" s="1183">
        <f t="shared" si="24"/>
        <v>1205.3999999999999</v>
      </c>
      <c r="F65" s="1183">
        <f t="shared" si="24"/>
        <v>776.15000000000009</v>
      </c>
      <c r="G65" s="1183">
        <f t="shared" si="24"/>
        <v>516.7399999999999</v>
      </c>
      <c r="H65" s="1183">
        <f t="shared" si="24"/>
        <v>164.27999999999997</v>
      </c>
      <c r="I65" s="1183">
        <f t="shared" si="24"/>
        <v>106.56</v>
      </c>
      <c r="J65" s="1183">
        <f t="shared" si="24"/>
        <v>59.34</v>
      </c>
      <c r="K65" s="1183">
        <f t="shared" si="24"/>
        <v>58.540000000000006</v>
      </c>
      <c r="L65" s="1183">
        <f t="shared" si="24"/>
        <v>158.11000000000001</v>
      </c>
      <c r="M65" s="1183">
        <f t="shared" si="24"/>
        <v>672.96</v>
      </c>
      <c r="N65" s="1183">
        <f t="shared" si="24"/>
        <v>-6816.5000000000018</v>
      </c>
      <c r="O65" s="1183">
        <f t="shared" si="24"/>
        <v>845.67999999999984</v>
      </c>
      <c r="P65" s="1184">
        <f t="shared" si="24"/>
        <v>950.53000000000009</v>
      </c>
      <c r="R65" s="1190">
        <f>SUM(R63:R64)</f>
        <v>6187.7</v>
      </c>
      <c r="U65" s="928">
        <v>951.98000000000013</v>
      </c>
    </row>
    <row r="66" spans="1:31">
      <c r="A66" s="830">
        <v>66</v>
      </c>
      <c r="B66" s="1181"/>
      <c r="C66" s="850" t="s">
        <v>3042</v>
      </c>
      <c r="D66" s="928">
        <v>7489.91</v>
      </c>
      <c r="E66" s="928">
        <f t="shared" ref="E66:P66" si="25">D66+E65</f>
        <v>8695.31</v>
      </c>
      <c r="F66" s="928">
        <f t="shared" si="25"/>
        <v>9471.4599999999991</v>
      </c>
      <c r="G66" s="928">
        <f t="shared" si="25"/>
        <v>9988.1999999999989</v>
      </c>
      <c r="H66" s="928">
        <f t="shared" si="25"/>
        <v>10152.48</v>
      </c>
      <c r="I66" s="928">
        <f t="shared" si="25"/>
        <v>10259.039999999999</v>
      </c>
      <c r="J66" s="928">
        <f t="shared" si="25"/>
        <v>10318.379999999999</v>
      </c>
      <c r="K66" s="928">
        <f t="shared" si="25"/>
        <v>10376.92</v>
      </c>
      <c r="L66" s="928">
        <f t="shared" si="25"/>
        <v>10535.03</v>
      </c>
      <c r="M66" s="928">
        <f t="shared" si="25"/>
        <v>11207.990000000002</v>
      </c>
      <c r="N66" s="928">
        <f t="shared" si="25"/>
        <v>4391.49</v>
      </c>
      <c r="O66" s="928">
        <f t="shared" si="25"/>
        <v>5237.17</v>
      </c>
      <c r="P66" s="1191">
        <f t="shared" si="25"/>
        <v>6187.7</v>
      </c>
      <c r="R66" s="1172"/>
      <c r="U66" s="928">
        <v>1808.02</v>
      </c>
      <c r="V66" s="1200">
        <f>1808.02-1805.56</f>
        <v>2.4600000000000364</v>
      </c>
    </row>
    <row r="67" spans="1:31">
      <c r="A67" s="830">
        <v>67</v>
      </c>
      <c r="B67" s="1181"/>
      <c r="C67" s="850"/>
      <c r="D67" s="928"/>
      <c r="E67" s="928"/>
      <c r="F67" s="928"/>
      <c r="G67" s="928"/>
      <c r="H67" s="928"/>
      <c r="I67" s="928"/>
      <c r="J67" s="928"/>
      <c r="K67" s="928"/>
      <c r="L67" s="928"/>
      <c r="M67" s="928"/>
      <c r="N67" s="899"/>
      <c r="O67" s="928"/>
      <c r="P67" s="1182"/>
      <c r="R67" s="1172"/>
      <c r="T67" s="850"/>
      <c r="U67" s="928"/>
      <c r="V67" s="1200"/>
    </row>
    <row r="68" spans="1:31">
      <c r="A68" s="830">
        <v>68</v>
      </c>
      <c r="B68" s="829" t="s">
        <v>3055</v>
      </c>
      <c r="C68" s="890">
        <v>504</v>
      </c>
      <c r="D68" s="899"/>
      <c r="E68" s="899"/>
      <c r="F68" s="928"/>
      <c r="G68" s="899"/>
      <c r="H68" s="899"/>
      <c r="I68" s="899"/>
      <c r="J68" s="899"/>
      <c r="K68" s="899"/>
      <c r="L68" s="899"/>
      <c r="M68" s="899"/>
      <c r="N68" s="899"/>
      <c r="O68" s="899"/>
      <c r="P68" s="1196"/>
      <c r="R68" s="1172"/>
      <c r="U68" s="830">
        <v>504</v>
      </c>
    </row>
    <row r="69" spans="1:31" ht="15.6">
      <c r="A69" s="830">
        <v>69</v>
      </c>
      <c r="B69" s="1181" t="s">
        <v>1057</v>
      </c>
      <c r="C69" s="830" t="s">
        <v>3043</v>
      </c>
      <c r="D69" s="899">
        <v>26545</v>
      </c>
      <c r="E69" s="899">
        <v>26585</v>
      </c>
      <c r="F69" s="899">
        <v>26564</v>
      </c>
      <c r="G69" s="899">
        <v>26465</v>
      </c>
      <c r="H69" s="899">
        <v>26386</v>
      </c>
      <c r="I69" s="899">
        <v>26319</v>
      </c>
      <c r="J69" s="899">
        <v>26276</v>
      </c>
      <c r="K69" s="899">
        <v>26268</v>
      </c>
      <c r="L69" s="899">
        <v>26300</v>
      </c>
      <c r="M69" s="899">
        <v>26526</v>
      </c>
      <c r="N69" s="899"/>
      <c r="O69" s="899">
        <v>26673</v>
      </c>
      <c r="P69" s="1196">
        <v>26797</v>
      </c>
      <c r="Q69" s="834"/>
      <c r="R69" s="1195"/>
      <c r="V69" s="1197">
        <v>11976706</v>
      </c>
      <c r="W69" s="830" t="s">
        <v>2514</v>
      </c>
      <c r="X69" s="899"/>
    </row>
    <row r="70" spans="1:31" ht="15.6">
      <c r="A70" s="830">
        <v>70</v>
      </c>
      <c r="B70" s="1181" t="s">
        <v>3034</v>
      </c>
      <c r="C70" s="830" t="s">
        <v>3035</v>
      </c>
      <c r="D70" s="928">
        <v>3043133.11</v>
      </c>
      <c r="E70" s="928">
        <v>3244574.11</v>
      </c>
      <c r="F70" s="928">
        <v>3697205.87</v>
      </c>
      <c r="G70" s="928">
        <v>2113981.9</v>
      </c>
      <c r="H70" s="928">
        <v>1248101.71</v>
      </c>
      <c r="I70" s="928">
        <v>805125.81</v>
      </c>
      <c r="J70" s="928">
        <v>709410.37</v>
      </c>
      <c r="K70" s="928">
        <v>648656</v>
      </c>
      <c r="L70" s="928">
        <v>620869.32999999996</v>
      </c>
      <c r="M70" s="928">
        <v>1126102.92</v>
      </c>
      <c r="N70" s="928"/>
      <c r="O70" s="928">
        <v>1834162.29</v>
      </c>
      <c r="P70" s="1182">
        <v>2778115.34</v>
      </c>
      <c r="Q70" s="1200"/>
      <c r="R70" s="1187"/>
      <c r="T70" s="850" t="s">
        <v>2696</v>
      </c>
      <c r="U70" s="1199">
        <v>2778115.34</v>
      </c>
      <c r="V70" s="1185">
        <f>U70/V69</f>
        <v>0.23195988446238888</v>
      </c>
      <c r="X70" s="1185">
        <f>U70/V69</f>
        <v>0.23195988446238888</v>
      </c>
      <c r="Z70" s="830">
        <v>0.23141999999999999</v>
      </c>
      <c r="AB70" s="1185">
        <f>Z70-X70</f>
        <v>-5.3988446238889543E-4</v>
      </c>
    </row>
    <row r="71" spans="1:31" ht="15.6">
      <c r="A71" s="830">
        <v>71</v>
      </c>
      <c r="B71" s="1181" t="s">
        <v>3044</v>
      </c>
      <c r="C71" s="830" t="s">
        <v>3045</v>
      </c>
      <c r="D71" s="928">
        <f>ROUND(ROUND(10187002*0.8988,0)*0.23142,2)</f>
        <v>2118899.34</v>
      </c>
      <c r="E71" s="928">
        <f>ROUND(ROUND(12666270*0.9016,0)*0.23142,2)</f>
        <v>2642795.34</v>
      </c>
      <c r="F71" s="928">
        <f>ROUND(ROUND(8619566*0.9062,0)*0.23142,2)</f>
        <v>1807633.42</v>
      </c>
      <c r="G71" s="928">
        <f>ROUND(ROUND(4713041*0.8984,0)*0.23142,2)</f>
        <v>979877.64</v>
      </c>
      <c r="H71" s="928">
        <f>ROUND(ROUND(2695771*0.8858,0)*0.23142,2)</f>
        <v>552611.06000000006</v>
      </c>
      <c r="I71" s="928">
        <f>ROUND(ROUND(2099565*0.8784,0)*0.23142,2)</f>
        <v>426798.19</v>
      </c>
      <c r="J71" s="928">
        <f>ROUND(ROUND(2183931*0.8827,0)*0.23142,2)</f>
        <v>446121.29</v>
      </c>
      <c r="K71" s="928">
        <f>ROUND(ROUND(1243727*0.8744,0)*0.23142,2)</f>
        <v>251672.72</v>
      </c>
      <c r="L71" s="928">
        <f>ROUND(ROUND(2978172*0.8851,0)*0.23142,2)</f>
        <v>610018.49</v>
      </c>
      <c r="M71" s="928">
        <f>ROUND(ROUND(6393900*0.8771,0)*0.23142,2)</f>
        <v>1297824.19</v>
      </c>
      <c r="N71" s="928"/>
      <c r="O71" s="928">
        <f>ROUND(ROUND(10324809*0.8841,0)*0.23142,2)</f>
        <v>2112439.71</v>
      </c>
      <c r="P71" s="1182">
        <f>ROUND(ROUND(11506709*0.9041,0)*0.23142,2)</f>
        <v>2407512.25</v>
      </c>
      <c r="Q71" s="1200"/>
      <c r="R71" s="1187"/>
      <c r="T71" s="850" t="s">
        <v>2650</v>
      </c>
      <c r="U71" s="1199">
        <v>5228298.07</v>
      </c>
      <c r="V71" s="1185">
        <f>U71/V69</f>
        <v>0.43653890059587336</v>
      </c>
      <c r="X71" s="1185">
        <f>U71/V69</f>
        <v>0.43653890059587336</v>
      </c>
      <c r="Z71" s="830">
        <f>+Z59</f>
        <v>0.43558000000000002</v>
      </c>
      <c r="AB71" s="1185">
        <f>Z71-X71</f>
        <v>-9.5890059587333543E-4</v>
      </c>
      <c r="AD71" s="1200">
        <f>P71</f>
        <v>2407512.25</v>
      </c>
    </row>
    <row r="72" spans="1:31">
      <c r="A72" s="830">
        <v>72</v>
      </c>
      <c r="B72" s="1181" t="s">
        <v>3044</v>
      </c>
      <c r="C72" s="830" t="s">
        <v>3046</v>
      </c>
      <c r="D72" s="1183">
        <v>-2112086.7999999998</v>
      </c>
      <c r="E72" s="1183">
        <f t="shared" ref="E72:M72" si="26">-D71</f>
        <v>-2118899.34</v>
      </c>
      <c r="F72" s="1183">
        <f t="shared" si="26"/>
        <v>-2642795.34</v>
      </c>
      <c r="G72" s="1183">
        <f t="shared" si="26"/>
        <v>-1807633.42</v>
      </c>
      <c r="H72" s="1183">
        <f t="shared" si="26"/>
        <v>-979877.64</v>
      </c>
      <c r="I72" s="1183">
        <f t="shared" si="26"/>
        <v>-552611.06000000006</v>
      </c>
      <c r="J72" s="1183">
        <f t="shared" si="26"/>
        <v>-426798.19</v>
      </c>
      <c r="K72" s="1183">
        <f t="shared" si="26"/>
        <v>-446121.29</v>
      </c>
      <c r="L72" s="1183">
        <f t="shared" si="26"/>
        <v>-251672.72</v>
      </c>
      <c r="M72" s="1183">
        <f t="shared" si="26"/>
        <v>-610018.49</v>
      </c>
      <c r="N72" s="1183"/>
      <c r="O72" s="1183">
        <f>-M71</f>
        <v>-1297824.19</v>
      </c>
      <c r="P72" s="1184">
        <f>-O71</f>
        <v>-2112439.71</v>
      </c>
      <c r="Q72" s="1200"/>
      <c r="R72" s="1187"/>
      <c r="T72" s="850"/>
      <c r="U72" s="928"/>
      <c r="V72" s="1185"/>
      <c r="X72" s="1185"/>
      <c r="AB72" s="1185"/>
      <c r="AD72" s="1200">
        <f>+D72</f>
        <v>-2112086.7999999998</v>
      </c>
      <c r="AE72" s="1200"/>
    </row>
    <row r="73" spans="1:31">
      <c r="A73" s="830">
        <v>73</v>
      </c>
      <c r="B73" s="1181"/>
      <c r="C73" s="850" t="s">
        <v>3036</v>
      </c>
      <c r="D73" s="928">
        <f t="shared" ref="D73:M73" si="27">SUM(D70:D72)</f>
        <v>3049945.6499999994</v>
      </c>
      <c r="E73" s="928">
        <f t="shared" si="27"/>
        <v>3768470.1099999994</v>
      </c>
      <c r="F73" s="928">
        <f t="shared" si="27"/>
        <v>2862043.95</v>
      </c>
      <c r="G73" s="928">
        <f t="shared" si="27"/>
        <v>1286226.1200000001</v>
      </c>
      <c r="H73" s="928">
        <f t="shared" si="27"/>
        <v>820835.13</v>
      </c>
      <c r="I73" s="928">
        <f t="shared" si="27"/>
        <v>679312.94</v>
      </c>
      <c r="J73" s="928">
        <f t="shared" si="27"/>
        <v>728733.47</v>
      </c>
      <c r="K73" s="928">
        <f t="shared" si="27"/>
        <v>454207.43</v>
      </c>
      <c r="L73" s="928">
        <f t="shared" si="27"/>
        <v>979215.09999999986</v>
      </c>
      <c r="M73" s="928">
        <f t="shared" si="27"/>
        <v>1813908.6199999999</v>
      </c>
      <c r="N73" s="928"/>
      <c r="O73" s="928">
        <f>SUM(O70:O72)</f>
        <v>2648777.81</v>
      </c>
      <c r="P73" s="1182">
        <f>SUM(P70:P72)</f>
        <v>3073187.88</v>
      </c>
      <c r="R73" s="1172"/>
    </row>
    <row r="74" spans="1:31">
      <c r="A74" s="830">
        <v>74</v>
      </c>
      <c r="B74" s="1181"/>
      <c r="C74" s="850" t="s">
        <v>3038</v>
      </c>
      <c r="D74" s="1183">
        <v>-3388469.25</v>
      </c>
      <c r="E74" s="1183">
        <v>-2497129.0499999998</v>
      </c>
      <c r="F74" s="1183">
        <v>-2080492.48</v>
      </c>
      <c r="G74" s="1183">
        <v>-1276671.6000000001</v>
      </c>
      <c r="H74" s="1183">
        <v>-823770.92</v>
      </c>
      <c r="I74" s="1183">
        <v>-627708.15</v>
      </c>
      <c r="J74" s="1183">
        <v>-642448.19999999995</v>
      </c>
      <c r="K74" s="1183">
        <v>-567388.80000000005</v>
      </c>
      <c r="L74" s="1183">
        <v>-842915</v>
      </c>
      <c r="M74" s="1183">
        <v>-1575379.14</v>
      </c>
      <c r="N74" s="1183"/>
      <c r="O74" s="1183">
        <v>-2396302.3199999998</v>
      </c>
      <c r="P74" s="1184">
        <v>-3403219</v>
      </c>
      <c r="R74" s="1172"/>
    </row>
    <row r="75" spans="1:31">
      <c r="A75" s="830">
        <v>75</v>
      </c>
      <c r="B75" s="1181"/>
      <c r="C75" s="850" t="s">
        <v>3039</v>
      </c>
      <c r="D75" s="928">
        <f t="shared" ref="D75:M75" si="28">SUM(D73:D74)</f>
        <v>-338523.60000000056</v>
      </c>
      <c r="E75" s="928">
        <f t="shared" si="28"/>
        <v>1271341.0599999996</v>
      </c>
      <c r="F75" s="928">
        <f t="shared" si="28"/>
        <v>781551.4700000002</v>
      </c>
      <c r="G75" s="928">
        <f t="shared" si="28"/>
        <v>9554.5200000000186</v>
      </c>
      <c r="H75" s="928">
        <f t="shared" si="28"/>
        <v>-2935.7900000000373</v>
      </c>
      <c r="I75" s="928">
        <f t="shared" si="28"/>
        <v>51604.789999999921</v>
      </c>
      <c r="J75" s="928">
        <f t="shared" si="28"/>
        <v>86285.270000000019</v>
      </c>
      <c r="K75" s="928">
        <f t="shared" si="28"/>
        <v>-113181.37000000005</v>
      </c>
      <c r="L75" s="928">
        <f t="shared" si="28"/>
        <v>136300.09999999986</v>
      </c>
      <c r="M75" s="928">
        <f t="shared" si="28"/>
        <v>238529.47999999998</v>
      </c>
      <c r="N75" s="928">
        <v>28946.250000001055</v>
      </c>
      <c r="O75" s="928">
        <f>SUM(O73:O74)</f>
        <v>252475.49000000022</v>
      </c>
      <c r="P75" s="1182">
        <f>SUM(P73:P74)</f>
        <v>-330031.12000000011</v>
      </c>
      <c r="R75" s="1187">
        <f>SUM(D75:Q75)-N75</f>
        <v>2042970.2999999986</v>
      </c>
    </row>
    <row r="76" spans="1:31">
      <c r="A76" s="830">
        <v>76</v>
      </c>
      <c r="B76" s="1181"/>
      <c r="C76" s="850" t="s">
        <v>3040</v>
      </c>
      <c r="D76" s="928">
        <v>-127.35</v>
      </c>
      <c r="E76" s="928">
        <f t="shared" ref="E76:M76" si="29">ROUND(ROUND(D78*E$6,2)/365*E$7,2)</f>
        <v>-1460.72</v>
      </c>
      <c r="F76" s="928">
        <f t="shared" si="29"/>
        <v>3969.55</v>
      </c>
      <c r="G76" s="928">
        <f t="shared" si="29"/>
        <v>7560.44</v>
      </c>
      <c r="H76" s="928">
        <f t="shared" si="29"/>
        <v>7891.67</v>
      </c>
      <c r="I76" s="928">
        <f t="shared" si="29"/>
        <v>7659.3</v>
      </c>
      <c r="J76" s="928">
        <f t="shared" si="29"/>
        <v>8264.06</v>
      </c>
      <c r="K76" s="928">
        <f t="shared" si="29"/>
        <v>8705.7199999999993</v>
      </c>
      <c r="L76" s="928">
        <f t="shared" si="29"/>
        <v>7952.61</v>
      </c>
      <c r="M76" s="928">
        <f t="shared" si="29"/>
        <v>8762.2000000000007</v>
      </c>
      <c r="N76" s="928">
        <v>1324.06</v>
      </c>
      <c r="O76" s="928">
        <f>ROUND(ROUND(N78*O$6,2)/365*O$7,2)</f>
        <v>9716.0300000000007</v>
      </c>
      <c r="P76" s="1182">
        <f>ROUND(ROUND(O78*P$6,2)/365*P$7,2)</f>
        <v>11246.84</v>
      </c>
      <c r="R76" s="1188">
        <f>SUM(D76:Q76)</f>
        <v>81464.409999999989</v>
      </c>
    </row>
    <row r="77" spans="1:31">
      <c r="A77" s="830">
        <v>77</v>
      </c>
      <c r="B77" s="1181"/>
      <c r="C77" s="850" t="s">
        <v>3041</v>
      </c>
      <c r="D77" s="1183">
        <f t="shared" ref="D77:P77" si="30">SUM(D75:D76)</f>
        <v>-338650.95000000054</v>
      </c>
      <c r="E77" s="1183">
        <f t="shared" si="30"/>
        <v>1269880.3399999996</v>
      </c>
      <c r="F77" s="1183">
        <f t="shared" si="30"/>
        <v>785521.02000000025</v>
      </c>
      <c r="G77" s="1183">
        <f t="shared" si="30"/>
        <v>17114.960000000017</v>
      </c>
      <c r="H77" s="1183">
        <f t="shared" si="30"/>
        <v>4955.8799999999628</v>
      </c>
      <c r="I77" s="1183">
        <f t="shared" si="30"/>
        <v>59264.089999999924</v>
      </c>
      <c r="J77" s="1183">
        <f t="shared" si="30"/>
        <v>94549.330000000016</v>
      </c>
      <c r="K77" s="1183">
        <f t="shared" si="30"/>
        <v>-104475.65000000005</v>
      </c>
      <c r="L77" s="1183">
        <f t="shared" si="30"/>
        <v>144252.70999999985</v>
      </c>
      <c r="M77" s="1183">
        <f t="shared" si="30"/>
        <v>247291.68</v>
      </c>
      <c r="N77" s="1183">
        <f t="shared" si="30"/>
        <v>30270.310000001056</v>
      </c>
      <c r="O77" s="1183">
        <f t="shared" si="30"/>
        <v>262191.52000000025</v>
      </c>
      <c r="P77" s="1184">
        <f t="shared" si="30"/>
        <v>-318784.28000000009</v>
      </c>
      <c r="R77" s="1190">
        <f>SUM(R75:R76)</f>
        <v>2124434.7099999986</v>
      </c>
    </row>
    <row r="78" spans="1:31">
      <c r="A78" s="830">
        <v>78</v>
      </c>
      <c r="B78" s="1181"/>
      <c r="C78" s="850" t="s">
        <v>3042</v>
      </c>
      <c r="D78" s="928">
        <v>-367597.20000000222</v>
      </c>
      <c r="E78" s="928">
        <f t="shared" ref="E78:P78" si="31">D78+E77</f>
        <v>902283.13999999734</v>
      </c>
      <c r="F78" s="928">
        <f t="shared" si="31"/>
        <v>1687804.1599999976</v>
      </c>
      <c r="G78" s="928">
        <f t="shared" si="31"/>
        <v>1704919.1199999976</v>
      </c>
      <c r="H78" s="928">
        <f t="shared" si="31"/>
        <v>1709874.9999999974</v>
      </c>
      <c r="I78" s="928">
        <f t="shared" si="31"/>
        <v>1769139.0899999973</v>
      </c>
      <c r="J78" s="928">
        <f t="shared" si="31"/>
        <v>1863688.4199999974</v>
      </c>
      <c r="K78" s="928">
        <f t="shared" si="31"/>
        <v>1759212.7699999972</v>
      </c>
      <c r="L78" s="928">
        <f t="shared" si="31"/>
        <v>1903465.4799999972</v>
      </c>
      <c r="M78" s="928">
        <f t="shared" si="31"/>
        <v>2150757.1599999974</v>
      </c>
      <c r="N78" s="928">
        <f t="shared" si="31"/>
        <v>2181027.4699999983</v>
      </c>
      <c r="O78" s="928">
        <f t="shared" si="31"/>
        <v>2443218.9899999984</v>
      </c>
      <c r="P78" s="1191">
        <f t="shared" si="31"/>
        <v>2124434.7099999981</v>
      </c>
      <c r="R78" s="1172"/>
      <c r="V78" s="1200">
        <f>ROUND(U99/Z99,0)</f>
        <v>887875</v>
      </c>
    </row>
    <row r="79" spans="1:31" ht="15" thickBot="1">
      <c r="A79" s="830">
        <v>79</v>
      </c>
      <c r="B79" s="1211"/>
      <c r="C79" s="850"/>
      <c r="D79" s="928"/>
      <c r="E79" s="928"/>
      <c r="F79" s="928"/>
      <c r="G79" s="928"/>
      <c r="H79" s="928"/>
      <c r="I79" s="928"/>
      <c r="J79" s="928"/>
      <c r="K79" s="928"/>
      <c r="L79" s="928"/>
      <c r="M79" s="928"/>
      <c r="N79" s="928"/>
      <c r="O79" s="928"/>
      <c r="P79" s="928"/>
      <c r="Q79" s="1163"/>
      <c r="R79" s="1163"/>
      <c r="T79" s="850"/>
      <c r="U79" s="928"/>
      <c r="V79" s="1200">
        <f>ROUND(U100/Z100,0)</f>
        <v>275531</v>
      </c>
    </row>
    <row r="80" spans="1:31">
      <c r="A80" s="830">
        <v>80</v>
      </c>
      <c r="B80" s="831" t="s">
        <v>3055</v>
      </c>
      <c r="C80" s="832" t="s">
        <v>3059</v>
      </c>
      <c r="D80" s="1206"/>
      <c r="E80" s="1206"/>
      <c r="F80" s="1208"/>
      <c r="G80" s="1206"/>
      <c r="H80" s="1206"/>
      <c r="I80" s="1206"/>
      <c r="J80" s="1206"/>
      <c r="K80" s="1206"/>
      <c r="L80" s="1206"/>
      <c r="M80" s="1206"/>
      <c r="N80" s="1206"/>
      <c r="O80" s="1206"/>
      <c r="P80" s="1209"/>
      <c r="Q80" s="832"/>
      <c r="R80" s="1210"/>
      <c r="T80" s="850"/>
      <c r="U80" s="928"/>
      <c r="V80" s="1200"/>
    </row>
    <row r="81" spans="1:31">
      <c r="A81" s="830">
        <v>81</v>
      </c>
      <c r="B81" s="1181" t="s">
        <v>1057</v>
      </c>
      <c r="C81" s="830" t="s">
        <v>3043</v>
      </c>
      <c r="D81" s="899"/>
      <c r="E81" s="899"/>
      <c r="F81" s="899"/>
      <c r="G81" s="899"/>
      <c r="H81" s="899"/>
      <c r="I81" s="899"/>
      <c r="J81" s="899"/>
      <c r="K81" s="899"/>
      <c r="L81" s="899"/>
      <c r="M81" s="899">
        <v>7</v>
      </c>
      <c r="N81" s="899"/>
      <c r="O81" s="899">
        <v>7</v>
      </c>
      <c r="P81" s="1196">
        <v>7</v>
      </c>
      <c r="Q81" s="834"/>
      <c r="R81" s="1195"/>
      <c r="T81" s="850"/>
      <c r="U81" s="928"/>
      <c r="V81" s="1200"/>
    </row>
    <row r="82" spans="1:31">
      <c r="A82" s="830">
        <v>82</v>
      </c>
      <c r="B82" s="1181" t="s">
        <v>3034</v>
      </c>
      <c r="C82" s="830" t="s">
        <v>3052</v>
      </c>
      <c r="D82" s="928"/>
      <c r="E82" s="928"/>
      <c r="F82" s="928"/>
      <c r="G82" s="928"/>
      <c r="H82" s="928"/>
      <c r="I82" s="928"/>
      <c r="J82" s="928"/>
      <c r="K82" s="928"/>
      <c r="L82" s="928"/>
      <c r="M82" s="928"/>
      <c r="N82" s="928"/>
      <c r="O82" s="928">
        <v>18669.12</v>
      </c>
      <c r="P82" s="1182">
        <v>19643.849999999999</v>
      </c>
      <c r="Q82" s="1200"/>
      <c r="R82" s="1187"/>
      <c r="T82" s="850"/>
      <c r="U82" s="928"/>
      <c r="V82" s="1200"/>
    </row>
    <row r="83" spans="1:31">
      <c r="A83" s="830">
        <v>83</v>
      </c>
      <c r="B83" s="1181" t="s">
        <v>3034</v>
      </c>
      <c r="C83" s="830" t="s">
        <v>3053</v>
      </c>
      <c r="D83" s="928"/>
      <c r="E83" s="928"/>
      <c r="F83" s="928"/>
      <c r="G83" s="928"/>
      <c r="H83" s="928"/>
      <c r="I83" s="928"/>
      <c r="J83" s="928"/>
      <c r="K83" s="928"/>
      <c r="L83" s="928"/>
      <c r="M83" s="928"/>
      <c r="N83" s="928"/>
      <c r="O83" s="928">
        <v>35157.15</v>
      </c>
      <c r="P83" s="1182">
        <v>39654.980000000003</v>
      </c>
      <c r="Q83" s="1200"/>
      <c r="R83" s="1187"/>
      <c r="T83" s="850"/>
      <c r="U83" s="928"/>
      <c r="V83" s="1200"/>
    </row>
    <row r="84" spans="1:31">
      <c r="A84" s="830">
        <v>84</v>
      </c>
      <c r="B84" s="1181" t="s">
        <v>3034</v>
      </c>
      <c r="C84" s="830" t="s">
        <v>3054</v>
      </c>
      <c r="D84" s="928"/>
      <c r="E84" s="928"/>
      <c r="F84" s="928"/>
      <c r="G84" s="928"/>
      <c r="H84" s="928"/>
      <c r="I84" s="928"/>
      <c r="J84" s="928"/>
      <c r="K84" s="928"/>
      <c r="L84" s="928"/>
      <c r="M84" s="928"/>
      <c r="N84" s="928"/>
      <c r="O84" s="928">
        <v>24299.87</v>
      </c>
      <c r="P84" s="1182">
        <v>27107.24</v>
      </c>
      <c r="Q84" s="1200"/>
      <c r="R84" s="1187"/>
      <c r="T84" s="850"/>
      <c r="U84" s="928"/>
      <c r="V84" s="1200"/>
    </row>
    <row r="85" spans="1:31" ht="15">
      <c r="A85" s="830">
        <v>85</v>
      </c>
      <c r="B85" s="1181" t="s">
        <v>3044</v>
      </c>
      <c r="C85" s="1212" t="s">
        <v>3060</v>
      </c>
      <c r="D85" s="928"/>
      <c r="E85" s="928"/>
      <c r="F85" s="928"/>
      <c r="G85" s="928"/>
      <c r="H85" s="928"/>
      <c r="I85" s="928"/>
      <c r="J85" s="928"/>
      <c r="K85" s="928"/>
      <c r="L85" s="928"/>
      <c r="M85" s="928">
        <v>18669.12</v>
      </c>
      <c r="N85" s="928"/>
      <c r="O85" s="928">
        <v>19643.849999999999</v>
      </c>
      <c r="P85" s="1182">
        <v>19935.75</v>
      </c>
      <c r="Q85" s="1200"/>
      <c r="R85" s="1187"/>
      <c r="T85" s="850"/>
      <c r="U85" s="928"/>
      <c r="V85" s="1200"/>
      <c r="AD85" s="1200"/>
    </row>
    <row r="86" spans="1:31" ht="15">
      <c r="A86" s="830">
        <v>86</v>
      </c>
      <c r="B86" s="1181" t="s">
        <v>3044</v>
      </c>
      <c r="C86" s="1212" t="s">
        <v>3061</v>
      </c>
      <c r="D86" s="928"/>
      <c r="E86" s="928"/>
      <c r="F86" s="928"/>
      <c r="G86" s="928"/>
      <c r="H86" s="928"/>
      <c r="I86" s="928"/>
      <c r="J86" s="928"/>
      <c r="K86" s="928"/>
      <c r="L86" s="928"/>
      <c r="M86" s="928">
        <v>35157.15</v>
      </c>
      <c r="N86" s="928"/>
      <c r="O86" s="928">
        <v>39654.980000000003</v>
      </c>
      <c r="P86" s="1182">
        <v>41795.550000000003</v>
      </c>
      <c r="Q86" s="1200"/>
      <c r="R86" s="1187"/>
      <c r="T86" s="850"/>
      <c r="U86" s="928"/>
      <c r="V86" s="1200"/>
      <c r="AD86" s="1200"/>
    </row>
    <row r="87" spans="1:31" ht="15">
      <c r="A87" s="830">
        <v>87</v>
      </c>
      <c r="B87" s="1181" t="s">
        <v>3044</v>
      </c>
      <c r="C87" s="1212" t="s">
        <v>3062</v>
      </c>
      <c r="D87" s="928"/>
      <c r="E87" s="928"/>
      <c r="F87" s="928"/>
      <c r="G87" s="928"/>
      <c r="H87" s="928"/>
      <c r="I87" s="928"/>
      <c r="J87" s="928"/>
      <c r="K87" s="928"/>
      <c r="L87" s="928"/>
      <c r="M87" s="928">
        <v>24299.87</v>
      </c>
      <c r="N87" s="928"/>
      <c r="O87" s="928">
        <v>27107.24</v>
      </c>
      <c r="P87" s="1182">
        <v>31678.16</v>
      </c>
      <c r="Q87" s="1200"/>
      <c r="R87" s="1187"/>
      <c r="T87" s="850"/>
      <c r="U87" s="928"/>
      <c r="V87" s="1200"/>
      <c r="AD87" s="1200"/>
    </row>
    <row r="88" spans="1:31">
      <c r="A88" s="830">
        <v>88</v>
      </c>
      <c r="B88" s="1181" t="s">
        <v>3044</v>
      </c>
      <c r="C88" s="830" t="s">
        <v>3058</v>
      </c>
      <c r="D88" s="1183"/>
      <c r="E88" s="1183">
        <f t="shared" ref="E88:M88" si="32">-D85</f>
        <v>0</v>
      </c>
      <c r="F88" s="1183">
        <f t="shared" si="32"/>
        <v>0</v>
      </c>
      <c r="G88" s="1183">
        <f t="shared" si="32"/>
        <v>0</v>
      </c>
      <c r="H88" s="1183">
        <f t="shared" si="32"/>
        <v>0</v>
      </c>
      <c r="I88" s="1183">
        <f t="shared" si="32"/>
        <v>0</v>
      </c>
      <c r="J88" s="1183">
        <f t="shared" si="32"/>
        <v>0</v>
      </c>
      <c r="K88" s="1183">
        <f t="shared" si="32"/>
        <v>0</v>
      </c>
      <c r="L88" s="1183">
        <f t="shared" si="32"/>
        <v>0</v>
      </c>
      <c r="M88" s="1183">
        <f t="shared" si="32"/>
        <v>0</v>
      </c>
      <c r="N88" s="928"/>
      <c r="O88" s="1183">
        <f>-M85-M86-M87</f>
        <v>-78126.14</v>
      </c>
      <c r="P88" s="1183">
        <f>-O85-O86-O87</f>
        <v>-86406.07</v>
      </c>
      <c r="Q88" s="1187"/>
      <c r="R88" s="1187"/>
      <c r="T88" s="850"/>
      <c r="U88" s="928"/>
      <c r="V88" s="1200"/>
      <c r="AD88" s="1200">
        <f>M88</f>
        <v>0</v>
      </c>
      <c r="AE88" s="1200">
        <f>SUM(AD85:AD88)</f>
        <v>0</v>
      </c>
    </row>
    <row r="89" spans="1:31">
      <c r="A89" s="830">
        <v>89</v>
      </c>
      <c r="B89" s="1181"/>
      <c r="C89" s="850" t="s">
        <v>3036</v>
      </c>
      <c r="D89" s="928">
        <f t="shared" ref="D89:M89" si="33">SUM(D82:D88)</f>
        <v>0</v>
      </c>
      <c r="E89" s="928">
        <f t="shared" si="33"/>
        <v>0</v>
      </c>
      <c r="F89" s="928">
        <f t="shared" si="33"/>
        <v>0</v>
      </c>
      <c r="G89" s="928">
        <f t="shared" si="33"/>
        <v>0</v>
      </c>
      <c r="H89" s="928">
        <f t="shared" si="33"/>
        <v>0</v>
      </c>
      <c r="I89" s="928">
        <f t="shared" si="33"/>
        <v>0</v>
      </c>
      <c r="J89" s="928">
        <f t="shared" si="33"/>
        <v>0</v>
      </c>
      <c r="K89" s="928">
        <f t="shared" si="33"/>
        <v>0</v>
      </c>
      <c r="L89" s="928">
        <f t="shared" si="33"/>
        <v>0</v>
      </c>
      <c r="M89" s="928">
        <f t="shared" si="33"/>
        <v>78126.14</v>
      </c>
      <c r="N89" s="1204"/>
      <c r="O89" s="928">
        <f>SUM(O82:O88)</f>
        <v>86406.069999999992</v>
      </c>
      <c r="P89" s="1182">
        <f>SUM(P82:P88)</f>
        <v>93409.459999999992</v>
      </c>
      <c r="R89" s="1172"/>
      <c r="T89" s="850"/>
      <c r="U89" s="928"/>
      <c r="V89" s="1200"/>
    </row>
    <row r="90" spans="1:31">
      <c r="A90" s="830">
        <v>90</v>
      </c>
      <c r="B90" s="1181"/>
      <c r="C90" s="850" t="s">
        <v>3038</v>
      </c>
      <c r="D90" s="1183">
        <v>0</v>
      </c>
      <c r="E90" s="1183">
        <v>0</v>
      </c>
      <c r="F90" s="1183">
        <v>0</v>
      </c>
      <c r="G90" s="1183">
        <v>0</v>
      </c>
      <c r="H90" s="1183">
        <v>0</v>
      </c>
      <c r="I90" s="1183">
        <v>0</v>
      </c>
      <c r="J90" s="1183">
        <v>0</v>
      </c>
      <c r="K90" s="1183">
        <v>0</v>
      </c>
      <c r="L90" s="1183">
        <v>0</v>
      </c>
      <c r="M90" s="1183">
        <v>-6053.04</v>
      </c>
      <c r="N90" s="1183"/>
      <c r="O90" s="1183">
        <v>-8138.34</v>
      </c>
      <c r="P90" s="1184">
        <v>-13180.02</v>
      </c>
      <c r="R90" s="1172"/>
      <c r="T90" s="850"/>
      <c r="U90" s="928"/>
      <c r="V90" s="1200"/>
    </row>
    <row r="91" spans="1:31">
      <c r="A91" s="830">
        <v>91</v>
      </c>
      <c r="B91" s="1181"/>
      <c r="C91" s="850" t="s">
        <v>3039</v>
      </c>
      <c r="D91" s="928">
        <f t="shared" ref="D91:M91" si="34">SUM(D89:D90)</f>
        <v>0</v>
      </c>
      <c r="E91" s="928">
        <f t="shared" si="34"/>
        <v>0</v>
      </c>
      <c r="F91" s="928">
        <f t="shared" si="34"/>
        <v>0</v>
      </c>
      <c r="G91" s="928">
        <f t="shared" si="34"/>
        <v>0</v>
      </c>
      <c r="H91" s="928">
        <f t="shared" si="34"/>
        <v>0</v>
      </c>
      <c r="I91" s="928">
        <f t="shared" si="34"/>
        <v>0</v>
      </c>
      <c r="J91" s="928">
        <f t="shared" si="34"/>
        <v>0</v>
      </c>
      <c r="K91" s="928">
        <f t="shared" si="34"/>
        <v>0</v>
      </c>
      <c r="L91" s="928">
        <f t="shared" si="34"/>
        <v>0</v>
      </c>
      <c r="M91" s="928">
        <f t="shared" si="34"/>
        <v>72073.100000000006</v>
      </c>
      <c r="N91" s="928">
        <v>0</v>
      </c>
      <c r="O91" s="928">
        <f>SUM(O89:O90)</f>
        <v>78267.73</v>
      </c>
      <c r="P91" s="1182">
        <f>SUM(P89:P90)</f>
        <v>80229.439999999988</v>
      </c>
      <c r="R91" s="1187">
        <f>SUM(D91:Q91)-N91</f>
        <v>230570.27000000002</v>
      </c>
      <c r="T91" s="850"/>
      <c r="U91" s="928"/>
      <c r="V91" s="1200"/>
    </row>
    <row r="92" spans="1:31">
      <c r="A92" s="830">
        <v>92</v>
      </c>
      <c r="B92" s="1181"/>
      <c r="C92" s="850" t="s">
        <v>3040</v>
      </c>
      <c r="D92" s="928"/>
      <c r="E92" s="928"/>
      <c r="F92" s="928"/>
      <c r="G92" s="928"/>
      <c r="H92" s="928"/>
      <c r="I92" s="928"/>
      <c r="J92" s="928"/>
      <c r="K92" s="928"/>
      <c r="L92" s="928"/>
      <c r="M92" s="928">
        <f>ROUND(ROUND(L94*M$6,2)/365*M$7,2)</f>
        <v>0</v>
      </c>
      <c r="N92" s="928">
        <v>0</v>
      </c>
      <c r="O92" s="928">
        <f>ROUND(ROUND(N94*O$6,2)/365*O$7,2)</f>
        <v>321.07</v>
      </c>
      <c r="P92" s="1182">
        <f>ROUND(ROUND(O94*P$6,2)/365*P$7,2)</f>
        <v>693.54</v>
      </c>
      <c r="R92" s="1188">
        <f>SUM(D92:Q92)</f>
        <v>1014.6099999999999</v>
      </c>
      <c r="T92" s="850"/>
      <c r="U92" s="928"/>
      <c r="V92" s="1200"/>
    </row>
    <row r="93" spans="1:31">
      <c r="A93" s="830">
        <v>93</v>
      </c>
      <c r="B93" s="1181"/>
      <c r="C93" s="850" t="s">
        <v>3041</v>
      </c>
      <c r="D93" s="1183">
        <f t="shared" ref="D93:P93" si="35">SUM(D91:D92)</f>
        <v>0</v>
      </c>
      <c r="E93" s="1183">
        <f t="shared" si="35"/>
        <v>0</v>
      </c>
      <c r="F93" s="1183">
        <f t="shared" si="35"/>
        <v>0</v>
      </c>
      <c r="G93" s="1183">
        <f t="shared" si="35"/>
        <v>0</v>
      </c>
      <c r="H93" s="1183">
        <f t="shared" si="35"/>
        <v>0</v>
      </c>
      <c r="I93" s="1183">
        <f t="shared" si="35"/>
        <v>0</v>
      </c>
      <c r="J93" s="1183">
        <f t="shared" si="35"/>
        <v>0</v>
      </c>
      <c r="K93" s="1183">
        <f t="shared" si="35"/>
        <v>0</v>
      </c>
      <c r="L93" s="1183">
        <f t="shared" si="35"/>
        <v>0</v>
      </c>
      <c r="M93" s="1183">
        <f t="shared" si="35"/>
        <v>72073.100000000006</v>
      </c>
      <c r="N93" s="1183">
        <f t="shared" si="35"/>
        <v>0</v>
      </c>
      <c r="O93" s="1183">
        <f t="shared" si="35"/>
        <v>78588.800000000003</v>
      </c>
      <c r="P93" s="1184">
        <f t="shared" si="35"/>
        <v>80922.979999999981</v>
      </c>
      <c r="R93" s="1190">
        <f>SUM(R91:R92)</f>
        <v>231584.88</v>
      </c>
      <c r="T93" s="850"/>
      <c r="U93" s="928"/>
      <c r="V93" s="1200"/>
    </row>
    <row r="94" spans="1:31">
      <c r="A94" s="830">
        <v>94</v>
      </c>
      <c r="B94" s="1181"/>
      <c r="C94" s="850" t="s">
        <v>3042</v>
      </c>
      <c r="D94" s="928"/>
      <c r="E94" s="928">
        <f t="shared" ref="E94:P94" si="36">D94+E93</f>
        <v>0</v>
      </c>
      <c r="F94" s="928">
        <f t="shared" si="36"/>
        <v>0</v>
      </c>
      <c r="G94" s="928">
        <f t="shared" si="36"/>
        <v>0</v>
      </c>
      <c r="H94" s="928">
        <f t="shared" si="36"/>
        <v>0</v>
      </c>
      <c r="I94" s="928">
        <f t="shared" si="36"/>
        <v>0</v>
      </c>
      <c r="J94" s="928">
        <f t="shared" si="36"/>
        <v>0</v>
      </c>
      <c r="K94" s="928">
        <f t="shared" si="36"/>
        <v>0</v>
      </c>
      <c r="L94" s="928">
        <f t="shared" si="36"/>
        <v>0</v>
      </c>
      <c r="M94" s="928">
        <f t="shared" si="36"/>
        <v>72073.100000000006</v>
      </c>
      <c r="N94" s="928">
        <f t="shared" si="36"/>
        <v>72073.100000000006</v>
      </c>
      <c r="O94" s="928">
        <f t="shared" si="36"/>
        <v>150661.90000000002</v>
      </c>
      <c r="P94" s="1191">
        <f t="shared" si="36"/>
        <v>231584.88</v>
      </c>
      <c r="R94" s="1172"/>
      <c r="T94" s="850"/>
      <c r="U94" s="928"/>
      <c r="V94" s="1200"/>
    </row>
    <row r="95" spans="1:31">
      <c r="A95" s="830">
        <v>95</v>
      </c>
      <c r="B95" s="1181"/>
      <c r="C95" s="850"/>
      <c r="D95" s="928"/>
      <c r="E95" s="928"/>
      <c r="F95" s="928"/>
      <c r="G95" s="928"/>
      <c r="H95" s="928"/>
      <c r="I95" s="928"/>
      <c r="J95" s="928"/>
      <c r="K95" s="928"/>
      <c r="L95" s="928"/>
      <c r="M95" s="928"/>
      <c r="N95" s="899"/>
      <c r="O95" s="928"/>
      <c r="P95" s="1182"/>
      <c r="R95" s="1172"/>
      <c r="T95" s="850"/>
      <c r="U95" s="928"/>
      <c r="V95" s="1200"/>
    </row>
    <row r="96" spans="1:31">
      <c r="A96" s="830">
        <v>96</v>
      </c>
      <c r="B96" s="829" t="s">
        <v>3055</v>
      </c>
      <c r="C96" s="890">
        <v>511</v>
      </c>
      <c r="D96" s="899"/>
      <c r="E96" s="899"/>
      <c r="F96" s="928"/>
      <c r="G96" s="899"/>
      <c r="H96" s="899"/>
      <c r="I96" s="899"/>
      <c r="J96" s="899"/>
      <c r="K96" s="899"/>
      <c r="L96" s="899"/>
      <c r="M96" s="899"/>
      <c r="N96" s="899"/>
      <c r="O96" s="899"/>
      <c r="P96" s="1196"/>
      <c r="R96" s="1172"/>
      <c r="U96" s="830">
        <v>511</v>
      </c>
      <c r="V96" s="1200">
        <f>ROUND(U101/Z101,0)</f>
        <v>106750</v>
      </c>
      <c r="W96" s="1200">
        <f>SUM(V76:V96)</f>
        <v>1270156</v>
      </c>
    </row>
    <row r="97" spans="1:30" ht="15.6">
      <c r="A97" s="830">
        <v>97</v>
      </c>
      <c r="B97" s="1181" t="s">
        <v>1057</v>
      </c>
      <c r="C97" s="830" t="s">
        <v>3043</v>
      </c>
      <c r="D97" s="899">
        <v>74</v>
      </c>
      <c r="E97" s="899">
        <v>74</v>
      </c>
      <c r="F97" s="899">
        <v>73</v>
      </c>
      <c r="G97" s="899">
        <v>73</v>
      </c>
      <c r="H97" s="899">
        <v>73</v>
      </c>
      <c r="I97" s="899">
        <v>73</v>
      </c>
      <c r="J97" s="899">
        <v>74</v>
      </c>
      <c r="K97" s="899">
        <v>75</v>
      </c>
      <c r="L97" s="899">
        <v>75</v>
      </c>
      <c r="M97" s="899">
        <v>75</v>
      </c>
      <c r="N97" s="899"/>
      <c r="O97" s="899">
        <v>75</v>
      </c>
      <c r="P97" s="1196">
        <v>75</v>
      </c>
      <c r="Q97" s="834"/>
      <c r="R97" s="1195"/>
      <c r="V97" s="1197">
        <v>1270156</v>
      </c>
      <c r="W97" s="830" t="s">
        <v>2514</v>
      </c>
      <c r="X97" s="899"/>
    </row>
    <row r="98" spans="1:30">
      <c r="A98" s="830">
        <v>98</v>
      </c>
      <c r="B98" s="1181" t="s">
        <v>3034</v>
      </c>
      <c r="C98" s="830" t="s">
        <v>3048</v>
      </c>
      <c r="D98" s="928"/>
      <c r="E98" s="928"/>
      <c r="F98" s="928"/>
      <c r="G98" s="928"/>
      <c r="H98" s="928"/>
      <c r="I98" s="928"/>
      <c r="J98" s="928"/>
      <c r="K98" s="928"/>
      <c r="L98" s="928"/>
      <c r="M98" s="928"/>
      <c r="N98" s="928"/>
      <c r="O98" s="928"/>
      <c r="P98" s="1182"/>
      <c r="Q98" s="1200"/>
      <c r="R98" s="1187"/>
      <c r="T98" s="850" t="s">
        <v>2696</v>
      </c>
      <c r="U98" s="928"/>
      <c r="V98" s="1185"/>
      <c r="X98" s="1185"/>
      <c r="AB98" s="1185">
        <f>Z98-X98</f>
        <v>0</v>
      </c>
    </row>
    <row r="99" spans="1:30" ht="15.6">
      <c r="A99" s="830">
        <v>99</v>
      </c>
      <c r="B99" s="1181" t="s">
        <v>3034</v>
      </c>
      <c r="C99" s="830" t="s">
        <v>3052</v>
      </c>
      <c r="D99" s="928">
        <v>137096.94</v>
      </c>
      <c r="E99" s="928">
        <v>142202.75</v>
      </c>
      <c r="F99" s="928">
        <v>148808.72</v>
      </c>
      <c r="G99" s="928">
        <v>101345.27</v>
      </c>
      <c r="H99" s="928">
        <v>68346.91</v>
      </c>
      <c r="I99" s="928">
        <v>49023.82</v>
      </c>
      <c r="J99" s="928">
        <v>39985.11</v>
      </c>
      <c r="K99" s="928">
        <v>42022.45</v>
      </c>
      <c r="L99" s="928">
        <v>36146.300000000003</v>
      </c>
      <c r="M99" s="928">
        <v>62882.46</v>
      </c>
      <c r="N99" s="928"/>
      <c r="O99" s="928">
        <v>97254.58</v>
      </c>
      <c r="P99" s="1182">
        <v>127232.51</v>
      </c>
      <c r="Q99" s="1200"/>
      <c r="R99" s="1187"/>
      <c r="T99" s="850" t="s">
        <v>2696</v>
      </c>
      <c r="U99" s="1199">
        <v>127232.51</v>
      </c>
      <c r="V99" s="1185">
        <f>U99/V78</f>
        <v>0.14330002534140504</v>
      </c>
      <c r="X99" s="1185">
        <f>U99/V78</f>
        <v>0.14330002534140504</v>
      </c>
      <c r="Z99" s="1201">
        <v>0.14330000000000001</v>
      </c>
      <c r="AB99" s="1185">
        <f>Z99-X99</f>
        <v>-2.5341405029966069E-8</v>
      </c>
    </row>
    <row r="100" spans="1:30" ht="15.6">
      <c r="A100" s="830">
        <v>100</v>
      </c>
      <c r="B100" s="1181" t="s">
        <v>3034</v>
      </c>
      <c r="C100" s="830" t="s">
        <v>3053</v>
      </c>
      <c r="D100" s="928">
        <v>40242.300000000003</v>
      </c>
      <c r="E100" s="928">
        <v>40294.370000000003</v>
      </c>
      <c r="F100" s="928">
        <v>44890.31</v>
      </c>
      <c r="G100" s="928">
        <v>28516.880000000001</v>
      </c>
      <c r="H100" s="928">
        <v>22122.75</v>
      </c>
      <c r="I100" s="928">
        <v>15140.33</v>
      </c>
      <c r="J100" s="928">
        <v>13956.5</v>
      </c>
      <c r="K100" s="928">
        <v>11827.35</v>
      </c>
      <c r="L100" s="928">
        <v>10390.42</v>
      </c>
      <c r="M100" s="928">
        <v>23311.23</v>
      </c>
      <c r="N100" s="928"/>
      <c r="O100" s="928">
        <v>30469.07</v>
      </c>
      <c r="P100" s="1182">
        <v>30264.34</v>
      </c>
      <c r="Q100" s="1200"/>
      <c r="R100" s="1187"/>
      <c r="T100" s="850" t="s">
        <v>2696</v>
      </c>
      <c r="U100" s="1199">
        <v>30264.34</v>
      </c>
      <c r="V100" s="1185">
        <f>U100/V79</f>
        <v>0.10984005429516099</v>
      </c>
      <c r="X100" s="1185">
        <f>U100/V79</f>
        <v>0.10984005429516099</v>
      </c>
      <c r="Z100" s="830">
        <v>0.10983999999999999</v>
      </c>
      <c r="AB100" s="1185">
        <f>Z100-X100</f>
        <v>-5.4295160992201552E-8</v>
      </c>
    </row>
    <row r="101" spans="1:30" ht="15.6">
      <c r="A101" s="830">
        <v>101</v>
      </c>
      <c r="B101" s="1181" t="s">
        <v>3034</v>
      </c>
      <c r="C101" s="830" t="s">
        <v>3054</v>
      </c>
      <c r="D101" s="928">
        <v>4186.92</v>
      </c>
      <c r="E101" s="928">
        <v>4559.41</v>
      </c>
      <c r="F101" s="928">
        <v>5498.64</v>
      </c>
      <c r="G101" s="928">
        <v>1679.4</v>
      </c>
      <c r="H101" s="928">
        <v>375.09</v>
      </c>
      <c r="I101" s="928">
        <v>0</v>
      </c>
      <c r="J101" s="928"/>
      <c r="K101" s="928"/>
      <c r="L101" s="928"/>
      <c r="M101" s="928">
        <v>794.06</v>
      </c>
      <c r="N101" s="928"/>
      <c r="O101" s="928">
        <v>2193.0700000000002</v>
      </c>
      <c r="P101" s="1182">
        <v>2891.86</v>
      </c>
      <c r="Q101" s="1200"/>
      <c r="R101" s="1187"/>
      <c r="T101" s="850" t="s">
        <v>2696</v>
      </c>
      <c r="U101" s="1199">
        <v>2891.86</v>
      </c>
      <c r="V101" s="1185">
        <f>U101/V96</f>
        <v>2.7090023419203749E-2</v>
      </c>
      <c r="X101" s="1185">
        <f>U101/V96</f>
        <v>2.7090023419203749E-2</v>
      </c>
      <c r="Z101" s="830">
        <v>2.7089999999999999E-2</v>
      </c>
      <c r="AB101" s="1185">
        <f>Z101-X101</f>
        <v>-2.3419203749874828E-8</v>
      </c>
    </row>
    <row r="102" spans="1:30" ht="15.6">
      <c r="A102" s="830">
        <v>102</v>
      </c>
      <c r="B102" s="1181" t="s">
        <v>3044</v>
      </c>
      <c r="C102" s="830" t="s">
        <v>3045</v>
      </c>
      <c r="D102" s="928">
        <f>ROUND(ROUND(10187002*0.1012,0)*0.10984,2)</f>
        <v>113236.8</v>
      </c>
      <c r="E102" s="928">
        <f>ROUND(ROUND(12666270*0.0984,0)*0.10984,2)</f>
        <v>136900.29</v>
      </c>
      <c r="F102" s="928">
        <f>ROUND(ROUND(8619566*0.0938,0)*0.10984,2)</f>
        <v>88807.29</v>
      </c>
      <c r="G102" s="928">
        <f>ROUND(ROUND(4713041*0.1016,0)*0.10984,2)</f>
        <v>52596.33</v>
      </c>
      <c r="H102" s="928">
        <f>ROUND(ROUND(2695771*0.1142,0)*0.10984,2)</f>
        <v>33815.01</v>
      </c>
      <c r="I102" s="928">
        <f>ROUND(ROUND(2099565*0.1216,0)*0.10984,2)</f>
        <v>28042.92</v>
      </c>
      <c r="J102" s="928">
        <f>ROUND(ROUND(2183931*0.1173,0)*0.10984,2)</f>
        <v>28138.26</v>
      </c>
      <c r="K102" s="928">
        <f>ROUND(ROUND(1243727*0.1256,0)*0.10984,2)</f>
        <v>17158.330000000002</v>
      </c>
      <c r="L102" s="928">
        <f>ROUND(ROUND(2978172*0.1149,0)*0.10984,2)</f>
        <v>37586.370000000003</v>
      </c>
      <c r="M102" s="928">
        <f>ROUND(ROUND(6393900*0.1229,0)*0.10984,2)</f>
        <v>86313.37</v>
      </c>
      <c r="N102" s="928"/>
      <c r="O102" s="928">
        <f>ROUND(ROUND(10324809*0.1159,0)*0.10984,2)</f>
        <v>131439.49</v>
      </c>
      <c r="P102" s="928">
        <f>ROUND(ROUND(11506709*0.0959,0)*0.10984,2)</f>
        <v>121207.67</v>
      </c>
      <c r="Q102" s="1187"/>
      <c r="R102" s="1187"/>
      <c r="T102" s="850" t="s">
        <v>2650</v>
      </c>
      <c r="U102" s="1199">
        <v>535932.37</v>
      </c>
      <c r="V102" s="1185">
        <f>U102/V97</f>
        <v>0.42194216300989801</v>
      </c>
      <c r="X102" s="1185">
        <f>U102/V97</f>
        <v>0.42194216300989801</v>
      </c>
      <c r="Z102" s="1201">
        <f>+Z49</f>
        <v>0.42197000000000001</v>
      </c>
      <c r="AB102" s="1185">
        <f>Z102-X102</f>
        <v>2.7836990102003689E-5</v>
      </c>
      <c r="AD102" s="1200">
        <f>P102</f>
        <v>121207.67</v>
      </c>
    </row>
    <row r="103" spans="1:30">
      <c r="A103" s="830">
        <v>103</v>
      </c>
      <c r="B103" s="1181" t="s">
        <v>3044</v>
      </c>
      <c r="C103" s="830" t="s">
        <v>3046</v>
      </c>
      <c r="D103" s="1183">
        <v>-120997.44</v>
      </c>
      <c r="E103" s="1183">
        <f t="shared" ref="E103:M103" si="37">-D102</f>
        <v>-113236.8</v>
      </c>
      <c r="F103" s="1183">
        <f t="shared" si="37"/>
        <v>-136900.29</v>
      </c>
      <c r="G103" s="1183">
        <f t="shared" si="37"/>
        <v>-88807.29</v>
      </c>
      <c r="H103" s="1183">
        <f t="shared" si="37"/>
        <v>-52596.33</v>
      </c>
      <c r="I103" s="1183">
        <f t="shared" si="37"/>
        <v>-33815.01</v>
      </c>
      <c r="J103" s="1183">
        <f t="shared" si="37"/>
        <v>-28042.92</v>
      </c>
      <c r="K103" s="1183">
        <f t="shared" si="37"/>
        <v>-28138.26</v>
      </c>
      <c r="L103" s="1183">
        <f t="shared" si="37"/>
        <v>-17158.330000000002</v>
      </c>
      <c r="M103" s="1183">
        <f t="shared" si="37"/>
        <v>-37586.370000000003</v>
      </c>
      <c r="N103" s="1183"/>
      <c r="O103" s="1183">
        <f>-M102</f>
        <v>-86313.37</v>
      </c>
      <c r="P103" s="1184">
        <f>-O102</f>
        <v>-131439.49</v>
      </c>
      <c r="Q103" s="1200"/>
      <c r="R103" s="1187"/>
      <c r="T103" s="850"/>
      <c r="U103" s="928"/>
      <c r="V103" s="1185"/>
      <c r="X103" s="1185"/>
      <c r="AB103" s="1185"/>
      <c r="AD103" s="1200">
        <f>D103</f>
        <v>-120997.44</v>
      </c>
    </row>
    <row r="104" spans="1:30">
      <c r="A104" s="830">
        <v>104</v>
      </c>
      <c r="B104" s="1181"/>
      <c r="C104" s="850" t="s">
        <v>3036</v>
      </c>
      <c r="D104" s="928">
        <f t="shared" ref="D104:M104" si="38">SUM(D98:D103)</f>
        <v>173765.52000000002</v>
      </c>
      <c r="E104" s="928">
        <f t="shared" si="38"/>
        <v>210720.02000000002</v>
      </c>
      <c r="F104" s="928">
        <f t="shared" si="38"/>
        <v>151104.67000000001</v>
      </c>
      <c r="G104" s="928">
        <f t="shared" si="38"/>
        <v>95330.590000000011</v>
      </c>
      <c r="H104" s="928">
        <f t="shared" si="38"/>
        <v>72063.430000000008</v>
      </c>
      <c r="I104" s="928">
        <f t="shared" si="38"/>
        <v>58392.060000000005</v>
      </c>
      <c r="J104" s="928">
        <f t="shared" si="38"/>
        <v>54036.95</v>
      </c>
      <c r="K104" s="928">
        <f t="shared" si="38"/>
        <v>42869.87000000001</v>
      </c>
      <c r="L104" s="928">
        <f t="shared" si="38"/>
        <v>66964.759999999995</v>
      </c>
      <c r="M104" s="928">
        <f t="shared" si="38"/>
        <v>135714.75</v>
      </c>
      <c r="N104" s="928"/>
      <c r="O104" s="928">
        <f>SUM(O98:O103)</f>
        <v>175042.84</v>
      </c>
      <c r="P104" s="1191">
        <f>SUM(P98:P103)</f>
        <v>150156.89000000001</v>
      </c>
      <c r="R104" s="1172"/>
    </row>
    <row r="105" spans="1:30">
      <c r="A105" s="830">
        <v>105</v>
      </c>
      <c r="B105" s="1181"/>
      <c r="C105" s="850" t="s">
        <v>3038</v>
      </c>
      <c r="D105" s="1183">
        <v>-156336.84</v>
      </c>
      <c r="E105" s="1183">
        <v>-126029.4</v>
      </c>
      <c r="F105" s="1183">
        <v>-154119.06</v>
      </c>
      <c r="G105" s="1183">
        <v>-95426.33</v>
      </c>
      <c r="H105" s="1183">
        <v>-58226.26</v>
      </c>
      <c r="I105" s="1183">
        <v>-63541.39</v>
      </c>
      <c r="J105" s="1183">
        <v>-42476</v>
      </c>
      <c r="K105" s="1183">
        <v>-60923.25</v>
      </c>
      <c r="L105" s="1183">
        <v>-57103.5</v>
      </c>
      <c r="M105" s="1183">
        <v>-64854</v>
      </c>
      <c r="N105" s="1183"/>
      <c r="O105" s="1183">
        <v>-87196.5</v>
      </c>
      <c r="P105" s="1184">
        <v>-141214.5</v>
      </c>
      <c r="R105" s="1172"/>
    </row>
    <row r="106" spans="1:30">
      <c r="A106" s="830">
        <v>106</v>
      </c>
      <c r="B106" s="1181"/>
      <c r="C106" s="850" t="s">
        <v>3039</v>
      </c>
      <c r="D106" s="928">
        <f t="shared" ref="D106:M106" si="39">SUM(D104:D105)</f>
        <v>17428.680000000022</v>
      </c>
      <c r="E106" s="928">
        <f t="shared" si="39"/>
        <v>84690.620000000024</v>
      </c>
      <c r="F106" s="928">
        <f t="shared" si="39"/>
        <v>-3014.3899999999849</v>
      </c>
      <c r="G106" s="928">
        <f t="shared" si="39"/>
        <v>-95.739999999990687</v>
      </c>
      <c r="H106" s="928">
        <f t="shared" si="39"/>
        <v>13837.170000000006</v>
      </c>
      <c r="I106" s="928">
        <f t="shared" si="39"/>
        <v>-5149.3299999999945</v>
      </c>
      <c r="J106" s="928">
        <f t="shared" si="39"/>
        <v>11560.949999999997</v>
      </c>
      <c r="K106" s="928">
        <f t="shared" si="39"/>
        <v>-18053.37999999999</v>
      </c>
      <c r="L106" s="928">
        <f t="shared" si="39"/>
        <v>9861.2599999999948</v>
      </c>
      <c r="M106" s="928">
        <f t="shared" si="39"/>
        <v>70860.75</v>
      </c>
      <c r="N106" s="928">
        <v>-233597.07000000004</v>
      </c>
      <c r="O106" s="928">
        <f>SUM(O104:O105)</f>
        <v>87846.34</v>
      </c>
      <c r="P106" s="1182">
        <f>SUM(P104:P105)</f>
        <v>8942.390000000014</v>
      </c>
      <c r="R106" s="1187">
        <f>SUM(D106:Q106)-N106</f>
        <v>278715.32000000007</v>
      </c>
    </row>
    <row r="107" spans="1:30">
      <c r="A107" s="830">
        <v>107</v>
      </c>
      <c r="B107" s="1181"/>
      <c r="C107" s="850" t="s">
        <v>3040</v>
      </c>
      <c r="D107" s="928">
        <v>1027.7</v>
      </c>
      <c r="E107" s="928">
        <f t="shared" ref="E107:M107" si="40">ROUND(ROUND(D109*E$6,2)/365*E$7,2)</f>
        <v>1001.58</v>
      </c>
      <c r="F107" s="928">
        <f t="shared" si="40"/>
        <v>1485.9</v>
      </c>
      <c r="G107" s="928">
        <f t="shared" si="40"/>
        <v>1506.07</v>
      </c>
      <c r="H107" s="928">
        <f t="shared" si="40"/>
        <v>1562.8</v>
      </c>
      <c r="I107" s="928">
        <f t="shared" si="40"/>
        <v>1581.37</v>
      </c>
      <c r="J107" s="928">
        <f t="shared" si="40"/>
        <v>1632.41</v>
      </c>
      <c r="K107" s="928">
        <f t="shared" si="40"/>
        <v>1694.04</v>
      </c>
      <c r="L107" s="928">
        <f t="shared" si="40"/>
        <v>1565.44</v>
      </c>
      <c r="M107" s="928">
        <f t="shared" si="40"/>
        <v>1646.69</v>
      </c>
      <c r="N107" s="928">
        <v>-10685.080000000002</v>
      </c>
      <c r="O107" s="928">
        <f>ROUND(ROUND(N109*O$6,2)/365*O$7,2)</f>
        <v>828.35</v>
      </c>
      <c r="P107" s="1182">
        <f>ROUND(ROUND(O109*P$6,2)/365*P$7,2)</f>
        <v>1264.1600000000001</v>
      </c>
      <c r="R107" s="1188">
        <f>SUM(D107:Q107)</f>
        <v>6111.4299999999985</v>
      </c>
    </row>
    <row r="108" spans="1:30">
      <c r="A108" s="830">
        <v>108</v>
      </c>
      <c r="B108" s="1181"/>
      <c r="C108" s="850" t="s">
        <v>3041</v>
      </c>
      <c r="D108" s="1183">
        <f t="shared" ref="D108:P108" si="41">SUM(D106:D107)</f>
        <v>18456.380000000023</v>
      </c>
      <c r="E108" s="1183">
        <f t="shared" si="41"/>
        <v>85692.200000000026</v>
      </c>
      <c r="F108" s="1183">
        <f t="shared" si="41"/>
        <v>-1528.4899999999848</v>
      </c>
      <c r="G108" s="1183">
        <f t="shared" si="41"/>
        <v>1410.3300000000092</v>
      </c>
      <c r="H108" s="1183">
        <f t="shared" si="41"/>
        <v>15399.970000000005</v>
      </c>
      <c r="I108" s="1183">
        <f t="shared" si="41"/>
        <v>-3567.9599999999946</v>
      </c>
      <c r="J108" s="1183">
        <f t="shared" si="41"/>
        <v>13193.359999999997</v>
      </c>
      <c r="K108" s="1183">
        <f t="shared" si="41"/>
        <v>-16359.339999999989</v>
      </c>
      <c r="L108" s="1183">
        <f t="shared" si="41"/>
        <v>11426.699999999995</v>
      </c>
      <c r="M108" s="1183">
        <f t="shared" si="41"/>
        <v>72507.44</v>
      </c>
      <c r="N108" s="1183">
        <f t="shared" si="41"/>
        <v>-244282.15000000002</v>
      </c>
      <c r="O108" s="1183">
        <f t="shared" si="41"/>
        <v>88674.69</v>
      </c>
      <c r="P108" s="1184">
        <f t="shared" si="41"/>
        <v>10206.550000000014</v>
      </c>
      <c r="R108" s="1190">
        <f>SUM(R106:R107)</f>
        <v>284826.75000000006</v>
      </c>
    </row>
    <row r="109" spans="1:30">
      <c r="A109" s="830">
        <v>109</v>
      </c>
      <c r="B109" s="1181"/>
      <c r="C109" s="850" t="s">
        <v>3042</v>
      </c>
      <c r="D109" s="928">
        <v>252053.45000000004</v>
      </c>
      <c r="E109" s="928">
        <f t="shared" ref="E109:P109" si="42">D109+E108</f>
        <v>337745.65000000008</v>
      </c>
      <c r="F109" s="928">
        <f t="shared" si="42"/>
        <v>336217.16000000009</v>
      </c>
      <c r="G109" s="928">
        <f t="shared" si="42"/>
        <v>337627.49000000011</v>
      </c>
      <c r="H109" s="928">
        <f t="shared" si="42"/>
        <v>353027.46000000014</v>
      </c>
      <c r="I109" s="928">
        <f t="shared" si="42"/>
        <v>349459.50000000012</v>
      </c>
      <c r="J109" s="928">
        <f t="shared" si="42"/>
        <v>362652.8600000001</v>
      </c>
      <c r="K109" s="928">
        <f t="shared" si="42"/>
        <v>346293.52000000014</v>
      </c>
      <c r="L109" s="928">
        <f t="shared" si="42"/>
        <v>357720.22000000015</v>
      </c>
      <c r="M109" s="928">
        <f t="shared" si="42"/>
        <v>430227.66000000015</v>
      </c>
      <c r="N109" s="928">
        <f t="shared" si="42"/>
        <v>185945.51000000013</v>
      </c>
      <c r="O109" s="928">
        <f t="shared" si="42"/>
        <v>274620.20000000013</v>
      </c>
      <c r="P109" s="1191">
        <f t="shared" si="42"/>
        <v>284826.75000000012</v>
      </c>
      <c r="R109" s="1172"/>
    </row>
    <row r="110" spans="1:30">
      <c r="A110" s="830">
        <v>110</v>
      </c>
      <c r="B110" s="1181"/>
      <c r="D110" s="899"/>
      <c r="E110" s="899"/>
      <c r="F110" s="928"/>
      <c r="G110" s="899"/>
      <c r="H110" s="899"/>
      <c r="I110" s="899"/>
      <c r="J110" s="899"/>
      <c r="K110" s="899"/>
      <c r="L110" s="899"/>
      <c r="M110" s="899"/>
      <c r="N110" s="899"/>
      <c r="O110" s="899"/>
      <c r="P110" s="1196"/>
      <c r="R110" s="1172"/>
    </row>
    <row r="111" spans="1:30">
      <c r="A111" s="830">
        <v>111</v>
      </c>
      <c r="B111" s="829" t="s">
        <v>3055</v>
      </c>
      <c r="C111" s="890">
        <v>512</v>
      </c>
      <c r="D111" s="899" t="s">
        <v>3032</v>
      </c>
      <c r="E111" s="899"/>
      <c r="F111" s="928"/>
      <c r="G111" s="899"/>
      <c r="H111" s="899"/>
      <c r="I111" s="899"/>
      <c r="J111" s="899"/>
      <c r="L111" s="899"/>
      <c r="M111" s="899"/>
      <c r="N111" s="899"/>
      <c r="O111" s="899"/>
      <c r="P111" s="1196"/>
      <c r="R111" s="1172"/>
    </row>
    <row r="112" spans="1:30">
      <c r="A112" s="830">
        <v>112</v>
      </c>
      <c r="B112" s="1181" t="s">
        <v>1057</v>
      </c>
      <c r="C112" s="830" t="s">
        <v>3043</v>
      </c>
      <c r="D112" s="899">
        <v>0</v>
      </c>
      <c r="E112" s="899">
        <v>0</v>
      </c>
      <c r="F112" s="899">
        <v>0</v>
      </c>
      <c r="G112" s="899">
        <v>0</v>
      </c>
      <c r="H112" s="899">
        <v>0</v>
      </c>
      <c r="I112" s="899">
        <v>0</v>
      </c>
      <c r="J112" s="899">
        <v>0</v>
      </c>
      <c r="K112" s="899">
        <v>0</v>
      </c>
      <c r="L112" s="899">
        <v>0</v>
      </c>
      <c r="M112" s="899">
        <v>0</v>
      </c>
      <c r="N112" s="899"/>
      <c r="O112" s="899">
        <v>0</v>
      </c>
      <c r="P112" s="1196">
        <v>0</v>
      </c>
      <c r="Q112" s="834"/>
      <c r="R112" s="1195"/>
      <c r="V112" s="899"/>
      <c r="X112" s="899"/>
    </row>
    <row r="113" spans="1:30">
      <c r="A113" s="830">
        <v>113</v>
      </c>
      <c r="B113" s="1181" t="s">
        <v>3034</v>
      </c>
      <c r="C113" s="830" t="s">
        <v>3035</v>
      </c>
      <c r="D113" s="1183">
        <v>0</v>
      </c>
      <c r="E113" s="1183">
        <v>0</v>
      </c>
      <c r="F113" s="1183">
        <v>0</v>
      </c>
      <c r="G113" s="1183">
        <v>0</v>
      </c>
      <c r="H113" s="1183">
        <v>0</v>
      </c>
      <c r="I113" s="1183">
        <v>0</v>
      </c>
      <c r="J113" s="1183">
        <v>0</v>
      </c>
      <c r="K113" s="1183">
        <v>0</v>
      </c>
      <c r="L113" s="1183">
        <v>0</v>
      </c>
      <c r="M113" s="1183">
        <v>0</v>
      </c>
      <c r="N113" s="1183"/>
      <c r="O113" s="1183">
        <v>0</v>
      </c>
      <c r="P113" s="1184">
        <v>0</v>
      </c>
      <c r="Q113" s="1200"/>
      <c r="R113" s="1187"/>
      <c r="T113" s="850"/>
      <c r="U113" s="928"/>
      <c r="V113" s="1185"/>
      <c r="X113" s="1185"/>
      <c r="AB113" s="1185"/>
    </row>
    <row r="114" spans="1:30">
      <c r="A114" s="830">
        <v>114</v>
      </c>
      <c r="B114" s="1181"/>
      <c r="C114" s="850" t="s">
        <v>3036</v>
      </c>
      <c r="D114" s="928">
        <f t="shared" ref="D114:M114" si="43">D113</f>
        <v>0</v>
      </c>
      <c r="E114" s="928">
        <f t="shared" si="43"/>
        <v>0</v>
      </c>
      <c r="F114" s="928">
        <f t="shared" si="43"/>
        <v>0</v>
      </c>
      <c r="G114" s="928">
        <f t="shared" si="43"/>
        <v>0</v>
      </c>
      <c r="H114" s="928">
        <f t="shared" si="43"/>
        <v>0</v>
      </c>
      <c r="I114" s="928">
        <f t="shared" si="43"/>
        <v>0</v>
      </c>
      <c r="J114" s="928">
        <f t="shared" si="43"/>
        <v>0</v>
      </c>
      <c r="K114" s="928">
        <f t="shared" si="43"/>
        <v>0</v>
      </c>
      <c r="L114" s="928">
        <f t="shared" si="43"/>
        <v>0</v>
      </c>
      <c r="M114" s="928">
        <f t="shared" si="43"/>
        <v>0</v>
      </c>
      <c r="N114" s="928"/>
      <c r="O114" s="928">
        <f>O113</f>
        <v>0</v>
      </c>
      <c r="P114" s="1182">
        <f>P113</f>
        <v>0</v>
      </c>
      <c r="R114" s="1172"/>
      <c r="T114" s="850"/>
      <c r="U114" s="928"/>
      <c r="V114" s="1185"/>
      <c r="X114" s="1185"/>
      <c r="AB114" s="1185"/>
    </row>
    <row r="115" spans="1:30">
      <c r="A115" s="830">
        <v>115</v>
      </c>
      <c r="B115" s="1181"/>
      <c r="C115" s="850" t="s">
        <v>3038</v>
      </c>
      <c r="D115" s="1183">
        <v>0</v>
      </c>
      <c r="E115" s="1183">
        <v>0</v>
      </c>
      <c r="F115" s="1183">
        <v>0</v>
      </c>
      <c r="G115" s="1183">
        <v>0</v>
      </c>
      <c r="H115" s="1183">
        <v>0</v>
      </c>
      <c r="I115" s="1183">
        <v>0</v>
      </c>
      <c r="J115" s="1183">
        <v>0</v>
      </c>
      <c r="K115" s="1183">
        <v>0</v>
      </c>
      <c r="L115" s="1183">
        <v>0</v>
      </c>
      <c r="M115" s="1183">
        <v>0</v>
      </c>
      <c r="N115" s="1183"/>
      <c r="O115" s="1183">
        <v>0</v>
      </c>
      <c r="P115" s="1184">
        <v>0</v>
      </c>
      <c r="R115" s="1172"/>
    </row>
    <row r="116" spans="1:30">
      <c r="A116" s="830">
        <v>116</v>
      </c>
      <c r="B116" s="1181"/>
      <c r="C116" s="850" t="s">
        <v>3039</v>
      </c>
      <c r="D116" s="928">
        <f t="shared" ref="D116:M116" si="44">SUM(D114:D115)</f>
        <v>0</v>
      </c>
      <c r="E116" s="928">
        <f t="shared" si="44"/>
        <v>0</v>
      </c>
      <c r="F116" s="928">
        <f t="shared" si="44"/>
        <v>0</v>
      </c>
      <c r="G116" s="928">
        <f t="shared" si="44"/>
        <v>0</v>
      </c>
      <c r="H116" s="928">
        <f t="shared" si="44"/>
        <v>0</v>
      </c>
      <c r="I116" s="928">
        <f t="shared" si="44"/>
        <v>0</v>
      </c>
      <c r="J116" s="928">
        <f t="shared" si="44"/>
        <v>0</v>
      </c>
      <c r="K116" s="928">
        <f t="shared" si="44"/>
        <v>0</v>
      </c>
      <c r="L116" s="928">
        <f t="shared" si="44"/>
        <v>0</v>
      </c>
      <c r="M116" s="928">
        <f t="shared" si="44"/>
        <v>0</v>
      </c>
      <c r="N116" s="928">
        <v>-496.46</v>
      </c>
      <c r="O116" s="928">
        <f>SUM(O114:O115)</f>
        <v>0</v>
      </c>
      <c r="P116" s="1182">
        <f>SUM(P114:P115)</f>
        <v>0</v>
      </c>
      <c r="R116" s="1187">
        <f>SUM(D116:Q116)-N116</f>
        <v>0</v>
      </c>
    </row>
    <row r="117" spans="1:30">
      <c r="A117" s="830">
        <v>117</v>
      </c>
      <c r="B117" s="1181"/>
      <c r="C117" s="850" t="s">
        <v>3040</v>
      </c>
      <c r="D117" s="928">
        <v>2.1800000000000002</v>
      </c>
      <c r="E117" s="928">
        <f t="shared" ref="E117:M117" si="45">ROUND(ROUND(D119*E$6,2)/365*E$7,2)</f>
        <v>1.98</v>
      </c>
      <c r="F117" s="928">
        <f t="shared" si="45"/>
        <v>2.2000000000000002</v>
      </c>
      <c r="G117" s="928">
        <f t="shared" si="45"/>
        <v>2.25</v>
      </c>
      <c r="H117" s="928">
        <f t="shared" si="45"/>
        <v>2.34</v>
      </c>
      <c r="I117" s="928">
        <f t="shared" si="45"/>
        <v>2.27</v>
      </c>
      <c r="J117" s="928">
        <f t="shared" si="45"/>
        <v>2.38</v>
      </c>
      <c r="K117" s="928">
        <f t="shared" si="45"/>
        <v>2.39</v>
      </c>
      <c r="L117" s="928">
        <f t="shared" si="45"/>
        <v>2.33</v>
      </c>
      <c r="M117" s="928">
        <f t="shared" si="45"/>
        <v>2.38</v>
      </c>
      <c r="N117" s="928">
        <v>-22.7</v>
      </c>
      <c r="O117" s="928">
        <f>ROUND(ROUND(N119*O$6,2)/365*O$7,2)</f>
        <v>0</v>
      </c>
      <c r="P117" s="1182">
        <f>ROUND(ROUND(O119*P$6,2)/365*P$7,2)</f>
        <v>0</v>
      </c>
      <c r="R117" s="1188">
        <f>SUM(D117:Q117)</f>
        <v>0</v>
      </c>
    </row>
    <row r="118" spans="1:30">
      <c r="A118" s="830">
        <v>118</v>
      </c>
      <c r="B118" s="1181"/>
      <c r="C118" s="850" t="s">
        <v>3041</v>
      </c>
      <c r="D118" s="1183">
        <f t="shared" ref="D118:P118" si="46">SUM(D116:D117)</f>
        <v>2.1800000000000002</v>
      </c>
      <c r="E118" s="1183">
        <f t="shared" si="46"/>
        <v>1.98</v>
      </c>
      <c r="F118" s="1183">
        <f t="shared" si="46"/>
        <v>2.2000000000000002</v>
      </c>
      <c r="G118" s="1183">
        <f t="shared" si="46"/>
        <v>2.25</v>
      </c>
      <c r="H118" s="1183">
        <f t="shared" si="46"/>
        <v>2.34</v>
      </c>
      <c r="I118" s="1183">
        <f t="shared" si="46"/>
        <v>2.27</v>
      </c>
      <c r="J118" s="1183">
        <f t="shared" si="46"/>
        <v>2.38</v>
      </c>
      <c r="K118" s="1183">
        <f t="shared" si="46"/>
        <v>2.39</v>
      </c>
      <c r="L118" s="1183">
        <f t="shared" si="46"/>
        <v>2.33</v>
      </c>
      <c r="M118" s="1183">
        <f t="shared" si="46"/>
        <v>2.38</v>
      </c>
      <c r="N118" s="1183">
        <f t="shared" si="46"/>
        <v>-519.16</v>
      </c>
      <c r="O118" s="1183">
        <f t="shared" si="46"/>
        <v>0</v>
      </c>
      <c r="P118" s="1184">
        <f t="shared" si="46"/>
        <v>0</v>
      </c>
      <c r="R118" s="1190">
        <f>SUM(R116:R117)</f>
        <v>0</v>
      </c>
    </row>
    <row r="119" spans="1:30" ht="15" thickBot="1">
      <c r="A119" s="830">
        <v>119</v>
      </c>
      <c r="B119" s="1213"/>
      <c r="C119" s="1202" t="s">
        <v>3042</v>
      </c>
      <c r="D119" s="1203">
        <v>498.64000000000004</v>
      </c>
      <c r="E119" s="1203">
        <f t="shared" ref="E119:P119" si="47">D119+E118</f>
        <v>500.62000000000006</v>
      </c>
      <c r="F119" s="1203">
        <f t="shared" si="47"/>
        <v>502.82000000000005</v>
      </c>
      <c r="G119" s="1203">
        <f t="shared" si="47"/>
        <v>505.07000000000005</v>
      </c>
      <c r="H119" s="1203">
        <f t="shared" si="47"/>
        <v>507.41</v>
      </c>
      <c r="I119" s="1203">
        <f t="shared" si="47"/>
        <v>509.68</v>
      </c>
      <c r="J119" s="1203">
        <f t="shared" si="47"/>
        <v>512.06000000000006</v>
      </c>
      <c r="K119" s="1204">
        <f t="shared" si="47"/>
        <v>514.45000000000005</v>
      </c>
      <c r="L119" s="928">
        <f t="shared" si="47"/>
        <v>516.78000000000009</v>
      </c>
      <c r="M119" s="928">
        <f t="shared" si="47"/>
        <v>519.16000000000008</v>
      </c>
      <c r="N119" s="928">
        <f t="shared" si="47"/>
        <v>0</v>
      </c>
      <c r="O119" s="928">
        <f t="shared" si="47"/>
        <v>0</v>
      </c>
      <c r="P119" s="1191">
        <f t="shared" si="47"/>
        <v>0</v>
      </c>
      <c r="R119" s="1172"/>
      <c r="V119" s="1200">
        <f>ROUND(U124/Z124,0)</f>
        <v>0</v>
      </c>
    </row>
    <row r="120" spans="1:30" ht="15" thickBot="1">
      <c r="A120" s="830">
        <v>120</v>
      </c>
      <c r="B120" s="1205"/>
      <c r="C120" s="1214"/>
      <c r="D120" s="899"/>
      <c r="E120" s="899"/>
      <c r="F120" s="928"/>
      <c r="G120" s="899"/>
      <c r="H120" s="899"/>
      <c r="I120" s="899"/>
      <c r="J120" s="899"/>
      <c r="K120" s="1206"/>
      <c r="L120" s="1206"/>
      <c r="M120" s="1206"/>
      <c r="N120" s="1206"/>
      <c r="O120" s="1206"/>
      <c r="P120" s="1215"/>
      <c r="Q120" s="832"/>
      <c r="R120" s="832"/>
      <c r="T120" s="850"/>
      <c r="U120" s="928"/>
      <c r="V120" s="1200">
        <f>ROUND(U125/Z125,0)</f>
        <v>0</v>
      </c>
    </row>
    <row r="121" spans="1:30">
      <c r="A121" s="830">
        <v>121</v>
      </c>
      <c r="B121" s="832" t="s">
        <v>3063</v>
      </c>
      <c r="C121" s="1205" t="s">
        <v>3064</v>
      </c>
      <c r="D121" s="1206"/>
      <c r="E121" s="1206"/>
      <c r="F121" s="1208"/>
      <c r="G121" s="1206"/>
      <c r="H121" s="1206"/>
      <c r="I121" s="1206"/>
      <c r="J121" s="1206"/>
      <c r="K121" s="1206"/>
      <c r="L121" s="1206"/>
      <c r="M121" s="1206"/>
      <c r="N121" s="1206"/>
      <c r="O121" s="1206"/>
      <c r="P121" s="1209"/>
      <c r="Q121" s="832"/>
      <c r="R121" s="1210"/>
      <c r="U121" s="830">
        <v>505</v>
      </c>
      <c r="V121" s="1200">
        <f>ROUND(U126/Z126,0)</f>
        <v>0</v>
      </c>
      <c r="W121" s="1200">
        <f>SUM(V117:V121)</f>
        <v>0</v>
      </c>
    </row>
    <row r="122" spans="1:30" ht="15.6">
      <c r="A122" s="830">
        <v>122</v>
      </c>
      <c r="B122" s="1181" t="s">
        <v>1057</v>
      </c>
      <c r="C122" s="830" t="s">
        <v>3043</v>
      </c>
      <c r="D122" s="899">
        <v>1</v>
      </c>
      <c r="E122" s="899">
        <v>1</v>
      </c>
      <c r="F122" s="899">
        <v>1</v>
      </c>
      <c r="G122" s="899">
        <v>1</v>
      </c>
      <c r="H122" s="899">
        <v>1</v>
      </c>
      <c r="I122" s="899">
        <v>1</v>
      </c>
      <c r="J122" s="899">
        <v>1</v>
      </c>
      <c r="K122" s="899">
        <v>1</v>
      </c>
      <c r="L122" s="899">
        <v>1</v>
      </c>
      <c r="M122" s="899">
        <v>1</v>
      </c>
      <c r="N122" s="899"/>
      <c r="O122" s="899">
        <v>1</v>
      </c>
      <c r="P122" s="1196">
        <v>1</v>
      </c>
      <c r="Q122" s="834"/>
      <c r="R122" s="1195"/>
      <c r="V122" s="1197">
        <v>0</v>
      </c>
      <c r="W122" s="830" t="s">
        <v>2514</v>
      </c>
      <c r="X122" s="899">
        <f>V122</f>
        <v>0</v>
      </c>
    </row>
    <row r="123" spans="1:30">
      <c r="A123" s="830">
        <v>123</v>
      </c>
      <c r="B123" s="1181" t="s">
        <v>3034</v>
      </c>
      <c r="C123" s="830" t="s">
        <v>3049</v>
      </c>
      <c r="D123" s="928">
        <v>14.1</v>
      </c>
      <c r="E123" s="928">
        <v>1.25</v>
      </c>
      <c r="F123" s="928">
        <v>0</v>
      </c>
      <c r="G123" s="928">
        <v>0</v>
      </c>
      <c r="H123" s="928">
        <v>22.85</v>
      </c>
      <c r="I123" s="928">
        <v>26.96</v>
      </c>
      <c r="J123" s="928">
        <v>0</v>
      </c>
      <c r="K123" s="928">
        <v>29.1</v>
      </c>
      <c r="L123" s="928">
        <v>0</v>
      </c>
      <c r="M123" s="928">
        <v>0</v>
      </c>
      <c r="N123" s="928"/>
      <c r="O123" s="928">
        <v>56.59</v>
      </c>
      <c r="P123" s="1182">
        <v>87.65</v>
      </c>
      <c r="Q123" s="1200"/>
      <c r="R123" s="1187"/>
      <c r="T123" s="850" t="s">
        <v>2696</v>
      </c>
      <c r="U123" s="928"/>
      <c r="V123" s="1185"/>
      <c r="X123" s="1185"/>
      <c r="AB123" s="1185">
        <f>Z123-X123</f>
        <v>0</v>
      </c>
    </row>
    <row r="124" spans="1:30" ht="15.6">
      <c r="A124" s="830">
        <v>124</v>
      </c>
      <c r="B124" s="1181" t="s">
        <v>3034</v>
      </c>
      <c r="C124" s="830" t="s">
        <v>3050</v>
      </c>
      <c r="D124" s="928">
        <v>0</v>
      </c>
      <c r="E124" s="928">
        <v>0</v>
      </c>
      <c r="F124" s="928">
        <v>0</v>
      </c>
      <c r="G124" s="928">
        <v>0</v>
      </c>
      <c r="H124" s="928">
        <v>0</v>
      </c>
      <c r="I124" s="928">
        <v>0</v>
      </c>
      <c r="J124" s="928">
        <v>0</v>
      </c>
      <c r="K124" s="928"/>
      <c r="L124" s="928"/>
      <c r="M124" s="928"/>
      <c r="N124" s="928"/>
      <c r="O124" s="928"/>
      <c r="P124" s="1182"/>
      <c r="Q124" s="1200"/>
      <c r="R124" s="1187"/>
      <c r="T124" s="850" t="s">
        <v>2696</v>
      </c>
      <c r="U124" s="1199">
        <v>0</v>
      </c>
      <c r="V124" s="1185" t="e">
        <f>U124/V119</f>
        <v>#DIV/0!</v>
      </c>
      <c r="X124" s="1185" t="e">
        <f>U124/V119</f>
        <v>#DIV/0!</v>
      </c>
      <c r="Z124" s="830">
        <v>0.17851</v>
      </c>
      <c r="AB124" s="1185" t="e">
        <f>Z124-X124</f>
        <v>#DIV/0!</v>
      </c>
    </row>
    <row r="125" spans="1:30" ht="15.6">
      <c r="A125" s="830">
        <v>125</v>
      </c>
      <c r="B125" s="1181" t="s">
        <v>3044</v>
      </c>
      <c r="C125" s="1212" t="s">
        <v>3065</v>
      </c>
      <c r="D125" s="928">
        <v>1.25</v>
      </c>
      <c r="E125" s="928">
        <v>0</v>
      </c>
      <c r="F125" s="928">
        <v>0</v>
      </c>
      <c r="G125" s="928">
        <v>22.85</v>
      </c>
      <c r="H125" s="928">
        <v>26.96</v>
      </c>
      <c r="I125" s="928">
        <v>0</v>
      </c>
      <c r="J125" s="928">
        <v>29.1</v>
      </c>
      <c r="K125" s="928">
        <v>0</v>
      </c>
      <c r="L125" s="928">
        <v>73.37</v>
      </c>
      <c r="M125" s="928">
        <v>56.59</v>
      </c>
      <c r="N125" s="928"/>
      <c r="O125" s="928">
        <v>87.65</v>
      </c>
      <c r="P125" s="1182">
        <v>46.59</v>
      </c>
      <c r="Q125" s="1200"/>
      <c r="R125" s="1187"/>
      <c r="T125" s="850" t="s">
        <v>2696</v>
      </c>
      <c r="U125" s="1199">
        <v>0</v>
      </c>
      <c r="V125" s="1185" t="e">
        <f>U125/V120</f>
        <v>#DIV/0!</v>
      </c>
      <c r="X125" s="1185" t="e">
        <f>U125/V120</f>
        <v>#DIV/0!</v>
      </c>
      <c r="Z125" s="830">
        <v>0.14457</v>
      </c>
      <c r="AB125" s="1185" t="e">
        <f>Z125-X125</f>
        <v>#DIV/0!</v>
      </c>
      <c r="AD125" s="1200">
        <f>P125</f>
        <v>46.59</v>
      </c>
    </row>
    <row r="126" spans="1:30" ht="15.6">
      <c r="A126" s="830">
        <v>126</v>
      </c>
      <c r="B126" s="1181" t="s">
        <v>3044</v>
      </c>
      <c r="C126" s="1212" t="s">
        <v>3066</v>
      </c>
      <c r="D126" s="928">
        <v>0</v>
      </c>
      <c r="E126" s="928">
        <v>0</v>
      </c>
      <c r="F126" s="928">
        <v>0</v>
      </c>
      <c r="G126" s="928">
        <v>0</v>
      </c>
      <c r="H126" s="928">
        <v>0</v>
      </c>
      <c r="I126" s="928">
        <v>0</v>
      </c>
      <c r="J126" s="928">
        <v>0</v>
      </c>
      <c r="K126" s="928"/>
      <c r="L126" s="928"/>
      <c r="M126" s="928"/>
      <c r="N126" s="928"/>
      <c r="O126" s="928"/>
      <c r="P126" s="1182"/>
      <c r="Q126" s="1200"/>
      <c r="R126" s="1187"/>
      <c r="T126" s="850" t="s">
        <v>2696</v>
      </c>
      <c r="U126" s="1199">
        <v>0</v>
      </c>
      <c r="V126" s="1185" t="e">
        <f>U126/V121</f>
        <v>#DIV/0!</v>
      </c>
      <c r="X126" s="1185" t="e">
        <f>U126/V121</f>
        <v>#DIV/0!</v>
      </c>
      <c r="Z126" s="830">
        <v>0.13944000000000001</v>
      </c>
      <c r="AB126" s="1185" t="e">
        <f>Z126-X126</f>
        <v>#DIV/0!</v>
      </c>
      <c r="AD126" s="1200">
        <f>P126</f>
        <v>0</v>
      </c>
    </row>
    <row r="127" spans="1:30" ht="15.6">
      <c r="A127" s="830">
        <v>127</v>
      </c>
      <c r="B127" s="1181" t="s">
        <v>3044</v>
      </c>
      <c r="C127" s="830" t="s">
        <v>3067</v>
      </c>
      <c r="D127" s="928">
        <v>-14.1</v>
      </c>
      <c r="E127" s="928">
        <f t="shared" ref="E127:M128" si="48">-D125</f>
        <v>-1.25</v>
      </c>
      <c r="F127" s="928">
        <f t="shared" si="48"/>
        <v>0</v>
      </c>
      <c r="G127" s="928">
        <f t="shared" si="48"/>
        <v>0</v>
      </c>
      <c r="H127" s="928">
        <f t="shared" si="48"/>
        <v>-22.85</v>
      </c>
      <c r="I127" s="928">
        <f t="shared" si="48"/>
        <v>-26.96</v>
      </c>
      <c r="J127" s="928">
        <f t="shared" si="48"/>
        <v>0</v>
      </c>
      <c r="K127" s="928">
        <f t="shared" si="48"/>
        <v>-29.1</v>
      </c>
      <c r="L127" s="928">
        <f t="shared" si="48"/>
        <v>0</v>
      </c>
      <c r="M127" s="928">
        <f t="shared" si="48"/>
        <v>-73.37</v>
      </c>
      <c r="N127" s="928"/>
      <c r="O127" s="928">
        <f>-M125</f>
        <v>-56.59</v>
      </c>
      <c r="P127" s="1182">
        <f>-O125</f>
        <v>-87.65</v>
      </c>
      <c r="Q127" s="1200"/>
      <c r="R127" s="1187"/>
      <c r="T127" s="850" t="s">
        <v>2650</v>
      </c>
      <c r="U127" s="1199">
        <v>0</v>
      </c>
      <c r="V127" s="1185" t="e">
        <f>U127/V122</f>
        <v>#DIV/0!</v>
      </c>
      <c r="X127" s="1185" t="e">
        <f>U127/X122</f>
        <v>#DIV/0!</v>
      </c>
      <c r="Z127" s="1201">
        <f>+Z36</f>
        <v>0.42197000000000001</v>
      </c>
      <c r="AB127" s="1185" t="e">
        <f>Z127-X127</f>
        <v>#DIV/0!</v>
      </c>
      <c r="AD127" s="1200">
        <f>D127</f>
        <v>-14.1</v>
      </c>
    </row>
    <row r="128" spans="1:30">
      <c r="A128" s="830">
        <v>128</v>
      </c>
      <c r="B128" s="1181" t="s">
        <v>3044</v>
      </c>
      <c r="C128" s="830" t="s">
        <v>3068</v>
      </c>
      <c r="D128" s="1183">
        <v>0</v>
      </c>
      <c r="E128" s="1183">
        <f t="shared" si="48"/>
        <v>0</v>
      </c>
      <c r="F128" s="1183">
        <f t="shared" si="48"/>
        <v>0</v>
      </c>
      <c r="G128" s="1183">
        <f t="shared" si="48"/>
        <v>0</v>
      </c>
      <c r="H128" s="1183">
        <f t="shared" si="48"/>
        <v>0</v>
      </c>
      <c r="I128" s="1183">
        <f t="shared" si="48"/>
        <v>0</v>
      </c>
      <c r="J128" s="1183">
        <f t="shared" si="48"/>
        <v>0</v>
      </c>
      <c r="K128" s="1183">
        <f t="shared" si="48"/>
        <v>0</v>
      </c>
      <c r="L128" s="1183">
        <f t="shared" si="48"/>
        <v>0</v>
      </c>
      <c r="M128" s="1183">
        <f t="shared" si="48"/>
        <v>0</v>
      </c>
      <c r="N128" s="1183"/>
      <c r="O128" s="1183">
        <f>-M126</f>
        <v>0</v>
      </c>
      <c r="P128" s="1184">
        <f>-O126</f>
        <v>0</v>
      </c>
      <c r="Q128" s="1200"/>
      <c r="R128" s="1187"/>
      <c r="AD128" s="1200">
        <f>D128</f>
        <v>0</v>
      </c>
    </row>
    <row r="129" spans="1:30">
      <c r="A129" s="830">
        <v>129</v>
      </c>
      <c r="B129" s="1181"/>
      <c r="C129" s="850" t="s">
        <v>3036</v>
      </c>
      <c r="D129" s="928">
        <f t="shared" ref="D129:M129" si="49">SUM(D123:D128)</f>
        <v>1.25</v>
      </c>
      <c r="E129" s="928">
        <f t="shared" si="49"/>
        <v>0</v>
      </c>
      <c r="F129" s="928">
        <f t="shared" si="49"/>
        <v>0</v>
      </c>
      <c r="G129" s="928">
        <f t="shared" si="49"/>
        <v>22.85</v>
      </c>
      <c r="H129" s="928">
        <f t="shared" si="49"/>
        <v>26.96</v>
      </c>
      <c r="I129" s="928">
        <f t="shared" si="49"/>
        <v>0</v>
      </c>
      <c r="J129" s="928">
        <f t="shared" si="49"/>
        <v>29.1</v>
      </c>
      <c r="K129" s="928">
        <f t="shared" si="49"/>
        <v>0</v>
      </c>
      <c r="L129" s="928">
        <f t="shared" si="49"/>
        <v>73.37</v>
      </c>
      <c r="M129" s="928">
        <f t="shared" si="49"/>
        <v>-16.78</v>
      </c>
      <c r="N129" s="928"/>
      <c r="O129" s="928">
        <f>SUM(O123:O128)</f>
        <v>87.65</v>
      </c>
      <c r="P129" s="1182">
        <f>SUM(P123:P128)</f>
        <v>46.59</v>
      </c>
      <c r="R129" s="1172"/>
    </row>
    <row r="130" spans="1:30">
      <c r="A130" s="830">
        <v>130</v>
      </c>
      <c r="B130" s="1181"/>
      <c r="C130" s="850" t="s">
        <v>3038</v>
      </c>
      <c r="D130" s="1183">
        <v>-498.23</v>
      </c>
      <c r="E130" s="1183">
        <v>-423.12</v>
      </c>
      <c r="F130" s="1183">
        <v>-397.9</v>
      </c>
      <c r="G130" s="1183">
        <v>-289.11</v>
      </c>
      <c r="H130" s="1183">
        <v>-210.22</v>
      </c>
      <c r="I130" s="1183">
        <v>-189.53</v>
      </c>
      <c r="J130" s="1183">
        <v>-152.5</v>
      </c>
      <c r="K130" s="1183">
        <v>-161.43</v>
      </c>
      <c r="L130" s="1183">
        <v>-209.7</v>
      </c>
      <c r="M130" s="1183">
        <v>-357.27</v>
      </c>
      <c r="N130" s="1183"/>
      <c r="O130" s="1183">
        <v>-308.02999999999997</v>
      </c>
      <c r="P130" s="1184">
        <v>-430.43</v>
      </c>
      <c r="R130" s="1172"/>
    </row>
    <row r="131" spans="1:30">
      <c r="A131" s="830">
        <v>131</v>
      </c>
      <c r="B131" s="1181"/>
      <c r="C131" s="850" t="s">
        <v>3039</v>
      </c>
      <c r="D131" s="928">
        <f t="shared" ref="D131:M131" si="50">SUM(D129:D130)</f>
        <v>-496.98</v>
      </c>
      <c r="E131" s="928">
        <f t="shared" si="50"/>
        <v>-423.12</v>
      </c>
      <c r="F131" s="928">
        <f t="shared" si="50"/>
        <v>-397.9</v>
      </c>
      <c r="G131" s="928">
        <f t="shared" si="50"/>
        <v>-266.26</v>
      </c>
      <c r="H131" s="928">
        <f t="shared" si="50"/>
        <v>-183.26</v>
      </c>
      <c r="I131" s="928">
        <f t="shared" si="50"/>
        <v>-189.53</v>
      </c>
      <c r="J131" s="928">
        <f t="shared" si="50"/>
        <v>-123.4</v>
      </c>
      <c r="K131" s="928">
        <f t="shared" si="50"/>
        <v>-161.43</v>
      </c>
      <c r="L131" s="928">
        <f t="shared" si="50"/>
        <v>-136.32999999999998</v>
      </c>
      <c r="M131" s="928">
        <f t="shared" si="50"/>
        <v>-374.04999999999995</v>
      </c>
      <c r="N131" s="928">
        <v>3548.04</v>
      </c>
      <c r="O131" s="928">
        <f>SUM(O129:O130)</f>
        <v>-220.37999999999997</v>
      </c>
      <c r="P131" s="1182">
        <f>SUM(P129:P130)</f>
        <v>-383.84000000000003</v>
      </c>
      <c r="R131" s="1187">
        <f>SUM(D131:Q131)-N131</f>
        <v>-3356.4799999999996</v>
      </c>
    </row>
    <row r="132" spans="1:30">
      <c r="A132" s="830">
        <v>132</v>
      </c>
      <c r="B132" s="1181"/>
      <c r="C132" s="850" t="s">
        <v>3040</v>
      </c>
      <c r="D132" s="928">
        <v>-15.61</v>
      </c>
      <c r="E132" s="928">
        <f t="shared" ref="E132:M132" si="51">ROUND(ROUND(D134*E$6,2)/365*E$7,2)</f>
        <v>-16.14</v>
      </c>
      <c r="F132" s="928">
        <f t="shared" si="51"/>
        <v>-19.8</v>
      </c>
      <c r="G132" s="928">
        <f t="shared" si="51"/>
        <v>-22.03</v>
      </c>
      <c r="H132" s="928">
        <f t="shared" si="51"/>
        <v>-24.1</v>
      </c>
      <c r="I132" s="928">
        <f t="shared" si="51"/>
        <v>-24.25</v>
      </c>
      <c r="J132" s="928">
        <f t="shared" si="51"/>
        <v>-26.29</v>
      </c>
      <c r="K132" s="928">
        <f t="shared" si="51"/>
        <v>-26.98</v>
      </c>
      <c r="L132" s="928">
        <f t="shared" si="51"/>
        <v>-26.97</v>
      </c>
      <c r="M132" s="928">
        <f t="shared" si="51"/>
        <v>-28.21</v>
      </c>
      <c r="N132" s="928">
        <v>162.29999999999998</v>
      </c>
      <c r="O132" s="928">
        <f>ROUND(ROUND(N134*O$6,2)/365*O$7,2)</f>
        <v>-12.56</v>
      </c>
      <c r="P132" s="1182">
        <f>ROUND(ROUND(O134*P$6,2)/365*P$7,2)</f>
        <v>-14.06</v>
      </c>
      <c r="R132" s="1188">
        <f>SUM(D132:Q132)</f>
        <v>-94.700000000000017</v>
      </c>
    </row>
    <row r="133" spans="1:30">
      <c r="A133" s="830">
        <v>133</v>
      </c>
      <c r="B133" s="1181"/>
      <c r="C133" s="850" t="s">
        <v>3041</v>
      </c>
      <c r="D133" s="1183">
        <f t="shared" ref="D133:P133" si="52">SUM(D131:D132)</f>
        <v>-512.59</v>
      </c>
      <c r="E133" s="1183">
        <f t="shared" si="52"/>
        <v>-439.26</v>
      </c>
      <c r="F133" s="1183">
        <f t="shared" si="52"/>
        <v>-417.7</v>
      </c>
      <c r="G133" s="1183">
        <f t="shared" si="52"/>
        <v>-288.28999999999996</v>
      </c>
      <c r="H133" s="1183">
        <f t="shared" si="52"/>
        <v>-207.35999999999999</v>
      </c>
      <c r="I133" s="1183">
        <f t="shared" si="52"/>
        <v>-213.78</v>
      </c>
      <c r="J133" s="1183">
        <f t="shared" si="52"/>
        <v>-149.69</v>
      </c>
      <c r="K133" s="1183">
        <f t="shared" si="52"/>
        <v>-188.41</v>
      </c>
      <c r="L133" s="1183">
        <f t="shared" si="52"/>
        <v>-163.29999999999998</v>
      </c>
      <c r="M133" s="1183">
        <f t="shared" si="52"/>
        <v>-402.25999999999993</v>
      </c>
      <c r="N133" s="1183">
        <f t="shared" si="52"/>
        <v>3710.34</v>
      </c>
      <c r="O133" s="1183">
        <f t="shared" si="52"/>
        <v>-232.93999999999997</v>
      </c>
      <c r="P133" s="1184">
        <f t="shared" si="52"/>
        <v>-397.90000000000003</v>
      </c>
      <c r="R133" s="1190">
        <f>SUM(R131:R132)</f>
        <v>-3451.1799999999994</v>
      </c>
    </row>
    <row r="134" spans="1:30">
      <c r="A134" s="830">
        <v>134</v>
      </c>
      <c r="B134" s="1181"/>
      <c r="C134" s="850" t="s">
        <v>3042</v>
      </c>
      <c r="D134" s="928">
        <v>-4060.6299999999978</v>
      </c>
      <c r="E134" s="928">
        <f t="shared" ref="E134:P134" si="53">D134+E133</f>
        <v>-4499.8899999999976</v>
      </c>
      <c r="F134" s="928">
        <f t="shared" si="53"/>
        <v>-4917.5899999999974</v>
      </c>
      <c r="G134" s="928">
        <f t="shared" si="53"/>
        <v>-5205.8799999999974</v>
      </c>
      <c r="H134" s="928">
        <f t="shared" si="53"/>
        <v>-5413.2399999999971</v>
      </c>
      <c r="I134" s="928">
        <f t="shared" si="53"/>
        <v>-5627.0199999999968</v>
      </c>
      <c r="J134" s="928">
        <f t="shared" si="53"/>
        <v>-5776.7099999999964</v>
      </c>
      <c r="K134" s="928">
        <f t="shared" si="53"/>
        <v>-5965.1199999999963</v>
      </c>
      <c r="L134" s="928">
        <f t="shared" si="53"/>
        <v>-6128.4199999999964</v>
      </c>
      <c r="M134" s="928">
        <f t="shared" si="53"/>
        <v>-6530.6799999999967</v>
      </c>
      <c r="N134" s="928">
        <f t="shared" si="53"/>
        <v>-2820.3399999999965</v>
      </c>
      <c r="O134" s="928">
        <f t="shared" si="53"/>
        <v>-3053.2799999999966</v>
      </c>
      <c r="P134" s="1191">
        <f t="shared" si="53"/>
        <v>-3451.1799999999967</v>
      </c>
      <c r="R134" s="1172"/>
    </row>
    <row r="135" spans="1:30">
      <c r="A135" s="830">
        <v>135</v>
      </c>
      <c r="B135" s="1181"/>
      <c r="C135" s="850"/>
      <c r="D135" s="928"/>
      <c r="E135" s="928"/>
      <c r="F135" s="928"/>
      <c r="G135" s="928"/>
      <c r="H135" s="928"/>
      <c r="I135" s="928"/>
      <c r="J135" s="928"/>
      <c r="K135" s="928"/>
      <c r="L135" s="928"/>
      <c r="M135" s="928"/>
      <c r="N135" s="928"/>
      <c r="O135" s="928"/>
      <c r="P135" s="1182"/>
      <c r="R135" s="1172"/>
      <c r="T135" s="850"/>
      <c r="U135" s="928"/>
      <c r="V135" s="1200">
        <f>ROUND(U138/Z138,0)</f>
        <v>112879</v>
      </c>
    </row>
    <row r="136" spans="1:30">
      <c r="A136" s="830">
        <v>136</v>
      </c>
      <c r="B136" s="829" t="s">
        <v>3069</v>
      </c>
      <c r="C136" s="890">
        <v>570</v>
      </c>
      <c r="D136" s="899"/>
      <c r="E136" s="899"/>
      <c r="F136" s="928"/>
      <c r="G136" s="899"/>
      <c r="H136" s="899"/>
      <c r="I136" s="899"/>
      <c r="J136" s="899"/>
      <c r="K136" s="899"/>
      <c r="L136" s="899"/>
      <c r="M136" s="899"/>
      <c r="N136" s="899"/>
      <c r="O136" s="899"/>
      <c r="P136" s="1196"/>
      <c r="R136" s="1172"/>
      <c r="U136" s="830">
        <v>570</v>
      </c>
      <c r="V136" s="1200">
        <f>ROUND(U139/Z139,0)</f>
        <v>117354</v>
      </c>
      <c r="W136" s="1200">
        <f>SUM(V135:V136)</f>
        <v>230233</v>
      </c>
    </row>
    <row r="137" spans="1:30" ht="15.6">
      <c r="A137" s="830">
        <v>137</v>
      </c>
      <c r="B137" s="1181" t="s">
        <v>1057</v>
      </c>
      <c r="C137" s="830" t="s">
        <v>3043</v>
      </c>
      <c r="D137" s="899">
        <v>8</v>
      </c>
      <c r="E137" s="899">
        <v>8</v>
      </c>
      <c r="F137" s="899">
        <v>7</v>
      </c>
      <c r="G137" s="899">
        <v>7</v>
      </c>
      <c r="H137" s="899">
        <v>7</v>
      </c>
      <c r="I137" s="899">
        <v>7</v>
      </c>
      <c r="J137" s="899">
        <v>8</v>
      </c>
      <c r="K137" s="899">
        <v>8</v>
      </c>
      <c r="L137" s="899">
        <v>8</v>
      </c>
      <c r="M137" s="899">
        <v>8</v>
      </c>
      <c r="N137" s="899"/>
      <c r="O137" s="899">
        <v>8</v>
      </c>
      <c r="P137" s="1196">
        <v>8</v>
      </c>
      <c r="Q137" s="834"/>
      <c r="R137" s="1195"/>
      <c r="V137" s="1197">
        <v>230233</v>
      </c>
      <c r="W137" s="830" t="s">
        <v>2514</v>
      </c>
      <c r="X137" s="899">
        <f>V137</f>
        <v>230233</v>
      </c>
    </row>
    <row r="138" spans="1:30" ht="15.6">
      <c r="A138" s="830">
        <v>138</v>
      </c>
      <c r="B138" s="1181" t="s">
        <v>3034</v>
      </c>
      <c r="C138" s="830" t="s">
        <v>3070</v>
      </c>
      <c r="D138" s="928">
        <v>9622.91</v>
      </c>
      <c r="E138" s="928">
        <v>9606.64</v>
      </c>
      <c r="F138" s="928">
        <v>9743.14</v>
      </c>
      <c r="G138" s="928">
        <v>9318.4599999999991</v>
      </c>
      <c r="H138" s="928">
        <v>8122.21</v>
      </c>
      <c r="I138" s="928">
        <v>7127.76</v>
      </c>
      <c r="J138" s="928">
        <v>6345.37</v>
      </c>
      <c r="K138" s="928">
        <v>7848.97</v>
      </c>
      <c r="L138" s="928">
        <v>6023.96</v>
      </c>
      <c r="M138" s="928">
        <v>6363.13</v>
      </c>
      <c r="N138" s="928"/>
      <c r="O138" s="928">
        <v>10635.04</v>
      </c>
      <c r="P138" s="1182">
        <v>8911.7900000000009</v>
      </c>
      <c r="Q138" s="1200"/>
      <c r="R138" s="1187"/>
      <c r="T138" s="850" t="s">
        <v>2696</v>
      </c>
      <c r="U138" s="1199">
        <v>8911.7900000000009</v>
      </c>
      <c r="V138" s="1185">
        <f>U138/V135</f>
        <v>7.8949937543741536E-2</v>
      </c>
      <c r="X138" s="1185">
        <f>U138/V135</f>
        <v>7.8949937543741536E-2</v>
      </c>
      <c r="Z138" s="830">
        <v>7.8950000000000006E-2</v>
      </c>
      <c r="AB138" s="1185">
        <f>Z138-X138</f>
        <v>6.2456258470566794E-8</v>
      </c>
    </row>
    <row r="139" spans="1:30" ht="15.6">
      <c r="A139" s="830">
        <v>139</v>
      </c>
      <c r="B139" s="1181" t="s">
        <v>3034</v>
      </c>
      <c r="C139" s="830" t="s">
        <v>3071</v>
      </c>
      <c r="D139" s="928">
        <v>3115.63</v>
      </c>
      <c r="E139" s="928">
        <v>3082.7</v>
      </c>
      <c r="F139" s="928">
        <v>3299.5</v>
      </c>
      <c r="G139" s="928">
        <v>2924.98</v>
      </c>
      <c r="H139" s="928">
        <v>1991.48</v>
      </c>
      <c r="I139" s="928">
        <v>1168.3800000000001</v>
      </c>
      <c r="J139" s="928">
        <v>688.23</v>
      </c>
      <c r="K139" s="928">
        <v>463.34</v>
      </c>
      <c r="L139" s="928">
        <v>389.96</v>
      </c>
      <c r="M139" s="928">
        <v>693.4</v>
      </c>
      <c r="N139" s="928"/>
      <c r="O139" s="928">
        <v>2205.61</v>
      </c>
      <c r="P139" s="1182">
        <v>2638.12</v>
      </c>
      <c r="Q139" s="1200"/>
      <c r="R139" s="1187"/>
      <c r="T139" s="850" t="s">
        <v>2696</v>
      </c>
      <c r="U139" s="1199">
        <v>2638.12</v>
      </c>
      <c r="V139" s="1185">
        <f>U139/V136</f>
        <v>2.2480017724150859E-2</v>
      </c>
      <c r="X139" s="1185">
        <f>U139/V136</f>
        <v>2.2480017724150859E-2</v>
      </c>
      <c r="Z139" s="830">
        <v>2.248E-2</v>
      </c>
      <c r="AB139" s="1185">
        <f>Z139-X139</f>
        <v>-1.7724150858794419E-8</v>
      </c>
    </row>
    <row r="140" spans="1:30" ht="15.6">
      <c r="A140" s="830">
        <v>140</v>
      </c>
      <c r="B140" s="1181" t="s">
        <v>3044</v>
      </c>
      <c r="C140" s="830" t="s">
        <v>3072</v>
      </c>
      <c r="D140" s="928">
        <v>9606.64</v>
      </c>
      <c r="E140" s="928">
        <v>9743.14</v>
      </c>
      <c r="F140" s="928">
        <v>9318.4599999999991</v>
      </c>
      <c r="G140" s="928">
        <v>8122.21</v>
      </c>
      <c r="H140" s="928">
        <v>7127.76</v>
      </c>
      <c r="I140" s="928">
        <v>6345.37</v>
      </c>
      <c r="J140" s="928">
        <v>7848.97</v>
      </c>
      <c r="K140" s="928">
        <v>6023.96</v>
      </c>
      <c r="L140" s="928">
        <v>6363.13</v>
      </c>
      <c r="M140" s="928">
        <v>10635.04</v>
      </c>
      <c r="N140" s="928"/>
      <c r="O140" s="928">
        <v>8911.7900000000009</v>
      </c>
      <c r="P140" s="1182">
        <v>9570.31</v>
      </c>
      <c r="Q140" s="1200"/>
      <c r="R140" s="1187"/>
      <c r="T140" s="850" t="s">
        <v>2650</v>
      </c>
      <c r="U140" s="1199">
        <v>94027.15</v>
      </c>
      <c r="V140" s="1185">
        <f>U140/V137</f>
        <v>0.4083999687273327</v>
      </c>
      <c r="X140" s="1185">
        <f>U140/X137</f>
        <v>0.4083999687273327</v>
      </c>
      <c r="Z140" s="1201">
        <v>0.40839999999999999</v>
      </c>
      <c r="AB140" s="1185">
        <f>Z140-X140</f>
        <v>3.1272667289083955E-8</v>
      </c>
      <c r="AD140" s="1200">
        <f>P140</f>
        <v>9570.31</v>
      </c>
    </row>
    <row r="141" spans="1:30">
      <c r="A141" s="830">
        <v>141</v>
      </c>
      <c r="B141" s="1181" t="s">
        <v>3044</v>
      </c>
      <c r="C141" s="830" t="s">
        <v>3073</v>
      </c>
      <c r="D141" s="928">
        <v>3082.7</v>
      </c>
      <c r="E141" s="928">
        <v>3299.5</v>
      </c>
      <c r="F141" s="928">
        <v>2924.98</v>
      </c>
      <c r="G141" s="928">
        <v>1991.48</v>
      </c>
      <c r="H141" s="928">
        <v>1168.3800000000001</v>
      </c>
      <c r="I141" s="928">
        <v>688.23</v>
      </c>
      <c r="J141" s="928">
        <v>463.34</v>
      </c>
      <c r="K141" s="928">
        <v>389.47</v>
      </c>
      <c r="L141" s="928">
        <v>693.4</v>
      </c>
      <c r="M141" s="928">
        <v>2205.61</v>
      </c>
      <c r="N141" s="928"/>
      <c r="O141" s="928">
        <v>2638.12</v>
      </c>
      <c r="P141" s="1182">
        <v>2985.23</v>
      </c>
      <c r="Q141" s="1200"/>
      <c r="R141" s="1187"/>
      <c r="U141" s="1216"/>
      <c r="AB141" s="1185"/>
      <c r="AD141" s="1200">
        <f>P141</f>
        <v>2985.23</v>
      </c>
    </row>
    <row r="142" spans="1:30">
      <c r="A142" s="830">
        <v>142</v>
      </c>
      <c r="B142" s="1181" t="s">
        <v>3044</v>
      </c>
      <c r="C142" s="830" t="s">
        <v>3074</v>
      </c>
      <c r="D142" s="928">
        <v>-9622.91</v>
      </c>
      <c r="E142" s="928">
        <f t="shared" ref="E142:M143" si="54">-D140</f>
        <v>-9606.64</v>
      </c>
      <c r="F142" s="928">
        <f t="shared" si="54"/>
        <v>-9743.14</v>
      </c>
      <c r="G142" s="928">
        <f t="shared" si="54"/>
        <v>-9318.4599999999991</v>
      </c>
      <c r="H142" s="928">
        <f t="shared" si="54"/>
        <v>-8122.21</v>
      </c>
      <c r="I142" s="928">
        <f t="shared" si="54"/>
        <v>-7127.76</v>
      </c>
      <c r="J142" s="928">
        <f t="shared" si="54"/>
        <v>-6345.37</v>
      </c>
      <c r="K142" s="928">
        <f t="shared" si="54"/>
        <v>-7848.97</v>
      </c>
      <c r="L142" s="928">
        <f t="shared" si="54"/>
        <v>-6023.96</v>
      </c>
      <c r="M142" s="928">
        <f t="shared" si="54"/>
        <v>-6363.13</v>
      </c>
      <c r="N142" s="928"/>
      <c r="O142" s="928">
        <f>-M140</f>
        <v>-10635.04</v>
      </c>
      <c r="P142" s="1182">
        <f>-O140</f>
        <v>-8911.7900000000009</v>
      </c>
      <c r="Q142" s="1200"/>
      <c r="R142" s="1187"/>
      <c r="AD142" s="1200">
        <f>D142</f>
        <v>-9622.91</v>
      </c>
    </row>
    <row r="143" spans="1:30">
      <c r="A143" s="830">
        <v>143</v>
      </c>
      <c r="B143" s="1181" t="s">
        <v>3044</v>
      </c>
      <c r="C143" s="830" t="s">
        <v>3075</v>
      </c>
      <c r="D143" s="1183">
        <v>-3115.63</v>
      </c>
      <c r="E143" s="1183">
        <f t="shared" si="54"/>
        <v>-3082.7</v>
      </c>
      <c r="F143" s="1183">
        <f t="shared" si="54"/>
        <v>-3299.5</v>
      </c>
      <c r="G143" s="1183">
        <f t="shared" si="54"/>
        <v>-2924.98</v>
      </c>
      <c r="H143" s="1183">
        <f t="shared" si="54"/>
        <v>-1991.48</v>
      </c>
      <c r="I143" s="1183">
        <f t="shared" si="54"/>
        <v>-1168.3800000000001</v>
      </c>
      <c r="J143" s="1183">
        <f t="shared" si="54"/>
        <v>-688.23</v>
      </c>
      <c r="K143" s="1183">
        <f t="shared" si="54"/>
        <v>-463.34</v>
      </c>
      <c r="L143" s="1183">
        <f t="shared" si="54"/>
        <v>-389.47</v>
      </c>
      <c r="M143" s="1183">
        <f t="shared" si="54"/>
        <v>-693.4</v>
      </c>
      <c r="N143" s="1183"/>
      <c r="O143" s="1183">
        <f>-M141</f>
        <v>-2205.61</v>
      </c>
      <c r="P143" s="1184">
        <f>-O141</f>
        <v>-2638.12</v>
      </c>
      <c r="Q143" s="1200"/>
      <c r="R143" s="1187"/>
      <c r="AD143" s="1200">
        <f>D143</f>
        <v>-3115.63</v>
      </c>
    </row>
    <row r="144" spans="1:30">
      <c r="A144" s="830">
        <v>144</v>
      </c>
      <c r="B144" s="1181"/>
      <c r="C144" s="850" t="s">
        <v>3036</v>
      </c>
      <c r="D144" s="928">
        <f t="shared" ref="D144:M144" si="55">SUM(D138:D143)</f>
        <v>12689.34</v>
      </c>
      <c r="E144" s="928">
        <f t="shared" si="55"/>
        <v>13042.64</v>
      </c>
      <c r="F144" s="928">
        <f t="shared" si="55"/>
        <v>12243.439999999999</v>
      </c>
      <c r="G144" s="928">
        <f t="shared" si="55"/>
        <v>10113.689999999999</v>
      </c>
      <c r="H144" s="928">
        <f t="shared" si="55"/>
        <v>8296.1400000000031</v>
      </c>
      <c r="I144" s="928">
        <f t="shared" si="55"/>
        <v>7033.5999999999976</v>
      </c>
      <c r="J144" s="928">
        <f t="shared" si="55"/>
        <v>8312.3100000000013</v>
      </c>
      <c r="K144" s="928">
        <f t="shared" si="55"/>
        <v>6413.4299999999994</v>
      </c>
      <c r="L144" s="928">
        <f t="shared" si="55"/>
        <v>7057.0199999999986</v>
      </c>
      <c r="M144" s="928">
        <f t="shared" si="55"/>
        <v>12840.65</v>
      </c>
      <c r="N144" s="928"/>
      <c r="O144" s="928">
        <f>SUM(O138:O143)</f>
        <v>11549.91</v>
      </c>
      <c r="P144" s="1182">
        <f>SUM(P138:P143)</f>
        <v>12555.54</v>
      </c>
      <c r="R144" s="1172"/>
    </row>
    <row r="145" spans="1:28">
      <c r="A145" s="830">
        <v>145</v>
      </c>
      <c r="B145" s="1181"/>
      <c r="C145" s="850" t="s">
        <v>3038</v>
      </c>
      <c r="D145" s="1183">
        <v>-18824.16</v>
      </c>
      <c r="E145" s="1183">
        <v>-18920.32</v>
      </c>
      <c r="F145" s="1183">
        <v>-13555.43</v>
      </c>
      <c r="G145" s="1183">
        <v>-13490.89</v>
      </c>
      <c r="H145" s="1183">
        <v>-9723.49</v>
      </c>
      <c r="I145" s="1183">
        <v>-8083.39</v>
      </c>
      <c r="J145" s="1183">
        <v>-7533.76</v>
      </c>
      <c r="K145" s="1183">
        <v>-8838.16</v>
      </c>
      <c r="L145" s="1183">
        <v>-6932.32</v>
      </c>
      <c r="M145" s="1183">
        <v>-8996.48</v>
      </c>
      <c r="N145" s="1183"/>
      <c r="O145" s="1183">
        <v>-12708</v>
      </c>
      <c r="P145" s="1184">
        <v>-14600.88</v>
      </c>
      <c r="R145" s="1172"/>
    </row>
    <row r="146" spans="1:28">
      <c r="A146" s="830">
        <v>146</v>
      </c>
      <c r="B146" s="1181"/>
      <c r="C146" s="850" t="s">
        <v>3039</v>
      </c>
      <c r="D146" s="928">
        <f t="shared" ref="D146:M146" si="56">SUM(D144:D145)</f>
        <v>-6134.82</v>
      </c>
      <c r="E146" s="928">
        <f t="shared" si="56"/>
        <v>-5877.68</v>
      </c>
      <c r="F146" s="928">
        <f t="shared" si="56"/>
        <v>-1311.9900000000016</v>
      </c>
      <c r="G146" s="928">
        <f t="shared" si="56"/>
        <v>-3377.2000000000007</v>
      </c>
      <c r="H146" s="928">
        <f t="shared" si="56"/>
        <v>-1427.3499999999967</v>
      </c>
      <c r="I146" s="928">
        <f t="shared" si="56"/>
        <v>-1049.7900000000027</v>
      </c>
      <c r="J146" s="928">
        <f t="shared" si="56"/>
        <v>778.55000000000109</v>
      </c>
      <c r="K146" s="928">
        <f t="shared" si="56"/>
        <v>-2424.7300000000005</v>
      </c>
      <c r="L146" s="928">
        <f t="shared" si="56"/>
        <v>124.69999999999891</v>
      </c>
      <c r="M146" s="928">
        <f t="shared" si="56"/>
        <v>3844.17</v>
      </c>
      <c r="N146" s="928">
        <v>34503.840000000004</v>
      </c>
      <c r="O146" s="928">
        <f>SUM(O144:O145)</f>
        <v>-1158.0900000000001</v>
      </c>
      <c r="P146" s="1182">
        <f>SUM(P144:P145)</f>
        <v>-2045.3399999999983</v>
      </c>
      <c r="R146" s="1187">
        <f>SUM(D146:Q146)-N146</f>
        <v>-20059.57</v>
      </c>
    </row>
    <row r="147" spans="1:28">
      <c r="A147" s="830">
        <v>147</v>
      </c>
      <c r="B147" s="1181"/>
      <c r="C147" s="850" t="s">
        <v>3040</v>
      </c>
      <c r="D147" s="928">
        <v>-151.80000000000001</v>
      </c>
      <c r="E147" s="928">
        <f t="shared" ref="E147:M147" si="57">ROUND(ROUND(D149*E$6,2)/365*E$7,2)</f>
        <v>-162.09</v>
      </c>
      <c r="F147" s="928">
        <f t="shared" si="57"/>
        <v>-206.03</v>
      </c>
      <c r="G147" s="928">
        <f t="shared" si="57"/>
        <v>-216.57</v>
      </c>
      <c r="H147" s="928">
        <f t="shared" si="57"/>
        <v>-240.43</v>
      </c>
      <c r="I147" s="928">
        <f t="shared" si="57"/>
        <v>-240.14</v>
      </c>
      <c r="J147" s="928">
        <f t="shared" si="57"/>
        <v>-256.45</v>
      </c>
      <c r="K147" s="928">
        <f t="shared" si="57"/>
        <v>-254.01</v>
      </c>
      <c r="L147" s="928">
        <f t="shared" si="57"/>
        <v>-257.93</v>
      </c>
      <c r="M147" s="928">
        <f t="shared" si="57"/>
        <v>-263.26</v>
      </c>
      <c r="N147" s="928">
        <v>1578.2499999999998</v>
      </c>
      <c r="O147" s="928">
        <f>ROUND(ROUND(N149*O$6,2)/365*O$7,2)</f>
        <v>-78.08</v>
      </c>
      <c r="P147" s="1182">
        <f>ROUND(ROUND(O149*P$6,2)/365*P$7,2)</f>
        <v>-86.37</v>
      </c>
      <c r="R147" s="1188">
        <f>SUM(D147:Q147)</f>
        <v>-834.91000000000031</v>
      </c>
    </row>
    <row r="148" spans="1:28">
      <c r="A148" s="830">
        <v>148</v>
      </c>
      <c r="B148" s="1181"/>
      <c r="C148" s="850" t="s">
        <v>3041</v>
      </c>
      <c r="D148" s="1183">
        <f t="shared" ref="D148:P148" si="58">SUM(D146:D147)</f>
        <v>-6286.62</v>
      </c>
      <c r="E148" s="1183">
        <f t="shared" si="58"/>
        <v>-6039.77</v>
      </c>
      <c r="F148" s="1183">
        <f t="shared" si="58"/>
        <v>-1518.0200000000016</v>
      </c>
      <c r="G148" s="1183">
        <f t="shared" si="58"/>
        <v>-3593.7700000000009</v>
      </c>
      <c r="H148" s="1183">
        <f t="shared" si="58"/>
        <v>-1667.7799999999968</v>
      </c>
      <c r="I148" s="1183">
        <f t="shared" si="58"/>
        <v>-1289.9300000000026</v>
      </c>
      <c r="J148" s="1183">
        <f t="shared" si="58"/>
        <v>522.10000000000105</v>
      </c>
      <c r="K148" s="1183">
        <f t="shared" si="58"/>
        <v>-2678.7400000000007</v>
      </c>
      <c r="L148" s="1183">
        <f t="shared" si="58"/>
        <v>-133.2300000000011</v>
      </c>
      <c r="M148" s="1183">
        <f t="shared" si="58"/>
        <v>3580.91</v>
      </c>
      <c r="N148" s="1183">
        <f t="shared" si="58"/>
        <v>36082.090000000004</v>
      </c>
      <c r="O148" s="1183">
        <f t="shared" si="58"/>
        <v>-1236.17</v>
      </c>
      <c r="P148" s="1184">
        <f t="shared" si="58"/>
        <v>-2131.7099999999982</v>
      </c>
      <c r="R148" s="1190">
        <f>SUM(R146:R147)</f>
        <v>-20894.48</v>
      </c>
    </row>
    <row r="149" spans="1:28">
      <c r="A149" s="830">
        <v>149</v>
      </c>
      <c r="B149" s="1181"/>
      <c r="C149" s="850" t="s">
        <v>3042</v>
      </c>
      <c r="D149" s="928">
        <v>-40790.459999999992</v>
      </c>
      <c r="E149" s="928">
        <f t="shared" ref="E149:P149" si="59">D149+E148</f>
        <v>-46830.229999999996</v>
      </c>
      <c r="F149" s="928">
        <f t="shared" si="59"/>
        <v>-48348.25</v>
      </c>
      <c r="G149" s="928">
        <f t="shared" si="59"/>
        <v>-51942.020000000004</v>
      </c>
      <c r="H149" s="928">
        <f t="shared" si="59"/>
        <v>-53609.8</v>
      </c>
      <c r="I149" s="928">
        <f t="shared" si="59"/>
        <v>-54899.73</v>
      </c>
      <c r="J149" s="928">
        <f t="shared" si="59"/>
        <v>-54377.630000000005</v>
      </c>
      <c r="K149" s="928">
        <f t="shared" si="59"/>
        <v>-57056.37</v>
      </c>
      <c r="L149" s="928">
        <f t="shared" si="59"/>
        <v>-57189.600000000006</v>
      </c>
      <c r="M149" s="928">
        <f t="shared" si="59"/>
        <v>-53608.69</v>
      </c>
      <c r="N149" s="928">
        <f t="shared" si="59"/>
        <v>-17526.599999999999</v>
      </c>
      <c r="O149" s="928">
        <f t="shared" si="59"/>
        <v>-18762.769999999997</v>
      </c>
      <c r="P149" s="1191">
        <f t="shared" si="59"/>
        <v>-20894.479999999996</v>
      </c>
      <c r="R149" s="1172"/>
    </row>
    <row r="150" spans="1:28">
      <c r="A150" s="830">
        <v>150</v>
      </c>
      <c r="B150" s="1181"/>
      <c r="D150" s="899"/>
      <c r="E150" s="899"/>
      <c r="F150" s="928"/>
      <c r="G150" s="899"/>
      <c r="H150" s="899"/>
      <c r="I150" s="899"/>
      <c r="J150" s="899"/>
      <c r="K150" s="899"/>
      <c r="L150" s="899"/>
      <c r="M150" s="899"/>
      <c r="N150" s="899"/>
      <c r="O150" s="899"/>
      <c r="P150" s="1196"/>
      <c r="R150" s="1172"/>
      <c r="T150" s="850"/>
      <c r="U150" s="928"/>
      <c r="V150" s="1200"/>
    </row>
    <row r="151" spans="1:28">
      <c r="A151" s="830">
        <v>151</v>
      </c>
      <c r="B151" s="830" t="s">
        <v>3069</v>
      </c>
      <c r="C151" s="890">
        <v>577</v>
      </c>
      <c r="D151" s="899" t="s">
        <v>3032</v>
      </c>
      <c r="F151" s="928"/>
      <c r="G151" s="899"/>
      <c r="H151" s="899"/>
      <c r="I151" s="899"/>
      <c r="J151" s="899"/>
      <c r="L151" s="899"/>
      <c r="M151" s="899"/>
      <c r="N151" s="899"/>
      <c r="O151" s="899"/>
      <c r="P151" s="1196"/>
      <c r="R151" s="1172"/>
      <c r="V151" s="1200"/>
      <c r="W151" s="1200"/>
    </row>
    <row r="152" spans="1:28">
      <c r="A152" s="830">
        <v>152</v>
      </c>
      <c r="B152" s="1181" t="s">
        <v>1057</v>
      </c>
      <c r="C152" s="830" t="s">
        <v>3043</v>
      </c>
      <c r="D152" s="899"/>
      <c r="E152" s="899"/>
      <c r="F152" s="899"/>
      <c r="G152" s="899"/>
      <c r="H152" s="899"/>
      <c r="I152" s="899"/>
      <c r="J152" s="899"/>
      <c r="K152" s="899"/>
      <c r="L152" s="899"/>
      <c r="M152" s="899"/>
      <c r="N152" s="899"/>
      <c r="O152" s="899"/>
      <c r="P152" s="1196"/>
      <c r="Q152" s="834"/>
      <c r="R152" s="1195"/>
      <c r="V152" s="899"/>
      <c r="X152" s="899"/>
    </row>
    <row r="153" spans="1:28">
      <c r="A153" s="830">
        <v>153</v>
      </c>
      <c r="B153" s="1181" t="s">
        <v>3034</v>
      </c>
      <c r="C153" s="830" t="s">
        <v>3076</v>
      </c>
      <c r="D153" s="928"/>
      <c r="E153" s="928"/>
      <c r="F153" s="928"/>
      <c r="G153" s="928"/>
      <c r="H153" s="928"/>
      <c r="I153" s="928"/>
      <c r="J153" s="928"/>
      <c r="K153" s="928"/>
      <c r="L153" s="928"/>
      <c r="M153" s="928"/>
      <c r="N153" s="928"/>
      <c r="O153" s="928"/>
      <c r="P153" s="1182"/>
      <c r="Q153" s="1200"/>
      <c r="R153" s="1187"/>
      <c r="T153" s="850"/>
      <c r="U153" s="928"/>
      <c r="V153" s="1185"/>
      <c r="X153" s="1185"/>
      <c r="AB153" s="1185"/>
    </row>
    <row r="154" spans="1:28">
      <c r="A154" s="830">
        <v>154</v>
      </c>
      <c r="B154" s="1181" t="s">
        <v>3034</v>
      </c>
      <c r="C154" s="830" t="s">
        <v>3051</v>
      </c>
      <c r="D154" s="928"/>
      <c r="E154" s="928"/>
      <c r="F154" s="928"/>
      <c r="G154" s="928"/>
      <c r="H154" s="928"/>
      <c r="I154" s="928"/>
      <c r="J154" s="928"/>
      <c r="K154" s="928"/>
      <c r="L154" s="928"/>
      <c r="M154" s="928"/>
      <c r="N154" s="928"/>
      <c r="O154" s="928"/>
      <c r="P154" s="1182"/>
      <c r="Q154" s="1200"/>
      <c r="R154" s="1187"/>
      <c r="T154" s="850"/>
      <c r="U154" s="928"/>
      <c r="V154" s="1185"/>
      <c r="X154" s="1185"/>
      <c r="AB154" s="1185"/>
    </row>
    <row r="155" spans="1:28">
      <c r="A155" s="830">
        <v>155</v>
      </c>
      <c r="B155" s="1181" t="s">
        <v>3044</v>
      </c>
      <c r="C155" s="830" t="s">
        <v>3077</v>
      </c>
      <c r="D155" s="928"/>
      <c r="E155" s="928"/>
      <c r="F155" s="928"/>
      <c r="G155" s="928"/>
      <c r="H155" s="928"/>
      <c r="I155" s="928"/>
      <c r="J155" s="928"/>
      <c r="K155" s="928"/>
      <c r="L155" s="928"/>
      <c r="M155" s="928"/>
      <c r="N155" s="928"/>
      <c r="O155" s="928"/>
      <c r="P155" s="1182"/>
      <c r="Q155" s="1200"/>
      <c r="R155" s="1187"/>
      <c r="T155" s="850"/>
      <c r="U155" s="928"/>
      <c r="V155" s="1185"/>
      <c r="X155" s="1185"/>
      <c r="AB155" s="1185"/>
    </row>
    <row r="156" spans="1:28">
      <c r="A156" s="830">
        <v>156</v>
      </c>
      <c r="B156" s="1181" t="s">
        <v>3044</v>
      </c>
      <c r="C156" s="830" t="s">
        <v>3078</v>
      </c>
      <c r="D156" s="928"/>
      <c r="E156" s="928"/>
      <c r="F156" s="928"/>
      <c r="G156" s="928"/>
      <c r="H156" s="928"/>
      <c r="I156" s="928"/>
      <c r="J156" s="928"/>
      <c r="K156" s="928"/>
      <c r="L156" s="928"/>
      <c r="M156" s="928"/>
      <c r="N156" s="928"/>
      <c r="O156" s="928"/>
      <c r="P156" s="1182"/>
      <c r="Q156" s="1200"/>
      <c r="R156" s="1187"/>
      <c r="AB156" s="1185"/>
    </row>
    <row r="157" spans="1:28">
      <c r="A157" s="830">
        <v>157</v>
      </c>
      <c r="B157" s="1181" t="s">
        <v>3044</v>
      </c>
      <c r="C157" s="830" t="s">
        <v>3079</v>
      </c>
      <c r="D157" s="928">
        <v>0</v>
      </c>
      <c r="E157" s="928">
        <f t="shared" ref="E157:M158" si="60">-D155</f>
        <v>0</v>
      </c>
      <c r="F157" s="928">
        <f t="shared" si="60"/>
        <v>0</v>
      </c>
      <c r="G157" s="928">
        <f t="shared" si="60"/>
        <v>0</v>
      </c>
      <c r="H157" s="928">
        <f t="shared" si="60"/>
        <v>0</v>
      </c>
      <c r="I157" s="928">
        <f t="shared" si="60"/>
        <v>0</v>
      </c>
      <c r="J157" s="928">
        <f t="shared" si="60"/>
        <v>0</v>
      </c>
      <c r="K157" s="928">
        <f t="shared" si="60"/>
        <v>0</v>
      </c>
      <c r="L157" s="928">
        <f t="shared" si="60"/>
        <v>0</v>
      </c>
      <c r="M157" s="928">
        <f t="shared" si="60"/>
        <v>0</v>
      </c>
      <c r="N157" s="928"/>
      <c r="O157" s="928">
        <f>-M155</f>
        <v>0</v>
      </c>
      <c r="P157" s="1182">
        <f>-O155</f>
        <v>0</v>
      </c>
      <c r="Q157" s="1200"/>
      <c r="R157" s="1187"/>
    </row>
    <row r="158" spans="1:28">
      <c r="A158" s="830">
        <v>158</v>
      </c>
      <c r="B158" s="1181" t="s">
        <v>3044</v>
      </c>
      <c r="C158" s="830" t="s">
        <v>3080</v>
      </c>
      <c r="D158" s="1183">
        <v>0</v>
      </c>
      <c r="E158" s="1183">
        <f t="shared" si="60"/>
        <v>0</v>
      </c>
      <c r="F158" s="1183">
        <f t="shared" si="60"/>
        <v>0</v>
      </c>
      <c r="G158" s="1183">
        <f t="shared" si="60"/>
        <v>0</v>
      </c>
      <c r="H158" s="1183">
        <f t="shared" si="60"/>
        <v>0</v>
      </c>
      <c r="I158" s="1183">
        <f t="shared" si="60"/>
        <v>0</v>
      </c>
      <c r="J158" s="1183">
        <f t="shared" si="60"/>
        <v>0</v>
      </c>
      <c r="K158" s="1183">
        <f t="shared" si="60"/>
        <v>0</v>
      </c>
      <c r="L158" s="1183">
        <f t="shared" si="60"/>
        <v>0</v>
      </c>
      <c r="M158" s="1183">
        <f t="shared" si="60"/>
        <v>0</v>
      </c>
      <c r="N158" s="1183"/>
      <c r="O158" s="1183">
        <f>-M156</f>
        <v>0</v>
      </c>
      <c r="P158" s="1184">
        <f>-O156</f>
        <v>0</v>
      </c>
      <c r="Q158" s="1200"/>
      <c r="R158" s="1187"/>
    </row>
    <row r="159" spans="1:28">
      <c r="A159" s="830">
        <v>159</v>
      </c>
      <c r="B159" s="1217"/>
      <c r="C159" s="850" t="s">
        <v>3036</v>
      </c>
      <c r="D159" s="928">
        <f t="shared" ref="D159:M159" si="61">SUM(D153:D158)</f>
        <v>0</v>
      </c>
      <c r="E159" s="928">
        <f t="shared" si="61"/>
        <v>0</v>
      </c>
      <c r="F159" s="928">
        <f t="shared" si="61"/>
        <v>0</v>
      </c>
      <c r="G159" s="928">
        <f t="shared" si="61"/>
        <v>0</v>
      </c>
      <c r="H159" s="928">
        <f t="shared" si="61"/>
        <v>0</v>
      </c>
      <c r="I159" s="928">
        <f t="shared" si="61"/>
        <v>0</v>
      </c>
      <c r="J159" s="928">
        <f t="shared" si="61"/>
        <v>0</v>
      </c>
      <c r="K159" s="928">
        <f t="shared" si="61"/>
        <v>0</v>
      </c>
      <c r="L159" s="928">
        <f t="shared" si="61"/>
        <v>0</v>
      </c>
      <c r="M159" s="928">
        <f t="shared" si="61"/>
        <v>0</v>
      </c>
      <c r="N159" s="928"/>
      <c r="O159" s="928">
        <f>SUM(O153:O158)</f>
        <v>0</v>
      </c>
      <c r="P159" s="1182">
        <f>SUM(P153:P158)</f>
        <v>0</v>
      </c>
      <c r="R159" s="1172"/>
    </row>
    <row r="160" spans="1:28">
      <c r="A160" s="830">
        <v>160</v>
      </c>
      <c r="B160" s="1217"/>
      <c r="C160" s="850" t="s">
        <v>3038</v>
      </c>
      <c r="D160" s="1183">
        <v>0</v>
      </c>
      <c r="E160" s="1183">
        <v>0</v>
      </c>
      <c r="F160" s="1183">
        <v>0</v>
      </c>
      <c r="G160" s="1183">
        <v>0</v>
      </c>
      <c r="H160" s="1183">
        <v>0</v>
      </c>
      <c r="I160" s="1183">
        <v>0</v>
      </c>
      <c r="J160" s="1183">
        <v>0</v>
      </c>
      <c r="K160" s="1183">
        <v>0</v>
      </c>
      <c r="L160" s="1183">
        <v>0</v>
      </c>
      <c r="M160" s="1183">
        <v>0</v>
      </c>
      <c r="N160" s="1183"/>
      <c r="O160" s="1183">
        <v>0</v>
      </c>
      <c r="P160" s="1184">
        <v>0</v>
      </c>
      <c r="R160" s="1172"/>
    </row>
    <row r="161" spans="1:31">
      <c r="A161" s="830">
        <v>161</v>
      </c>
      <c r="B161" s="1217"/>
      <c r="C161" s="850" t="s">
        <v>3039</v>
      </c>
      <c r="D161" s="928">
        <f t="shared" ref="D161:M161" si="62">SUM(D159:D160)</f>
        <v>0</v>
      </c>
      <c r="E161" s="928">
        <f t="shared" si="62"/>
        <v>0</v>
      </c>
      <c r="F161" s="928">
        <f t="shared" si="62"/>
        <v>0</v>
      </c>
      <c r="G161" s="928">
        <f t="shared" si="62"/>
        <v>0</v>
      </c>
      <c r="H161" s="928">
        <f t="shared" si="62"/>
        <v>0</v>
      </c>
      <c r="I161" s="928">
        <f t="shared" si="62"/>
        <v>0</v>
      </c>
      <c r="J161" s="928">
        <f t="shared" si="62"/>
        <v>0</v>
      </c>
      <c r="K161" s="928">
        <f t="shared" si="62"/>
        <v>0</v>
      </c>
      <c r="L161" s="928">
        <f t="shared" si="62"/>
        <v>0</v>
      </c>
      <c r="M161" s="928">
        <f t="shared" si="62"/>
        <v>0</v>
      </c>
      <c r="N161" s="928">
        <v>4415.5599999999995</v>
      </c>
      <c r="O161" s="928">
        <f>SUM(O159:O160)</f>
        <v>0</v>
      </c>
      <c r="P161" s="1182">
        <f>SUM(P159:P160)</f>
        <v>0</v>
      </c>
      <c r="R161" s="1187">
        <f>SUM(D161:Q161)-N161</f>
        <v>0</v>
      </c>
    </row>
    <row r="162" spans="1:31">
      <c r="A162" s="830">
        <v>162</v>
      </c>
      <c r="B162" s="1181"/>
      <c r="C162" s="850" t="s">
        <v>3040</v>
      </c>
      <c r="D162" s="928">
        <v>-19.43</v>
      </c>
      <c r="E162" s="928">
        <f t="shared" ref="E162:M162" si="63">ROUND(ROUND(D164*E$6,2)/365*E$7,2)</f>
        <v>-17.62</v>
      </c>
      <c r="F162" s="928">
        <f t="shared" si="63"/>
        <v>-19.59</v>
      </c>
      <c r="G162" s="928">
        <f t="shared" si="63"/>
        <v>-20.03</v>
      </c>
      <c r="H162" s="928">
        <f t="shared" si="63"/>
        <v>-20.79</v>
      </c>
      <c r="I162" s="928">
        <f t="shared" si="63"/>
        <v>-20.22</v>
      </c>
      <c r="J162" s="928">
        <f t="shared" si="63"/>
        <v>-21.18</v>
      </c>
      <c r="K162" s="928">
        <f t="shared" si="63"/>
        <v>-21.27</v>
      </c>
      <c r="L162" s="928">
        <f t="shared" si="63"/>
        <v>-20.68</v>
      </c>
      <c r="M162" s="928">
        <f t="shared" si="63"/>
        <v>-21.16</v>
      </c>
      <c r="N162" s="928">
        <v>201.97000000000003</v>
      </c>
      <c r="O162" s="928">
        <f>ROUND(ROUND(N164*O$6,2)/365*O$7,2)</f>
        <v>0</v>
      </c>
      <c r="P162" s="1182">
        <f>ROUND(ROUND(O164*P$6,2)/365*P$7,2)</f>
        <v>0</v>
      </c>
      <c r="R162" s="1188">
        <f>SUM(D162:Q162)</f>
        <v>0</v>
      </c>
    </row>
    <row r="163" spans="1:31">
      <c r="A163" s="830">
        <v>163</v>
      </c>
      <c r="B163" s="1181"/>
      <c r="C163" s="850" t="s">
        <v>3041</v>
      </c>
      <c r="D163" s="1183">
        <f t="shared" ref="D163:P163" si="64">SUM(D161:D162)</f>
        <v>-19.43</v>
      </c>
      <c r="E163" s="1183">
        <f t="shared" si="64"/>
        <v>-17.62</v>
      </c>
      <c r="F163" s="1183">
        <f t="shared" si="64"/>
        <v>-19.59</v>
      </c>
      <c r="G163" s="1183">
        <f t="shared" si="64"/>
        <v>-20.03</v>
      </c>
      <c r="H163" s="1183">
        <f t="shared" si="64"/>
        <v>-20.79</v>
      </c>
      <c r="I163" s="1183">
        <f t="shared" si="64"/>
        <v>-20.22</v>
      </c>
      <c r="J163" s="1183">
        <f t="shared" si="64"/>
        <v>-21.18</v>
      </c>
      <c r="K163" s="1183">
        <f t="shared" si="64"/>
        <v>-21.27</v>
      </c>
      <c r="L163" s="1183">
        <f t="shared" si="64"/>
        <v>-20.68</v>
      </c>
      <c r="M163" s="1183">
        <f t="shared" si="64"/>
        <v>-21.16</v>
      </c>
      <c r="N163" s="1183">
        <f t="shared" si="64"/>
        <v>4617.53</v>
      </c>
      <c r="O163" s="1183">
        <f t="shared" si="64"/>
        <v>0</v>
      </c>
      <c r="P163" s="1184">
        <f t="shared" si="64"/>
        <v>0</v>
      </c>
      <c r="R163" s="1190">
        <f>SUM(R161:R162)</f>
        <v>0</v>
      </c>
    </row>
    <row r="164" spans="1:31">
      <c r="A164" s="830">
        <v>164</v>
      </c>
      <c r="B164" s="1181"/>
      <c r="C164" s="850" t="s">
        <v>3042</v>
      </c>
      <c r="D164" s="928">
        <v>-4434.99</v>
      </c>
      <c r="E164" s="928">
        <f t="shared" ref="E164:P164" si="65">D164+E163</f>
        <v>-4452.6099999999997</v>
      </c>
      <c r="F164" s="928">
        <f t="shared" si="65"/>
        <v>-4472.2</v>
      </c>
      <c r="G164" s="928">
        <f t="shared" si="65"/>
        <v>-4492.2299999999996</v>
      </c>
      <c r="H164" s="928">
        <f t="shared" si="65"/>
        <v>-4513.0199999999995</v>
      </c>
      <c r="I164" s="928">
        <f t="shared" si="65"/>
        <v>-4533.24</v>
      </c>
      <c r="J164" s="928">
        <f t="shared" si="65"/>
        <v>-4554.42</v>
      </c>
      <c r="K164" s="928">
        <f t="shared" si="65"/>
        <v>-4575.6900000000005</v>
      </c>
      <c r="L164" s="928">
        <f t="shared" si="65"/>
        <v>-4596.3700000000008</v>
      </c>
      <c r="M164" s="928">
        <f t="shared" si="65"/>
        <v>-4617.5300000000007</v>
      </c>
      <c r="N164" s="928">
        <f t="shared" si="65"/>
        <v>0</v>
      </c>
      <c r="O164" s="928">
        <f t="shared" si="65"/>
        <v>0</v>
      </c>
      <c r="P164" s="1191">
        <f t="shared" si="65"/>
        <v>0</v>
      </c>
      <c r="R164" s="1172"/>
    </row>
    <row r="165" spans="1:31" ht="15" thickBot="1">
      <c r="A165" s="830">
        <v>165</v>
      </c>
      <c r="B165" s="1218"/>
      <c r="C165" s="1163"/>
      <c r="D165" s="1163"/>
      <c r="E165" s="1163"/>
      <c r="F165" s="1219"/>
      <c r="G165" s="1163"/>
      <c r="H165" s="1163"/>
      <c r="I165" s="1163"/>
      <c r="J165" s="1163"/>
      <c r="K165" s="1163"/>
      <c r="L165" s="1163"/>
      <c r="M165" s="1163"/>
      <c r="N165" s="1163"/>
      <c r="O165" s="1163"/>
      <c r="P165" s="1220"/>
      <c r="Q165" s="1220"/>
      <c r="R165" s="1221"/>
    </row>
    <row r="166" spans="1:31">
      <c r="A166" s="830">
        <v>166</v>
      </c>
      <c r="F166" s="1200"/>
    </row>
    <row r="167" spans="1:31" ht="28.8">
      <c r="A167" s="830">
        <v>167</v>
      </c>
      <c r="C167" s="850" t="s">
        <v>3081</v>
      </c>
      <c r="D167" s="928">
        <f t="shared" ref="D167:L168" si="66">D13+D25+D63+D75+D38+D131+D51+D106+D116+D146+D161</f>
        <v>-843959.23</v>
      </c>
      <c r="E167" s="928">
        <f t="shared" si="66"/>
        <v>3745264.0199999996</v>
      </c>
      <c r="F167" s="928">
        <f t="shared" si="66"/>
        <v>1400603.7000000011</v>
      </c>
      <c r="G167" s="928">
        <f t="shared" si="66"/>
        <v>-412427.72</v>
      </c>
      <c r="H167" s="928">
        <f t="shared" si="66"/>
        <v>54642.650000000052</v>
      </c>
      <c r="I167" s="928">
        <f t="shared" si="66"/>
        <v>-42807.880000000179</v>
      </c>
      <c r="J167" s="928">
        <f t="shared" si="66"/>
        <v>172084.5999999998</v>
      </c>
      <c r="K167" s="928">
        <f t="shared" si="66"/>
        <v>-273699.82999999996</v>
      </c>
      <c r="L167" s="928">
        <f t="shared" si="66"/>
        <v>344893.05</v>
      </c>
      <c r="M167" s="928">
        <f>M13+M25+M63+M75+M91+M38+M131+M51+M106+M116+M146+M161</f>
        <v>959061.61999999965</v>
      </c>
      <c r="N167" s="928">
        <f>N13+N25+N63+N75+N38+N131+N51+N106+N116+N146+N161</f>
        <v>1013703.1200000023</v>
      </c>
      <c r="O167" s="928">
        <f>O13+O25+O63+O75+O91+O38+O131+O51+O106+O116+O146+O161</f>
        <v>153107.62000000037</v>
      </c>
      <c r="P167" s="928">
        <f>P13+P25+P63+P75+P91+P38+P131+P51+P106+P116+P146+P161</f>
        <v>-1034787.4900000007</v>
      </c>
      <c r="R167" s="928">
        <f>R13+R25+R75+R91+R38+R131+R51+R106+R116+R146+R161+R63</f>
        <v>4221975.1099999994</v>
      </c>
      <c r="T167" s="1200"/>
      <c r="AD167" s="928">
        <f>SUM(AD18:AD166)</f>
        <v>338287.40000000066</v>
      </c>
      <c r="AE167" s="1222" t="s">
        <v>3082</v>
      </c>
    </row>
    <row r="168" spans="1:31">
      <c r="A168" s="830">
        <v>168</v>
      </c>
      <c r="C168" s="850" t="s">
        <v>3083</v>
      </c>
      <c r="D168" s="928">
        <f t="shared" si="66"/>
        <v>-4459.76</v>
      </c>
      <c r="E168" s="928">
        <f t="shared" si="66"/>
        <v>-7399.5199999999995</v>
      </c>
      <c r="F168" s="928">
        <f t="shared" si="66"/>
        <v>8252.23</v>
      </c>
      <c r="G168" s="928">
        <f t="shared" si="66"/>
        <v>14713.219999999998</v>
      </c>
      <c r="H168" s="928">
        <f t="shared" si="66"/>
        <v>13362.699999999997</v>
      </c>
      <c r="I168" s="928">
        <f t="shared" si="66"/>
        <v>13236.270000000002</v>
      </c>
      <c r="J168" s="928">
        <f t="shared" si="66"/>
        <v>13664.819999999996</v>
      </c>
      <c r="K168" s="928">
        <f t="shared" si="66"/>
        <v>14532.529999999997</v>
      </c>
      <c r="L168" s="928">
        <f t="shared" si="66"/>
        <v>12892.16</v>
      </c>
      <c r="M168" s="928">
        <f>M14+M26+M64+M76+M92+M39+M132+M52+M107+M117+M147+M162</f>
        <v>14775.110000000002</v>
      </c>
      <c r="N168" s="928">
        <f>N14+N26+N64+N76+N39+N132+N52+N107+N117+N147+N162</f>
        <v>46368.350000000006</v>
      </c>
      <c r="O168" s="928">
        <f>O14+O26+O64+O76+O92+O39+O132+O52+O107+O117+O147+O162</f>
        <v>23359.139999999996</v>
      </c>
      <c r="P168" s="928">
        <f>P14+P26+P64+P76+P92+P39+P132+P52+P107+P117+P147+P162</f>
        <v>24950.11</v>
      </c>
      <c r="R168" s="1183">
        <f>R14+R26+R76+R92+R39+R132+R52+R107+R117+R147+R162+R64</f>
        <v>188247.36</v>
      </c>
      <c r="T168" s="1200"/>
    </row>
    <row r="169" spans="1:31">
      <c r="A169" s="830">
        <v>169</v>
      </c>
      <c r="C169" s="850" t="s">
        <v>3042</v>
      </c>
      <c r="D169" s="928">
        <v>-1862122.1600000039</v>
      </c>
      <c r="E169" s="928">
        <f t="shared" ref="E169:P169" si="67">SUM(E167:E168)+D169</f>
        <v>1875742.3399999957</v>
      </c>
      <c r="F169" s="928">
        <f t="shared" si="67"/>
        <v>3284598.2699999968</v>
      </c>
      <c r="G169" s="928">
        <f t="shared" si="67"/>
        <v>2886883.7699999968</v>
      </c>
      <c r="H169" s="928">
        <f t="shared" si="67"/>
        <v>2954889.1199999969</v>
      </c>
      <c r="I169" s="928">
        <f t="shared" si="67"/>
        <v>2925317.5099999965</v>
      </c>
      <c r="J169" s="928">
        <f t="shared" si="67"/>
        <v>3111066.9299999964</v>
      </c>
      <c r="K169" s="928">
        <f t="shared" si="67"/>
        <v>2851899.6299999966</v>
      </c>
      <c r="L169" s="928">
        <f t="shared" si="67"/>
        <v>3209684.8399999966</v>
      </c>
      <c r="M169" s="928">
        <f t="shared" si="67"/>
        <v>4183521.5699999961</v>
      </c>
      <c r="N169" s="928">
        <f t="shared" si="67"/>
        <v>5243593.0399999982</v>
      </c>
      <c r="O169" s="928">
        <f t="shared" si="67"/>
        <v>5420059.7999999989</v>
      </c>
      <c r="P169" s="928">
        <f t="shared" si="67"/>
        <v>4410222.4199999981</v>
      </c>
      <c r="R169" s="1200">
        <f>SUM(R167:R168)</f>
        <v>4410222.47</v>
      </c>
      <c r="T169" s="1200"/>
    </row>
    <row r="170" spans="1:31">
      <c r="A170" s="830">
        <v>170</v>
      </c>
      <c r="C170" s="850"/>
      <c r="E170" s="928"/>
      <c r="F170" s="928"/>
      <c r="G170" s="928"/>
      <c r="H170" s="928"/>
      <c r="I170" s="928"/>
      <c r="J170" s="928"/>
      <c r="K170" s="928"/>
      <c r="L170" s="928"/>
      <c r="M170" s="928"/>
      <c r="N170" s="928"/>
      <c r="O170" s="928"/>
      <c r="P170" s="928"/>
    </row>
    <row r="171" spans="1:31" ht="15" thickBot="1">
      <c r="A171" s="830">
        <v>171</v>
      </c>
      <c r="B171" s="1223"/>
      <c r="F171" s="1200"/>
      <c r="N171" s="830" t="s">
        <v>3027</v>
      </c>
    </row>
    <row r="172" spans="1:31" ht="15.6">
      <c r="A172" s="830">
        <v>172</v>
      </c>
      <c r="B172" s="1223" t="s">
        <v>3084</v>
      </c>
      <c r="C172" s="1224"/>
      <c r="D172" s="1225" t="s">
        <v>2950</v>
      </c>
      <c r="E172" s="1226" t="s">
        <v>2951</v>
      </c>
      <c r="F172" s="1226" t="s">
        <v>2952</v>
      </c>
      <c r="G172" s="1226" t="s">
        <v>2953</v>
      </c>
      <c r="H172" s="1226" t="s">
        <v>2520</v>
      </c>
      <c r="I172" s="1226" t="s">
        <v>2954</v>
      </c>
      <c r="J172" s="1226" t="s">
        <v>2955</v>
      </c>
      <c r="K172" s="1226" t="s">
        <v>3085</v>
      </c>
      <c r="L172" s="1226" t="s">
        <v>2957</v>
      </c>
      <c r="M172" s="1226" t="s">
        <v>2958</v>
      </c>
      <c r="N172" s="1227" t="s">
        <v>3027</v>
      </c>
      <c r="O172" s="1226" t="s">
        <v>2959</v>
      </c>
      <c r="P172" s="1226" t="s">
        <v>2960</v>
      </c>
    </row>
    <row r="173" spans="1:31" ht="15.6">
      <c r="A173" s="830">
        <v>173</v>
      </c>
      <c r="B173" s="1228" t="s">
        <v>3086</v>
      </c>
      <c r="C173" s="1229" t="s">
        <v>3087</v>
      </c>
      <c r="D173" s="1230">
        <f t="shared" ref="D173:P173" si="68">-D167</f>
        <v>843959.23</v>
      </c>
      <c r="E173" s="1230">
        <f t="shared" si="68"/>
        <v>-3745264.0199999996</v>
      </c>
      <c r="F173" s="1230">
        <f t="shared" si="68"/>
        <v>-1400603.7000000011</v>
      </c>
      <c r="G173" s="1230">
        <f t="shared" si="68"/>
        <v>412427.72</v>
      </c>
      <c r="H173" s="1230">
        <f t="shared" si="68"/>
        <v>-54642.650000000052</v>
      </c>
      <c r="I173" s="1230">
        <f t="shared" si="68"/>
        <v>42807.880000000179</v>
      </c>
      <c r="J173" s="1230">
        <f t="shared" si="68"/>
        <v>-172084.5999999998</v>
      </c>
      <c r="K173" s="1230">
        <f t="shared" si="68"/>
        <v>273699.82999999996</v>
      </c>
      <c r="L173" s="1230">
        <f t="shared" si="68"/>
        <v>-344893.05</v>
      </c>
      <c r="M173" s="1230">
        <f t="shared" si="68"/>
        <v>-959061.61999999965</v>
      </c>
      <c r="N173" s="1230">
        <f t="shared" si="68"/>
        <v>-1013703.1200000023</v>
      </c>
      <c r="O173" s="1230">
        <f t="shared" si="68"/>
        <v>-153107.62000000037</v>
      </c>
      <c r="P173" s="1230">
        <f t="shared" si="68"/>
        <v>1034787.4900000007</v>
      </c>
      <c r="S173" s="1200">
        <f t="shared" ref="S173:S178" si="69">SUM(D173:L173)</f>
        <v>-4144593.3599999994</v>
      </c>
    </row>
    <row r="174" spans="1:31" ht="15.6">
      <c r="A174" s="830">
        <v>174</v>
      </c>
      <c r="B174" s="1231" t="s">
        <v>3088</v>
      </c>
      <c r="C174" s="1232" t="s">
        <v>3089</v>
      </c>
      <c r="D174" s="1230">
        <f t="shared" ref="D174:P174" si="70">D13+D25</f>
        <v>-506033.05999999959</v>
      </c>
      <c r="E174" s="1230">
        <f t="shared" si="70"/>
        <v>2341075.2800000003</v>
      </c>
      <c r="F174" s="1230">
        <f t="shared" si="70"/>
        <v>534499.82000000076</v>
      </c>
      <c r="G174" s="1230">
        <f t="shared" si="70"/>
        <v>-501222.68999999994</v>
      </c>
      <c r="H174" s="1230">
        <f t="shared" si="70"/>
        <v>4168.8400000000838</v>
      </c>
      <c r="I174" s="1230">
        <f t="shared" si="70"/>
        <v>-104941.75000000012</v>
      </c>
      <c r="J174" s="1230">
        <f t="shared" si="70"/>
        <v>39684.14999999979</v>
      </c>
      <c r="K174" s="1230">
        <f t="shared" si="70"/>
        <v>-172900.07999999996</v>
      </c>
      <c r="L174" s="1230">
        <f t="shared" si="70"/>
        <v>177401.85000000009</v>
      </c>
      <c r="M174" s="1230">
        <f t="shared" si="70"/>
        <v>522468.1799999997</v>
      </c>
      <c r="N174" s="1230">
        <f t="shared" si="70"/>
        <v>1436041.1500000013</v>
      </c>
      <c r="O174" s="1230">
        <f t="shared" si="70"/>
        <v>-323885.79999999981</v>
      </c>
      <c r="P174" s="1230">
        <f t="shared" si="70"/>
        <v>-812396.77000000048</v>
      </c>
      <c r="S174" s="1200">
        <f t="shared" si="69"/>
        <v>1811732.3600000013</v>
      </c>
    </row>
    <row r="175" spans="1:31" ht="15.6">
      <c r="A175" s="830">
        <v>175</v>
      </c>
      <c r="B175" s="1231" t="s">
        <v>3090</v>
      </c>
      <c r="C175" s="1232" t="s">
        <v>3091</v>
      </c>
      <c r="D175" s="1230">
        <f t="shared" ref="D175:P175" si="71">D38+D51</f>
        <v>-11142.349999999991</v>
      </c>
      <c r="E175" s="1230">
        <f t="shared" si="71"/>
        <v>53282.219999999987</v>
      </c>
      <c r="F175" s="1230">
        <f t="shared" si="71"/>
        <v>88538.790000000008</v>
      </c>
      <c r="G175" s="1230">
        <f t="shared" si="71"/>
        <v>82505.339999999982</v>
      </c>
      <c r="H175" s="1230">
        <f t="shared" si="71"/>
        <v>41064.989999999991</v>
      </c>
      <c r="I175" s="1230">
        <f t="shared" si="71"/>
        <v>16856.650000000005</v>
      </c>
      <c r="J175" s="1230">
        <f t="shared" si="71"/>
        <v>33887.660000000003</v>
      </c>
      <c r="K175" s="1230">
        <f t="shared" si="71"/>
        <v>33010.820000000007</v>
      </c>
      <c r="L175" s="1230">
        <f t="shared" si="71"/>
        <v>21230.270000000004</v>
      </c>
      <c r="M175" s="1230">
        <f t="shared" si="71"/>
        <v>51035.53</v>
      </c>
      <c r="N175" s="1230">
        <f t="shared" si="71"/>
        <v>-253139.8600000001</v>
      </c>
      <c r="O175" s="1230">
        <f t="shared" si="71"/>
        <v>58956.209999999992</v>
      </c>
      <c r="P175" s="1230">
        <f t="shared" si="71"/>
        <v>19971.32999999998</v>
      </c>
      <c r="S175" s="1200">
        <f t="shared" si="69"/>
        <v>359234.39000000007</v>
      </c>
    </row>
    <row r="176" spans="1:31" ht="15.6">
      <c r="A176" s="830">
        <v>176</v>
      </c>
      <c r="B176" s="1231" t="s">
        <v>3092</v>
      </c>
      <c r="C176" s="1232" t="s">
        <v>3093</v>
      </c>
      <c r="D176" s="1230">
        <f t="shared" ref="D176:L176" si="72">D63+D75+D106+D116</f>
        <v>-320152.02000000048</v>
      </c>
      <c r="E176" s="1230">
        <f t="shared" si="72"/>
        <v>1357207.3199999996</v>
      </c>
      <c r="F176" s="1230">
        <f t="shared" si="72"/>
        <v>779274.98000000021</v>
      </c>
      <c r="G176" s="1230">
        <f t="shared" si="72"/>
        <v>9933.0900000000274</v>
      </c>
      <c r="H176" s="1230">
        <f t="shared" si="72"/>
        <v>11019.429999999968</v>
      </c>
      <c r="I176" s="1230">
        <f t="shared" si="72"/>
        <v>46516.539999999928</v>
      </c>
      <c r="J176" s="1230">
        <f t="shared" si="72"/>
        <v>97857.640000000014</v>
      </c>
      <c r="K176" s="1230">
        <f t="shared" si="72"/>
        <v>-131224.41000000003</v>
      </c>
      <c r="L176" s="1230">
        <f t="shared" si="72"/>
        <v>146272.55999999988</v>
      </c>
      <c r="M176" s="1230">
        <f>M63+M75+M91+M106+M116</f>
        <v>382087.79</v>
      </c>
      <c r="N176" s="1230">
        <f>N63+N75+N106+N116</f>
        <v>-211665.60999999897</v>
      </c>
      <c r="O176" s="1230">
        <f>O63+O75+O91+O106+O116</f>
        <v>419415.68000000017</v>
      </c>
      <c r="P176" s="1230">
        <f>P63+P75+P91+P106+P116</f>
        <v>-239932.87000000011</v>
      </c>
      <c r="S176" s="1200">
        <f t="shared" si="69"/>
        <v>1996705.1299999992</v>
      </c>
    </row>
    <row r="177" spans="1:19" ht="15.6">
      <c r="A177" s="830">
        <v>177</v>
      </c>
      <c r="B177" s="1231" t="s">
        <v>3094</v>
      </c>
      <c r="C177" s="1232" t="s">
        <v>3095</v>
      </c>
      <c r="D177" s="1230">
        <f t="shared" ref="D177:P177" si="73">D131</f>
        <v>-496.98</v>
      </c>
      <c r="E177" s="1230">
        <f t="shared" si="73"/>
        <v>-423.12</v>
      </c>
      <c r="F177" s="1230">
        <f t="shared" si="73"/>
        <v>-397.9</v>
      </c>
      <c r="G177" s="1230">
        <f t="shared" si="73"/>
        <v>-266.26</v>
      </c>
      <c r="H177" s="1230">
        <f t="shared" si="73"/>
        <v>-183.26</v>
      </c>
      <c r="I177" s="1230">
        <f t="shared" si="73"/>
        <v>-189.53</v>
      </c>
      <c r="J177" s="1230">
        <f t="shared" si="73"/>
        <v>-123.4</v>
      </c>
      <c r="K177" s="1230">
        <f t="shared" si="73"/>
        <v>-161.43</v>
      </c>
      <c r="L177" s="1230">
        <f t="shared" si="73"/>
        <v>-136.32999999999998</v>
      </c>
      <c r="M177" s="1230">
        <f t="shared" si="73"/>
        <v>-374.04999999999995</v>
      </c>
      <c r="N177" s="1230">
        <f t="shared" si="73"/>
        <v>3548.04</v>
      </c>
      <c r="O177" s="1230">
        <f t="shared" si="73"/>
        <v>-220.37999999999997</v>
      </c>
      <c r="P177" s="1230">
        <f t="shared" si="73"/>
        <v>-383.84000000000003</v>
      </c>
      <c r="S177" s="1200">
        <f t="shared" si="69"/>
        <v>-2378.2099999999996</v>
      </c>
    </row>
    <row r="178" spans="1:19" ht="15.6">
      <c r="A178" s="830">
        <v>178</v>
      </c>
      <c r="B178" s="1233" t="s">
        <v>3096</v>
      </c>
      <c r="C178" s="1234" t="s">
        <v>3097</v>
      </c>
      <c r="D178" s="1235">
        <f t="shared" ref="D178:P178" si="74">D146+D161</f>
        <v>-6134.82</v>
      </c>
      <c r="E178" s="1235">
        <f t="shared" si="74"/>
        <v>-5877.68</v>
      </c>
      <c r="F178" s="1235">
        <f t="shared" si="74"/>
        <v>-1311.9900000000016</v>
      </c>
      <c r="G178" s="1235">
        <f t="shared" si="74"/>
        <v>-3377.2000000000007</v>
      </c>
      <c r="H178" s="1235">
        <f t="shared" si="74"/>
        <v>-1427.3499999999967</v>
      </c>
      <c r="I178" s="1235">
        <f t="shared" si="74"/>
        <v>-1049.7900000000027</v>
      </c>
      <c r="J178" s="1235">
        <f t="shared" si="74"/>
        <v>778.55000000000109</v>
      </c>
      <c r="K178" s="1235">
        <f t="shared" si="74"/>
        <v>-2424.7300000000005</v>
      </c>
      <c r="L178" s="1235">
        <f t="shared" si="74"/>
        <v>124.69999999999891</v>
      </c>
      <c r="M178" s="1235">
        <f t="shared" si="74"/>
        <v>3844.17</v>
      </c>
      <c r="N178" s="1235">
        <f t="shared" si="74"/>
        <v>38919.4</v>
      </c>
      <c r="O178" s="1235">
        <f t="shared" si="74"/>
        <v>-1158.0900000000001</v>
      </c>
      <c r="P178" s="1235">
        <f t="shared" si="74"/>
        <v>-2045.3399999999983</v>
      </c>
      <c r="S178" s="1200">
        <f t="shared" si="69"/>
        <v>-20700.309999999998</v>
      </c>
    </row>
    <row r="179" spans="1:19" ht="16.5" customHeight="1" thickBot="1">
      <c r="A179" s="830">
        <v>179</v>
      </c>
      <c r="L179" s="852" t="s">
        <v>3098</v>
      </c>
      <c r="M179" s="852" t="s">
        <v>3098</v>
      </c>
      <c r="O179" s="852" t="s">
        <v>3098</v>
      </c>
    </row>
    <row r="180" spans="1:19" ht="15.6">
      <c r="A180" s="830">
        <v>180</v>
      </c>
      <c r="E180" s="928"/>
      <c r="F180" s="928"/>
      <c r="G180" s="928"/>
      <c r="H180" s="928"/>
      <c r="I180" s="928"/>
      <c r="J180" s="928"/>
      <c r="K180" s="928"/>
      <c r="L180" s="1236">
        <v>43709</v>
      </c>
      <c r="M180" s="1236">
        <v>43739</v>
      </c>
      <c r="O180" s="1236">
        <v>43739</v>
      </c>
    </row>
    <row r="181" spans="1:19">
      <c r="A181" s="830">
        <v>181</v>
      </c>
      <c r="D181" s="1200"/>
      <c r="E181" s="1200"/>
      <c r="F181" s="1200"/>
      <c r="G181" s="1200"/>
      <c r="H181" s="1200"/>
      <c r="I181" s="1200"/>
      <c r="J181" s="1200"/>
      <c r="K181" s="1200"/>
      <c r="L181" s="1230">
        <v>-346148.82999999996</v>
      </c>
      <c r="M181" s="1230">
        <v>-937908.65999999957</v>
      </c>
      <c r="O181" s="1230">
        <v>-7744.9900000005691</v>
      </c>
    </row>
    <row r="182" spans="1:19">
      <c r="A182" s="830">
        <v>182</v>
      </c>
      <c r="L182" s="1230">
        <v>177401.85000000009</v>
      </c>
      <c r="M182" s="1230">
        <v>522468.1799999997</v>
      </c>
      <c r="O182" s="1230">
        <v>-323885.79999999981</v>
      </c>
    </row>
    <row r="183" spans="1:19">
      <c r="A183" s="830">
        <v>183</v>
      </c>
      <c r="L183" s="1230">
        <v>21230.270000000004</v>
      </c>
      <c r="M183" s="1230">
        <v>51035.53</v>
      </c>
      <c r="O183" s="1230">
        <v>58956.209999999992</v>
      </c>
    </row>
    <row r="184" spans="1:19">
      <c r="A184" s="830">
        <v>184</v>
      </c>
      <c r="E184" s="1200"/>
      <c r="F184" s="1200"/>
      <c r="G184" s="1200"/>
      <c r="H184" s="1200"/>
      <c r="I184" s="1200"/>
      <c r="J184" s="1200"/>
      <c r="K184" s="1200"/>
      <c r="L184" s="1230">
        <v>146272.55999999988</v>
      </c>
      <c r="M184" s="1230">
        <v>382087.79</v>
      </c>
      <c r="O184" s="1230">
        <v>274053.0500000004</v>
      </c>
    </row>
    <row r="185" spans="1:19">
      <c r="A185" s="830">
        <v>185</v>
      </c>
      <c r="L185" s="1230">
        <v>-136.32999999999998</v>
      </c>
      <c r="M185" s="1230">
        <v>-374.04999999999995</v>
      </c>
      <c r="O185" s="1230">
        <v>-220.37999999999997</v>
      </c>
    </row>
    <row r="186" spans="1:19">
      <c r="A186" s="830">
        <v>186</v>
      </c>
      <c r="L186" s="1235">
        <v>1380.4800000000014</v>
      </c>
      <c r="M186" s="1235">
        <v>-17308.79</v>
      </c>
      <c r="O186" s="1235">
        <v>-1158.0900000000001</v>
      </c>
    </row>
    <row r="187" spans="1:19">
      <c r="A187" s="830">
        <v>187</v>
      </c>
    </row>
    <row r="188" spans="1:19" ht="15" thickBot="1">
      <c r="A188" s="830">
        <v>188</v>
      </c>
      <c r="L188" s="852" t="s">
        <v>3099</v>
      </c>
      <c r="M188" s="852" t="s">
        <v>3099</v>
      </c>
      <c r="O188" s="852" t="s">
        <v>3099</v>
      </c>
    </row>
    <row r="189" spans="1:19" ht="15.6">
      <c r="A189" s="830">
        <v>189</v>
      </c>
      <c r="L189" s="1236">
        <v>43709</v>
      </c>
      <c r="M189" s="1236">
        <v>43739</v>
      </c>
      <c r="O189" s="1236">
        <v>43739</v>
      </c>
    </row>
    <row r="190" spans="1:19" ht="15.6">
      <c r="A190" s="830">
        <v>190</v>
      </c>
      <c r="B190" s="1228" t="s">
        <v>3086</v>
      </c>
      <c r="C190" s="1229" t="s">
        <v>3087</v>
      </c>
      <c r="L190" s="1230">
        <f t="shared" ref="L190:M195" si="75">L173-L181</f>
        <v>1255.7799999999697</v>
      </c>
      <c r="M190" s="1230">
        <f t="shared" si="75"/>
        <v>-21152.960000000079</v>
      </c>
      <c r="O190" s="1230">
        <f t="shared" ref="O190:O195" si="76">O173-O181</f>
        <v>-145362.6299999998</v>
      </c>
    </row>
    <row r="191" spans="1:19" ht="15.6">
      <c r="A191" s="830">
        <v>191</v>
      </c>
      <c r="B191" s="1231" t="s">
        <v>3088</v>
      </c>
      <c r="C191" s="1232" t="s">
        <v>3089</v>
      </c>
      <c r="L191" s="1230">
        <f t="shared" si="75"/>
        <v>0</v>
      </c>
      <c r="M191" s="1230">
        <f t="shared" si="75"/>
        <v>0</v>
      </c>
      <c r="O191" s="1230">
        <f t="shared" si="76"/>
        <v>0</v>
      </c>
    </row>
    <row r="192" spans="1:19" ht="15.6">
      <c r="A192" s="830">
        <v>192</v>
      </c>
      <c r="B192" s="1231" t="s">
        <v>3090</v>
      </c>
      <c r="C192" s="1232" t="s">
        <v>3091</v>
      </c>
      <c r="L192" s="1230">
        <f t="shared" si="75"/>
        <v>0</v>
      </c>
      <c r="M192" s="1230">
        <f t="shared" si="75"/>
        <v>0</v>
      </c>
      <c r="O192" s="1230">
        <f t="shared" si="76"/>
        <v>0</v>
      </c>
    </row>
    <row r="193" spans="1:15" ht="15.6">
      <c r="A193" s="830">
        <v>193</v>
      </c>
      <c r="B193" s="1231" t="s">
        <v>3092</v>
      </c>
      <c r="C193" s="1232" t="s">
        <v>3093</v>
      </c>
      <c r="L193" s="1230">
        <f t="shared" si="75"/>
        <v>0</v>
      </c>
      <c r="M193" s="1230">
        <f t="shared" si="75"/>
        <v>0</v>
      </c>
      <c r="O193" s="1230">
        <f t="shared" si="76"/>
        <v>145362.62999999977</v>
      </c>
    </row>
    <row r="194" spans="1:15" ht="15.6">
      <c r="A194" s="830">
        <v>194</v>
      </c>
      <c r="B194" s="1231" t="s">
        <v>3094</v>
      </c>
      <c r="C194" s="1232" t="s">
        <v>3095</v>
      </c>
      <c r="L194" s="1230">
        <f t="shared" si="75"/>
        <v>0</v>
      </c>
      <c r="M194" s="1230">
        <f t="shared" si="75"/>
        <v>0</v>
      </c>
      <c r="O194" s="1230">
        <f t="shared" si="76"/>
        <v>0</v>
      </c>
    </row>
    <row r="195" spans="1:15" ht="15.6">
      <c r="A195" s="830">
        <v>195</v>
      </c>
      <c r="B195" s="1233" t="s">
        <v>3096</v>
      </c>
      <c r="C195" s="1234" t="s">
        <v>3097</v>
      </c>
      <c r="L195" s="1235">
        <f t="shared" si="75"/>
        <v>-1255.7800000000025</v>
      </c>
      <c r="M195" s="1235">
        <f t="shared" si="75"/>
        <v>21152.959999999999</v>
      </c>
      <c r="O195" s="1235">
        <f t="shared" si="76"/>
        <v>0</v>
      </c>
    </row>
    <row r="196" spans="1:15">
      <c r="A196" s="830">
        <v>196</v>
      </c>
    </row>
    <row r="197" spans="1:15">
      <c r="A197" s="830">
        <v>197</v>
      </c>
    </row>
    <row r="198" spans="1:15">
      <c r="A198" s="830">
        <v>198</v>
      </c>
      <c r="D198" s="928"/>
      <c r="E198" s="928"/>
      <c r="F198" s="928"/>
      <c r="G198" s="928"/>
    </row>
    <row r="199" spans="1:15">
      <c r="A199" s="830">
        <v>199</v>
      </c>
      <c r="D199" s="928"/>
      <c r="E199" s="928"/>
      <c r="F199" s="928"/>
      <c r="G199" s="928"/>
    </row>
    <row r="200" spans="1:15">
      <c r="A200" s="830">
        <v>200</v>
      </c>
      <c r="D200" s="928"/>
      <c r="E200" s="928"/>
      <c r="F200" s="928"/>
      <c r="G200" s="928"/>
    </row>
    <row r="201" spans="1:15">
      <c r="D201" s="928"/>
      <c r="E201" s="928"/>
      <c r="F201" s="928"/>
      <c r="G201" s="928"/>
    </row>
  </sheetData>
  <mergeCells count="3">
    <mergeCell ref="B2:P2"/>
    <mergeCell ref="B3:P3"/>
    <mergeCell ref="B4:P4"/>
  </mergeCells>
  <hyperlinks>
    <hyperlink ref="T6" r:id="rId1" xr:uid="{CDFACE2B-4C3F-43E9-8F74-A5E17B54D2A3}"/>
  </hyperlinks>
  <pageMargins left="0.25" right="0.25" top="1" bottom="0.25" header="0.3" footer="0.3"/>
  <pageSetup scale="28" fitToHeight="3" orientation="landscape" r:id="rId2"/>
  <headerFooter scaleWithDoc="0">
    <oddHeader>&amp;CCascade Natural Gas Corporation
WACAP 2019
IDM WP-1.6&amp;RPage &amp;P of &amp;N</oddHeader>
    <oddFooter>&amp;L&amp;A</oddFooter>
  </headerFooter>
  <rowBreaks count="2" manualBreakCount="2">
    <brk id="78" max="31" man="1"/>
    <brk id="170" max="31" man="1"/>
  </rowBreaks>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84CD9-2758-4554-BE06-0FD0F76D199F}">
  <sheetPr codeName="Sheet57">
    <tabColor theme="8" tint="0.79998168889431442"/>
  </sheetPr>
  <dimension ref="A1:AG32"/>
  <sheetViews>
    <sheetView zoomScale="80" zoomScaleNormal="80" workbookViewId="0">
      <selection activeCell="A32" sqref="A32"/>
    </sheetView>
  </sheetViews>
  <sheetFormatPr defaultColWidth="8.88671875" defaultRowHeight="14.4"/>
  <cols>
    <col min="1" max="1" width="8.88671875" style="613"/>
    <col min="2" max="2" width="10.88671875" style="613" customWidth="1"/>
    <col min="3" max="3" width="13.33203125" style="613" customWidth="1"/>
    <col min="4" max="4" width="10.44140625" style="613" customWidth="1"/>
    <col min="5" max="5" width="7.5546875" style="613" customWidth="1"/>
    <col min="6" max="6" width="8.33203125" style="613" bestFit="1" customWidth="1"/>
    <col min="7" max="7" width="11.109375" style="613" bestFit="1" customWidth="1"/>
    <col min="8" max="8" width="9.33203125" style="613" customWidth="1"/>
    <col min="9" max="9" width="6.44140625" style="613" customWidth="1"/>
    <col min="10" max="10" width="5.109375" style="613" bestFit="1" customWidth="1"/>
    <col min="11" max="11" width="8.88671875" style="613"/>
    <col min="12" max="12" width="9.5546875" style="613" bestFit="1" customWidth="1"/>
    <col min="13" max="13" width="11.109375" style="613" bestFit="1" customWidth="1"/>
    <col min="14" max="14" width="10.109375" style="613" bestFit="1" customWidth="1"/>
    <col min="15" max="17" width="9" style="613" bestFit="1" customWidth="1"/>
    <col min="18" max="18" width="11.109375" style="613" bestFit="1" customWidth="1"/>
    <col min="19" max="16384" width="8.88671875" style="613"/>
  </cols>
  <sheetData>
    <row r="1" spans="1:33" s="583" customFormat="1">
      <c r="A1" s="583" t="s">
        <v>778</v>
      </c>
      <c r="B1" s="583" t="s">
        <v>776</v>
      </c>
      <c r="C1" s="583" t="s">
        <v>777</v>
      </c>
      <c r="D1" s="583" t="s">
        <v>780</v>
      </c>
      <c r="E1" s="583" t="s">
        <v>781</v>
      </c>
      <c r="F1" s="583" t="s">
        <v>782</v>
      </c>
      <c r="G1" s="583" t="s">
        <v>783</v>
      </c>
      <c r="H1" s="583" t="s">
        <v>784</v>
      </c>
      <c r="I1" s="583" t="s">
        <v>785</v>
      </c>
      <c r="J1" s="583" t="s">
        <v>786</v>
      </c>
      <c r="K1" s="583" t="s">
        <v>787</v>
      </c>
      <c r="L1" s="583" t="s">
        <v>788</v>
      </c>
      <c r="M1" s="583" t="s">
        <v>789</v>
      </c>
      <c r="N1" s="583" t="s">
        <v>790</v>
      </c>
      <c r="O1" s="583" t="s">
        <v>791</v>
      </c>
      <c r="P1" s="583" t="s">
        <v>995</v>
      </c>
      <c r="Q1" s="583" t="s">
        <v>996</v>
      </c>
    </row>
    <row r="2" spans="1:33" s="583" customFormat="1">
      <c r="B2" s="819" t="s">
        <v>3100</v>
      </c>
    </row>
    <row r="3" spans="1:33" s="583" customFormat="1">
      <c r="A3" s="824">
        <v>1</v>
      </c>
      <c r="B3" s="1833" t="s">
        <v>3101</v>
      </c>
      <c r="C3" s="1833"/>
      <c r="D3" s="1833"/>
      <c r="E3" s="1833"/>
      <c r="F3" s="1833"/>
      <c r="G3" s="1833"/>
      <c r="H3" s="1833"/>
      <c r="I3" s="1833"/>
      <c r="L3" s="1833" t="s">
        <v>3102</v>
      </c>
      <c r="M3" s="1833"/>
      <c r="N3" s="1833"/>
      <c r="O3" s="1833"/>
      <c r="P3" s="1833"/>
      <c r="Q3" s="1833"/>
    </row>
    <row r="4" spans="1:33">
      <c r="A4" s="613">
        <v>2</v>
      </c>
      <c r="B4" s="1833" t="s">
        <v>3103</v>
      </c>
      <c r="C4" s="1833"/>
      <c r="D4" s="1833"/>
      <c r="E4" s="1833"/>
      <c r="F4" s="1833"/>
      <c r="G4" s="1833"/>
      <c r="H4" s="1833"/>
      <c r="I4" s="1833"/>
      <c r="L4" s="1833" t="s">
        <v>3104</v>
      </c>
      <c r="M4" s="1833"/>
      <c r="N4" s="1833"/>
      <c r="O4" s="1833"/>
      <c r="P4" s="1833"/>
      <c r="Q4" s="1833"/>
      <c r="U4" s="1833" t="s">
        <v>3268</v>
      </c>
      <c r="V4" s="1833"/>
      <c r="W4" s="1833"/>
      <c r="X4" s="1833"/>
      <c r="Y4" s="1833"/>
      <c r="Z4" s="1833"/>
      <c r="AA4" s="1833"/>
      <c r="AB4" s="1833"/>
    </row>
    <row r="5" spans="1:33">
      <c r="A5" s="824">
        <v>3</v>
      </c>
      <c r="C5" s="583">
        <v>503</v>
      </c>
      <c r="D5" s="583">
        <v>504</v>
      </c>
      <c r="E5" s="583">
        <v>505</v>
      </c>
      <c r="F5" s="583" t="s">
        <v>3105</v>
      </c>
      <c r="G5" s="583" t="s">
        <v>3106</v>
      </c>
      <c r="H5" s="583" t="s">
        <v>3107</v>
      </c>
      <c r="I5" s="583">
        <v>570</v>
      </c>
      <c r="J5" s="583"/>
      <c r="M5" s="613" t="s">
        <v>3108</v>
      </c>
      <c r="N5" s="613" t="s">
        <v>3109</v>
      </c>
      <c r="O5" s="613" t="s">
        <v>3110</v>
      </c>
      <c r="P5" s="613" t="s">
        <v>3111</v>
      </c>
      <c r="Q5" s="613" t="s">
        <v>3112</v>
      </c>
      <c r="V5" s="1701">
        <v>503</v>
      </c>
      <c r="W5" s="1701">
        <v>504</v>
      </c>
      <c r="X5" s="1701">
        <v>505</v>
      </c>
      <c r="Y5" s="1701" t="s">
        <v>3105</v>
      </c>
      <c r="Z5" s="1701" t="s">
        <v>3106</v>
      </c>
      <c r="AA5" s="1701" t="s">
        <v>3107</v>
      </c>
      <c r="AB5" s="1701">
        <v>570</v>
      </c>
    </row>
    <row r="6" spans="1:33">
      <c r="A6" s="613">
        <v>4</v>
      </c>
      <c r="B6" s="1237">
        <v>43800</v>
      </c>
      <c r="C6" s="826">
        <f>'1501 Summary'!AB6</f>
        <v>195359</v>
      </c>
      <c r="D6" s="826">
        <f>'1501 Summary'!AB30+'1501 Summary'!AB49</f>
        <v>26843</v>
      </c>
      <c r="E6" s="826">
        <f>'1501 Summary'!AB101+'1501 Summary'!AB180</f>
        <v>488</v>
      </c>
      <c r="F6" s="826">
        <f>'1501 Summary'!AB128</f>
        <v>75</v>
      </c>
      <c r="G6" s="677">
        <v>0</v>
      </c>
      <c r="H6" s="826">
        <f>'1501 Summary'!AB154</f>
        <v>15</v>
      </c>
      <c r="I6" s="826">
        <f>'1501 Summary'!AB199</f>
        <v>8</v>
      </c>
      <c r="J6" s="905"/>
      <c r="L6" s="1237">
        <v>43800</v>
      </c>
      <c r="M6" s="826">
        <v>191757.3749</v>
      </c>
      <c r="N6" s="826">
        <v>26553.109805</v>
      </c>
      <c r="O6" s="826">
        <v>456</v>
      </c>
      <c r="P6" s="826">
        <v>86</v>
      </c>
      <c r="Q6" s="826">
        <v>8</v>
      </c>
      <c r="R6" s="1238"/>
      <c r="U6" s="1237">
        <v>43800</v>
      </c>
      <c r="V6" s="826">
        <v>195359</v>
      </c>
      <c r="W6" s="826">
        <v>26843</v>
      </c>
      <c r="X6" s="826">
        <v>488</v>
      </c>
      <c r="Y6" s="826">
        <v>75</v>
      </c>
      <c r="Z6" s="677">
        <v>0</v>
      </c>
      <c r="AA6" s="826">
        <v>15</v>
      </c>
      <c r="AB6" s="826">
        <v>8</v>
      </c>
      <c r="AD6" s="826">
        <f>SUM(V6:AC6)</f>
        <v>222788</v>
      </c>
    </row>
    <row r="7" spans="1:33">
      <c r="A7" s="824">
        <v>5</v>
      </c>
      <c r="B7" s="1237">
        <v>43831</v>
      </c>
      <c r="C7" s="826">
        <f>IF($S$21="Forecast", (M7/M6)*C6, V7)</f>
        <v>195639</v>
      </c>
      <c r="D7" s="826">
        <f t="shared" ref="D7:E17" si="0">IF($S$21="Forecast", (N7/N6)*D6, W7)</f>
        <v>26965</v>
      </c>
      <c r="E7" s="826">
        <f t="shared" si="0"/>
        <v>482</v>
      </c>
      <c r="F7" s="826">
        <f t="shared" ref="F7:F17" si="1">IF($S$21="Forecast", (P7/P6)*F6, Y7)</f>
        <v>77</v>
      </c>
      <c r="G7" s="826">
        <f>IF($S$21="Forecast", (P7/P6)*G6, Z7)</f>
        <v>7</v>
      </c>
      <c r="H7" s="826">
        <f>IF($S$21="Forecast", (P7/P6)*H6, AA7)</f>
        <v>16</v>
      </c>
      <c r="I7" s="826">
        <f>IF($S$21="Forecast", (Q7/Q6)*I6, AB7)</f>
        <v>8</v>
      </c>
      <c r="J7" s="826"/>
      <c r="L7" s="1237">
        <v>43831</v>
      </c>
      <c r="M7" s="826">
        <v>192357.64410999999</v>
      </c>
      <c r="N7" s="826">
        <v>26671.11292</v>
      </c>
      <c r="O7" s="826">
        <v>458</v>
      </c>
      <c r="P7" s="826">
        <v>87</v>
      </c>
      <c r="Q7" s="826">
        <v>9</v>
      </c>
      <c r="R7" s="1238"/>
      <c r="U7" s="1237">
        <v>43831</v>
      </c>
      <c r="V7" s="826">
        <v>195639</v>
      </c>
      <c r="W7" s="826">
        <v>26965</v>
      </c>
      <c r="X7" s="826">
        <v>482</v>
      </c>
      <c r="Y7" s="826">
        <v>77</v>
      </c>
      <c r="Z7" s="677">
        <v>7</v>
      </c>
      <c r="AA7" s="826">
        <v>16</v>
      </c>
      <c r="AB7" s="826">
        <v>8</v>
      </c>
      <c r="AG7" s="826">
        <f t="shared" ref="AG7:AG17" si="2">W7-W6</f>
        <v>122</v>
      </c>
    </row>
    <row r="8" spans="1:33">
      <c r="A8" s="613">
        <v>6</v>
      </c>
      <c r="B8" s="1237">
        <v>43862</v>
      </c>
      <c r="C8" s="826">
        <f t="shared" ref="C8:C15" si="3">IF($S$21="Forecast", (M8/M7)*C7, V8)</f>
        <v>195670</v>
      </c>
      <c r="D8" s="826">
        <f t="shared" si="0"/>
        <v>26965</v>
      </c>
      <c r="E8" s="826">
        <f t="shared" si="0"/>
        <v>481</v>
      </c>
      <c r="F8" s="826">
        <f t="shared" si="1"/>
        <v>74</v>
      </c>
      <c r="G8" s="826">
        <f t="shared" ref="G8:G17" si="4">IF($S$21="Forecast", (P8/P7)*G7, Z8)</f>
        <v>7</v>
      </c>
      <c r="H8" s="826">
        <f t="shared" ref="H8:H18" si="5">IF($S$21="Forecast", (P8/P7)*H7, AA8)</f>
        <v>16</v>
      </c>
      <c r="I8" s="826">
        <f t="shared" ref="I8:I17" si="6">IF($S$21="Forecast", (Q8/Q7)*I7, AB8)</f>
        <v>8</v>
      </c>
      <c r="J8" s="826"/>
      <c r="L8" s="1237">
        <v>43862</v>
      </c>
      <c r="M8" s="826">
        <v>192607.66036000001</v>
      </c>
      <c r="N8" s="826">
        <v>26725.114801</v>
      </c>
      <c r="O8" s="826">
        <v>458</v>
      </c>
      <c r="P8" s="826">
        <v>85</v>
      </c>
      <c r="Q8" s="826">
        <v>9</v>
      </c>
      <c r="R8" s="1238"/>
      <c r="U8" s="1237">
        <v>43862</v>
      </c>
      <c r="V8" s="826">
        <v>195670</v>
      </c>
      <c r="W8" s="826">
        <v>26965</v>
      </c>
      <c r="X8" s="826">
        <v>481</v>
      </c>
      <c r="Y8" s="826">
        <v>74</v>
      </c>
      <c r="Z8" s="677">
        <v>7</v>
      </c>
      <c r="AA8" s="826">
        <v>16</v>
      </c>
      <c r="AB8" s="826">
        <v>8</v>
      </c>
      <c r="AG8" s="826">
        <f t="shared" si="2"/>
        <v>0</v>
      </c>
    </row>
    <row r="9" spans="1:33">
      <c r="A9" s="824">
        <v>7</v>
      </c>
      <c r="B9" s="1237">
        <v>43891</v>
      </c>
      <c r="C9" s="826">
        <f t="shared" si="3"/>
        <v>196565</v>
      </c>
      <c r="D9" s="826">
        <f t="shared" si="0"/>
        <v>27035</v>
      </c>
      <c r="E9" s="826">
        <f t="shared" si="0"/>
        <v>483</v>
      </c>
      <c r="F9" s="826">
        <f t="shared" si="1"/>
        <v>76</v>
      </c>
      <c r="G9" s="826">
        <f t="shared" si="4"/>
        <v>7</v>
      </c>
      <c r="H9" s="826">
        <f t="shared" si="5"/>
        <v>14</v>
      </c>
      <c r="I9" s="826">
        <f t="shared" si="6"/>
        <v>8</v>
      </c>
      <c r="J9" s="826"/>
      <c r="L9" s="1237">
        <v>43891</v>
      </c>
      <c r="M9" s="826">
        <v>192785.68432</v>
      </c>
      <c r="N9" s="826">
        <v>26731.115580999998</v>
      </c>
      <c r="O9" s="826">
        <v>457</v>
      </c>
      <c r="P9" s="826">
        <v>87</v>
      </c>
      <c r="Q9" s="826">
        <v>9</v>
      </c>
      <c r="R9" s="1238"/>
      <c r="U9" s="1237">
        <v>43891</v>
      </c>
      <c r="V9" s="826">
        <v>196565</v>
      </c>
      <c r="W9" s="826">
        <v>27035</v>
      </c>
      <c r="X9" s="826">
        <v>483</v>
      </c>
      <c r="Y9" s="826">
        <v>76</v>
      </c>
      <c r="Z9" s="677">
        <v>7</v>
      </c>
      <c r="AA9" s="826">
        <v>14</v>
      </c>
      <c r="AB9" s="826">
        <v>8</v>
      </c>
      <c r="AG9" s="826">
        <f t="shared" si="2"/>
        <v>70</v>
      </c>
    </row>
    <row r="10" spans="1:33">
      <c r="A10" s="613">
        <v>8</v>
      </c>
      <c r="B10" s="1237">
        <v>43922</v>
      </c>
      <c r="C10" s="826">
        <f t="shared" si="3"/>
        <v>196329</v>
      </c>
      <c r="D10" s="826">
        <f t="shared" si="0"/>
        <v>27000</v>
      </c>
      <c r="E10" s="826">
        <f t="shared" si="0"/>
        <v>477</v>
      </c>
      <c r="F10" s="826">
        <f t="shared" si="1"/>
        <v>75</v>
      </c>
      <c r="G10" s="826">
        <f t="shared" si="4"/>
        <v>7</v>
      </c>
      <c r="H10" s="826">
        <f t="shared" si="5"/>
        <v>17</v>
      </c>
      <c r="I10" s="826">
        <f t="shared" si="6"/>
        <v>8</v>
      </c>
      <c r="J10" s="826"/>
      <c r="L10" s="1237">
        <v>43922</v>
      </c>
      <c r="M10" s="826">
        <v>192609.67345999999</v>
      </c>
      <c r="N10" s="826">
        <v>26686.115968999999</v>
      </c>
      <c r="O10" s="826">
        <v>459</v>
      </c>
      <c r="P10" s="826">
        <v>88</v>
      </c>
      <c r="Q10" s="826">
        <v>8</v>
      </c>
      <c r="R10" s="1238"/>
      <c r="U10" s="1237">
        <v>43922</v>
      </c>
      <c r="V10" s="826">
        <v>196329</v>
      </c>
      <c r="W10" s="826">
        <v>27000</v>
      </c>
      <c r="X10" s="826">
        <v>477</v>
      </c>
      <c r="Y10" s="826">
        <v>75</v>
      </c>
      <c r="Z10" s="677">
        <v>7</v>
      </c>
      <c r="AA10" s="826">
        <v>17</v>
      </c>
      <c r="AB10" s="826">
        <v>8</v>
      </c>
      <c r="AG10" s="826">
        <f t="shared" si="2"/>
        <v>-35</v>
      </c>
    </row>
    <row r="11" spans="1:33">
      <c r="A11" s="824">
        <v>9</v>
      </c>
      <c r="B11" s="1237">
        <v>43952</v>
      </c>
      <c r="C11" s="826">
        <f t="shared" si="3"/>
        <v>196059</v>
      </c>
      <c r="D11" s="826">
        <f t="shared" si="0"/>
        <v>26838</v>
      </c>
      <c r="E11" s="826">
        <f t="shared" si="0"/>
        <v>480</v>
      </c>
      <c r="F11" s="826">
        <f t="shared" si="1"/>
        <v>74</v>
      </c>
      <c r="G11" s="826">
        <f t="shared" si="4"/>
        <v>7</v>
      </c>
      <c r="H11" s="826">
        <f t="shared" si="5"/>
        <v>15</v>
      </c>
      <c r="I11" s="826">
        <f t="shared" si="6"/>
        <v>8</v>
      </c>
      <c r="J11" s="826"/>
      <c r="L11" s="1237">
        <v>43952</v>
      </c>
      <c r="M11" s="826">
        <v>192351.64682999998</v>
      </c>
      <c r="N11" s="826">
        <v>26636.113915000002</v>
      </c>
      <c r="O11" s="826">
        <v>458</v>
      </c>
      <c r="P11" s="826">
        <v>87</v>
      </c>
      <c r="Q11" s="826">
        <v>8</v>
      </c>
      <c r="R11" s="1238"/>
      <c r="U11" s="1237">
        <v>43952</v>
      </c>
      <c r="V11" s="826">
        <v>196059</v>
      </c>
      <c r="W11" s="826">
        <v>26838</v>
      </c>
      <c r="X11" s="826">
        <v>480</v>
      </c>
      <c r="Y11" s="826">
        <v>74</v>
      </c>
      <c r="Z11" s="677">
        <v>7</v>
      </c>
      <c r="AA11" s="826">
        <v>15</v>
      </c>
      <c r="AB11" s="826">
        <v>8</v>
      </c>
      <c r="AG11" s="826">
        <f t="shared" si="2"/>
        <v>-162</v>
      </c>
    </row>
    <row r="12" spans="1:33">
      <c r="A12" s="613">
        <v>10</v>
      </c>
      <c r="B12" s="1237">
        <v>43983</v>
      </c>
      <c r="C12" s="826">
        <f t="shared" si="3"/>
        <v>196598</v>
      </c>
      <c r="D12" s="826">
        <f t="shared" si="0"/>
        <v>26829</v>
      </c>
      <c r="E12" s="826">
        <f t="shared" si="0"/>
        <v>480</v>
      </c>
      <c r="F12" s="826">
        <f t="shared" si="1"/>
        <v>75</v>
      </c>
      <c r="G12" s="826">
        <f t="shared" si="4"/>
        <v>7</v>
      </c>
      <c r="H12" s="826">
        <f t="shared" si="5"/>
        <v>16</v>
      </c>
      <c r="I12" s="826">
        <f t="shared" si="6"/>
        <v>8</v>
      </c>
      <c r="J12" s="826"/>
      <c r="L12" s="1237">
        <v>43983</v>
      </c>
      <c r="M12" s="826">
        <v>192099.61099000002</v>
      </c>
      <c r="N12" s="826">
        <v>26566.113023999998</v>
      </c>
      <c r="O12" s="826">
        <v>457</v>
      </c>
      <c r="P12" s="826">
        <v>88</v>
      </c>
      <c r="Q12" s="826">
        <v>8</v>
      </c>
      <c r="R12" s="1238"/>
      <c r="U12" s="1237">
        <v>43983</v>
      </c>
      <c r="V12" s="826">
        <v>196598</v>
      </c>
      <c r="W12" s="826">
        <v>26829</v>
      </c>
      <c r="X12" s="826">
        <v>480</v>
      </c>
      <c r="Y12" s="826">
        <v>75</v>
      </c>
      <c r="Z12" s="677">
        <v>7</v>
      </c>
      <c r="AA12" s="826">
        <v>16</v>
      </c>
      <c r="AB12" s="826">
        <v>8</v>
      </c>
      <c r="AG12" s="826">
        <f t="shared" si="2"/>
        <v>-9</v>
      </c>
    </row>
    <row r="13" spans="1:33">
      <c r="A13" s="824">
        <v>11</v>
      </c>
      <c r="B13" s="1237">
        <v>44013</v>
      </c>
      <c r="C13" s="826">
        <f t="shared" si="3"/>
        <v>197113</v>
      </c>
      <c r="D13" s="826">
        <f t="shared" si="0"/>
        <v>26774</v>
      </c>
      <c r="E13" s="826">
        <f t="shared" si="0"/>
        <v>480</v>
      </c>
      <c r="F13" s="826">
        <f t="shared" si="1"/>
        <v>76</v>
      </c>
      <c r="G13" s="826">
        <f t="shared" si="4"/>
        <v>7</v>
      </c>
      <c r="H13" s="826">
        <f t="shared" si="5"/>
        <v>17</v>
      </c>
      <c r="I13" s="826">
        <f t="shared" si="6"/>
        <v>7</v>
      </c>
      <c r="J13" s="826"/>
      <c r="L13" s="1237">
        <v>44013</v>
      </c>
      <c r="M13" s="826">
        <v>191713.55028</v>
      </c>
      <c r="N13" s="826">
        <v>26488.112424999999</v>
      </c>
      <c r="O13" s="826">
        <v>460</v>
      </c>
      <c r="P13" s="826">
        <v>88</v>
      </c>
      <c r="Q13" s="826">
        <v>8</v>
      </c>
      <c r="R13" s="1238"/>
      <c r="U13" s="1237">
        <v>44013</v>
      </c>
      <c r="V13" s="826">
        <v>197113</v>
      </c>
      <c r="W13" s="826">
        <v>26774</v>
      </c>
      <c r="X13" s="826">
        <v>480</v>
      </c>
      <c r="Y13" s="826">
        <v>76</v>
      </c>
      <c r="Z13" s="677">
        <v>7</v>
      </c>
      <c r="AA13" s="826">
        <v>17</v>
      </c>
      <c r="AB13" s="826">
        <v>7</v>
      </c>
      <c r="AG13" s="826">
        <f t="shared" si="2"/>
        <v>-55</v>
      </c>
    </row>
    <row r="14" spans="1:33">
      <c r="A14" s="613">
        <v>12</v>
      </c>
      <c r="B14" s="1237">
        <v>44044</v>
      </c>
      <c r="C14" s="826">
        <f t="shared" si="3"/>
        <v>196990</v>
      </c>
      <c r="D14" s="826">
        <f t="shared" si="0"/>
        <v>26711</v>
      </c>
      <c r="E14" s="826">
        <f t="shared" si="0"/>
        <v>481</v>
      </c>
      <c r="F14" s="826">
        <f t="shared" si="1"/>
        <v>75</v>
      </c>
      <c r="G14" s="826">
        <f t="shared" si="4"/>
        <v>7</v>
      </c>
      <c r="H14" s="826">
        <f t="shared" si="5"/>
        <v>15</v>
      </c>
      <c r="I14" s="826">
        <f t="shared" si="6"/>
        <v>7</v>
      </c>
      <c r="J14" s="826"/>
      <c r="L14" s="1237">
        <v>44044</v>
      </c>
      <c r="M14" s="826">
        <v>191598.48569999999</v>
      </c>
      <c r="N14" s="826">
        <v>26433.111011000001</v>
      </c>
      <c r="O14" s="826">
        <v>460</v>
      </c>
      <c r="P14" s="826">
        <v>90</v>
      </c>
      <c r="Q14" s="826">
        <v>8</v>
      </c>
      <c r="R14" s="1238"/>
      <c r="U14" s="1237">
        <v>44044</v>
      </c>
      <c r="V14" s="826">
        <v>196990</v>
      </c>
      <c r="W14" s="826">
        <v>26711</v>
      </c>
      <c r="X14" s="826">
        <v>481</v>
      </c>
      <c r="Y14" s="826">
        <v>75</v>
      </c>
      <c r="Z14" s="677">
        <v>7</v>
      </c>
      <c r="AA14" s="826">
        <v>15</v>
      </c>
      <c r="AB14" s="826">
        <v>7</v>
      </c>
      <c r="AG14" s="826">
        <f t="shared" si="2"/>
        <v>-63</v>
      </c>
    </row>
    <row r="15" spans="1:33">
      <c r="A15" s="824">
        <v>13</v>
      </c>
      <c r="B15" s="1237">
        <v>44075</v>
      </c>
      <c r="C15" s="826">
        <f t="shared" si="3"/>
        <v>197273</v>
      </c>
      <c r="D15" s="826">
        <f t="shared" si="0"/>
        <v>26703</v>
      </c>
      <c r="E15" s="826">
        <f t="shared" si="0"/>
        <v>482</v>
      </c>
      <c r="F15" s="826">
        <f t="shared" si="1"/>
        <v>74</v>
      </c>
      <c r="G15" s="826">
        <f t="shared" si="4"/>
        <v>7</v>
      </c>
      <c r="H15" s="826">
        <f t="shared" si="5"/>
        <v>17</v>
      </c>
      <c r="I15" s="826">
        <f t="shared" si="6"/>
        <v>7</v>
      </c>
      <c r="J15" s="826"/>
      <c r="L15" s="1237">
        <v>44075</v>
      </c>
      <c r="M15" s="826">
        <v>191648.43114999999</v>
      </c>
      <c r="N15" s="826">
        <v>26408.106982999998</v>
      </c>
      <c r="O15" s="826">
        <v>460</v>
      </c>
      <c r="P15" s="826">
        <v>90</v>
      </c>
      <c r="Q15" s="826">
        <v>8</v>
      </c>
      <c r="R15" s="1238"/>
      <c r="U15" s="1237">
        <v>44075</v>
      </c>
      <c r="V15" s="826">
        <v>197273</v>
      </c>
      <c r="W15" s="826">
        <v>26703</v>
      </c>
      <c r="X15" s="826">
        <v>482</v>
      </c>
      <c r="Y15" s="826">
        <v>74</v>
      </c>
      <c r="Z15" s="677">
        <v>7</v>
      </c>
      <c r="AA15" s="826">
        <v>17</v>
      </c>
      <c r="AB15" s="826">
        <v>7</v>
      </c>
      <c r="AG15" s="826">
        <f t="shared" si="2"/>
        <v>-8</v>
      </c>
    </row>
    <row r="16" spans="1:33">
      <c r="A16" s="613">
        <v>14</v>
      </c>
      <c r="B16" s="1237">
        <v>44105</v>
      </c>
      <c r="C16" s="826">
        <f>IF($S$21="Forecast", (M16/M15)*C15, V16)</f>
        <v>197537</v>
      </c>
      <c r="D16" s="826">
        <f t="shared" si="0"/>
        <v>26747</v>
      </c>
      <c r="E16" s="826">
        <f t="shared" si="0"/>
        <v>484</v>
      </c>
      <c r="F16" s="826">
        <f t="shared" si="1"/>
        <v>75</v>
      </c>
      <c r="G16" s="826">
        <f t="shared" si="4"/>
        <v>7</v>
      </c>
      <c r="H16" s="826">
        <f t="shared" si="5"/>
        <v>17</v>
      </c>
      <c r="I16" s="826">
        <f t="shared" si="6"/>
        <v>7</v>
      </c>
      <c r="J16" s="826"/>
      <c r="L16" s="1237">
        <v>44105</v>
      </c>
      <c r="M16" s="826">
        <v>192457.51539000002</v>
      </c>
      <c r="N16" s="826">
        <v>26478.110227999998</v>
      </c>
      <c r="O16" s="826">
        <v>461</v>
      </c>
      <c r="P16" s="826">
        <v>90</v>
      </c>
      <c r="Q16" s="826">
        <v>8</v>
      </c>
      <c r="R16" s="1238"/>
      <c r="U16" s="1237">
        <v>44105</v>
      </c>
      <c r="V16" s="826">
        <v>197537</v>
      </c>
      <c r="W16" s="826">
        <v>26747</v>
      </c>
      <c r="X16" s="826">
        <v>484</v>
      </c>
      <c r="Y16" s="826">
        <v>75</v>
      </c>
      <c r="Z16" s="677">
        <v>7</v>
      </c>
      <c r="AA16" s="826">
        <v>17</v>
      </c>
      <c r="AB16" s="826">
        <v>7</v>
      </c>
      <c r="AG16" s="826">
        <f t="shared" si="2"/>
        <v>44</v>
      </c>
    </row>
    <row r="17" spans="1:33">
      <c r="A17" s="824">
        <v>15</v>
      </c>
      <c r="B17" s="1237">
        <v>44136</v>
      </c>
      <c r="C17" s="826">
        <f>IF($S$21="Forecast", (M17/M16)*C16, V17)</f>
        <v>198190</v>
      </c>
      <c r="D17" s="826">
        <f t="shared" si="0"/>
        <v>26878</v>
      </c>
      <c r="E17" s="826">
        <f t="shared" si="0"/>
        <v>488</v>
      </c>
      <c r="F17" s="826">
        <f t="shared" si="1"/>
        <v>73</v>
      </c>
      <c r="G17" s="826">
        <f t="shared" si="4"/>
        <v>2</v>
      </c>
      <c r="H17" s="826">
        <f t="shared" si="5"/>
        <v>17</v>
      </c>
      <c r="I17" s="826">
        <f t="shared" si="6"/>
        <v>7</v>
      </c>
      <c r="J17" s="826"/>
      <c r="L17" s="1237">
        <v>44136</v>
      </c>
      <c r="M17" s="826">
        <v>193595.62351999999</v>
      </c>
      <c r="N17" s="826">
        <v>26645.117258999999</v>
      </c>
      <c r="O17" s="826">
        <v>461</v>
      </c>
      <c r="P17" s="826">
        <v>90</v>
      </c>
      <c r="Q17" s="826">
        <v>8</v>
      </c>
      <c r="R17" s="1238"/>
      <c r="U17" s="1237">
        <v>44136</v>
      </c>
      <c r="V17" s="826">
        <v>198190</v>
      </c>
      <c r="W17" s="826">
        <v>26878</v>
      </c>
      <c r="X17" s="826">
        <v>488</v>
      </c>
      <c r="Y17" s="826">
        <v>73</v>
      </c>
      <c r="Z17" s="677">
        <v>2</v>
      </c>
      <c r="AA17" s="826">
        <v>17</v>
      </c>
      <c r="AB17" s="826">
        <v>7</v>
      </c>
      <c r="AG17" s="826">
        <f t="shared" si="2"/>
        <v>131</v>
      </c>
    </row>
    <row r="18" spans="1:33">
      <c r="A18" s="824">
        <v>16</v>
      </c>
      <c r="B18" s="1237">
        <v>44166</v>
      </c>
      <c r="C18" s="826">
        <f>IF($S$21="Forecast", (K18/K17)*C17, V18)</f>
        <v>198885</v>
      </c>
      <c r="D18" s="826">
        <f>IF($S$21="Forecast", (L18/L17)*D17, W18)</f>
        <v>27032</v>
      </c>
      <c r="E18" s="826">
        <f>IF($S$21="Forecast", (M18/M17)*E17, X18)</f>
        <v>488</v>
      </c>
      <c r="F18" s="826">
        <f>IF($S$21="Forecast", (N18/N17)*F17, Y18)</f>
        <v>73</v>
      </c>
      <c r="G18" s="826">
        <f>IF($S$21="Forecast", (O18/O17)*G17, Z18)</f>
        <v>2</v>
      </c>
      <c r="H18" s="826">
        <f t="shared" si="5"/>
        <v>16</v>
      </c>
      <c r="I18" s="826">
        <f>IF($S$21="Forecast", (Q18/Q17)*I17, AB18)</f>
        <v>7</v>
      </c>
      <c r="J18" s="826"/>
      <c r="L18" s="1237">
        <v>44166</v>
      </c>
      <c r="M18" s="826">
        <v>194448.70235000001</v>
      </c>
      <c r="N18" s="826">
        <v>26839.120928</v>
      </c>
      <c r="O18" s="826">
        <v>459</v>
      </c>
      <c r="P18" s="826">
        <v>87</v>
      </c>
      <c r="Q18" s="826">
        <v>8</v>
      </c>
      <c r="R18" s="1238"/>
      <c r="U18" s="1237">
        <v>44166</v>
      </c>
      <c r="V18" s="826">
        <v>198885</v>
      </c>
      <c r="W18" s="826">
        <v>27032</v>
      </c>
      <c r="X18" s="826">
        <v>488</v>
      </c>
      <c r="Y18" s="826">
        <v>73</v>
      </c>
      <c r="Z18" s="677">
        <v>2</v>
      </c>
      <c r="AA18" s="826">
        <v>16</v>
      </c>
      <c r="AB18" s="826">
        <v>7</v>
      </c>
      <c r="AD18" s="826">
        <f>SUM(V18:AC18)</f>
        <v>226503</v>
      </c>
      <c r="AG18" s="826">
        <f>W18-W17</f>
        <v>154</v>
      </c>
    </row>
    <row r="20" spans="1:33">
      <c r="M20" s="905"/>
      <c r="N20" s="905"/>
      <c r="O20" s="905"/>
      <c r="P20" s="905"/>
      <c r="Q20" s="905"/>
      <c r="R20" s="905"/>
      <c r="S20" s="1577" t="s">
        <v>3137</v>
      </c>
      <c r="U20" s="1237" t="s">
        <v>356</v>
      </c>
      <c r="V20" s="826">
        <f t="shared" ref="V20:AB20" si="7">ROUND(AVERAGE(V6:V17, V7:V18),2)</f>
        <v>196757.08</v>
      </c>
      <c r="W20" s="826">
        <f t="shared" si="7"/>
        <v>26865.21</v>
      </c>
      <c r="X20" s="826">
        <f t="shared" si="7"/>
        <v>482.17</v>
      </c>
      <c r="Y20" s="826">
        <f t="shared" si="7"/>
        <v>74.83</v>
      </c>
      <c r="Z20" s="826">
        <f t="shared" si="7"/>
        <v>6.08</v>
      </c>
      <c r="AA20" s="826">
        <f t="shared" si="7"/>
        <v>16.04</v>
      </c>
      <c r="AB20" s="826">
        <f t="shared" si="7"/>
        <v>7.54</v>
      </c>
      <c r="AD20" s="826">
        <f>AD18-AD6</f>
        <v>3715</v>
      </c>
    </row>
    <row r="21" spans="1:33">
      <c r="B21" s="613" t="s">
        <v>3284</v>
      </c>
      <c r="C21" s="826">
        <v>198100.87649668616</v>
      </c>
      <c r="D21" s="826">
        <v>27132.133613014437</v>
      </c>
      <c r="E21" s="826">
        <v>491.21052631578937</v>
      </c>
      <c r="F21" s="826">
        <v>75.8720930232558</v>
      </c>
      <c r="G21" s="826">
        <v>0</v>
      </c>
      <c r="H21" s="826">
        <v>15.174418604651166</v>
      </c>
      <c r="I21" s="826">
        <v>8</v>
      </c>
      <c r="M21" s="905"/>
      <c r="N21" s="905"/>
      <c r="O21" s="905"/>
      <c r="P21" s="905"/>
      <c r="Q21" s="905"/>
      <c r="R21" s="905"/>
      <c r="S21" s="1578" t="s">
        <v>3023</v>
      </c>
    </row>
    <row r="22" spans="1:33">
      <c r="B22" s="613" t="s">
        <v>1807</v>
      </c>
      <c r="C22" s="826">
        <f>C18-C21</f>
        <v>784.12350331383641</v>
      </c>
      <c r="D22" s="826">
        <f t="shared" ref="D22:I22" si="8">D18-D21</f>
        <v>-100.13361301443729</v>
      </c>
      <c r="E22" s="826">
        <f t="shared" si="8"/>
        <v>-3.210526315789366</v>
      </c>
      <c r="F22" s="826">
        <f t="shared" si="8"/>
        <v>-2.8720930232558004</v>
      </c>
      <c r="G22" s="826">
        <f t="shared" si="8"/>
        <v>2</v>
      </c>
      <c r="H22" s="826">
        <f t="shared" si="8"/>
        <v>0.82558139534883423</v>
      </c>
      <c r="I22" s="826">
        <f t="shared" si="8"/>
        <v>-1</v>
      </c>
      <c r="M22" s="905"/>
      <c r="N22" s="905"/>
      <c r="O22" s="905"/>
      <c r="P22" s="905"/>
      <c r="Q22" s="905"/>
      <c r="R22" s="905"/>
    </row>
    <row r="24" spans="1:33">
      <c r="C24" s="826">
        <f>SUM(C22:I22)</f>
        <v>679.73285235570279</v>
      </c>
      <c r="D24" s="613" t="s">
        <v>3285</v>
      </c>
      <c r="M24" s="826"/>
      <c r="N24" s="826"/>
      <c r="O24" s="826"/>
      <c r="P24" s="826"/>
      <c r="Q24" s="826"/>
      <c r="R24" s="826"/>
      <c r="S24" s="826"/>
    </row>
    <row r="25" spans="1:33">
      <c r="B25" s="908"/>
      <c r="C25" s="826"/>
      <c r="D25" s="826"/>
      <c r="E25" s="826"/>
      <c r="F25" s="826"/>
      <c r="G25" s="826"/>
      <c r="H25" s="826"/>
      <c r="I25" s="826"/>
      <c r="K25" s="826"/>
      <c r="S25" s="826"/>
    </row>
    <row r="26" spans="1:33">
      <c r="B26" s="908"/>
      <c r="C26" s="826"/>
      <c r="D26" s="826"/>
      <c r="E26" s="826"/>
      <c r="F26" s="826"/>
      <c r="G26" s="826"/>
      <c r="H26" s="826"/>
      <c r="I26" s="826"/>
      <c r="K26" s="826"/>
    </row>
    <row r="27" spans="1:33">
      <c r="C27" s="826"/>
      <c r="D27" s="826"/>
      <c r="E27" s="826"/>
      <c r="F27" s="826"/>
      <c r="G27" s="826"/>
      <c r="H27" s="826"/>
      <c r="I27" s="826"/>
      <c r="K27" s="826"/>
    </row>
    <row r="30" spans="1:33">
      <c r="B30" s="908"/>
      <c r="C30" s="826"/>
      <c r="D30" s="826"/>
      <c r="E30" s="826"/>
      <c r="F30" s="826"/>
      <c r="G30" s="826"/>
      <c r="H30" s="826"/>
      <c r="I30" s="826"/>
      <c r="K30" s="826"/>
    </row>
    <row r="31" spans="1:33">
      <c r="B31" s="908"/>
      <c r="C31" s="826"/>
      <c r="D31" s="826"/>
      <c r="E31" s="826"/>
      <c r="F31" s="826"/>
      <c r="G31" s="826"/>
      <c r="H31" s="826"/>
      <c r="I31" s="826"/>
      <c r="K31" s="826"/>
    </row>
    <row r="32" spans="1:33">
      <c r="C32" s="826"/>
      <c r="D32" s="826"/>
      <c r="E32" s="826"/>
      <c r="F32" s="826"/>
      <c r="G32" s="826"/>
      <c r="H32" s="826"/>
      <c r="I32" s="826"/>
      <c r="K32" s="826"/>
    </row>
  </sheetData>
  <mergeCells count="5">
    <mergeCell ref="B3:I3"/>
    <mergeCell ref="L3:Q3"/>
    <mergeCell ref="B4:I4"/>
    <mergeCell ref="L4:Q4"/>
    <mergeCell ref="U4:AB4"/>
  </mergeCells>
  <dataValidations count="1">
    <dataValidation type="list" allowBlank="1" showInputMessage="1" showErrorMessage="1" sqref="S21" xr:uid="{1CA51D59-4C9E-48EA-8A86-4BDD73B6CF57}">
      <formula1>"Actuals, Forecast"</formula1>
    </dataValidation>
  </dataValidations>
  <pageMargins left="0.7" right="0.7" top="1" bottom="0.75" header="0.3" footer="0.3"/>
  <pageSetup scale="58" orientation="portrait" horizontalDpi="1200" verticalDpi="1200" r:id="rId1"/>
  <headerFooter scaleWithDoc="0">
    <oddHeader>&amp;CCascade Natural Gas Corporation
2020 New Customers
IDM WP-1.7&amp;RPage &amp;P of &amp;N</oddHeader>
    <oddFooter>&amp;L&amp;A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60BCC-0DDE-42D8-BFDC-1F44CEAEF697}">
  <sheetPr codeName="Sheet58">
    <tabColor theme="8" tint="0.79998168889431442"/>
  </sheetPr>
  <dimension ref="A1:P40"/>
  <sheetViews>
    <sheetView zoomScale="80" zoomScaleNormal="80" workbookViewId="0">
      <selection activeCell="F27" sqref="F27"/>
    </sheetView>
  </sheetViews>
  <sheetFormatPr defaultColWidth="8.88671875" defaultRowHeight="14.4"/>
  <cols>
    <col min="1" max="1" width="8.109375" style="613" customWidth="1"/>
    <col min="2" max="2" width="25" style="613" customWidth="1"/>
    <col min="3" max="3" width="13.5546875" style="613" customWidth="1"/>
    <col min="4" max="4" width="15.33203125" style="613" customWidth="1"/>
    <col min="5" max="5" width="14" style="613" customWidth="1"/>
    <col min="6" max="12" width="8.88671875" style="613"/>
    <col min="13" max="13" width="25.33203125" style="613" customWidth="1"/>
    <col min="14" max="14" width="13.88671875" style="613" customWidth="1"/>
    <col min="15" max="15" width="14.33203125" style="583" bestFit="1" customWidth="1"/>
    <col min="16" max="16" width="12.109375" style="583" customWidth="1"/>
    <col min="17" max="17" width="11.44140625" style="613" customWidth="1"/>
    <col min="18" max="18" width="13" style="613" customWidth="1"/>
    <col min="19" max="19" width="10.88671875" style="613" customWidth="1"/>
    <col min="20" max="20" width="8.88671875" style="613"/>
    <col min="21" max="21" width="10.88671875" style="613" customWidth="1"/>
    <col min="22" max="16384" width="8.88671875" style="613"/>
  </cols>
  <sheetData>
    <row r="1" spans="1:10">
      <c r="A1" s="820">
        <v>1</v>
      </c>
      <c r="B1" s="583" t="s">
        <v>778</v>
      </c>
      <c r="C1" s="583" t="s">
        <v>776</v>
      </c>
      <c r="D1" s="583" t="s">
        <v>777</v>
      </c>
      <c r="E1" s="583" t="s">
        <v>780</v>
      </c>
      <c r="F1" s="583"/>
      <c r="G1" s="583"/>
      <c r="H1" s="583"/>
      <c r="I1" s="583"/>
      <c r="J1" s="583"/>
    </row>
    <row r="2" spans="1:10">
      <c r="A2" s="820">
        <v>2</v>
      </c>
    </row>
    <row r="3" spans="1:10">
      <c r="A3" s="820">
        <v>3</v>
      </c>
    </row>
    <row r="4" spans="1:10">
      <c r="A4" s="820">
        <v>4</v>
      </c>
    </row>
    <row r="5" spans="1:10">
      <c r="A5" s="820">
        <v>5</v>
      </c>
    </row>
    <row r="6" spans="1:10">
      <c r="A6" s="820">
        <v>6</v>
      </c>
    </row>
    <row r="7" spans="1:10">
      <c r="A7" s="820">
        <v>7</v>
      </c>
    </row>
    <row r="8" spans="1:10">
      <c r="A8" s="820">
        <v>8</v>
      </c>
    </row>
    <row r="9" spans="1:10">
      <c r="A9" s="820">
        <v>9</v>
      </c>
    </row>
    <row r="10" spans="1:10">
      <c r="A10" s="820">
        <v>10</v>
      </c>
    </row>
    <row r="11" spans="1:10">
      <c r="A11" s="820">
        <v>11</v>
      </c>
    </row>
    <row r="12" spans="1:10">
      <c r="A12" s="820">
        <v>12</v>
      </c>
    </row>
    <row r="13" spans="1:10">
      <c r="A13" s="820">
        <v>13</v>
      </c>
    </row>
    <row r="14" spans="1:10">
      <c r="A14" s="820">
        <v>14</v>
      </c>
    </row>
    <row r="15" spans="1:10">
      <c r="A15" s="820">
        <v>15</v>
      </c>
    </row>
    <row r="16" spans="1:10">
      <c r="A16" s="820">
        <v>16</v>
      </c>
    </row>
    <row r="17" spans="1:5">
      <c r="A17" s="820">
        <v>17</v>
      </c>
    </row>
    <row r="18" spans="1:5">
      <c r="A18" s="820">
        <v>18</v>
      </c>
    </row>
    <row r="19" spans="1:5">
      <c r="A19" s="820">
        <v>19</v>
      </c>
    </row>
    <row r="20" spans="1:5">
      <c r="A20" s="820">
        <v>20</v>
      </c>
    </row>
    <row r="21" spans="1:5">
      <c r="A21" s="820">
        <v>21</v>
      </c>
    </row>
    <row r="22" spans="1:5">
      <c r="A22" s="820">
        <v>22</v>
      </c>
    </row>
    <row r="23" spans="1:5">
      <c r="A23" s="820">
        <v>23</v>
      </c>
    </row>
    <row r="24" spans="1:5">
      <c r="A24" s="820">
        <v>24</v>
      </c>
    </row>
    <row r="25" spans="1:5">
      <c r="A25" s="820">
        <v>25</v>
      </c>
      <c r="B25" s="1699" t="s">
        <v>3113</v>
      </c>
      <c r="C25" s="584" t="s">
        <v>3114</v>
      </c>
    </row>
    <row r="26" spans="1:5">
      <c r="A26" s="820">
        <v>26</v>
      </c>
      <c r="B26" s="1700" t="s">
        <v>3115</v>
      </c>
      <c r="C26" s="1356">
        <v>1496916</v>
      </c>
      <c r="D26" s="1239"/>
    </row>
    <row r="27" spans="1:5">
      <c r="A27" s="820">
        <v>27</v>
      </c>
    </row>
    <row r="28" spans="1:5">
      <c r="A28" s="820">
        <v>28</v>
      </c>
      <c r="E28" s="830"/>
    </row>
    <row r="29" spans="1:5">
      <c r="A29" s="820">
        <v>29</v>
      </c>
      <c r="E29" s="830"/>
    </row>
    <row r="30" spans="1:5">
      <c r="A30" s="820">
        <v>30</v>
      </c>
      <c r="B30" s="907"/>
      <c r="C30" s="907" t="s">
        <v>3116</v>
      </c>
      <c r="E30" s="830"/>
    </row>
    <row r="31" spans="1:5">
      <c r="A31" s="820">
        <v>31</v>
      </c>
      <c r="B31" s="907"/>
      <c r="C31" s="907" t="s">
        <v>3117</v>
      </c>
    </row>
    <row r="32" spans="1:5">
      <c r="A32" s="820">
        <v>32</v>
      </c>
      <c r="B32" s="1012">
        <v>43831</v>
      </c>
      <c r="C32" s="909">
        <v>98669</v>
      </c>
    </row>
    <row r="33" spans="1:5">
      <c r="A33" s="820">
        <v>33</v>
      </c>
      <c r="B33" s="1012">
        <v>43862</v>
      </c>
      <c r="C33" s="909">
        <v>90013</v>
      </c>
    </row>
    <row r="34" spans="1:5">
      <c r="A34" s="820">
        <v>34</v>
      </c>
      <c r="B34" s="1012">
        <v>43891</v>
      </c>
      <c r="C34" s="909">
        <v>95580</v>
      </c>
    </row>
    <row r="35" spans="1:5">
      <c r="A35" s="820">
        <v>35</v>
      </c>
      <c r="B35" s="1012">
        <v>43922</v>
      </c>
      <c r="C35" s="909">
        <v>91321</v>
      </c>
    </row>
    <row r="36" spans="1:5">
      <c r="A36" s="820">
        <v>36</v>
      </c>
      <c r="B36" s="1012">
        <v>43952</v>
      </c>
      <c r="C36" s="1240">
        <v>90965</v>
      </c>
    </row>
    <row r="37" spans="1:5">
      <c r="A37" s="820">
        <v>37</v>
      </c>
      <c r="B37" s="1112" t="s">
        <v>3118</v>
      </c>
      <c r="C37" s="1027">
        <f>SUM(C32:C36)</f>
        <v>466548</v>
      </c>
    </row>
    <row r="38" spans="1:5">
      <c r="A38" s="820">
        <v>38</v>
      </c>
      <c r="B38" s="1112" t="s">
        <v>3119</v>
      </c>
      <c r="C38" s="1027">
        <f>C26-C37</f>
        <v>1030368</v>
      </c>
    </row>
    <row r="39" spans="1:5">
      <c r="E39" s="830"/>
    </row>
    <row r="40" spans="1:5">
      <c r="C40" s="828"/>
    </row>
  </sheetData>
  <pageMargins left="0.7" right="0.7" top="1.25" bottom="0.75" header="0.3" footer="0.3"/>
  <pageSetup scale="74" orientation="portrait" horizontalDpi="1200" verticalDpi="1200" r:id="rId1"/>
  <headerFooter scaleWithDoc="0">
    <oddHeader>&amp;CCascade Natural Gas Corporation
2020 New Customers
IDM WP-1.8&amp;RPage &amp;P of &amp;N</oddHeader>
    <oddFooter>&amp;L&amp;A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821B1-7E34-4162-90D7-18909835E930}">
  <sheetPr codeName="Sheet59">
    <tabColor theme="7"/>
  </sheetPr>
  <dimension ref="A1:M18"/>
  <sheetViews>
    <sheetView showGridLines="0" zoomScale="80" zoomScaleNormal="80" workbookViewId="0">
      <selection activeCell="F27" sqref="F27"/>
    </sheetView>
  </sheetViews>
  <sheetFormatPr defaultColWidth="8.88671875" defaultRowHeight="14.4"/>
  <cols>
    <col min="1" max="16384" width="8.88671875" style="613"/>
  </cols>
  <sheetData>
    <row r="1" spans="1:13">
      <c r="A1" s="873" t="str">
        <f ca="1">MID(CELL("filename",A1),FIND("]",CELL("filename",A1))+1,255)</f>
        <v>Rev Req ---&gt;</v>
      </c>
    </row>
    <row r="2" spans="1:13">
      <c r="B2" s="1834" t="s">
        <v>2596</v>
      </c>
      <c r="C2" s="1834"/>
      <c r="D2" s="1834"/>
      <c r="E2" s="1834"/>
      <c r="F2" s="1834"/>
      <c r="G2" s="1834"/>
      <c r="H2" s="1834"/>
      <c r="I2" s="1834"/>
      <c r="J2" s="1834"/>
      <c r="K2" s="1834"/>
      <c r="L2" s="1834"/>
      <c r="M2" s="1834"/>
    </row>
    <row r="3" spans="1:13">
      <c r="B3" s="1834"/>
      <c r="C3" s="1834"/>
      <c r="D3" s="1834"/>
      <c r="E3" s="1834"/>
      <c r="F3" s="1834"/>
      <c r="G3" s="1834"/>
      <c r="H3" s="1834"/>
      <c r="I3" s="1834"/>
      <c r="J3" s="1834"/>
      <c r="K3" s="1834"/>
      <c r="L3" s="1834"/>
      <c r="M3" s="1834"/>
    </row>
    <row r="4" spans="1:13">
      <c r="B4" s="1834"/>
      <c r="C4" s="1834"/>
      <c r="D4" s="1834"/>
      <c r="E4" s="1834"/>
      <c r="F4" s="1834"/>
      <c r="G4" s="1834"/>
      <c r="H4" s="1834"/>
      <c r="I4" s="1834"/>
      <c r="J4" s="1834"/>
      <c r="K4" s="1834"/>
      <c r="L4" s="1834"/>
      <c r="M4" s="1834"/>
    </row>
    <row r="5" spans="1:13">
      <c r="B5" s="1834"/>
      <c r="C5" s="1834"/>
      <c r="D5" s="1834"/>
      <c r="E5" s="1834"/>
      <c r="F5" s="1834"/>
      <c r="G5" s="1834"/>
      <c r="H5" s="1834"/>
      <c r="I5" s="1834"/>
      <c r="J5" s="1834"/>
      <c r="K5" s="1834"/>
      <c r="L5" s="1834"/>
      <c r="M5" s="1834"/>
    </row>
    <row r="6" spans="1:13">
      <c r="B6" s="1834"/>
      <c r="C6" s="1834"/>
      <c r="D6" s="1834"/>
      <c r="E6" s="1834"/>
      <c r="F6" s="1834"/>
      <c r="G6" s="1834"/>
      <c r="H6" s="1834"/>
      <c r="I6" s="1834"/>
      <c r="J6" s="1834"/>
      <c r="K6" s="1834"/>
      <c r="L6" s="1834"/>
      <c r="M6" s="1834"/>
    </row>
    <row r="7" spans="1:13">
      <c r="B7" s="1834"/>
      <c r="C7" s="1834"/>
      <c r="D7" s="1834"/>
      <c r="E7" s="1834"/>
      <c r="F7" s="1834"/>
      <c r="G7" s="1834"/>
      <c r="H7" s="1834"/>
      <c r="I7" s="1834"/>
      <c r="J7" s="1834"/>
      <c r="K7" s="1834"/>
      <c r="L7" s="1834"/>
      <c r="M7" s="1834"/>
    </row>
    <row r="8" spans="1:13">
      <c r="B8" s="1834"/>
      <c r="C8" s="1834"/>
      <c r="D8" s="1834"/>
      <c r="E8" s="1834"/>
      <c r="F8" s="1834"/>
      <c r="G8" s="1834"/>
      <c r="H8" s="1834"/>
      <c r="I8" s="1834"/>
      <c r="J8" s="1834"/>
      <c r="K8" s="1834"/>
      <c r="L8" s="1834"/>
      <c r="M8" s="1834"/>
    </row>
    <row r="9" spans="1:13">
      <c r="B9" s="1834"/>
      <c r="C9" s="1834"/>
      <c r="D9" s="1834"/>
      <c r="E9" s="1834"/>
      <c r="F9" s="1834"/>
      <c r="G9" s="1834"/>
      <c r="H9" s="1834"/>
      <c r="I9" s="1834"/>
      <c r="J9" s="1834"/>
      <c r="K9" s="1834"/>
      <c r="L9" s="1834"/>
      <c r="M9" s="1834"/>
    </row>
    <row r="10" spans="1:13">
      <c r="B10" s="1834"/>
      <c r="C10" s="1834"/>
      <c r="D10" s="1834"/>
      <c r="E10" s="1834"/>
      <c r="F10" s="1834"/>
      <c r="G10" s="1834"/>
      <c r="H10" s="1834"/>
      <c r="I10" s="1834"/>
      <c r="J10" s="1834"/>
      <c r="K10" s="1834"/>
      <c r="L10" s="1834"/>
      <c r="M10" s="1834"/>
    </row>
    <row r="11" spans="1:13">
      <c r="B11" s="1834"/>
      <c r="C11" s="1834"/>
      <c r="D11" s="1834"/>
      <c r="E11" s="1834"/>
      <c r="F11" s="1834"/>
      <c r="G11" s="1834"/>
      <c r="H11" s="1834"/>
      <c r="I11" s="1834"/>
      <c r="J11" s="1834"/>
      <c r="K11" s="1834"/>
      <c r="L11" s="1834"/>
      <c r="M11" s="1834"/>
    </row>
    <row r="12" spans="1:13">
      <c r="B12" s="1834"/>
      <c r="C12" s="1834"/>
      <c r="D12" s="1834"/>
      <c r="E12" s="1834"/>
      <c r="F12" s="1834"/>
      <c r="G12" s="1834"/>
      <c r="H12" s="1834"/>
      <c r="I12" s="1834"/>
      <c r="J12" s="1834"/>
      <c r="K12" s="1834"/>
      <c r="L12" s="1834"/>
      <c r="M12" s="1834"/>
    </row>
    <row r="13" spans="1:13">
      <c r="B13" s="1834"/>
      <c r="C13" s="1834"/>
      <c r="D13" s="1834"/>
      <c r="E13" s="1834"/>
      <c r="F13" s="1834"/>
      <c r="G13" s="1834"/>
      <c r="H13" s="1834"/>
      <c r="I13" s="1834"/>
      <c r="J13" s="1834"/>
      <c r="K13" s="1834"/>
      <c r="L13" s="1834"/>
      <c r="M13" s="1834"/>
    </row>
    <row r="14" spans="1:13">
      <c r="B14" s="1834"/>
      <c r="C14" s="1834"/>
      <c r="D14" s="1834"/>
      <c r="E14" s="1834"/>
      <c r="F14" s="1834"/>
      <c r="G14" s="1834"/>
      <c r="H14" s="1834"/>
      <c r="I14" s="1834"/>
      <c r="J14" s="1834"/>
      <c r="K14" s="1834"/>
      <c r="L14" s="1834"/>
      <c r="M14" s="1834"/>
    </row>
    <row r="15" spans="1:13">
      <c r="B15" s="1834"/>
      <c r="C15" s="1834"/>
      <c r="D15" s="1834"/>
      <c r="E15" s="1834"/>
      <c r="F15" s="1834"/>
      <c r="G15" s="1834"/>
      <c r="H15" s="1834"/>
      <c r="I15" s="1834"/>
      <c r="J15" s="1834"/>
      <c r="K15" s="1834"/>
      <c r="L15" s="1834"/>
      <c r="M15" s="1834"/>
    </row>
    <row r="16" spans="1:13">
      <c r="B16" s="1834"/>
      <c r="C16" s="1834"/>
      <c r="D16" s="1834"/>
      <c r="E16" s="1834"/>
      <c r="F16" s="1834"/>
      <c r="G16" s="1834"/>
      <c r="H16" s="1834"/>
      <c r="I16" s="1834"/>
      <c r="J16" s="1834"/>
      <c r="K16" s="1834"/>
      <c r="L16" s="1834"/>
      <c r="M16" s="1834"/>
    </row>
    <row r="17" spans="2:13">
      <c r="B17" s="1834"/>
      <c r="C17" s="1834"/>
      <c r="D17" s="1834"/>
      <c r="E17" s="1834"/>
      <c r="F17" s="1834"/>
      <c r="G17" s="1834"/>
      <c r="H17" s="1834"/>
      <c r="I17" s="1834"/>
      <c r="J17" s="1834"/>
      <c r="K17" s="1834"/>
      <c r="L17" s="1834"/>
      <c r="M17" s="1834"/>
    </row>
    <row r="18" spans="2:13">
      <c r="B18" s="1834"/>
      <c r="C18" s="1834"/>
      <c r="D18" s="1834"/>
      <c r="E18" s="1834"/>
      <c r="F18" s="1834"/>
      <c r="G18" s="1834"/>
      <c r="H18" s="1834"/>
      <c r="I18" s="1834"/>
      <c r="J18" s="1834"/>
      <c r="K18" s="1834"/>
      <c r="L18" s="1834"/>
      <c r="M18" s="1834"/>
    </row>
  </sheetData>
  <mergeCells count="1">
    <mergeCell ref="B2:M1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pageSetUpPr fitToPage="1"/>
  </sheetPr>
  <dimension ref="B1:W45"/>
  <sheetViews>
    <sheetView view="pageBreakPreview" zoomScale="80" zoomScaleNormal="80" zoomScaleSheetLayoutView="80" workbookViewId="0">
      <selection activeCell="Y14" sqref="Y14"/>
    </sheetView>
  </sheetViews>
  <sheetFormatPr defaultColWidth="9.109375" defaultRowHeight="15.6"/>
  <cols>
    <col min="1" max="1" width="9.109375" style="3"/>
    <col min="2" max="2" width="3.44140625" style="3" bestFit="1" customWidth="1"/>
    <col min="3" max="3" width="35.109375" style="3" bestFit="1" customWidth="1"/>
    <col min="4" max="4" width="1" style="3" customWidth="1"/>
    <col min="5" max="5" width="15.33203125" style="3" bestFit="1" customWidth="1"/>
    <col min="6" max="6" width="1" style="3" customWidth="1"/>
    <col min="7" max="7" width="0.88671875" style="3" customWidth="1"/>
    <col min="8" max="8" width="16.44140625" style="3" bestFit="1" customWidth="1"/>
    <col min="9" max="10" width="1.33203125" style="3" customWidth="1"/>
    <col min="11" max="11" width="14" style="3" bestFit="1" customWidth="1"/>
    <col min="12" max="12" width="1" style="3" customWidth="1"/>
    <col min="13" max="13" width="0.88671875" style="3" customWidth="1"/>
    <col min="14" max="14" width="16.44140625" style="3" bestFit="1" customWidth="1"/>
    <col min="15" max="16" width="1.33203125" style="3" customWidth="1"/>
    <col min="17" max="17" width="14.6640625" style="3" customWidth="1"/>
    <col min="18" max="18" width="0.88671875" style="3" customWidth="1"/>
    <col min="19" max="19" width="1.44140625" style="3" customWidth="1"/>
    <col min="20" max="20" width="15.33203125" style="3" customWidth="1"/>
    <col min="21" max="21" width="1" style="3" customWidth="1"/>
    <col min="22" max="22" width="0.88671875" style="3" customWidth="1"/>
    <col min="23" max="23" width="14.6640625" style="3" customWidth="1"/>
    <col min="24" max="24" width="5" style="3" customWidth="1"/>
    <col min="25" max="16384" width="9.109375" style="3"/>
  </cols>
  <sheetData>
    <row r="1" spans="2:23">
      <c r="B1" s="1878" t="s">
        <v>100</v>
      </c>
      <c r="C1" s="1878"/>
      <c r="D1" s="1878"/>
      <c r="E1" s="1878"/>
      <c r="F1" s="1878"/>
      <c r="G1" s="1878"/>
      <c r="H1" s="1878"/>
      <c r="I1" s="1878"/>
      <c r="J1" s="1878"/>
      <c r="K1" s="1878"/>
      <c r="L1" s="1878"/>
      <c r="M1" s="1878"/>
      <c r="N1" s="1878"/>
      <c r="O1" s="1878"/>
      <c r="P1" s="1878"/>
      <c r="Q1" s="1878"/>
      <c r="R1" s="1878"/>
      <c r="S1" s="1878"/>
      <c r="T1" s="1878"/>
      <c r="U1" s="1878"/>
      <c r="V1" s="1878"/>
      <c r="W1" s="1878"/>
    </row>
    <row r="2" spans="2:23">
      <c r="B2" s="1878" t="s">
        <v>773</v>
      </c>
      <c r="C2" s="1878"/>
      <c r="D2" s="1878"/>
      <c r="E2" s="1878"/>
      <c r="F2" s="1878"/>
      <c r="G2" s="1878"/>
      <c r="H2" s="1878"/>
      <c r="I2" s="1878"/>
      <c r="J2" s="1878"/>
      <c r="K2" s="1878"/>
      <c r="L2" s="1878"/>
      <c r="M2" s="1878"/>
      <c r="N2" s="1878"/>
      <c r="O2" s="1878"/>
      <c r="P2" s="1878"/>
      <c r="Q2" s="1878"/>
      <c r="R2" s="1878"/>
      <c r="S2" s="1878"/>
      <c r="T2" s="1878"/>
      <c r="U2" s="1878"/>
      <c r="V2" s="1878"/>
      <c r="W2" s="1878"/>
    </row>
    <row r="3" spans="2:23">
      <c r="B3" s="1879" t="s">
        <v>1823</v>
      </c>
      <c r="C3" s="1879"/>
      <c r="D3" s="1879"/>
      <c r="E3" s="1879"/>
      <c r="F3" s="1879"/>
      <c r="G3" s="1879"/>
      <c r="H3" s="1879"/>
      <c r="I3" s="1879"/>
      <c r="J3" s="1879"/>
      <c r="K3" s="1879"/>
      <c r="L3" s="1879"/>
      <c r="M3" s="1879"/>
      <c r="N3" s="1879"/>
      <c r="O3" s="1879"/>
      <c r="P3" s="1879"/>
      <c r="Q3" s="1879"/>
      <c r="R3" s="1879"/>
      <c r="S3" s="1879"/>
      <c r="T3" s="1879"/>
      <c r="U3" s="1879"/>
      <c r="V3" s="1879"/>
      <c r="W3" s="1879"/>
    </row>
    <row r="4" spans="2:23">
      <c r="B4" s="21"/>
      <c r="C4" s="21"/>
      <c r="D4" s="21"/>
      <c r="E4" s="21"/>
      <c r="F4" s="21"/>
      <c r="G4" s="21"/>
      <c r="H4" s="21"/>
      <c r="I4" s="21"/>
      <c r="J4" s="21"/>
      <c r="K4" s="21"/>
      <c r="L4" s="21"/>
      <c r="M4" s="21"/>
      <c r="N4" s="21"/>
      <c r="O4" s="21"/>
      <c r="P4" s="21"/>
      <c r="Q4" s="21"/>
      <c r="R4" s="21"/>
      <c r="S4" s="21"/>
      <c r="T4" s="21"/>
      <c r="U4" s="21"/>
      <c r="V4" s="21"/>
      <c r="W4" s="21"/>
    </row>
    <row r="5" spans="2:23">
      <c r="B5" s="652"/>
      <c r="C5" s="22"/>
      <c r="D5" s="23"/>
      <c r="E5" s="655" t="s">
        <v>3334</v>
      </c>
      <c r="F5" s="23"/>
      <c r="G5" s="22"/>
      <c r="H5" s="656" t="s">
        <v>3338</v>
      </c>
      <c r="I5" s="23"/>
      <c r="J5" s="22"/>
      <c r="K5" s="656" t="s">
        <v>3335</v>
      </c>
      <c r="L5" s="23"/>
      <c r="M5" s="22"/>
      <c r="N5" s="656" t="s">
        <v>3339</v>
      </c>
      <c r="O5" s="23"/>
      <c r="P5" s="22"/>
      <c r="Q5" s="656" t="s">
        <v>3336</v>
      </c>
      <c r="R5" s="23"/>
      <c r="S5" s="22"/>
      <c r="T5" s="656" t="s">
        <v>3343</v>
      </c>
      <c r="U5" s="656"/>
      <c r="V5" s="23"/>
      <c r="W5" s="657" t="s">
        <v>3346</v>
      </c>
    </row>
    <row r="6" spans="2:23">
      <c r="B6" s="653"/>
      <c r="C6" s="20"/>
      <c r="D6" s="24"/>
      <c r="E6" s="671" t="s">
        <v>3337</v>
      </c>
      <c r="F6" s="24"/>
      <c r="G6" s="20"/>
      <c r="H6" s="25" t="s">
        <v>3341</v>
      </c>
      <c r="I6" s="26"/>
      <c r="J6" s="27"/>
      <c r="K6" s="28" t="s">
        <v>3337</v>
      </c>
      <c r="L6" s="24"/>
      <c r="M6" s="20"/>
      <c r="N6" s="25" t="s">
        <v>3341</v>
      </c>
      <c r="O6" s="26"/>
      <c r="P6" s="27"/>
      <c r="Q6" s="28" t="s">
        <v>3337</v>
      </c>
      <c r="R6" s="24"/>
      <c r="S6" s="20"/>
      <c r="T6" s="25" t="s">
        <v>3344</v>
      </c>
      <c r="U6" s="25"/>
      <c r="V6" s="24"/>
      <c r="W6" s="29" t="s">
        <v>3347</v>
      </c>
    </row>
    <row r="7" spans="2:23">
      <c r="B7" s="653"/>
      <c r="C7" s="20"/>
      <c r="D7" s="24"/>
      <c r="E7" s="671" t="s">
        <v>3340</v>
      </c>
      <c r="F7" s="24"/>
      <c r="G7" s="20"/>
      <c r="H7" s="25"/>
      <c r="I7" s="24"/>
      <c r="J7" s="20"/>
      <c r="K7" s="25" t="s">
        <v>3342</v>
      </c>
      <c r="L7" s="24"/>
      <c r="M7" s="20"/>
      <c r="N7" s="25"/>
      <c r="O7" s="24"/>
      <c r="P7" s="20"/>
      <c r="Q7" s="25" t="s">
        <v>3342</v>
      </c>
      <c r="R7" s="24"/>
      <c r="S7" s="20"/>
      <c r="T7" s="25" t="s">
        <v>3345</v>
      </c>
      <c r="U7" s="25"/>
      <c r="V7" s="24"/>
      <c r="W7" s="30" t="s">
        <v>3348</v>
      </c>
    </row>
    <row r="8" spans="2:23">
      <c r="B8" s="653"/>
      <c r="C8" s="19" t="s">
        <v>3</v>
      </c>
      <c r="D8" s="24"/>
      <c r="E8" s="672" t="s">
        <v>3349</v>
      </c>
      <c r="F8" s="24"/>
      <c r="G8" s="20"/>
      <c r="H8" s="31" t="s">
        <v>3350</v>
      </c>
      <c r="I8" s="24"/>
      <c r="J8" s="20"/>
      <c r="K8" s="28" t="s">
        <v>3351</v>
      </c>
      <c r="L8" s="24"/>
      <c r="M8" s="20"/>
      <c r="N8" s="31" t="s">
        <v>3353</v>
      </c>
      <c r="O8" s="24"/>
      <c r="P8" s="20"/>
      <c r="Q8" s="28" t="s">
        <v>3352</v>
      </c>
      <c r="R8" s="24"/>
      <c r="S8" s="20"/>
      <c r="T8" s="31" t="s">
        <v>3354</v>
      </c>
      <c r="U8" s="31"/>
      <c r="V8" s="24"/>
      <c r="W8" s="32" t="s">
        <v>3355</v>
      </c>
    </row>
    <row r="9" spans="2:23">
      <c r="B9" s="653"/>
      <c r="C9" s="20"/>
      <c r="D9" s="24"/>
      <c r="E9" s="654"/>
      <c r="F9" s="658"/>
      <c r="G9" s="659"/>
      <c r="H9" s="659"/>
      <c r="I9" s="658"/>
      <c r="J9" s="659"/>
      <c r="K9" s="659"/>
      <c r="L9" s="658"/>
      <c r="M9" s="659"/>
      <c r="N9" s="659"/>
      <c r="O9" s="658"/>
      <c r="P9" s="659"/>
      <c r="Q9" s="659"/>
      <c r="R9" s="658"/>
      <c r="S9" s="659"/>
      <c r="T9" s="659"/>
      <c r="U9" s="659"/>
      <c r="V9" s="658"/>
      <c r="W9" s="658"/>
    </row>
    <row r="10" spans="2:23">
      <c r="B10" s="653"/>
      <c r="C10" s="19" t="s">
        <v>4</v>
      </c>
      <c r="D10" s="24"/>
      <c r="E10" s="660"/>
      <c r="F10" s="34"/>
      <c r="G10" s="38"/>
      <c r="H10" s="530"/>
      <c r="I10" s="34"/>
      <c r="J10" s="38"/>
      <c r="K10" s="38"/>
      <c r="L10" s="34"/>
      <c r="M10" s="38"/>
      <c r="N10" s="530"/>
      <c r="O10" s="34"/>
      <c r="P10" s="38"/>
      <c r="Q10" s="38"/>
      <c r="R10" s="24"/>
      <c r="S10" s="20"/>
      <c r="T10" s="20"/>
      <c r="U10" s="20"/>
      <c r="V10" s="24"/>
      <c r="W10" s="24"/>
    </row>
    <row r="11" spans="2:23">
      <c r="B11" s="653">
        <v>1</v>
      </c>
      <c r="C11" s="33" t="s">
        <v>23</v>
      </c>
      <c r="D11" s="34"/>
      <c r="E11" s="661">
        <f>+'Operating Report'!G17</f>
        <v>221481599.95999998</v>
      </c>
      <c r="F11" s="531"/>
      <c r="G11" s="44"/>
      <c r="H11" s="44">
        <f>'Exh 9, Summary of Adj'!R12</f>
        <v>-1992359.7252955195</v>
      </c>
      <c r="I11" s="531"/>
      <c r="J11" s="44"/>
      <c r="K11" s="532">
        <f>H11+E11</f>
        <v>219489240.23470446</v>
      </c>
      <c r="L11" s="531"/>
      <c r="M11" s="44"/>
      <c r="N11" s="44">
        <f>'Exh 9, Summary of Adj'!AA12</f>
        <v>14922776.155102273</v>
      </c>
      <c r="O11" s="531"/>
      <c r="P11" s="44"/>
      <c r="Q11" s="532">
        <f>N11+K11</f>
        <v>234412016.38980675</v>
      </c>
      <c r="R11" s="531"/>
      <c r="S11" s="44"/>
      <c r="T11" s="532">
        <f>+'Exh 7, Rev Req Calc'!D17-T12</f>
        <v>-388172.27449840098</v>
      </c>
      <c r="U11" s="532"/>
      <c r="V11" s="531"/>
      <c r="W11" s="786">
        <f>+Q11+T11</f>
        <v>234023844.11530834</v>
      </c>
    </row>
    <row r="12" spans="2:23">
      <c r="B12" s="653">
        <v>2</v>
      </c>
      <c r="C12" s="33" t="s">
        <v>24</v>
      </c>
      <c r="D12" s="34"/>
      <c r="E12" s="662">
        <f>+'Operating Report'!G21</f>
        <v>24094627.940000001</v>
      </c>
      <c r="F12" s="531"/>
      <c r="G12" s="44"/>
      <c r="H12" s="44">
        <f>'Exh 9, Summary of Adj'!R13</f>
        <v>0</v>
      </c>
      <c r="I12" s="531"/>
      <c r="J12" s="44"/>
      <c r="K12" s="532">
        <f>H12+E12</f>
        <v>24094627.940000001</v>
      </c>
      <c r="L12" s="531"/>
      <c r="M12" s="44"/>
      <c r="N12" s="44">
        <f>'Exh 9, Summary of Adj'!AA13</f>
        <v>0</v>
      </c>
      <c r="O12" s="531"/>
      <c r="P12" s="44"/>
      <c r="Q12" s="532">
        <f>N12+K12</f>
        <v>24094627.940000001</v>
      </c>
      <c r="R12" s="531"/>
      <c r="S12" s="44"/>
      <c r="T12" s="44"/>
      <c r="U12" s="44"/>
      <c r="V12" s="531"/>
      <c r="W12" s="786">
        <f>+Q12+T12</f>
        <v>24094627.940000001</v>
      </c>
    </row>
    <row r="13" spans="2:23">
      <c r="B13" s="653">
        <v>3</v>
      </c>
      <c r="C13" s="33" t="s">
        <v>25</v>
      </c>
      <c r="D13" s="38"/>
      <c r="E13" s="663">
        <f>+'Operating Report'!G27-'Operating Report'!G21</f>
        <v>1748761.5300000012</v>
      </c>
      <c r="F13" s="531"/>
      <c r="G13" s="44"/>
      <c r="H13" s="44">
        <f>'Exh 9, Summary of Adj'!R14</f>
        <v>406245</v>
      </c>
      <c r="I13" s="531"/>
      <c r="J13" s="44"/>
      <c r="K13" s="532">
        <f>H13+E13</f>
        <v>2155006.5300000012</v>
      </c>
      <c r="L13" s="531"/>
      <c r="M13" s="44"/>
      <c r="N13" s="44">
        <f>'Exh 9, Summary of Adj'!AA14</f>
        <v>0</v>
      </c>
      <c r="O13" s="531"/>
      <c r="P13" s="44"/>
      <c r="Q13" s="532">
        <f>N13+K13</f>
        <v>2155006.5300000012</v>
      </c>
      <c r="R13" s="531"/>
      <c r="S13" s="44"/>
      <c r="T13" s="44"/>
      <c r="U13" s="44"/>
      <c r="V13" s="531"/>
      <c r="W13" s="786">
        <f>+Q13+T13</f>
        <v>2155006.5300000012</v>
      </c>
    </row>
    <row r="14" spans="2:23">
      <c r="B14" s="653">
        <v>4</v>
      </c>
      <c r="C14" s="39" t="s">
        <v>744</v>
      </c>
      <c r="D14" s="34"/>
      <c r="E14" s="662">
        <f>SUM(E11:E13)</f>
        <v>247324989.42999998</v>
      </c>
      <c r="F14" s="531"/>
      <c r="G14" s="44"/>
      <c r="H14" s="792">
        <f>SUM(H11:H13)</f>
        <v>-1586114.7252955195</v>
      </c>
      <c r="I14" s="531"/>
      <c r="J14" s="44"/>
      <c r="K14" s="792">
        <f>SUM(K11:K13)</f>
        <v>245738874.70470446</v>
      </c>
      <c r="L14" s="531"/>
      <c r="M14" s="44"/>
      <c r="N14" s="792">
        <f>SUM(N11:N13)</f>
        <v>14922776.155102273</v>
      </c>
      <c r="O14" s="531"/>
      <c r="P14" s="44"/>
      <c r="Q14" s="792">
        <f>SUM(Q11:Q13)</f>
        <v>260661650.85980675</v>
      </c>
      <c r="R14" s="531"/>
      <c r="S14" s="44"/>
      <c r="T14" s="792">
        <f>SUM(T11:T13)</f>
        <v>-388172.27449840098</v>
      </c>
      <c r="U14" s="37"/>
      <c r="V14" s="531"/>
      <c r="W14" s="793">
        <f>SUM(W11:W13)</f>
        <v>260273478.58530834</v>
      </c>
    </row>
    <row r="15" spans="2:23">
      <c r="B15" s="653"/>
      <c r="C15" s="33"/>
      <c r="D15" s="34"/>
      <c r="E15" s="662"/>
      <c r="F15" s="531"/>
      <c r="G15" s="44"/>
      <c r="H15" s="37"/>
      <c r="I15" s="531"/>
      <c r="J15" s="44"/>
      <c r="K15" s="37"/>
      <c r="L15" s="531"/>
      <c r="M15" s="44"/>
      <c r="N15" s="37"/>
      <c r="O15" s="531"/>
      <c r="P15" s="44"/>
      <c r="Q15" s="37"/>
      <c r="R15" s="531"/>
      <c r="S15" s="44"/>
      <c r="T15" s="37"/>
      <c r="U15" s="37"/>
      <c r="V15" s="531"/>
      <c r="W15" s="40"/>
    </row>
    <row r="16" spans="2:23">
      <c r="B16" s="653"/>
      <c r="C16" s="33" t="s">
        <v>5</v>
      </c>
      <c r="D16" s="34"/>
      <c r="E16" s="662"/>
      <c r="F16" s="531"/>
      <c r="G16" s="44"/>
      <c r="H16" s="37"/>
      <c r="I16" s="531"/>
      <c r="J16" s="44"/>
      <c r="K16" s="37"/>
      <c r="L16" s="531"/>
      <c r="M16" s="44"/>
      <c r="N16" s="37"/>
      <c r="O16" s="531"/>
      <c r="P16" s="44"/>
      <c r="Q16" s="37"/>
      <c r="R16" s="531"/>
      <c r="S16" s="44"/>
      <c r="T16" s="37"/>
      <c r="U16" s="37"/>
      <c r="V16" s="531"/>
      <c r="W16" s="40"/>
    </row>
    <row r="17" spans="2:23">
      <c r="B17" s="653">
        <v>5</v>
      </c>
      <c r="C17" s="33" t="s">
        <v>745</v>
      </c>
      <c r="D17" s="34"/>
      <c r="E17" s="662">
        <f>+'Operating Report'!G37</f>
        <v>125165839.18000001</v>
      </c>
      <c r="F17" s="531"/>
      <c r="G17" s="44"/>
      <c r="H17" s="44">
        <f>'Exh 9, Summary of Adj'!R18</f>
        <v>0</v>
      </c>
      <c r="I17" s="531"/>
      <c r="J17" s="44"/>
      <c r="K17" s="532">
        <f t="shared" ref="K17:K27" si="0">H17+E17</f>
        <v>125165839.18000001</v>
      </c>
      <c r="L17" s="531"/>
      <c r="M17" s="44"/>
      <c r="N17" s="44">
        <f>+'Exh 9, Summary of Adj'!AA18</f>
        <v>0</v>
      </c>
      <c r="O17" s="531"/>
      <c r="P17" s="44"/>
      <c r="Q17" s="532">
        <f t="shared" ref="Q17:Q28" si="1">N17+K17</f>
        <v>125165839.18000001</v>
      </c>
      <c r="R17" s="531"/>
      <c r="S17" s="44"/>
      <c r="T17" s="44"/>
      <c r="U17" s="44"/>
      <c r="V17" s="531"/>
      <c r="W17" s="786">
        <f>+Q17+T17</f>
        <v>125165839.18000001</v>
      </c>
    </row>
    <row r="18" spans="2:23">
      <c r="B18" s="653">
        <v>6</v>
      </c>
      <c r="C18" s="33" t="s">
        <v>746</v>
      </c>
      <c r="D18" s="34"/>
      <c r="E18" s="662">
        <f>+'Operating Report'!G53</f>
        <v>20632282.93</v>
      </c>
      <c r="F18" s="531"/>
      <c r="G18" s="44"/>
      <c r="H18" s="44">
        <f>'Exh 9, Summary of Adj'!R19</f>
        <v>-64269.36866897445</v>
      </c>
      <c r="I18" s="531"/>
      <c r="J18" s="44"/>
      <c r="K18" s="532">
        <f t="shared" si="0"/>
        <v>20568013.561331026</v>
      </c>
      <c r="L18" s="531"/>
      <c r="M18" s="44"/>
      <c r="N18" s="44">
        <f>+'Exh 9, Summary of Adj'!AA19</f>
        <v>604670.88980474416</v>
      </c>
      <c r="O18" s="531"/>
      <c r="P18" s="44"/>
      <c r="Q18" s="532">
        <f t="shared" si="1"/>
        <v>21172684.451135769</v>
      </c>
      <c r="R18" s="531"/>
      <c r="S18" s="44"/>
      <c r="T18" s="44">
        <f>+T14*('Exh 8, Conversion Factor'!C9+'Exh 8, Conversion Factor'!C10)</f>
        <v>-15728.740562675208</v>
      </c>
      <c r="U18" s="44"/>
      <c r="V18" s="531"/>
      <c r="W18" s="794">
        <f>+Q18+T18</f>
        <v>21156955.710573096</v>
      </c>
    </row>
    <row r="19" spans="2:23">
      <c r="B19" s="653">
        <v>7</v>
      </c>
      <c r="C19" s="41" t="s">
        <v>27</v>
      </c>
      <c r="D19" s="34"/>
      <c r="E19" s="662">
        <f>+'Operating Report'!G57</f>
        <v>320028.11</v>
      </c>
      <c r="F19" s="531"/>
      <c r="G19" s="44"/>
      <c r="H19" s="44">
        <f>'Exh 9, Summary of Adj'!R20</f>
        <v>0</v>
      </c>
      <c r="I19" s="531"/>
      <c r="J19" s="44"/>
      <c r="K19" s="532">
        <f t="shared" si="0"/>
        <v>320028.11</v>
      </c>
      <c r="L19" s="531"/>
      <c r="M19" s="44"/>
      <c r="N19" s="44">
        <f>+'Exh 9, Summary of Adj'!AA20</f>
        <v>5778.6633749999992</v>
      </c>
      <c r="O19" s="531"/>
      <c r="P19" s="44"/>
      <c r="Q19" s="532">
        <f t="shared" si="1"/>
        <v>325806.77337499999</v>
      </c>
      <c r="R19" s="531"/>
      <c r="S19" s="44"/>
      <c r="T19" s="44"/>
      <c r="U19" s="44"/>
      <c r="V19" s="531"/>
      <c r="W19" s="786">
        <f t="shared" ref="W19:W28" si="2">+Q19+T19</f>
        <v>325806.77337499999</v>
      </c>
    </row>
    <row r="20" spans="2:23">
      <c r="B20" s="653">
        <v>8</v>
      </c>
      <c r="C20" s="41" t="s">
        <v>6</v>
      </c>
      <c r="D20" s="34"/>
      <c r="E20" s="662">
        <f>+'Operating Report'!G85</f>
        <v>20414279.720000003</v>
      </c>
      <c r="F20" s="531"/>
      <c r="G20" s="44"/>
      <c r="H20" s="44">
        <f>'Exh 9, Summary of Adj'!R21</f>
        <v>77164.839599999992</v>
      </c>
      <c r="I20" s="531"/>
      <c r="J20" s="44"/>
      <c r="K20" s="532">
        <f t="shared" si="0"/>
        <v>20491444.559600003</v>
      </c>
      <c r="L20" s="531"/>
      <c r="M20" s="44"/>
      <c r="N20" s="44">
        <f>+'Exh 9, Summary of Adj'!AA21</f>
        <v>1222324.6182179998</v>
      </c>
      <c r="O20" s="531"/>
      <c r="P20" s="44"/>
      <c r="Q20" s="532">
        <f t="shared" si="1"/>
        <v>21713769.177818004</v>
      </c>
      <c r="R20" s="531"/>
      <c r="S20" s="44"/>
      <c r="T20" s="44"/>
      <c r="U20" s="44"/>
      <c r="V20" s="531"/>
      <c r="W20" s="786">
        <f t="shared" si="2"/>
        <v>21713769.177818004</v>
      </c>
    </row>
    <row r="21" spans="2:23">
      <c r="B21" s="653">
        <v>9</v>
      </c>
      <c r="C21" s="41" t="s">
        <v>28</v>
      </c>
      <c r="D21" s="34"/>
      <c r="E21" s="662">
        <f>+'Operating Report'!G93</f>
        <v>5854250.6700000009</v>
      </c>
      <c r="F21" s="531"/>
      <c r="G21" s="44"/>
      <c r="H21" s="44">
        <f>'Exh 9, Summary of Adj'!R22</f>
        <v>-3016.5415943329535</v>
      </c>
      <c r="I21" s="531"/>
      <c r="J21" s="44"/>
      <c r="K21" s="532">
        <f t="shared" si="0"/>
        <v>5851234.1284056678</v>
      </c>
      <c r="L21" s="531"/>
      <c r="M21" s="44"/>
      <c r="N21" s="44">
        <f>+'Exh 9, Summary of Adj'!AA22</f>
        <v>162147.14659275144</v>
      </c>
      <c r="O21" s="531"/>
      <c r="P21" s="44"/>
      <c r="Q21" s="532">
        <f t="shared" si="1"/>
        <v>6013381.274998419</v>
      </c>
      <c r="R21" s="531"/>
      <c r="S21" s="44"/>
      <c r="T21" s="44">
        <f>+T14*'Exh 8, Conversion Factor'!C8</f>
        <v>-1560.4072678199495</v>
      </c>
      <c r="U21" s="44"/>
      <c r="V21" s="531"/>
      <c r="W21" s="786">
        <f t="shared" si="2"/>
        <v>6011820.8677305989</v>
      </c>
    </row>
    <row r="22" spans="2:23">
      <c r="B22" s="653">
        <v>10</v>
      </c>
      <c r="C22" s="41" t="s">
        <v>7</v>
      </c>
      <c r="D22" s="34"/>
      <c r="E22" s="662">
        <f>+'Operating Report'!G100</f>
        <v>7311469.46</v>
      </c>
      <c r="F22" s="531"/>
      <c r="G22" s="44"/>
      <c r="H22" s="44">
        <f>'Exh 9, Summary of Adj'!R23</f>
        <v>-4394</v>
      </c>
      <c r="I22" s="531"/>
      <c r="J22" s="44"/>
      <c r="K22" s="532">
        <f t="shared" si="0"/>
        <v>7307075.46</v>
      </c>
      <c r="L22" s="531"/>
      <c r="M22" s="44"/>
      <c r="N22" s="44">
        <f>+'Exh 9, Summary of Adj'!AA23</f>
        <v>24840.201999999997</v>
      </c>
      <c r="O22" s="531"/>
      <c r="P22" s="44"/>
      <c r="Q22" s="532">
        <f t="shared" si="1"/>
        <v>7331915.6619999995</v>
      </c>
      <c r="R22" s="531"/>
      <c r="S22" s="44"/>
      <c r="T22" s="44"/>
      <c r="U22" s="44"/>
      <c r="V22" s="531"/>
      <c r="W22" s="786">
        <f t="shared" si="2"/>
        <v>7331915.6619999995</v>
      </c>
    </row>
    <row r="23" spans="2:23">
      <c r="B23" s="653">
        <v>11</v>
      </c>
      <c r="C23" s="41" t="s">
        <v>8</v>
      </c>
      <c r="D23" s="34"/>
      <c r="E23" s="662">
        <f>+'Operating Report'!G107</f>
        <v>5408.6900000000005</v>
      </c>
      <c r="F23" s="531"/>
      <c r="G23" s="44"/>
      <c r="H23" s="44">
        <f>'Exh 9, Summary of Adj'!R24</f>
        <v>-1977.2275</v>
      </c>
      <c r="I23" s="531"/>
      <c r="J23" s="44"/>
      <c r="K23" s="532">
        <f t="shared" si="0"/>
        <v>3431.4625000000005</v>
      </c>
      <c r="L23" s="531"/>
      <c r="M23" s="44"/>
      <c r="N23" s="44">
        <f>+'Exh 9, Summary of Adj'!AA24</f>
        <v>94.855999999999995</v>
      </c>
      <c r="O23" s="531"/>
      <c r="P23" s="44"/>
      <c r="Q23" s="532">
        <f t="shared" si="1"/>
        <v>3526.3185000000003</v>
      </c>
      <c r="R23" s="531"/>
      <c r="S23" s="44"/>
      <c r="T23" s="44"/>
      <c r="U23" s="44"/>
      <c r="V23" s="531"/>
      <c r="W23" s="786">
        <f t="shared" si="2"/>
        <v>3526.3185000000003</v>
      </c>
    </row>
    <row r="24" spans="2:23">
      <c r="B24" s="653">
        <v>12</v>
      </c>
      <c r="C24" s="41" t="s">
        <v>9</v>
      </c>
      <c r="D24" s="38"/>
      <c r="E24" s="662">
        <f>+'Operating Report'!G123</f>
        <v>18950113.18</v>
      </c>
      <c r="F24" s="531"/>
      <c r="G24" s="44"/>
      <c r="H24" s="44">
        <f>'Exh 9, Summary of Adj'!R25</f>
        <v>-2030944.015748</v>
      </c>
      <c r="I24" s="531"/>
      <c r="J24" s="44"/>
      <c r="K24" s="532">
        <f t="shared" si="0"/>
        <v>16919169.164251998</v>
      </c>
      <c r="L24" s="531"/>
      <c r="M24" s="44"/>
      <c r="N24" s="44">
        <f>+'Exh 9, Summary of Adj'!AA25</f>
        <v>307101.57116349996</v>
      </c>
      <c r="O24" s="531"/>
      <c r="P24" s="44"/>
      <c r="Q24" s="532">
        <f t="shared" si="1"/>
        <v>17226270.7354155</v>
      </c>
      <c r="R24" s="531"/>
      <c r="S24" s="44"/>
      <c r="T24" s="44"/>
      <c r="U24" s="44"/>
      <c r="V24" s="531"/>
      <c r="W24" s="786">
        <f t="shared" si="2"/>
        <v>17226270.7354155</v>
      </c>
    </row>
    <row r="25" spans="2:23">
      <c r="B25" s="653">
        <v>13</v>
      </c>
      <c r="C25" s="41" t="s">
        <v>29</v>
      </c>
      <c r="D25" s="34"/>
      <c r="E25" s="661">
        <f>+'Operating Report'!G135</f>
        <v>24915117.609999999</v>
      </c>
      <c r="F25" s="531"/>
      <c r="G25" s="44"/>
      <c r="H25" s="44">
        <f>'Exh 9, Summary of Adj'!R26</f>
        <v>1451381.2678899996</v>
      </c>
      <c r="I25" s="531"/>
      <c r="J25" s="44"/>
      <c r="K25" s="532">
        <f t="shared" si="0"/>
        <v>26366498.877889998</v>
      </c>
      <c r="L25" s="531"/>
      <c r="M25" s="44"/>
      <c r="N25" s="44">
        <f>+'Exh 9, Summary of Adj'!AA26</f>
        <v>868217.01335499994</v>
      </c>
      <c r="O25" s="531"/>
      <c r="P25" s="44"/>
      <c r="Q25" s="532">
        <f t="shared" si="1"/>
        <v>27234715.891245</v>
      </c>
      <c r="R25" s="531"/>
      <c r="S25" s="44"/>
      <c r="T25" s="44"/>
      <c r="U25" s="44"/>
      <c r="V25" s="531"/>
      <c r="W25" s="786">
        <f t="shared" si="2"/>
        <v>27234715.891245</v>
      </c>
    </row>
    <row r="26" spans="2:23">
      <c r="B26" s="653">
        <v>14</v>
      </c>
      <c r="C26" s="41" t="s">
        <v>30</v>
      </c>
      <c r="D26" s="34"/>
      <c r="E26" s="664"/>
      <c r="F26" s="531"/>
      <c r="G26" s="44"/>
      <c r="H26" s="44">
        <f>'Exh 9, Summary of Adj'!R27</f>
        <v>0</v>
      </c>
      <c r="I26" s="531"/>
      <c r="J26" s="44"/>
      <c r="K26" s="532">
        <f t="shared" si="0"/>
        <v>0</v>
      </c>
      <c r="L26" s="531"/>
      <c r="M26" s="44"/>
      <c r="N26" s="44">
        <f>+'Exh 9, Summary of Adj'!AA27</f>
        <v>0</v>
      </c>
      <c r="O26" s="531"/>
      <c r="P26" s="44"/>
      <c r="Q26" s="532">
        <f t="shared" si="1"/>
        <v>0</v>
      </c>
      <c r="R26" s="531"/>
      <c r="S26" s="44"/>
      <c r="T26" s="44"/>
      <c r="U26" s="44"/>
      <c r="V26" s="531"/>
      <c r="W26" s="786">
        <f t="shared" si="2"/>
        <v>0</v>
      </c>
    </row>
    <row r="27" spans="2:23">
      <c r="B27" s="653">
        <v>15</v>
      </c>
      <c r="C27" s="41" t="s">
        <v>31</v>
      </c>
      <c r="D27" s="34"/>
      <c r="E27" s="662">
        <f>+'Operating Report'!G140</f>
        <v>4176014.52</v>
      </c>
      <c r="F27" s="531"/>
      <c r="G27" s="44"/>
      <c r="H27" s="44">
        <f>'Exh 9, Summary of Adj'!R28</f>
        <v>6163.0958619000021</v>
      </c>
      <c r="I27" s="531"/>
      <c r="J27" s="44"/>
      <c r="K27" s="532">
        <f t="shared" si="0"/>
        <v>4182177.6158619002</v>
      </c>
      <c r="L27" s="531"/>
      <c r="M27" s="44"/>
      <c r="N27" s="44">
        <f>+'Exh 9, Summary of Adj'!AA28</f>
        <v>207456.63947080736</v>
      </c>
      <c r="O27" s="531"/>
      <c r="P27" s="44"/>
      <c r="Q27" s="532">
        <f t="shared" si="1"/>
        <v>4389634.2553327074</v>
      </c>
      <c r="R27" s="531"/>
      <c r="S27" s="44"/>
      <c r="T27" s="44"/>
      <c r="U27" s="44"/>
      <c r="V27" s="531"/>
      <c r="W27" s="786">
        <f t="shared" si="2"/>
        <v>4389634.2553327074</v>
      </c>
    </row>
    <row r="28" spans="2:23">
      <c r="B28" s="653">
        <v>16</v>
      </c>
      <c r="C28" s="41" t="s">
        <v>32</v>
      </c>
      <c r="D28" s="34"/>
      <c r="E28" s="662">
        <f>+'Operating Report'!G149</f>
        <v>-1224199.5100000019</v>
      </c>
      <c r="F28" s="531"/>
      <c r="G28" s="44"/>
      <c r="H28" s="44">
        <f>'Exh 9, Summary of Adj'!R29</f>
        <v>-213406.78277858341</v>
      </c>
      <c r="I28" s="531"/>
      <c r="J28" s="44"/>
      <c r="K28" s="532">
        <f>H28+E28</f>
        <v>-1437606.2927785853</v>
      </c>
      <c r="L28" s="531"/>
      <c r="M28" s="44"/>
      <c r="N28" s="44">
        <f>+'Exh 9, Summary of Adj'!AA29</f>
        <v>2779492.4676555526</v>
      </c>
      <c r="O28" s="531"/>
      <c r="P28" s="44"/>
      <c r="Q28" s="532">
        <f t="shared" si="1"/>
        <v>1341886.1748769672</v>
      </c>
      <c r="R28" s="531"/>
      <c r="S28" s="44"/>
      <c r="T28" s="44">
        <f>(+T14-T18-T21)*0.21</f>
        <v>-77885.456600260208</v>
      </c>
      <c r="U28" s="44"/>
      <c r="V28" s="531"/>
      <c r="W28" s="786">
        <f t="shared" si="2"/>
        <v>1264000.718276707</v>
      </c>
    </row>
    <row r="29" spans="2:23" ht="16.2" thickBot="1">
      <c r="B29" s="653">
        <v>17</v>
      </c>
      <c r="C29" s="45" t="s">
        <v>33</v>
      </c>
      <c r="D29" s="24"/>
      <c r="E29" s="795">
        <f>SUM(E17:E28)</f>
        <v>226520604.56000003</v>
      </c>
      <c r="F29" s="531"/>
      <c r="G29" s="44"/>
      <c r="H29" s="796">
        <f>SUM(H17:H28)</f>
        <v>-783298.73293799115</v>
      </c>
      <c r="I29" s="531"/>
      <c r="J29" s="44"/>
      <c r="K29" s="796">
        <f>SUM(K17:K28)</f>
        <v>225737305.82706204</v>
      </c>
      <c r="L29" s="531"/>
      <c r="M29" s="44"/>
      <c r="N29" s="796">
        <f>SUM(N17:N28)</f>
        <v>6182124.0676353555</v>
      </c>
      <c r="O29" s="531"/>
      <c r="P29" s="44"/>
      <c r="Q29" s="796">
        <f>SUM(Q17:Q28)</f>
        <v>231919429.89469737</v>
      </c>
      <c r="R29" s="531"/>
      <c r="S29" s="44"/>
      <c r="T29" s="796">
        <f>SUM(T17:T28)</f>
        <v>-95174.604430755368</v>
      </c>
      <c r="U29" s="532"/>
      <c r="V29" s="531"/>
      <c r="W29" s="797">
        <f>SUM(W17:W28)</f>
        <v>231824255.29026663</v>
      </c>
    </row>
    <row r="30" spans="2:23" ht="16.8" thickTop="1" thickBot="1">
      <c r="B30" s="653">
        <v>18</v>
      </c>
      <c r="C30" s="45" t="s">
        <v>10</v>
      </c>
      <c r="D30" s="24"/>
      <c r="E30" s="795">
        <f>+E14-E29</f>
        <v>20804384.869999945</v>
      </c>
      <c r="F30" s="531"/>
      <c r="G30" s="44"/>
      <c r="H30" s="796">
        <f>+H14-H29</f>
        <v>-802815.9923575283</v>
      </c>
      <c r="I30" s="796"/>
      <c r="J30" s="44"/>
      <c r="K30" s="796">
        <f>+K14-K29</f>
        <v>20001568.877642423</v>
      </c>
      <c r="L30" s="531"/>
      <c r="M30" s="44"/>
      <c r="N30" s="796">
        <f>+N14-N29</f>
        <v>8740652.0874669179</v>
      </c>
      <c r="O30" s="796"/>
      <c r="P30" s="44"/>
      <c r="Q30" s="796">
        <f>+Q14-Q29</f>
        <v>28742220.965109378</v>
      </c>
      <c r="R30" s="531"/>
      <c r="S30" s="44"/>
      <c r="T30" s="796">
        <f>+T14-T29</f>
        <v>-292997.67006764561</v>
      </c>
      <c r="U30" s="532"/>
      <c r="V30" s="531"/>
      <c r="W30" s="797">
        <f>+W14-W29</f>
        <v>28449223.29504171</v>
      </c>
    </row>
    <row r="31" spans="2:23" ht="16.2" thickTop="1">
      <c r="B31" s="653"/>
      <c r="C31" s="45"/>
      <c r="D31" s="24"/>
      <c r="E31" s="788"/>
      <c r="F31" s="531"/>
      <c r="G31" s="44"/>
      <c r="H31" s="532"/>
      <c r="I31" s="532"/>
      <c r="J31" s="44"/>
      <c r="K31" s="532"/>
      <c r="L31" s="531"/>
      <c r="M31" s="44"/>
      <c r="N31" s="532"/>
      <c r="O31" s="532"/>
      <c r="P31" s="44"/>
      <c r="Q31" s="532"/>
      <c r="R31" s="531"/>
      <c r="S31" s="44"/>
      <c r="T31" s="532"/>
      <c r="U31" s="532"/>
      <c r="V31" s="531"/>
      <c r="W31" s="786"/>
    </row>
    <row r="32" spans="2:23">
      <c r="B32" s="653"/>
      <c r="C32" s="45" t="s">
        <v>34</v>
      </c>
      <c r="D32" s="34"/>
      <c r="E32" s="665"/>
      <c r="F32" s="35"/>
      <c r="G32" s="36"/>
      <c r="H32" s="36"/>
      <c r="I32" s="35"/>
      <c r="J32" s="36"/>
      <c r="K32" s="36"/>
      <c r="L32" s="35"/>
      <c r="M32" s="36"/>
      <c r="N32" s="36"/>
      <c r="O32" s="35"/>
      <c r="P32" s="36"/>
      <c r="Q32" s="36"/>
      <c r="R32" s="35"/>
      <c r="S32" s="36"/>
      <c r="T32" s="36"/>
      <c r="U32" s="36"/>
      <c r="V32" s="35"/>
      <c r="W32" s="47"/>
    </row>
    <row r="33" spans="2:23">
      <c r="B33" s="653">
        <v>19</v>
      </c>
      <c r="C33" s="33" t="s">
        <v>36</v>
      </c>
      <c r="D33" s="34"/>
      <c r="E33" s="661">
        <f>+'Rate Base'!D13</f>
        <v>835867891.49633491</v>
      </c>
      <c r="F33" s="531"/>
      <c r="G33" s="44"/>
      <c r="H33" s="44">
        <f>'Exh 9, Summary of Adj'!R34</f>
        <v>31306894.583987057</v>
      </c>
      <c r="I33" s="531"/>
      <c r="J33" s="44"/>
      <c r="K33" s="532">
        <f>H33+E33</f>
        <v>867174786.08032203</v>
      </c>
      <c r="L33" s="531"/>
      <c r="M33" s="44"/>
      <c r="N33" s="44">
        <f>'Exh 9, Summary of Adj'!AA34</f>
        <v>13586826.540000001</v>
      </c>
      <c r="O33" s="531"/>
      <c r="P33" s="44"/>
      <c r="Q33" s="532">
        <f>N33+K33</f>
        <v>880761612.62032199</v>
      </c>
      <c r="R33" s="531"/>
      <c r="S33" s="44"/>
      <c r="T33" s="532"/>
      <c r="U33" s="532"/>
      <c r="V33" s="531"/>
      <c r="W33" s="786">
        <f>+Q33+T33</f>
        <v>880761612.62032199</v>
      </c>
    </row>
    <row r="34" spans="2:23">
      <c r="B34" s="653">
        <v>20</v>
      </c>
      <c r="C34" s="33" t="s">
        <v>37</v>
      </c>
      <c r="D34" s="34"/>
      <c r="E34" s="661">
        <f>+'Rate Base'!D14</f>
        <v>-389781047.94520426</v>
      </c>
      <c r="F34" s="531"/>
      <c r="G34" s="44"/>
      <c r="H34" s="44">
        <f>'Exh 9, Summary of Adj'!R35</f>
        <v>-7438116.7491337657</v>
      </c>
      <c r="I34" s="531"/>
      <c r="J34" s="44"/>
      <c r="K34" s="532">
        <f>H34+E34</f>
        <v>-397219164.69433802</v>
      </c>
      <c r="L34" s="531"/>
      <c r="M34" s="44"/>
      <c r="N34" s="44">
        <f>'Exh 9, Summary of Adj'!AA35</f>
        <v>-434108.50667749997</v>
      </c>
      <c r="O34" s="531"/>
      <c r="P34" s="44"/>
      <c r="Q34" s="532">
        <f>N34+K34</f>
        <v>-397653273.20101553</v>
      </c>
      <c r="R34" s="531"/>
      <c r="S34" s="44"/>
      <c r="T34" s="532"/>
      <c r="U34" s="532"/>
      <c r="V34" s="531"/>
      <c r="W34" s="786">
        <f>+Q34+T34</f>
        <v>-397653273.20101553</v>
      </c>
    </row>
    <row r="35" spans="2:23">
      <c r="B35" s="653">
        <v>21</v>
      </c>
      <c r="C35" s="38" t="s">
        <v>11</v>
      </c>
      <c r="D35" s="38"/>
      <c r="E35" s="662">
        <f>+'Rate Base'!D16</f>
        <v>-3800412.8362500002</v>
      </c>
      <c r="F35" s="531"/>
      <c r="G35" s="44"/>
      <c r="H35" s="44">
        <f>'Exh 9, Summary of Adj'!R36</f>
        <v>44862.196250000037</v>
      </c>
      <c r="I35" s="531"/>
      <c r="J35" s="44"/>
      <c r="K35" s="532">
        <f>H35+E35</f>
        <v>-3755550.64</v>
      </c>
      <c r="L35" s="531"/>
      <c r="M35" s="44"/>
      <c r="N35" s="44">
        <f>'Exh 9, Summary of Adj'!AA36</f>
        <v>0</v>
      </c>
      <c r="O35" s="531"/>
      <c r="P35" s="44"/>
      <c r="Q35" s="532">
        <f>N35+K35</f>
        <v>-3755550.64</v>
      </c>
      <c r="R35" s="531"/>
      <c r="S35" s="44"/>
      <c r="T35" s="532"/>
      <c r="U35" s="532"/>
      <c r="V35" s="531"/>
      <c r="W35" s="786">
        <f>+Q35+T35</f>
        <v>-3755550.64</v>
      </c>
    </row>
    <row r="36" spans="2:23">
      <c r="B36" s="653">
        <v>22</v>
      </c>
      <c r="C36" s="38" t="s">
        <v>38</v>
      </c>
      <c r="D36" s="34"/>
      <c r="E36" s="662">
        <f>+'Rate Base'!D17</f>
        <v>-75625049.641666636</v>
      </c>
      <c r="F36" s="531"/>
      <c r="G36" s="44"/>
      <c r="H36" s="44">
        <f>'Exh 9, Summary of Adj'!R37</f>
        <v>-2047961.5683333576</v>
      </c>
      <c r="I36" s="531"/>
      <c r="J36" s="44"/>
      <c r="K36" s="532">
        <f>H36+E36</f>
        <v>-77673011.209999993</v>
      </c>
      <c r="L36" s="531"/>
      <c r="M36" s="44"/>
      <c r="N36" s="44">
        <f>'Exh 9, Summary of Adj'!AA37</f>
        <v>37664.656901024988</v>
      </c>
      <c r="O36" s="531"/>
      <c r="P36" s="44"/>
      <c r="Q36" s="532">
        <f>N36+K36</f>
        <v>-77635346.553098962</v>
      </c>
      <c r="R36" s="531"/>
      <c r="S36" s="44"/>
      <c r="T36" s="532"/>
      <c r="U36" s="532"/>
      <c r="V36" s="531"/>
      <c r="W36" s="786">
        <f>+Q36+T36</f>
        <v>-77635346.553098962</v>
      </c>
    </row>
    <row r="37" spans="2:23">
      <c r="B37" s="653">
        <v>23</v>
      </c>
      <c r="C37" s="38" t="s">
        <v>39</v>
      </c>
      <c r="D37" s="34"/>
      <c r="E37" s="662">
        <f>+' Working Capital (AMA)'!Y708</f>
        <v>7565010.5869378978</v>
      </c>
      <c r="F37" s="531"/>
      <c r="G37" s="44"/>
      <c r="H37" s="44">
        <f>'Exh 9, Summary of Adj'!R38</f>
        <v>0</v>
      </c>
      <c r="I37" s="531"/>
      <c r="J37" s="44"/>
      <c r="K37" s="532">
        <f>H37+E37</f>
        <v>7565010.5869378978</v>
      </c>
      <c r="L37" s="531"/>
      <c r="M37" s="44"/>
      <c r="N37" s="44">
        <f>'Exh 9, Summary of Adj'!AA38</f>
        <v>0</v>
      </c>
      <c r="O37" s="531"/>
      <c r="P37" s="44"/>
      <c r="Q37" s="532">
        <f>N37+K37</f>
        <v>7565010.5869378978</v>
      </c>
      <c r="R37" s="531"/>
      <c r="S37" s="44"/>
      <c r="T37" s="532"/>
      <c r="U37" s="532"/>
      <c r="V37" s="531"/>
      <c r="W37" s="786">
        <f>+Q37+T37</f>
        <v>7565010.5869378978</v>
      </c>
    </row>
    <row r="38" spans="2:23" ht="16.2" thickBot="1">
      <c r="B38" s="653">
        <v>24</v>
      </c>
      <c r="C38" s="45" t="s">
        <v>35</v>
      </c>
      <c r="D38" s="20"/>
      <c r="E38" s="787">
        <f>SUM(E33:E37)</f>
        <v>374226391.6601519</v>
      </c>
      <c r="F38" s="531"/>
      <c r="G38" s="44"/>
      <c r="H38" s="787">
        <f>SUM(H33:H37)</f>
        <v>21865678.462769933</v>
      </c>
      <c r="I38" s="531"/>
      <c r="J38" s="44"/>
      <c r="K38" s="787">
        <f>SUM(K33:K37)</f>
        <v>396092070.12292194</v>
      </c>
      <c r="L38" s="531"/>
      <c r="M38" s="44"/>
      <c r="N38" s="787">
        <f>SUM(N33:N37)</f>
        <v>13190382.690223526</v>
      </c>
      <c r="O38" s="531"/>
      <c r="P38" s="44"/>
      <c r="Q38" s="787">
        <f>SUM(Q33:Q37)</f>
        <v>409282452.8131454</v>
      </c>
      <c r="R38" s="531"/>
      <c r="S38" s="44"/>
      <c r="T38" s="787">
        <f>SUM(T33:T37)</f>
        <v>0</v>
      </c>
      <c r="U38" s="788"/>
      <c r="V38" s="531"/>
      <c r="W38" s="787">
        <f>SUM(W33:W37)</f>
        <v>409282452.8131454</v>
      </c>
    </row>
    <row r="39" spans="2:23" ht="16.2" thickTop="1">
      <c r="B39" s="653">
        <v>25</v>
      </c>
      <c r="C39" s="45" t="s">
        <v>12</v>
      </c>
      <c r="D39" s="34"/>
      <c r="E39" s="789">
        <f>+E30/E38</f>
        <v>5.5593045636645362E-2</v>
      </c>
      <c r="F39" s="34"/>
      <c r="G39" s="38"/>
      <c r="H39" s="38"/>
      <c r="I39" s="34"/>
      <c r="J39" s="38"/>
      <c r="K39" s="790">
        <f>+K30/K38</f>
        <v>5.049727168593706E-2</v>
      </c>
      <c r="L39" s="34"/>
      <c r="M39" s="38"/>
      <c r="N39" s="38"/>
      <c r="O39" s="34"/>
      <c r="P39" s="38"/>
      <c r="Q39" s="790">
        <f>+Q30/Q38</f>
        <v>7.0225881338312368E-2</v>
      </c>
      <c r="R39" s="34"/>
      <c r="S39" s="38"/>
      <c r="T39" s="791"/>
      <c r="U39" s="791"/>
      <c r="V39" s="34"/>
      <c r="W39" s="48">
        <f>+W30/W38</f>
        <v>6.9509999999999933E-2</v>
      </c>
    </row>
    <row r="40" spans="2:23">
      <c r="B40" s="654"/>
      <c r="C40" s="666"/>
      <c r="D40" s="667"/>
      <c r="E40" s="668"/>
      <c r="F40" s="658"/>
      <c r="G40" s="659"/>
      <c r="H40" s="659"/>
      <c r="I40" s="658"/>
      <c r="J40" s="659"/>
      <c r="K40" s="669"/>
      <c r="L40" s="658"/>
      <c r="M40" s="659"/>
      <c r="N40" s="659"/>
      <c r="O40" s="658"/>
      <c r="P40" s="659"/>
      <c r="Q40" s="669"/>
      <c r="R40" s="658"/>
      <c r="S40" s="659"/>
      <c r="T40" s="659"/>
      <c r="U40" s="659"/>
      <c r="V40" s="659"/>
      <c r="W40" s="670"/>
    </row>
    <row r="41" spans="2:23">
      <c r="B41" s="21"/>
      <c r="C41" s="21"/>
      <c r="D41" s="21"/>
      <c r="E41" s="21"/>
      <c r="F41" s="21"/>
      <c r="G41" s="21"/>
      <c r="H41" s="21"/>
      <c r="I41" s="21"/>
      <c r="J41" s="21"/>
      <c r="K41" s="21"/>
      <c r="L41" s="21"/>
      <c r="M41" s="21"/>
      <c r="N41" s="21"/>
      <c r="O41" s="21"/>
      <c r="P41" s="21"/>
      <c r="Q41" s="21"/>
      <c r="R41" s="21"/>
      <c r="S41" s="21"/>
      <c r="T41" s="21"/>
      <c r="U41" s="21"/>
      <c r="V41" s="21"/>
      <c r="W41" s="21"/>
    </row>
    <row r="43" spans="2:23">
      <c r="E43" s="1718"/>
      <c r="T43" s="49"/>
    </row>
    <row r="45" spans="2:23">
      <c r="T45" s="43"/>
    </row>
  </sheetData>
  <mergeCells count="3">
    <mergeCell ref="B1:W1"/>
    <mergeCell ref="B3:W3"/>
    <mergeCell ref="B2:W2"/>
  </mergeCells>
  <printOptions horizontalCentered="1"/>
  <pageMargins left="1" right="1" top="1" bottom="1" header="0.3" footer="0.3"/>
  <pageSetup scale="71" fitToHeight="0" orientation="landscape" r:id="rId1"/>
  <headerFooter scaleWithDoc="0" alignWithMargins="0">
    <oddHeader>&amp;RDocket No. UG-200568
Exhibit _____ (MCP-8)
Page 1 of 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02E95-95F6-469B-9B8B-CF496A3BE1A9}">
  <sheetPr codeName="Sheet39">
    <tabColor theme="2"/>
  </sheetPr>
  <dimension ref="A1:E106"/>
  <sheetViews>
    <sheetView zoomScale="80" zoomScaleNormal="80" workbookViewId="0">
      <selection activeCell="F27" sqref="F27"/>
    </sheetView>
  </sheetViews>
  <sheetFormatPr defaultColWidth="8.88671875" defaultRowHeight="14.4"/>
  <cols>
    <col min="1" max="1" width="4.5546875" style="613" bestFit="1" customWidth="1"/>
    <col min="2" max="2" width="58.6640625" style="613" bestFit="1" customWidth="1"/>
    <col min="3" max="3" width="27.33203125" style="613" bestFit="1" customWidth="1"/>
    <col min="4" max="4" width="2.33203125" style="613" customWidth="1"/>
    <col min="5" max="5" width="8" style="613" bestFit="1" customWidth="1"/>
    <col min="6" max="6" width="7.6640625" style="613" bestFit="1" customWidth="1"/>
    <col min="7" max="16384" width="8.88671875" style="613"/>
  </cols>
  <sheetData>
    <row r="1" spans="1:5">
      <c r="A1" s="873" t="str">
        <f ca="1">MID(CELL("filename",A1),FIND("]",CELL("filename",A1))+1,255)</f>
        <v>TOC</v>
      </c>
    </row>
    <row r="2" spans="1:5">
      <c r="A2" s="1833" t="s">
        <v>2562</v>
      </c>
      <c r="B2" s="1833"/>
      <c r="C2" s="1833"/>
      <c r="D2" s="1833"/>
      <c r="E2" s="1833"/>
    </row>
    <row r="3" spans="1:5">
      <c r="A3" s="1833" t="s">
        <v>3241</v>
      </c>
      <c r="B3" s="1833"/>
      <c r="C3" s="1833"/>
      <c r="D3" s="1833"/>
      <c r="E3" s="1833"/>
    </row>
    <row r="4" spans="1:5">
      <c r="A4" s="1833" t="str">
        <f>Title3</f>
        <v>General Rate Case Model</v>
      </c>
      <c r="B4" s="1833"/>
      <c r="C4" s="1833"/>
      <c r="D4" s="1833"/>
      <c r="E4" s="1833"/>
    </row>
    <row r="5" spans="1:5">
      <c r="A5" s="1833"/>
      <c r="B5" s="1833"/>
      <c r="C5" s="1833"/>
      <c r="D5" s="1833"/>
      <c r="E5" s="1833"/>
    </row>
    <row r="6" spans="1:5">
      <c r="A6" s="1833" t="s">
        <v>2555</v>
      </c>
      <c r="B6" s="1833"/>
      <c r="C6" s="1833"/>
      <c r="D6" s="1833"/>
      <c r="E6" s="1833"/>
    </row>
    <row r="7" spans="1:5">
      <c r="E7" s="874"/>
    </row>
    <row r="8" spans="1:5" ht="28.8">
      <c r="A8" s="875" t="s">
        <v>2556</v>
      </c>
      <c r="B8" s="876" t="s">
        <v>2448</v>
      </c>
      <c r="C8" s="876" t="s">
        <v>2557</v>
      </c>
      <c r="E8" s="876" t="s">
        <v>2558</v>
      </c>
    </row>
    <row r="9" spans="1:5">
      <c r="A9" s="877">
        <f>IF(ISBLANK(B9),"",MAX($A$8:A8)+1)</f>
        <v>1</v>
      </c>
      <c r="B9" s="613" t="str">
        <f>Cover!B5</f>
        <v>General Rate Case Model</v>
      </c>
      <c r="C9" s="878" t="str">
        <f ca="1">Cover!A1</f>
        <v>Cover</v>
      </c>
      <c r="E9" s="874" t="s">
        <v>2559</v>
      </c>
    </row>
    <row r="10" spans="1:5">
      <c r="A10" s="877">
        <f>IF(ISBLANK(B10),"",MAX($A$8:A9)+1)</f>
        <v>2</v>
      </c>
      <c r="B10" s="613" t="str">
        <f>A6</f>
        <v>Table of Contents</v>
      </c>
      <c r="C10" s="878" t="str">
        <f ca="1">A1</f>
        <v>TOC</v>
      </c>
      <c r="E10" s="879" t="s">
        <v>2560</v>
      </c>
    </row>
    <row r="11" spans="1:5">
      <c r="A11" s="877">
        <f>IF(ISBLANK(B11),"",MAX($A$8:A10)+1)</f>
        <v>3</v>
      </c>
      <c r="B11" s="613" t="str">
        <f>Title!B1</f>
        <v>Model Titles</v>
      </c>
      <c r="C11" s="878" t="str">
        <f ca="1">Title!A1</f>
        <v>Title</v>
      </c>
      <c r="E11" s="613" t="s">
        <v>1052</v>
      </c>
    </row>
    <row r="12" spans="1:5">
      <c r="A12" s="877">
        <f>IF(ISBLANK(B12),"",MAX($A$8:A11)+1)</f>
        <v>4</v>
      </c>
      <c r="B12" s="613" t="e">
        <f>#REF!</f>
        <v>#REF!</v>
      </c>
      <c r="C12" s="878" t="e">
        <f>#REF!</f>
        <v>#REF!</v>
      </c>
    </row>
    <row r="13" spans="1:5">
      <c r="A13" s="877">
        <f>IF(ISBLANK(B13),"",MAX($A$8:A12)+1)</f>
        <v>5</v>
      </c>
      <c r="B13" s="613" t="e">
        <f>#REF!</f>
        <v>#REF!</v>
      </c>
      <c r="C13" s="878" t="e">
        <f>#REF!</f>
        <v>#REF!</v>
      </c>
    </row>
    <row r="14" spans="1:5">
      <c r="A14" s="877">
        <f>IF(ISBLANK(B14),"",MAX($A$8:A12)+1)</f>
        <v>5</v>
      </c>
      <c r="B14" s="613" t="e">
        <f>#REF!</f>
        <v>#REF!</v>
      </c>
      <c r="C14" s="878" t="e">
        <f>#REF!</f>
        <v>#REF!</v>
      </c>
    </row>
    <row r="15" spans="1:5">
      <c r="A15" s="877" t="str">
        <f>IF(ISBLANK(B15),"",MAX($A$8:A13)+1)</f>
        <v/>
      </c>
    </row>
    <row r="16" spans="1:5">
      <c r="A16" s="877">
        <f>IF(ISBLANK(B16),"",MAX($A$8:A15)+1)</f>
        <v>6</v>
      </c>
      <c r="B16" s="613" t="str">
        <f>'Proof ---&gt;'!B2</f>
        <v>Proof of Revenue Section</v>
      </c>
      <c r="C16" s="880" t="str">
        <f ca="1">'Proof ---&gt;'!A1</f>
        <v>Proof ---&gt;</v>
      </c>
    </row>
    <row r="17" spans="1:3">
      <c r="A17" s="877">
        <f>IF(ISBLANK(B17),"",MAX($A$8:A16)+1)</f>
        <v>7</v>
      </c>
      <c r="B17" s="613" t="s">
        <v>2567</v>
      </c>
      <c r="C17" s="880" t="s">
        <v>3121</v>
      </c>
    </row>
    <row r="18" spans="1:3">
      <c r="A18" s="877">
        <f>IF(ISBLANK(B18),"",MAX($A$8:A17)+1)</f>
        <v>8</v>
      </c>
      <c r="B18" s="613" t="s">
        <v>3122</v>
      </c>
      <c r="C18" s="880" t="s">
        <v>3123</v>
      </c>
    </row>
    <row r="19" spans="1:3">
      <c r="A19" s="877" t="str">
        <f>IF(ISBLANK(B19),"",MAX($A$8:A18)+1)</f>
        <v/>
      </c>
    </row>
    <row r="20" spans="1:3">
      <c r="A20" s="877">
        <f>IF(ISBLANK(B20),"",MAX($A$8:A19)+1)</f>
        <v>9</v>
      </c>
      <c r="B20" s="613" t="str">
        <f>'Proof WPs ---&gt;'!B2</f>
        <v>Proof of Revenue Workpapers Section</v>
      </c>
      <c r="C20" s="881" t="str">
        <f ca="1">'Proof WPs ---&gt;'!A1</f>
        <v>Proof WPs ---&gt;</v>
      </c>
    </row>
    <row r="21" spans="1:3">
      <c r="A21" s="877">
        <f>IF(ISBLANK(B21),"",MAX($A$8:A20)+1)</f>
        <v>10</v>
      </c>
      <c r="B21" s="613">
        <f>'1501 Summary'!B4</f>
        <v>0</v>
      </c>
      <c r="C21" s="881">
        <f>'1501 Summary'!A1</f>
        <v>0</v>
      </c>
    </row>
    <row r="22" spans="1:3">
      <c r="A22" s="877">
        <f>IF(ISBLANK(B22),"",MAX($A$8:A21)+1)</f>
        <v>11</v>
      </c>
      <c r="B22" s="613" t="s">
        <v>2900</v>
      </c>
      <c r="C22" s="881" t="s">
        <v>3124</v>
      </c>
    </row>
    <row r="23" spans="1:3">
      <c r="A23" s="877">
        <f>IF(ISBLANK(B23),"",MAX($A$8:A22)+1)</f>
        <v>12</v>
      </c>
      <c r="B23" s="613" t="s">
        <v>3018</v>
      </c>
      <c r="C23" s="881" t="s">
        <v>3125</v>
      </c>
    </row>
    <row r="24" spans="1:3">
      <c r="A24" s="877">
        <f>IF(ISBLANK(B24),"",MAX($A$8:A23)+1)</f>
        <v>13</v>
      </c>
      <c r="B24" s="613" t="s">
        <v>3126</v>
      </c>
      <c r="C24" s="881" t="s">
        <v>3127</v>
      </c>
    </row>
    <row r="25" spans="1:3">
      <c r="A25" s="877">
        <f>IF(ISBLANK(B25),"",MAX($A$8:A24)+1)</f>
        <v>14</v>
      </c>
      <c r="B25" s="613" t="s">
        <v>3128</v>
      </c>
      <c r="C25" s="881" t="s">
        <v>2578</v>
      </c>
    </row>
    <row r="26" spans="1:3">
      <c r="A26" s="877">
        <f>IF(ISBLANK(B26),"",MAX($A$8:A25)+1)</f>
        <v>15</v>
      </c>
      <c r="B26" s="613" t="s">
        <v>3129</v>
      </c>
      <c r="C26" s="881" t="s">
        <v>3130</v>
      </c>
    </row>
    <row r="27" spans="1:3">
      <c r="A27" s="877">
        <f>IF(ISBLANK(B27),"",MAX($A$8:A26)+1)</f>
        <v>16</v>
      </c>
      <c r="B27" s="613" t="s">
        <v>3131</v>
      </c>
      <c r="C27" s="881" t="s">
        <v>3132</v>
      </c>
    </row>
    <row r="28" spans="1:3">
      <c r="A28" s="877" t="str">
        <f>IF(ISBLANK(B28),"",MAX($A$8:A27)+1)</f>
        <v/>
      </c>
    </row>
    <row r="29" spans="1:3">
      <c r="A29" s="877">
        <f>IF(ISBLANK(B29),"",MAX($A$8:A28)+1)</f>
        <v>17</v>
      </c>
      <c r="B29" s="613" t="str">
        <f>'Rev Req ---&gt;'!B2</f>
        <v>Revenue Requirement Section</v>
      </c>
      <c r="C29" s="882" t="str">
        <f ca="1">'Rev Req ---&gt;'!A1</f>
        <v>Rev Req ---&gt;</v>
      </c>
    </row>
    <row r="30" spans="1:3">
      <c r="A30" s="877" t="str">
        <f>IF(ISBLANK(B30),"",MAX($A$8:A29)+1)</f>
        <v/>
      </c>
      <c r="C30" s="882" t="s">
        <v>3133</v>
      </c>
    </row>
    <row r="31" spans="1:3">
      <c r="A31" s="877" t="str">
        <f>IF(ISBLANK(B31),"",MAX($A$8:A30)+1)</f>
        <v/>
      </c>
      <c r="C31" s="882" t="s">
        <v>3134</v>
      </c>
    </row>
    <row r="32" spans="1:3">
      <c r="A32" s="877" t="str">
        <f>IF(ISBLANK(B32),"",MAX($A$8:A31)+1)</f>
        <v/>
      </c>
      <c r="C32" s="882"/>
    </row>
    <row r="33" spans="1:3">
      <c r="A33" s="877" t="str">
        <f>IF(ISBLANK(B33),"",MAX($A$8:A32)+1)</f>
        <v/>
      </c>
      <c r="C33" s="882"/>
    </row>
    <row r="34" spans="1:3">
      <c r="A34" s="877" t="str">
        <f>IF(ISBLANK(B34),"",MAX($A$8:A33)+1)</f>
        <v/>
      </c>
      <c r="C34" s="882"/>
    </row>
    <row r="35" spans="1:3">
      <c r="A35" s="877" t="str">
        <f>IF(ISBLANK(B35),"",MAX($A$8:A34)+1)</f>
        <v/>
      </c>
      <c r="C35" s="882"/>
    </row>
    <row r="36" spans="1:3">
      <c r="A36" s="877" t="str">
        <f>IF(ISBLANK(B36),"",MAX($A$8:A35)+1)</f>
        <v/>
      </c>
    </row>
    <row r="37" spans="1:3">
      <c r="A37" s="877">
        <f>IF(ISBLANK(B37),"",MAX($A$8:A36)+1)</f>
        <v>18</v>
      </c>
      <c r="B37" s="613" t="str">
        <f>'RR WPs ---&gt;'!B2</f>
        <v>Revenue Requirement Workpapers Section</v>
      </c>
      <c r="C37" s="883" t="str">
        <f ca="1">'RR WPs ---&gt;'!A1</f>
        <v>RR WPs ---&gt;</v>
      </c>
    </row>
    <row r="38" spans="1:3">
      <c r="A38" s="877" t="str">
        <f>IF(ISBLANK(B38),"",MAX($A$8:A37)+1)</f>
        <v/>
      </c>
      <c r="C38" s="883"/>
    </row>
    <row r="39" spans="1:3">
      <c r="A39" s="877" t="str">
        <f>IF(ISBLANK(B39),"",MAX($A$8:A38)+1)</f>
        <v/>
      </c>
      <c r="C39" s="883"/>
    </row>
    <row r="40" spans="1:3">
      <c r="A40" s="877" t="str">
        <f>IF(ISBLANK(B40),"",MAX($A$8:A39)+1)</f>
        <v/>
      </c>
      <c r="C40" s="883"/>
    </row>
    <row r="41" spans="1:3">
      <c r="A41" s="877" t="str">
        <f>IF(ISBLANK(B41),"",MAX($A$8:A40)+1)</f>
        <v/>
      </c>
      <c r="C41" s="883"/>
    </row>
    <row r="42" spans="1:3">
      <c r="A42" s="877" t="str">
        <f>IF(ISBLANK(B42),"",MAX($A$8:A41)+1)</f>
        <v/>
      </c>
    </row>
    <row r="43" spans="1:3">
      <c r="A43" s="877" t="str">
        <f>IF(ISBLANK(B43),"",MAX($A$8:A42)+1)</f>
        <v/>
      </c>
    </row>
    <row r="44" spans="1:3">
      <c r="A44" s="877" t="str">
        <f>IF(ISBLANK(B44),"",MAX($A$8:A43)+1)</f>
        <v/>
      </c>
    </row>
    <row r="45" spans="1:3">
      <c r="A45" s="877" t="str">
        <f>IF(ISBLANK(B45),"",MAX($A$8:A44)+1)</f>
        <v/>
      </c>
    </row>
    <row r="46" spans="1:3">
      <c r="A46" s="877" t="str">
        <f>IF(ISBLANK(B46),"",MAX($A$8:A45)+1)</f>
        <v/>
      </c>
    </row>
    <row r="47" spans="1:3">
      <c r="A47" s="877" t="str">
        <f>IF(ISBLANK(B47),"",MAX($A$8:A46)+1)</f>
        <v/>
      </c>
    </row>
    <row r="48" spans="1:3">
      <c r="A48" s="877" t="str">
        <f>IF(ISBLANK(B48),"",MAX($A$8:A47)+1)</f>
        <v/>
      </c>
    </row>
    <row r="49" spans="1:3">
      <c r="A49" s="877" t="str">
        <f>IF(ISBLANK(B49),"",MAX($A$8:A48)+1)</f>
        <v/>
      </c>
    </row>
    <row r="50" spans="1:3">
      <c r="A50" s="877" t="str">
        <f>IF(ISBLANK(B50),"",MAX($A$8:A49)+1)</f>
        <v/>
      </c>
    </row>
    <row r="51" spans="1:3">
      <c r="A51" s="877" t="str">
        <f>IF(ISBLANK(B51),"",MAX($A$8:A50)+1)</f>
        <v/>
      </c>
    </row>
    <row r="52" spans="1:3">
      <c r="A52" s="877" t="str">
        <f>IF(ISBLANK(B52),"",MAX($A$8:A51)+1)</f>
        <v/>
      </c>
    </row>
    <row r="53" spans="1:3">
      <c r="A53" s="877" t="str">
        <f>IF(ISBLANK(B53),"",MAX($A$8:A52)+1)</f>
        <v/>
      </c>
    </row>
    <row r="54" spans="1:3">
      <c r="A54" s="877" t="str">
        <f>IF(ISBLANK(B54),"",MAX($A$8:A53)+1)</f>
        <v/>
      </c>
    </row>
    <row r="55" spans="1:3">
      <c r="A55" s="877" t="str">
        <f>IF(ISBLANK(B55),"",MAX($A$8:A54)+1)</f>
        <v/>
      </c>
    </row>
    <row r="56" spans="1:3">
      <c r="A56" s="877" t="str">
        <f>IF(ISBLANK(B56),"",MAX($A$8:A55)+1)</f>
        <v/>
      </c>
    </row>
    <row r="57" spans="1:3">
      <c r="A57" s="877" t="str">
        <f>IF(ISBLANK(B57),"",MAX($A$8:A56)+1)</f>
        <v/>
      </c>
    </row>
    <row r="58" spans="1:3">
      <c r="A58" s="877" t="str">
        <f>IF(ISBLANK(B58),"",MAX($A$8:A57)+1)</f>
        <v/>
      </c>
      <c r="C58" s="884"/>
    </row>
    <row r="59" spans="1:3">
      <c r="A59" s="877" t="str">
        <f>IF(ISBLANK(B59),"",MAX($A$8:A58)+1)</f>
        <v/>
      </c>
    </row>
    <row r="60" spans="1:3">
      <c r="A60" s="877" t="str">
        <f>IF(ISBLANK(B60),"",MAX($A$8:A59)+1)</f>
        <v/>
      </c>
    </row>
    <row r="61" spans="1:3">
      <c r="A61" s="877" t="str">
        <f>IF(ISBLANK(B61),"",MAX($A$8:A60)+1)</f>
        <v/>
      </c>
    </row>
    <row r="62" spans="1:3">
      <c r="A62" s="877" t="str">
        <f>IF(ISBLANK(B62),"",MAX($A$8:A61)+1)</f>
        <v/>
      </c>
    </row>
    <row r="63" spans="1:3">
      <c r="A63" s="877" t="str">
        <f>IF(ISBLANK(B63),"",MAX($A$8:A62)+1)</f>
        <v/>
      </c>
    </row>
    <row r="64" spans="1:3">
      <c r="A64" s="877" t="str">
        <f>IF(ISBLANK(B64),"",MAX($A$8:A63)+1)</f>
        <v/>
      </c>
    </row>
    <row r="65" spans="1:1">
      <c r="A65" s="877" t="str">
        <f>IF(ISBLANK(B65),"",MAX($A$8:A64)+1)</f>
        <v/>
      </c>
    </row>
    <row r="66" spans="1:1">
      <c r="A66" s="877" t="str">
        <f>IF(ISBLANK(B66),"",MAX($A$8:A65)+1)</f>
        <v/>
      </c>
    </row>
    <row r="67" spans="1:1">
      <c r="A67" s="877" t="str">
        <f>IF(ISBLANK(B67),"",MAX($A$8:A66)+1)</f>
        <v/>
      </c>
    </row>
    <row r="68" spans="1:1">
      <c r="A68" s="877" t="str">
        <f>IF(ISBLANK(B68),"",MAX($A$8:A67)+1)</f>
        <v/>
      </c>
    </row>
    <row r="69" spans="1:1">
      <c r="A69" s="877" t="str">
        <f>IF(ISBLANK(B69),"",MAX($A$8:A68)+1)</f>
        <v/>
      </c>
    </row>
    <row r="70" spans="1:1">
      <c r="A70" s="877" t="str">
        <f>IF(ISBLANK(B70),"",MAX($A$8:A69)+1)</f>
        <v/>
      </c>
    </row>
    <row r="71" spans="1:1">
      <c r="A71" s="877" t="str">
        <f>IF(ISBLANK(B71),"",MAX($A$8:A70)+1)</f>
        <v/>
      </c>
    </row>
    <row r="72" spans="1:1">
      <c r="A72" s="877" t="str">
        <f>IF(ISBLANK(B72),"",MAX($A$8:A71)+1)</f>
        <v/>
      </c>
    </row>
    <row r="73" spans="1:1">
      <c r="A73" s="877" t="str">
        <f>IF(ISBLANK(B73),"",MAX($A$8:A72)+1)</f>
        <v/>
      </c>
    </row>
    <row r="74" spans="1:1">
      <c r="A74" s="877" t="str">
        <f>IF(ISBLANK(B74),"",MAX($A$8:A73)+1)</f>
        <v/>
      </c>
    </row>
    <row r="75" spans="1:1">
      <c r="A75" s="877" t="str">
        <f>IF(ISBLANK(B75),"",MAX($A$8:A74)+1)</f>
        <v/>
      </c>
    </row>
    <row r="76" spans="1:1">
      <c r="A76" s="877" t="str">
        <f>IF(ISBLANK(B76),"",MAX($A$8:A75)+1)</f>
        <v/>
      </c>
    </row>
    <row r="77" spans="1:1">
      <c r="A77" s="877" t="str">
        <f>IF(ISBLANK(B77),"",MAX($A$8:A76)+1)</f>
        <v/>
      </c>
    </row>
    <row r="78" spans="1:1">
      <c r="A78" s="877" t="str">
        <f>IF(ISBLANK(B78),"",MAX($A$8:A77)+1)</f>
        <v/>
      </c>
    </row>
    <row r="79" spans="1:1">
      <c r="A79" s="877" t="str">
        <f>IF(ISBLANK(B79),"",MAX($A$8:A78)+1)</f>
        <v/>
      </c>
    </row>
    <row r="80" spans="1:1">
      <c r="A80" s="877" t="str">
        <f>IF(ISBLANK(B80),"",MAX($A$8:A79)+1)</f>
        <v/>
      </c>
    </row>
    <row r="81" spans="1:3">
      <c r="A81" s="877" t="str">
        <f>IF(ISBLANK(B81),"",MAX($A$8:A80)+1)</f>
        <v/>
      </c>
    </row>
    <row r="82" spans="1:3">
      <c r="A82" s="877" t="str">
        <f>IF(ISBLANK(B82),"",MAX($A$8:A81)+1)</f>
        <v/>
      </c>
    </row>
    <row r="83" spans="1:3">
      <c r="A83" s="877" t="str">
        <f>IF(ISBLANK(B83),"",MAX($A$8:A82)+1)</f>
        <v/>
      </c>
    </row>
    <row r="84" spans="1:3">
      <c r="A84" s="877" t="str">
        <f>IF(ISBLANK(B84),"",MAX($A$8:A83)+1)</f>
        <v/>
      </c>
    </row>
    <row r="85" spans="1:3">
      <c r="A85" s="877" t="str">
        <f>IF(ISBLANK(B85),"",MAX($A$8:A84)+1)</f>
        <v/>
      </c>
    </row>
    <row r="86" spans="1:3">
      <c r="A86" s="877" t="str">
        <f>IF(ISBLANK(B86),"",MAX($A$8:A85)+1)</f>
        <v/>
      </c>
    </row>
    <row r="87" spans="1:3">
      <c r="A87" s="877" t="str">
        <f>IF(ISBLANK(B87),"",MAX($A$8:A86)+1)</f>
        <v/>
      </c>
    </row>
    <row r="88" spans="1:3">
      <c r="A88" s="877" t="str">
        <f>IF(ISBLANK(B88),"",MAX($A$8:A87)+1)</f>
        <v/>
      </c>
    </row>
    <row r="89" spans="1:3">
      <c r="A89" s="877" t="str">
        <f>IF(ISBLANK(B89),"",MAX($A$8:A88)+1)</f>
        <v/>
      </c>
    </row>
    <row r="90" spans="1:3">
      <c r="A90" s="877" t="str">
        <f>IF(ISBLANK(B90),"",MAX($A$8:A89)+1)</f>
        <v/>
      </c>
    </row>
    <row r="91" spans="1:3">
      <c r="A91" s="877" t="str">
        <f>IF(ISBLANK(B91),"",MAX($A$8:A90)+1)</f>
        <v/>
      </c>
    </row>
    <row r="92" spans="1:3">
      <c r="A92" s="877" t="str">
        <f>IF(ISBLANK(B92),"",MAX($A$8:A91)+1)</f>
        <v/>
      </c>
    </row>
    <row r="93" spans="1:3">
      <c r="A93" s="877" t="str">
        <f>IF(ISBLANK(B93),"",MAX($A$8:A92)+1)</f>
        <v/>
      </c>
    </row>
    <row r="94" spans="1:3">
      <c r="A94" s="877" t="str">
        <f>IF(ISBLANK(B94),"",MAX($A$8:A93)+1)</f>
        <v/>
      </c>
    </row>
    <row r="95" spans="1:3">
      <c r="A95" s="877" t="str">
        <f>IF(ISBLANK(B95),"",MAX($A$8:A94)+1)</f>
        <v/>
      </c>
    </row>
    <row r="96" spans="1:3">
      <c r="A96" s="877" t="str">
        <f>IF(ISBLANK(B96),"",MAX($A$8:A95)+1)</f>
        <v/>
      </c>
      <c r="C96" s="885"/>
    </row>
    <row r="97" spans="1:1">
      <c r="A97" s="877" t="str">
        <f>IF(ISBLANK(B97),"",MAX($A$8:A96)+1)</f>
        <v/>
      </c>
    </row>
    <row r="98" spans="1:1">
      <c r="A98" s="877" t="str">
        <f>IF(ISBLANK(B98),"",MAX($A$8:A97)+1)</f>
        <v/>
      </c>
    </row>
    <row r="99" spans="1:1">
      <c r="A99" s="877" t="str">
        <f>IF(ISBLANK(B99),"",MAX($A$8:A98)+1)</f>
        <v/>
      </c>
    </row>
    <row r="100" spans="1:1">
      <c r="A100" s="877" t="str">
        <f>IF(ISBLANK(B100),"",MAX($A$8:A99)+1)</f>
        <v/>
      </c>
    </row>
    <row r="101" spans="1:1">
      <c r="A101" s="877" t="str">
        <f>IF(ISBLANK(B101),"",MAX($A$8:A100)+1)</f>
        <v/>
      </c>
    </row>
    <row r="102" spans="1:1">
      <c r="A102" s="877" t="str">
        <f>IF(ISBLANK(B102),"",MAX($A$8:A101)+1)</f>
        <v/>
      </c>
    </row>
    <row r="103" spans="1:1">
      <c r="A103" s="877" t="str">
        <f>IF(ISBLANK(B103),"",MAX($A$8:A102)+1)</f>
        <v/>
      </c>
    </row>
    <row r="104" spans="1:1">
      <c r="A104" s="877" t="str">
        <f>IF(ISBLANK(B104),"",MAX($A$8:A103)+1)</f>
        <v/>
      </c>
    </row>
    <row r="105" spans="1:1">
      <c r="A105" s="877" t="str">
        <f>IF(ISBLANK(B105),"",MAX($A$8:A104)+1)</f>
        <v/>
      </c>
    </row>
    <row r="106" spans="1:1">
      <c r="A106" s="877" t="str">
        <f>IF(ISBLANK(B106),"",MAX($A$8:A105)+1)</f>
        <v/>
      </c>
    </row>
  </sheetData>
  <mergeCells count="5">
    <mergeCell ref="A2:E2"/>
    <mergeCell ref="A3:E3"/>
    <mergeCell ref="A4:E4"/>
    <mergeCell ref="A5:E5"/>
    <mergeCell ref="A6:E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sheetPr>
  <dimension ref="A1:G21"/>
  <sheetViews>
    <sheetView zoomScale="80" zoomScaleNormal="80" workbookViewId="0">
      <selection activeCell="D11" sqref="D11"/>
    </sheetView>
  </sheetViews>
  <sheetFormatPr defaultColWidth="14" defaultRowHeight="15.6"/>
  <cols>
    <col min="1" max="1" width="2.109375" style="3" bestFit="1" customWidth="1"/>
    <col min="2" max="2" width="14" style="3"/>
    <col min="3" max="3" width="25.109375" style="3" customWidth="1"/>
    <col min="4" max="16384" width="14" style="3"/>
  </cols>
  <sheetData>
    <row r="1" spans="1:7">
      <c r="B1" s="1880" t="s">
        <v>100</v>
      </c>
      <c r="C1" s="1881"/>
      <c r="D1" s="1882"/>
    </row>
    <row r="2" spans="1:7">
      <c r="B2" s="1883" t="s">
        <v>99</v>
      </c>
      <c r="C2" s="1884"/>
      <c r="D2" s="1885"/>
    </row>
    <row r="3" spans="1:7">
      <c r="B3" s="1883" t="s">
        <v>1942</v>
      </c>
      <c r="C3" s="1884"/>
      <c r="D3" s="1885"/>
    </row>
    <row r="4" spans="1:7">
      <c r="A4" s="4"/>
      <c r="B4" s="283"/>
      <c r="C4" s="284"/>
      <c r="D4" s="285"/>
    </row>
    <row r="5" spans="1:7">
      <c r="A5" s="51"/>
      <c r="B5" s="51"/>
      <c r="C5" s="51"/>
      <c r="D5" s="51"/>
    </row>
    <row r="7" spans="1:7">
      <c r="A7" s="3">
        <v>1</v>
      </c>
      <c r="B7" s="3" t="s">
        <v>60</v>
      </c>
      <c r="D7" s="798">
        <f>+'Exh 6, ROO Summary'!Q38</f>
        <v>409282452.8131454</v>
      </c>
    </row>
    <row r="8" spans="1:7">
      <c r="A8" s="3">
        <v>2</v>
      </c>
      <c r="B8" s="3" t="s">
        <v>12</v>
      </c>
      <c r="D8" s="52">
        <f>+'Capital Structure Calculation'!J14</f>
        <v>6.9509999999999988E-2</v>
      </c>
    </row>
    <row r="9" spans="1:7">
      <c r="D9" s="14"/>
    </row>
    <row r="10" spans="1:7">
      <c r="A10" s="3">
        <v>3</v>
      </c>
      <c r="B10" s="3" t="s">
        <v>61</v>
      </c>
      <c r="D10" s="432">
        <f>+D7*D8</f>
        <v>28449223.295041732</v>
      </c>
    </row>
    <row r="11" spans="1:7">
      <c r="A11" s="3">
        <v>4</v>
      </c>
      <c r="B11" s="3" t="s">
        <v>62</v>
      </c>
      <c r="D11" s="799">
        <f>+'Exh 6, ROO Summary'!Q30</f>
        <v>28742220.965109378</v>
      </c>
      <c r="G11" s="1818"/>
    </row>
    <row r="12" spans="1:7">
      <c r="D12" s="432"/>
    </row>
    <row r="13" spans="1:7">
      <c r="A13" s="3">
        <v>5</v>
      </c>
      <c r="B13" s="3" t="s">
        <v>65</v>
      </c>
      <c r="D13" s="432">
        <f>+D10-D11</f>
        <v>-292997.67006764561</v>
      </c>
    </row>
    <row r="14" spans="1:7">
      <c r="D14" s="14"/>
    </row>
    <row r="15" spans="1:7">
      <c r="A15" s="3">
        <v>6</v>
      </c>
      <c r="B15" s="3" t="s">
        <v>63</v>
      </c>
      <c r="D15" s="800">
        <f>+'Exh 8, Conversion Factor'!C25</f>
        <v>0.75481349214407267</v>
      </c>
    </row>
    <row r="16" spans="1:7">
      <c r="D16" s="14"/>
    </row>
    <row r="17" spans="1:4" ht="16.2" thickBot="1">
      <c r="A17" s="3">
        <v>7</v>
      </c>
      <c r="B17" s="3" t="s">
        <v>64</v>
      </c>
      <c r="D17" s="801">
        <f>+D13/D15</f>
        <v>-388172.27449840098</v>
      </c>
    </row>
    <row r="18" spans="1:4" ht="16.2" thickTop="1">
      <c r="D18" s="432"/>
    </row>
    <row r="19" spans="1:4">
      <c r="A19" s="3">
        <v>8</v>
      </c>
      <c r="B19" s="3" t="s">
        <v>96</v>
      </c>
      <c r="D19" s="432">
        <f>+'Exh 6, ROO Summary'!Q14</f>
        <v>260661650.85980675</v>
      </c>
    </row>
    <row r="20" spans="1:4">
      <c r="D20" s="14"/>
    </row>
    <row r="21" spans="1:4">
      <c r="A21" s="3">
        <v>9</v>
      </c>
      <c r="B21" s="3" t="s">
        <v>771</v>
      </c>
      <c r="D21" s="802">
        <f>+D17/D19</f>
        <v>-1.4891806033530189E-3</v>
      </c>
    </row>
  </sheetData>
  <mergeCells count="3">
    <mergeCell ref="B1:D1"/>
    <mergeCell ref="B2:D2"/>
    <mergeCell ref="B3:D3"/>
  </mergeCells>
  <printOptions horizontalCentered="1"/>
  <pageMargins left="0.7" right="0.7" top="0.75" bottom="0.75" header="0.3" footer="0.3"/>
  <pageSetup orientation="portrait" r:id="rId1"/>
  <headerFooter scaleWithDoc="0" alignWithMargins="0">
    <oddHeader>&amp;RDocket No. UG-200568
Exhibit _____ (MCP-9)
Page 1 of 1</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sheetPr>
  <dimension ref="A1:G33"/>
  <sheetViews>
    <sheetView topLeftCell="A2" zoomScale="80" zoomScaleNormal="80" workbookViewId="0">
      <selection activeCell="E25" sqref="E25"/>
    </sheetView>
  </sheetViews>
  <sheetFormatPr defaultColWidth="9.109375" defaultRowHeight="15.6"/>
  <cols>
    <col min="1" max="1" width="49.33203125" style="3" bestFit="1" customWidth="1"/>
    <col min="2" max="2" width="9.109375" style="3"/>
    <col min="3" max="3" width="21.33203125" style="58" customWidth="1"/>
    <col min="4" max="16384" width="9.109375" style="3"/>
  </cols>
  <sheetData>
    <row r="1" spans="1:7">
      <c r="A1" s="1878" t="s">
        <v>100</v>
      </c>
      <c r="B1" s="1878"/>
      <c r="C1" s="1878"/>
    </row>
    <row r="2" spans="1:7">
      <c r="A2" s="1878" t="s">
        <v>773</v>
      </c>
      <c r="B2" s="1878"/>
      <c r="C2" s="1878"/>
    </row>
    <row r="3" spans="1:7">
      <c r="A3" s="1889" t="s">
        <v>1823</v>
      </c>
      <c r="B3" s="1889"/>
      <c r="C3" s="1889"/>
    </row>
    <row r="4" spans="1:7">
      <c r="A4" s="1886" t="s">
        <v>13</v>
      </c>
      <c r="B4" s="1887"/>
      <c r="C4" s="1888"/>
    </row>
    <row r="5" spans="1:7">
      <c r="A5" s="53"/>
      <c r="B5" s="54"/>
      <c r="C5" s="55"/>
    </row>
    <row r="6" spans="1:7">
      <c r="A6" s="53" t="s">
        <v>14</v>
      </c>
      <c r="B6" s="54"/>
      <c r="C6" s="55">
        <v>1</v>
      </c>
    </row>
    <row r="7" spans="1:7">
      <c r="A7" s="56" t="s">
        <v>15</v>
      </c>
      <c r="B7" s="54"/>
      <c r="C7" s="55"/>
    </row>
    <row r="8" spans="1:7">
      <c r="A8" s="57" t="s">
        <v>16</v>
      </c>
      <c r="B8" s="54"/>
      <c r="C8" s="288">
        <f>+'Operating Report'!G91/'Operating Report'!G28</f>
        <v>4.0198833619333558E-3</v>
      </c>
    </row>
    <row r="9" spans="1:7">
      <c r="A9" s="57" t="s">
        <v>656</v>
      </c>
      <c r="B9" s="54"/>
      <c r="C9" s="288">
        <v>3.8519999999999999E-2</v>
      </c>
    </row>
    <row r="10" spans="1:7">
      <c r="A10" s="57" t="s">
        <v>655</v>
      </c>
      <c r="B10" s="54"/>
      <c r="C10" s="288">
        <v>2E-3</v>
      </c>
      <c r="D10" s="58">
        <f>+C8+C9+C10</f>
        <v>4.4539883361933354E-2</v>
      </c>
    </row>
    <row r="11" spans="1:7">
      <c r="A11" s="56" t="s">
        <v>17</v>
      </c>
      <c r="B11" s="54"/>
      <c r="C11" s="59"/>
      <c r="G11" s="13"/>
    </row>
    <row r="12" spans="1:7" ht="16.2" thickBot="1">
      <c r="A12" s="56" t="s">
        <v>18</v>
      </c>
      <c r="B12" s="54"/>
      <c r="C12" s="60">
        <f>+C6-SUM(C8:C11)</f>
        <v>0.95546011663806663</v>
      </c>
    </row>
    <row r="13" spans="1:7">
      <c r="A13" s="61"/>
      <c r="B13" s="54"/>
      <c r="C13" s="55"/>
    </row>
    <row r="14" spans="1:7" ht="16.2" thickBot="1">
      <c r="A14" s="56" t="s">
        <v>19</v>
      </c>
      <c r="B14" s="54"/>
      <c r="C14" s="62">
        <f>C12*C30</f>
        <v>0</v>
      </c>
    </row>
    <row r="15" spans="1:7">
      <c r="A15" s="61"/>
      <c r="B15" s="54"/>
      <c r="C15" s="55"/>
    </row>
    <row r="16" spans="1:7" ht="16.2" thickBot="1">
      <c r="A16" s="61" t="s">
        <v>20</v>
      </c>
      <c r="B16" s="54"/>
      <c r="C16" s="62">
        <f>+C12-C14</f>
        <v>0.95546011663806663</v>
      </c>
    </row>
    <row r="17" spans="1:3">
      <c r="A17" s="61"/>
      <c r="B17" s="54"/>
      <c r="C17" s="55"/>
    </row>
    <row r="18" spans="1:3" ht="16.2" thickBot="1">
      <c r="A18" s="335" t="s">
        <v>1080</v>
      </c>
      <c r="B18" s="336"/>
      <c r="C18" s="62">
        <f>+C16*0.21</f>
        <v>0.20064662449399398</v>
      </c>
    </row>
    <row r="19" spans="1:3">
      <c r="A19" s="335"/>
      <c r="B19" s="336"/>
      <c r="C19" s="59"/>
    </row>
    <row r="20" spans="1:3" ht="16.2" thickBot="1">
      <c r="A20" s="335" t="s">
        <v>58</v>
      </c>
      <c r="B20" s="336"/>
      <c r="C20" s="60">
        <f>+C14+C18</f>
        <v>0.20064662449399398</v>
      </c>
    </row>
    <row r="21" spans="1:3">
      <c r="A21" s="335"/>
      <c r="B21" s="336"/>
      <c r="C21" s="55"/>
    </row>
    <row r="22" spans="1:3" ht="16.2" thickBot="1">
      <c r="A22" s="335" t="s">
        <v>21</v>
      </c>
      <c r="B22" s="336"/>
      <c r="C22" s="62">
        <f>SUM(C8:C11)+C20</f>
        <v>0.24518650785592733</v>
      </c>
    </row>
    <row r="23" spans="1:3">
      <c r="A23" s="335"/>
      <c r="B23" s="336"/>
      <c r="C23" s="55"/>
    </row>
    <row r="24" spans="1:3">
      <c r="A24" s="335" t="s">
        <v>772</v>
      </c>
      <c r="B24" s="336"/>
      <c r="C24" s="55"/>
    </row>
    <row r="25" spans="1:3" ht="16.2" thickBot="1">
      <c r="A25" s="335" t="s">
        <v>22</v>
      </c>
      <c r="B25" s="336"/>
      <c r="C25" s="63">
        <f>+C6-C22</f>
        <v>0.75481349214407267</v>
      </c>
    </row>
    <row r="26" spans="1:3">
      <c r="A26" s="337"/>
      <c r="B26" s="338"/>
      <c r="C26" s="59"/>
    </row>
    <row r="27" spans="1:3">
      <c r="A27" s="339"/>
      <c r="B27" s="336"/>
      <c r="C27" s="55"/>
    </row>
    <row r="28" spans="1:3">
      <c r="A28" s="339"/>
      <c r="B28" s="336"/>
      <c r="C28" s="55"/>
    </row>
    <row r="29" spans="1:3">
      <c r="A29" s="340" t="s">
        <v>86</v>
      </c>
      <c r="B29" s="341"/>
      <c r="C29" s="65"/>
    </row>
    <row r="30" spans="1:3">
      <c r="A30" s="340" t="s">
        <v>87</v>
      </c>
      <c r="B30" s="341"/>
      <c r="C30" s="65">
        <v>0</v>
      </c>
    </row>
    <row r="31" spans="1:3">
      <c r="A31" s="340" t="s">
        <v>88</v>
      </c>
      <c r="B31" s="341"/>
      <c r="C31" s="65">
        <v>0.21</v>
      </c>
    </row>
    <row r="32" spans="1:3">
      <c r="A32" s="66"/>
      <c r="B32" s="64"/>
      <c r="C32" s="67"/>
    </row>
    <row r="33" spans="1:3">
      <c r="A33" s="68" t="s">
        <v>89</v>
      </c>
      <c r="B33" s="69"/>
      <c r="C33" s="70">
        <f>ROUND(((1-C30)*C31)+C30,5)</f>
        <v>0.21</v>
      </c>
    </row>
  </sheetData>
  <mergeCells count="4">
    <mergeCell ref="A4:C4"/>
    <mergeCell ref="A1:C1"/>
    <mergeCell ref="A2:C2"/>
    <mergeCell ref="A3:C3"/>
  </mergeCells>
  <printOptions horizontalCentered="1"/>
  <pageMargins left="0.7" right="0.7" top="1.25" bottom="0.75" header="0.3" footer="0.3"/>
  <pageSetup orientation="portrait" r:id="rId1"/>
  <headerFooter scaleWithDoc="0" alignWithMargins="0">
    <oddHeader>&amp;RDocket No. UG-20___
Exhibit _____ (MCP-4)
Page 1 of 1</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pageSetUpPr fitToPage="1"/>
  </sheetPr>
  <dimension ref="A1:EI65"/>
  <sheetViews>
    <sheetView zoomScale="70" zoomScaleNormal="70" workbookViewId="0">
      <pane xSplit="3" ySplit="10" topLeftCell="D32" activePane="bottomRight" state="frozen"/>
      <selection pane="topRight" activeCell="D1" sqref="D1"/>
      <selection pane="bottomLeft" activeCell="A11" sqref="A11"/>
      <selection pane="bottomRight" activeCell="G54" sqref="G54"/>
    </sheetView>
  </sheetViews>
  <sheetFormatPr defaultColWidth="9.109375" defaultRowHeight="15.6"/>
  <cols>
    <col min="1" max="1" width="3.33203125" style="3" bestFit="1" customWidth="1"/>
    <col min="2" max="2" width="2.88671875" style="3" customWidth="1"/>
    <col min="3" max="3" width="36.33203125" style="3" bestFit="1" customWidth="1"/>
    <col min="4" max="4" width="1.6640625" style="3" customWidth="1"/>
    <col min="5" max="5" width="1.44140625" style="3" customWidth="1"/>
    <col min="6" max="6" width="1.109375" style="3" customWidth="1"/>
    <col min="7" max="7" width="15.44140625" style="3" bestFit="1" customWidth="1"/>
    <col min="8" max="8" width="13.88671875" style="3" bestFit="1" customWidth="1"/>
    <col min="9" max="9" width="22.109375" style="3" bestFit="1" customWidth="1"/>
    <col min="10" max="10" width="14.109375" style="14" bestFit="1" customWidth="1"/>
    <col min="11" max="11" width="14.44140625" style="14" bestFit="1" customWidth="1"/>
    <col min="12" max="16" width="14.44140625" style="14" customWidth="1"/>
    <col min="17" max="17" width="2.109375" style="3" customWidth="1"/>
    <col min="18" max="18" width="15.33203125" style="3" bestFit="1" customWidth="1"/>
    <col min="19" max="19" width="2.109375" style="3" customWidth="1"/>
    <col min="20" max="20" width="14.33203125" style="3" bestFit="1" customWidth="1"/>
    <col min="21" max="21" width="16.33203125" style="73" customWidth="1"/>
    <col min="22" max="22" width="16.33203125" style="3" bestFit="1" customWidth="1"/>
    <col min="23" max="23" width="14.5546875" style="14" bestFit="1" customWidth="1"/>
    <col min="24" max="24" width="15.88671875" style="14" customWidth="1"/>
    <col min="25" max="25" width="14.5546875" style="14" bestFit="1" customWidth="1"/>
    <col min="26" max="26" width="2.109375" style="3" customWidth="1"/>
    <col min="27" max="27" width="15.33203125" style="3" bestFit="1" customWidth="1"/>
    <col min="28" max="28" width="9.109375" style="3"/>
    <col min="29" max="29" width="14.33203125" style="3" customWidth="1"/>
    <col min="30" max="30" width="14" style="3" bestFit="1" customWidth="1"/>
    <col min="31" max="34" width="9.109375" style="3"/>
    <col min="35" max="35" width="22.33203125" style="3" bestFit="1" customWidth="1"/>
    <col min="36" max="36" width="12" style="3" bestFit="1" customWidth="1"/>
    <col min="37" max="37" width="13.33203125" style="3" bestFit="1" customWidth="1"/>
    <col min="38" max="38" width="12.88671875" style="3" bestFit="1" customWidth="1"/>
    <col min="39" max="39" width="13.33203125" style="3" bestFit="1" customWidth="1"/>
    <col min="40" max="40" width="9.109375" style="3"/>
    <col min="41" max="41" width="12.88671875" style="3" bestFit="1" customWidth="1"/>
    <col min="42" max="42" width="9.109375" style="3"/>
    <col min="43" max="43" width="13.33203125" style="3" bestFit="1" customWidth="1"/>
    <col min="44" max="45" width="14.33203125" style="3" bestFit="1" customWidth="1"/>
    <col min="46" max="46" width="13.33203125" style="3" bestFit="1" customWidth="1"/>
    <col min="47" max="47" width="16.33203125" style="3" bestFit="1" customWidth="1"/>
    <col min="48" max="16384" width="9.109375" style="3"/>
  </cols>
  <sheetData>
    <row r="1" spans="1:33">
      <c r="B1" s="1884" t="s">
        <v>101</v>
      </c>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row>
    <row r="2" spans="1:33">
      <c r="A2" s="13"/>
      <c r="B2" s="1884" t="s">
        <v>662</v>
      </c>
      <c r="C2" s="1884"/>
      <c r="D2" s="1884"/>
      <c r="E2" s="1884"/>
      <c r="F2" s="1884"/>
      <c r="G2" s="1884"/>
      <c r="H2" s="1884"/>
      <c r="I2" s="1884"/>
      <c r="J2" s="1884"/>
      <c r="K2" s="1884"/>
      <c r="L2" s="1884"/>
      <c r="M2" s="1884"/>
      <c r="N2" s="1884"/>
      <c r="O2" s="1884"/>
      <c r="P2" s="1884"/>
      <c r="Q2" s="1884"/>
      <c r="R2" s="1884"/>
      <c r="S2" s="1884"/>
      <c r="T2" s="1884"/>
      <c r="U2" s="1884"/>
      <c r="V2" s="1884"/>
      <c r="W2" s="1884"/>
      <c r="X2" s="1884"/>
      <c r="Y2" s="1884"/>
      <c r="Z2" s="1884"/>
      <c r="AA2" s="1884"/>
    </row>
    <row r="3" spans="1:33">
      <c r="A3" s="74" t="s">
        <v>49</v>
      </c>
      <c r="B3" s="1884" t="s">
        <v>1823</v>
      </c>
      <c r="C3" s="1884"/>
      <c r="D3" s="1884"/>
      <c r="E3" s="1884"/>
      <c r="F3" s="1884"/>
      <c r="G3" s="1884"/>
      <c r="H3" s="1884"/>
      <c r="I3" s="1884"/>
      <c r="J3" s="1884"/>
      <c r="K3" s="1884"/>
      <c r="L3" s="1884"/>
      <c r="M3" s="1884"/>
      <c r="N3" s="1884"/>
      <c r="O3" s="1884"/>
      <c r="P3" s="1884"/>
      <c r="Q3" s="1884"/>
      <c r="R3" s="1884"/>
      <c r="S3" s="1884"/>
      <c r="T3" s="1884"/>
      <c r="U3" s="1884"/>
      <c r="V3" s="1884"/>
      <c r="W3" s="1884"/>
      <c r="X3" s="1884"/>
      <c r="Y3" s="1884"/>
      <c r="Z3" s="1884"/>
      <c r="AA3" s="1884"/>
    </row>
    <row r="4" spans="1:33">
      <c r="A4" s="74"/>
      <c r="B4" s="75"/>
      <c r="C4" s="75"/>
      <c r="D4" s="75"/>
      <c r="E4" s="75"/>
      <c r="F4" s="75"/>
      <c r="G4" s="75"/>
      <c r="H4" s="75"/>
      <c r="I4" s="75"/>
      <c r="J4" s="75"/>
      <c r="K4" s="75"/>
      <c r="L4" s="75"/>
      <c r="M4" s="75"/>
      <c r="N4" s="75"/>
      <c r="O4" s="75"/>
      <c r="P4" s="75"/>
      <c r="Q4" s="75"/>
      <c r="R4" s="75"/>
      <c r="S4" s="75"/>
      <c r="T4" s="75"/>
      <c r="U4" s="75"/>
      <c r="V4" s="609"/>
      <c r="W4" s="609"/>
      <c r="X4" s="609"/>
      <c r="Y4" s="609"/>
      <c r="Z4" s="75"/>
      <c r="AA4" s="75"/>
    </row>
    <row r="5" spans="1:33">
      <c r="A5" s="51"/>
      <c r="B5" s="51"/>
      <c r="C5" s="51"/>
      <c r="D5" s="51"/>
      <c r="E5" s="51"/>
      <c r="F5" s="50"/>
      <c r="G5" s="76"/>
      <c r="H5" s="50"/>
      <c r="I5" s="50"/>
      <c r="J5" s="97"/>
      <c r="K5" s="97"/>
      <c r="L5" s="97"/>
      <c r="M5" s="97"/>
      <c r="N5" s="97"/>
      <c r="O5" s="97"/>
      <c r="P5" s="97"/>
      <c r="Q5" s="50"/>
      <c r="R5" s="50"/>
      <c r="S5" s="50"/>
      <c r="T5" s="50"/>
      <c r="U5" s="72"/>
      <c r="V5" s="50"/>
      <c r="W5" s="97"/>
      <c r="X5" s="97"/>
      <c r="Y5" s="97"/>
      <c r="Z5" s="50"/>
      <c r="AA5" s="50"/>
      <c r="AG5" s="3" t="s">
        <v>707</v>
      </c>
    </row>
    <row r="6" spans="1:33">
      <c r="A6" s="77"/>
      <c r="B6" s="78"/>
      <c r="C6" s="79"/>
      <c r="D6" s="80"/>
      <c r="E6" s="81"/>
      <c r="F6" s="50"/>
      <c r="G6" s="342" t="s">
        <v>674</v>
      </c>
      <c r="H6" s="450" t="s">
        <v>53</v>
      </c>
      <c r="I6" s="605" t="s">
        <v>707</v>
      </c>
      <c r="J6" s="605" t="s">
        <v>707</v>
      </c>
      <c r="K6" s="605" t="s">
        <v>707</v>
      </c>
      <c r="L6" s="1692" t="s">
        <v>3261</v>
      </c>
      <c r="M6" s="1692" t="s">
        <v>3261</v>
      </c>
      <c r="N6" s="1692" t="s">
        <v>707</v>
      </c>
      <c r="O6" s="1692" t="s">
        <v>707</v>
      </c>
      <c r="P6" s="1692" t="s">
        <v>3261</v>
      </c>
      <c r="Q6" s="76"/>
      <c r="R6" s="480" t="s">
        <v>3332</v>
      </c>
      <c r="S6" s="76"/>
      <c r="T6" s="342" t="s">
        <v>55</v>
      </c>
      <c r="U6" s="578" t="s">
        <v>668</v>
      </c>
      <c r="V6" s="82" t="s">
        <v>668</v>
      </c>
      <c r="W6" s="82" t="s">
        <v>723</v>
      </c>
      <c r="X6" s="82" t="s">
        <v>674</v>
      </c>
      <c r="Y6" s="82"/>
      <c r="Z6" s="76"/>
      <c r="AA6" s="480" t="s">
        <v>3333</v>
      </c>
    </row>
    <row r="7" spans="1:33">
      <c r="A7" s="77"/>
      <c r="B7" s="83"/>
      <c r="C7" s="84"/>
      <c r="D7" s="77"/>
      <c r="E7" s="81"/>
      <c r="F7" s="50"/>
      <c r="G7" s="86" t="s">
        <v>733</v>
      </c>
      <c r="H7" s="85" t="s">
        <v>50</v>
      </c>
      <c r="I7" s="606" t="s">
        <v>1815</v>
      </c>
      <c r="J7" s="86" t="s">
        <v>95</v>
      </c>
      <c r="K7" s="86" t="s">
        <v>1081</v>
      </c>
      <c r="L7" s="85" t="s">
        <v>3287</v>
      </c>
      <c r="M7" s="1722">
        <v>0.5</v>
      </c>
      <c r="N7" s="85" t="s">
        <v>3253</v>
      </c>
      <c r="O7" s="85" t="s">
        <v>3294</v>
      </c>
      <c r="P7" s="85" t="s">
        <v>3262</v>
      </c>
      <c r="Q7" s="76"/>
      <c r="R7" s="481" t="s">
        <v>0</v>
      </c>
      <c r="S7" s="76"/>
      <c r="T7" s="86" t="s">
        <v>56</v>
      </c>
      <c r="U7" s="579" t="s">
        <v>672</v>
      </c>
      <c r="V7" s="86" t="s">
        <v>708</v>
      </c>
      <c r="W7" s="86" t="s">
        <v>724</v>
      </c>
      <c r="X7" s="86" t="s">
        <v>704</v>
      </c>
      <c r="Y7" s="86" t="s">
        <v>3290</v>
      </c>
      <c r="Z7" s="76"/>
      <c r="AA7" s="481" t="s">
        <v>0</v>
      </c>
    </row>
    <row r="8" spans="1:33">
      <c r="A8" s="77"/>
      <c r="B8" s="83"/>
      <c r="C8" s="81"/>
      <c r="D8" s="77"/>
      <c r="E8" s="81"/>
      <c r="F8" s="50"/>
      <c r="G8" s="86" t="s">
        <v>54</v>
      </c>
      <c r="H8" s="85" t="s">
        <v>54</v>
      </c>
      <c r="I8" s="86" t="s">
        <v>54</v>
      </c>
      <c r="J8" s="86" t="s">
        <v>54</v>
      </c>
      <c r="K8" s="85" t="s">
        <v>1082</v>
      </c>
      <c r="L8" s="85" t="s">
        <v>3288</v>
      </c>
      <c r="M8" s="85" t="s">
        <v>3252</v>
      </c>
      <c r="N8" s="85" t="s">
        <v>3291</v>
      </c>
      <c r="O8" s="85" t="s">
        <v>3259</v>
      </c>
      <c r="P8" s="85" t="s">
        <v>3263</v>
      </c>
      <c r="Q8" s="76"/>
      <c r="R8" s="481"/>
      <c r="S8" s="76"/>
      <c r="T8" s="86" t="s">
        <v>54</v>
      </c>
      <c r="U8" s="579" t="s">
        <v>54</v>
      </c>
      <c r="V8" s="86" t="s">
        <v>57</v>
      </c>
      <c r="W8" s="86" t="s">
        <v>725</v>
      </c>
      <c r="X8" s="86" t="s">
        <v>54</v>
      </c>
      <c r="Y8" s="86" t="s">
        <v>3267</v>
      </c>
      <c r="Z8" s="76"/>
      <c r="AA8" s="481"/>
    </row>
    <row r="9" spans="1:33">
      <c r="A9" s="77"/>
      <c r="B9" s="83"/>
      <c r="C9" s="81"/>
      <c r="D9" s="77"/>
      <c r="E9" s="81"/>
      <c r="F9" s="50"/>
      <c r="G9" s="87" t="s">
        <v>663</v>
      </c>
      <c r="H9" s="476" t="s">
        <v>664</v>
      </c>
      <c r="I9" s="606" t="s">
        <v>732</v>
      </c>
      <c r="J9" s="86" t="s">
        <v>1361</v>
      </c>
      <c r="K9" s="85" t="s">
        <v>1362</v>
      </c>
      <c r="L9" s="85" t="s">
        <v>3260</v>
      </c>
      <c r="M9" s="85" t="s">
        <v>3286</v>
      </c>
      <c r="N9" s="85" t="s">
        <v>3289</v>
      </c>
      <c r="O9" s="85" t="s">
        <v>3292</v>
      </c>
      <c r="P9" s="85" t="s">
        <v>3293</v>
      </c>
      <c r="Q9" s="76"/>
      <c r="R9" s="481"/>
      <c r="S9" s="76"/>
      <c r="T9" s="86" t="s">
        <v>665</v>
      </c>
      <c r="U9" s="579" t="s">
        <v>666</v>
      </c>
      <c r="V9" s="86" t="s">
        <v>734</v>
      </c>
      <c r="W9" s="86" t="s">
        <v>667</v>
      </c>
      <c r="X9" s="86" t="s">
        <v>3356</v>
      </c>
      <c r="Y9" s="86"/>
      <c r="Z9" s="76"/>
      <c r="AA9" s="481"/>
    </row>
    <row r="10" spans="1:33">
      <c r="A10" s="77"/>
      <c r="B10" s="88"/>
      <c r="C10" s="89"/>
      <c r="D10" s="90"/>
      <c r="E10" s="81"/>
      <c r="F10" s="50"/>
      <c r="G10" s="478"/>
      <c r="H10" s="477"/>
      <c r="I10" s="607"/>
      <c r="J10" s="91"/>
      <c r="K10" s="474"/>
      <c r="L10" s="1693"/>
      <c r="M10" s="1693"/>
      <c r="N10" s="1693"/>
      <c r="O10" s="1693"/>
      <c r="P10" s="1693"/>
      <c r="Q10" s="92"/>
      <c r="R10" s="482"/>
      <c r="S10" s="92"/>
      <c r="T10" s="479"/>
      <c r="U10" s="580"/>
      <c r="V10" s="91"/>
      <c r="W10" s="91"/>
      <c r="X10" s="91"/>
      <c r="Y10" s="91"/>
      <c r="Z10" s="92"/>
      <c r="AA10" s="482"/>
    </row>
    <row r="11" spans="1:33">
      <c r="A11" s="77">
        <v>1</v>
      </c>
      <c r="B11" s="81"/>
      <c r="C11" s="19" t="s">
        <v>4</v>
      </c>
      <c r="D11" s="77"/>
      <c r="E11" s="81"/>
      <c r="F11" s="50"/>
      <c r="G11" s="88"/>
      <c r="H11" s="93"/>
      <c r="I11" s="94"/>
      <c r="J11" s="483"/>
      <c r="K11" s="483"/>
      <c r="L11" s="1694"/>
      <c r="M11" s="1694"/>
      <c r="N11" s="1694"/>
      <c r="O11" s="1694"/>
      <c r="P11" s="1694"/>
      <c r="Q11" s="92"/>
      <c r="R11" s="95"/>
      <c r="S11" s="92"/>
      <c r="T11" s="533"/>
      <c r="U11" s="581"/>
      <c r="V11" s="582"/>
      <c r="W11" s="582"/>
      <c r="X11" s="483"/>
      <c r="Y11" s="582"/>
      <c r="Z11" s="92"/>
      <c r="AA11" s="95"/>
      <c r="AD11" s="1684"/>
    </row>
    <row r="12" spans="1:33">
      <c r="A12" s="96">
        <v>2</v>
      </c>
      <c r="B12" s="51"/>
      <c r="C12" s="33" t="s">
        <v>23</v>
      </c>
      <c r="D12" s="96"/>
      <c r="E12" s="51"/>
      <c r="F12" s="97"/>
      <c r="G12" s="632">
        <f>+'Operating Report'!I17</f>
        <v>-2915655</v>
      </c>
      <c r="H12" s="632">
        <f>+'Operating Report'!J17</f>
        <v>0</v>
      </c>
      <c r="I12" s="632">
        <f>+'Operating Report'!L17</f>
        <v>923295.27470448066</v>
      </c>
      <c r="J12" s="632">
        <f>+'Operating Report'!M17</f>
        <v>0</v>
      </c>
      <c r="K12" s="632">
        <f>+'Operating Report'!N17</f>
        <v>0</v>
      </c>
      <c r="L12" s="632">
        <f>+'Operating Report'!O17</f>
        <v>0</v>
      </c>
      <c r="M12" s="632">
        <f>+'Operating Report'!P17</f>
        <v>0</v>
      </c>
      <c r="N12" s="632">
        <f>+'Operating Report'!Q17</f>
        <v>0</v>
      </c>
      <c r="O12" s="632">
        <f>+'Operating Report'!R17</f>
        <v>0</v>
      </c>
      <c r="P12" s="632">
        <f>+'Operating Report'!S17</f>
        <v>0</v>
      </c>
      <c r="Q12" s="98"/>
      <c r="R12" s="99">
        <f>SUM(G12:P12)</f>
        <v>-1992359.7252955195</v>
      </c>
      <c r="S12" s="98"/>
      <c r="T12" s="632">
        <f>+'Operating Report'!T17</f>
        <v>0</v>
      </c>
      <c r="U12" s="632">
        <f>+'Operating Report'!U17</f>
        <v>0</v>
      </c>
      <c r="V12" s="632">
        <f>+'Operating Report'!V17</f>
        <v>2.5465851649641991E-10</v>
      </c>
      <c r="W12" s="632">
        <f>+'Operating Report'!W17</f>
        <v>0</v>
      </c>
      <c r="X12" s="632">
        <f>+'Operating Report'!K17</f>
        <v>14922776.155102273</v>
      </c>
      <c r="Y12" s="632"/>
      <c r="Z12" s="98"/>
      <c r="AA12" s="99">
        <f>SUM(T12:Y12)</f>
        <v>14922776.155102273</v>
      </c>
      <c r="AD12" s="1684"/>
    </row>
    <row r="13" spans="1:33">
      <c r="A13" s="96">
        <v>3</v>
      </c>
      <c r="B13" s="51"/>
      <c r="C13" s="33" t="s">
        <v>24</v>
      </c>
      <c r="D13" s="96"/>
      <c r="E13" s="51"/>
      <c r="F13" s="97"/>
      <c r="G13" s="100"/>
      <c r="H13" s="100"/>
      <c r="I13" s="100"/>
      <c r="J13" s="100"/>
      <c r="K13" s="100"/>
      <c r="L13" s="100"/>
      <c r="M13" s="100"/>
      <c r="N13" s="100"/>
      <c r="O13" s="100"/>
      <c r="P13" s="100"/>
      <c r="Q13" s="100"/>
      <c r="R13" s="100">
        <f>SUM(G13:P13)</f>
        <v>0</v>
      </c>
      <c r="S13" s="100"/>
      <c r="T13" s="100"/>
      <c r="U13" s="100"/>
      <c r="V13" s="100"/>
      <c r="W13" s="100"/>
      <c r="X13" s="100"/>
      <c r="Y13" s="100"/>
      <c r="Z13" s="100"/>
      <c r="AA13" s="100">
        <f>SUM(T13:Y13)</f>
        <v>0</v>
      </c>
      <c r="AD13" s="1684"/>
    </row>
    <row r="14" spans="1:33">
      <c r="A14" s="96">
        <v>4</v>
      </c>
      <c r="B14" s="51"/>
      <c r="C14" s="33" t="s">
        <v>25</v>
      </c>
      <c r="D14" s="96"/>
      <c r="E14" s="51"/>
      <c r="F14" s="97"/>
      <c r="G14" s="632">
        <f>'Operating Report'!I27</f>
        <v>0</v>
      </c>
      <c r="H14" s="632">
        <f>'Operating Report'!J27</f>
        <v>0</v>
      </c>
      <c r="I14" s="632">
        <f>'Operating Report'!L27</f>
        <v>0</v>
      </c>
      <c r="J14" s="632">
        <f>'Operating Report'!M27</f>
        <v>0</v>
      </c>
      <c r="K14" s="632">
        <f>'Operating Report'!N27</f>
        <v>0</v>
      </c>
      <c r="L14" s="632">
        <f>'Operating Report'!O27</f>
        <v>406245</v>
      </c>
      <c r="M14" s="632">
        <f>'Operating Report'!P27</f>
        <v>0</v>
      </c>
      <c r="N14" s="632">
        <f>'Operating Report'!Q27</f>
        <v>0</v>
      </c>
      <c r="O14" s="632">
        <f>'Operating Report'!R27</f>
        <v>0</v>
      </c>
      <c r="P14" s="632">
        <f>'Operating Report'!S27</f>
        <v>0</v>
      </c>
      <c r="Q14" s="100"/>
      <c r="R14" s="100">
        <f>SUM(G14:P14)</f>
        <v>406245</v>
      </c>
      <c r="S14" s="100"/>
      <c r="T14" s="632">
        <f>'Operating Report'!T27</f>
        <v>0</v>
      </c>
      <c r="U14" s="632">
        <f>'Operating Report'!U27</f>
        <v>0</v>
      </c>
      <c r="V14" s="632">
        <f>'Operating Report'!V27</f>
        <v>0</v>
      </c>
      <c r="W14" s="632">
        <f>'Operating Report'!W27</f>
        <v>0</v>
      </c>
      <c r="X14" s="632">
        <f>'Operating Report'!K27</f>
        <v>0</v>
      </c>
      <c r="Y14" s="100"/>
      <c r="Z14" s="100"/>
      <c r="AA14" s="100">
        <f>SUM(T14:Y14)</f>
        <v>0</v>
      </c>
      <c r="AD14" s="3" t="s">
        <v>3271</v>
      </c>
    </row>
    <row r="15" spans="1:33" ht="16.2" thickBot="1">
      <c r="A15" s="96">
        <v>5</v>
      </c>
      <c r="B15" s="101"/>
      <c r="C15" s="39" t="s">
        <v>747</v>
      </c>
      <c r="D15" s="102"/>
      <c r="E15" s="101"/>
      <c r="F15" s="103"/>
      <c r="G15" s="104">
        <f t="shared" ref="G15:L15" si="0">+G12+G13+G14</f>
        <v>-2915655</v>
      </c>
      <c r="H15" s="104">
        <f t="shared" si="0"/>
        <v>0</v>
      </c>
      <c r="I15" s="104">
        <f t="shared" si="0"/>
        <v>923295.27470448066</v>
      </c>
      <c r="J15" s="104">
        <f t="shared" si="0"/>
        <v>0</v>
      </c>
      <c r="K15" s="104">
        <f t="shared" si="0"/>
        <v>0</v>
      </c>
      <c r="L15" s="104">
        <f t="shared" si="0"/>
        <v>406245</v>
      </c>
      <c r="M15" s="104">
        <f t="shared" ref="M15:U15" si="1">+M12+M13+M14</f>
        <v>0</v>
      </c>
      <c r="N15" s="104">
        <f t="shared" si="1"/>
        <v>0</v>
      </c>
      <c r="O15" s="104">
        <f>+O12+O13+O14</f>
        <v>0</v>
      </c>
      <c r="P15" s="104">
        <f>+P12+P13+P14</f>
        <v>0</v>
      </c>
      <c r="Q15" s="104"/>
      <c r="R15" s="104">
        <f>SUM(G15:P15)</f>
        <v>-1586114.7252955195</v>
      </c>
      <c r="S15" s="104"/>
      <c r="T15" s="104">
        <f t="shared" si="1"/>
        <v>0</v>
      </c>
      <c r="U15" s="104">
        <f t="shared" si="1"/>
        <v>0</v>
      </c>
      <c r="V15" s="104">
        <f>+V12+V13+V14</f>
        <v>2.5465851649641991E-10</v>
      </c>
      <c r="W15" s="104">
        <f>+W12+W13+W14</f>
        <v>0</v>
      </c>
      <c r="X15" s="104">
        <f>+X12+X13+X14</f>
        <v>14922776.155102273</v>
      </c>
      <c r="Y15" s="104"/>
      <c r="Z15" s="104"/>
      <c r="AA15" s="104">
        <f>SUM(T15:Y15)</f>
        <v>14922776.155102273</v>
      </c>
      <c r="AD15" s="1690">
        <v>350370.42</v>
      </c>
      <c r="AE15" s="3" t="s">
        <v>3272</v>
      </c>
    </row>
    <row r="16" spans="1:33">
      <c r="A16" s="96"/>
      <c r="B16" s="101"/>
      <c r="C16" s="39"/>
      <c r="D16" s="102"/>
      <c r="E16" s="101"/>
      <c r="F16" s="103"/>
      <c r="G16" s="1695"/>
      <c r="H16" s="1695"/>
      <c r="I16" s="1695"/>
      <c r="J16" s="1695"/>
      <c r="K16" s="1695"/>
      <c r="L16" s="1695"/>
      <c r="M16" s="1695"/>
      <c r="N16" s="1695"/>
      <c r="O16" s="1695"/>
      <c r="P16" s="1695"/>
      <c r="Q16" s="781"/>
      <c r="R16" s="781"/>
      <c r="S16" s="781"/>
      <c r="T16" s="1695"/>
      <c r="U16" s="1695"/>
      <c r="V16" s="1695"/>
      <c r="W16" s="1695"/>
      <c r="X16" s="1695"/>
      <c r="Y16" s="105"/>
      <c r="Z16" s="781"/>
      <c r="AA16" s="781"/>
      <c r="AD16" s="1677">
        <v>0.5</v>
      </c>
      <c r="AE16" s="3" t="s">
        <v>3302</v>
      </c>
    </row>
    <row r="17" spans="1:47">
      <c r="A17" s="96"/>
      <c r="B17" s="101"/>
      <c r="C17" s="39" t="s">
        <v>5</v>
      </c>
      <c r="D17" s="102"/>
      <c r="E17" s="101"/>
      <c r="F17" s="103"/>
      <c r="G17" s="1695"/>
      <c r="H17" s="1695"/>
      <c r="I17" s="1695"/>
      <c r="J17" s="1695"/>
      <c r="K17" s="1695"/>
      <c r="L17" s="1695"/>
      <c r="M17" s="1695"/>
      <c r="N17" s="1695"/>
      <c r="O17" s="1695"/>
      <c r="P17" s="1695"/>
      <c r="Q17" s="781"/>
      <c r="R17" s="781"/>
      <c r="S17" s="781"/>
      <c r="T17" s="1695"/>
      <c r="U17" s="1695"/>
      <c r="V17" s="1695"/>
      <c r="W17" s="1695"/>
      <c r="X17" s="1695"/>
      <c r="Y17" s="105"/>
      <c r="Z17" s="781"/>
      <c r="AA17" s="781"/>
      <c r="AD17" s="1690">
        <f>AD15*AD16</f>
        <v>175185.21</v>
      </c>
      <c r="AE17" s="3" t="s">
        <v>3301</v>
      </c>
    </row>
    <row r="18" spans="1:47">
      <c r="A18" s="96">
        <v>6</v>
      </c>
      <c r="B18" s="81"/>
      <c r="C18" s="33" t="s">
        <v>745</v>
      </c>
      <c r="D18" s="77"/>
      <c r="E18" s="81"/>
      <c r="F18" s="50"/>
      <c r="G18" s="632">
        <f>'Operating Report'!I37</f>
        <v>0</v>
      </c>
      <c r="H18" s="632">
        <f>'Operating Report'!J37</f>
        <v>0</v>
      </c>
      <c r="I18" s="632">
        <f>'Operating Report'!L37</f>
        <v>0</v>
      </c>
      <c r="J18" s="632">
        <f>'Operating Report'!M37</f>
        <v>0</v>
      </c>
      <c r="K18" s="632">
        <f>'Operating Report'!N37</f>
        <v>0</v>
      </c>
      <c r="L18" s="632">
        <f>'Operating Report'!O37</f>
        <v>0</v>
      </c>
      <c r="M18" s="632">
        <f>'Operating Report'!P37</f>
        <v>0</v>
      </c>
      <c r="N18" s="632">
        <f>'Operating Report'!Q37</f>
        <v>0</v>
      </c>
      <c r="O18" s="632">
        <f>'Operating Report'!R37</f>
        <v>0</v>
      </c>
      <c r="P18" s="632">
        <f>'Operating Report'!S37</f>
        <v>0</v>
      </c>
      <c r="Q18" s="108"/>
      <c r="R18" s="1724">
        <f t="shared" ref="R18:R31" si="2">SUM(G18:P18)</f>
        <v>0</v>
      </c>
      <c r="S18" s="108"/>
      <c r="T18" s="632">
        <f>'Operating Report'!T37</f>
        <v>0</v>
      </c>
      <c r="U18" s="632">
        <f>'Operating Report'!U37</f>
        <v>0</v>
      </c>
      <c r="V18" s="632">
        <f>'Operating Report'!V37</f>
        <v>0</v>
      </c>
      <c r="W18" s="632">
        <f>'Operating Report'!W37</f>
        <v>0</v>
      </c>
      <c r="X18" s="632">
        <f>'Operating Report'!K37</f>
        <v>0</v>
      </c>
      <c r="Y18" s="100"/>
      <c r="Z18" s="108"/>
      <c r="AA18" s="1724">
        <f t="shared" ref="AA18:AA31" si="3">SUM(T18:Y18)</f>
        <v>0</v>
      </c>
      <c r="AC18" s="1690">
        <f>AA18-'Exh 6, ROO Summary'!N17</f>
        <v>0</v>
      </c>
    </row>
    <row r="19" spans="1:47">
      <c r="A19" s="96">
        <v>7</v>
      </c>
      <c r="B19" s="81"/>
      <c r="C19" s="33" t="s">
        <v>746</v>
      </c>
      <c r="D19" s="77"/>
      <c r="E19" s="81"/>
      <c r="F19" s="50"/>
      <c r="G19" s="632">
        <f>+'Operating Report'!I53</f>
        <v>-118142.3406</v>
      </c>
      <c r="H19" s="632">
        <f>+'Operating Report'!J53</f>
        <v>0</v>
      </c>
      <c r="I19" s="632">
        <f>+'Operating Report'!L53</f>
        <v>37411.924531025557</v>
      </c>
      <c r="J19" s="632">
        <f>+'Operating Report'!M53</f>
        <v>0</v>
      </c>
      <c r="K19" s="632">
        <f>+'Operating Report'!N53</f>
        <v>0</v>
      </c>
      <c r="L19" s="632">
        <f>+'Operating Report'!O53</f>
        <v>16461.047399999999</v>
      </c>
      <c r="M19" s="632">
        <f>+'Operating Report'!P53</f>
        <v>0</v>
      </c>
      <c r="N19" s="632">
        <f>+'Operating Report'!Q53</f>
        <v>0</v>
      </c>
      <c r="O19" s="632">
        <f>+'Operating Report'!R53</f>
        <v>0</v>
      </c>
      <c r="P19" s="632">
        <f>+'Operating Report'!S53</f>
        <v>0</v>
      </c>
      <c r="Q19" s="108"/>
      <c r="R19" s="1724">
        <f t="shared" si="2"/>
        <v>-64269.36866897445</v>
      </c>
      <c r="S19" s="108"/>
      <c r="T19" s="632">
        <f>+'Operating Report'!T53</f>
        <v>0</v>
      </c>
      <c r="U19" s="632">
        <f>+'Operating Report'!U53</f>
        <v>0</v>
      </c>
      <c r="V19" s="632">
        <f>+'Operating Report'!V53</f>
        <v>1.0318763088434936E-11</v>
      </c>
      <c r="W19" s="632">
        <f>+'Operating Report'!W53</f>
        <v>0</v>
      </c>
      <c r="X19" s="632">
        <f>+'Operating Report'!K53</f>
        <v>604670.88980474416</v>
      </c>
      <c r="Y19" s="100"/>
      <c r="Z19" s="108"/>
      <c r="AA19" s="1724">
        <f t="shared" si="3"/>
        <v>604670.88980474416</v>
      </c>
      <c r="AC19" s="1690">
        <f>AA19-'Exh 6, ROO Summary'!N18</f>
        <v>0</v>
      </c>
    </row>
    <row r="20" spans="1:47">
      <c r="A20" s="96">
        <v>8</v>
      </c>
      <c r="B20" s="81"/>
      <c r="C20" s="41" t="s">
        <v>27</v>
      </c>
      <c r="D20" s="77"/>
      <c r="E20" s="81"/>
      <c r="F20" s="50"/>
      <c r="G20" s="632">
        <f>+'Operating Report'!I57</f>
        <v>0</v>
      </c>
      <c r="H20" s="632">
        <f>+'Operating Report'!J57</f>
        <v>0</v>
      </c>
      <c r="I20" s="632">
        <f>+'Operating Report'!L57</f>
        <v>0</v>
      </c>
      <c r="J20" s="632">
        <f>+'Operating Report'!M57</f>
        <v>0</v>
      </c>
      <c r="K20" s="632">
        <f>+'Operating Report'!N57</f>
        <v>0</v>
      </c>
      <c r="L20" s="632">
        <f>+'Operating Report'!O57</f>
        <v>0</v>
      </c>
      <c r="M20" s="632">
        <f>+'Operating Report'!P57</f>
        <v>0</v>
      </c>
      <c r="N20" s="632">
        <f>+'Operating Report'!Q57</f>
        <v>0</v>
      </c>
      <c r="O20" s="632">
        <f>+'Operating Report'!R57</f>
        <v>0</v>
      </c>
      <c r="P20" s="632">
        <f>+'Operating Report'!S57</f>
        <v>0</v>
      </c>
      <c r="Q20" s="108"/>
      <c r="R20" s="98">
        <f t="shared" si="2"/>
        <v>0</v>
      </c>
      <c r="S20" s="108"/>
      <c r="T20" s="632">
        <f>+'Operating Report'!T57</f>
        <v>0</v>
      </c>
      <c r="U20" s="632">
        <f>+'Operating Report'!U57</f>
        <v>5778.6633749999992</v>
      </c>
      <c r="V20" s="632">
        <f>+'Operating Report'!V57</f>
        <v>0</v>
      </c>
      <c r="W20" s="632">
        <f>+'Operating Report'!W57</f>
        <v>0</v>
      </c>
      <c r="X20" s="632">
        <f>+'Operating Report'!K57</f>
        <v>0</v>
      </c>
      <c r="Y20" s="100"/>
      <c r="Z20" s="108"/>
      <c r="AA20" s="98">
        <f t="shared" si="3"/>
        <v>5778.6633749999992</v>
      </c>
      <c r="AC20" s="1690">
        <f>AA20-'Exh 6, ROO Summary'!N19</f>
        <v>0</v>
      </c>
    </row>
    <row r="21" spans="1:47">
      <c r="A21" s="96">
        <v>9</v>
      </c>
      <c r="B21" s="81"/>
      <c r="C21" s="41" t="s">
        <v>6</v>
      </c>
      <c r="D21" s="77"/>
      <c r="E21" s="81"/>
      <c r="F21" s="50"/>
      <c r="G21" s="632">
        <f>+'Operating Report'!I85</f>
        <v>0</v>
      </c>
      <c r="H21" s="632">
        <f>+'Operating Report'!J85</f>
        <v>0</v>
      </c>
      <c r="I21" s="632">
        <f>+'Operating Report'!L85</f>
        <v>0</v>
      </c>
      <c r="J21" s="632">
        <f>+'Operating Report'!M85</f>
        <v>77164.839599999992</v>
      </c>
      <c r="K21" s="632">
        <f>+'Operating Report'!N85</f>
        <v>0</v>
      </c>
      <c r="L21" s="632">
        <f>+'Operating Report'!O85</f>
        <v>0</v>
      </c>
      <c r="M21" s="632">
        <f>+'Operating Report'!P85</f>
        <v>0</v>
      </c>
      <c r="N21" s="632">
        <f>+'Operating Report'!Q85</f>
        <v>0</v>
      </c>
      <c r="O21" s="632">
        <f>+'Operating Report'!R85</f>
        <v>0</v>
      </c>
      <c r="P21" s="632">
        <f>+'Operating Report'!S85</f>
        <v>0</v>
      </c>
      <c r="Q21" s="108"/>
      <c r="R21" s="632">
        <f t="shared" si="2"/>
        <v>77164.839599999992</v>
      </c>
      <c r="S21" s="108"/>
      <c r="T21" s="632">
        <f>+'Operating Report'!T85</f>
        <v>0</v>
      </c>
      <c r="U21" s="632">
        <f>+'Operating Report'!U85</f>
        <v>421920.10321799992</v>
      </c>
      <c r="V21" s="632">
        <f>+'Operating Report'!V85</f>
        <v>0</v>
      </c>
      <c r="W21" s="632">
        <f>+'Operating Report'!W85</f>
        <v>800404.5149999999</v>
      </c>
      <c r="X21" s="632">
        <f>+'Operating Report'!K85</f>
        <v>0</v>
      </c>
      <c r="Y21" s="100"/>
      <c r="Z21" s="108"/>
      <c r="AA21" s="632">
        <f t="shared" si="3"/>
        <v>1222324.6182179998</v>
      </c>
      <c r="AC21" s="1690">
        <f>AA21-'Exh 6, ROO Summary'!N20</f>
        <v>0</v>
      </c>
      <c r="AD21" s="1684"/>
    </row>
    <row r="22" spans="1:47">
      <c r="A22" s="96">
        <v>10</v>
      </c>
      <c r="B22" s="81"/>
      <c r="C22" s="41" t="s">
        <v>28</v>
      </c>
      <c r="D22" s="77"/>
      <c r="E22" s="81"/>
      <c r="F22" s="50"/>
      <c r="G22" s="632">
        <f>+'Operating Report'!I93</f>
        <v>-11720.593023637799</v>
      </c>
      <c r="H22" s="632">
        <f>+'Operating Report'!J93</f>
        <v>0</v>
      </c>
      <c r="I22" s="632">
        <f>+'Operating Report'!L93</f>
        <v>3711.5393129362292</v>
      </c>
      <c r="J22" s="632">
        <f>+'Operating Report'!M93</f>
        <v>3359.4546</v>
      </c>
      <c r="K22" s="632">
        <f>+'Operating Report'!N93</f>
        <v>0</v>
      </c>
      <c r="L22" s="632">
        <f>+'Operating Report'!O93</f>
        <v>1633.0575163686162</v>
      </c>
      <c r="M22" s="632">
        <f>+'Operating Report'!P93</f>
        <v>0</v>
      </c>
      <c r="N22" s="632">
        <f>+'Operating Report'!Q93</f>
        <v>0</v>
      </c>
      <c r="O22" s="632">
        <f>+'Operating Report'!R93</f>
        <v>0</v>
      </c>
      <c r="P22" s="632">
        <f>+'Operating Report'!S93</f>
        <v>0</v>
      </c>
      <c r="Q22" s="782"/>
      <c r="R22" s="98">
        <f t="shared" si="2"/>
        <v>-3016.5415943329535</v>
      </c>
      <c r="S22" s="782"/>
      <c r="T22" s="632">
        <f>+'Operating Report'!T93</f>
        <v>0</v>
      </c>
      <c r="U22" s="632">
        <f>+'Operating Report'!U93</f>
        <v>102159.327013</v>
      </c>
      <c r="V22" s="632">
        <f>+'Operating Report'!V93</f>
        <v>1.0236975334385894E-12</v>
      </c>
      <c r="W22" s="632">
        <f>+'Operating Report'!W93</f>
        <v>0</v>
      </c>
      <c r="X22" s="632">
        <f>+'Operating Report'!K93</f>
        <v>59987.819579751442</v>
      </c>
      <c r="Y22" s="100"/>
      <c r="Z22" s="782"/>
      <c r="AA22" s="98">
        <f t="shared" si="3"/>
        <v>162147.14659275144</v>
      </c>
      <c r="AC22" s="1690">
        <f>AA22-'Exh 6, ROO Summary'!N21</f>
        <v>0</v>
      </c>
      <c r="AD22" s="1684"/>
    </row>
    <row r="23" spans="1:47">
      <c r="A23" s="96">
        <v>11</v>
      </c>
      <c r="B23" s="81"/>
      <c r="C23" s="41" t="s">
        <v>7</v>
      </c>
      <c r="D23" s="77"/>
      <c r="E23" s="81"/>
      <c r="F23" s="50"/>
      <c r="G23" s="632">
        <f>+'Operating Report'!I100</f>
        <v>0</v>
      </c>
      <c r="H23" s="632">
        <f>+'Operating Report'!J100</f>
        <v>0</v>
      </c>
      <c r="I23" s="632">
        <f>+'Operating Report'!L100</f>
        <v>0</v>
      </c>
      <c r="J23" s="632">
        <f>+'Operating Report'!M100</f>
        <v>0</v>
      </c>
      <c r="K23" s="632">
        <f>+'Operating Report'!N100</f>
        <v>0</v>
      </c>
      <c r="L23" s="632">
        <f>+'Operating Report'!O100</f>
        <v>0</v>
      </c>
      <c r="M23" s="632">
        <f>+'Operating Report'!P100</f>
        <v>0</v>
      </c>
      <c r="N23" s="632">
        <f>+'Operating Report'!Q100</f>
        <v>-4394</v>
      </c>
      <c r="O23" s="632">
        <f>+'Operating Report'!R100</f>
        <v>0</v>
      </c>
      <c r="P23" s="632">
        <f>+'Operating Report'!S100</f>
        <v>0</v>
      </c>
      <c r="Q23" s="100"/>
      <c r="R23" s="98">
        <f t="shared" si="2"/>
        <v>-4394</v>
      </c>
      <c r="S23" s="100"/>
      <c r="T23" s="632">
        <f>+'Operating Report'!T100</f>
        <v>0</v>
      </c>
      <c r="U23" s="632">
        <f>+'Operating Report'!U100</f>
        <v>24840.201999999997</v>
      </c>
      <c r="V23" s="632">
        <f>+'Operating Report'!V100</f>
        <v>0</v>
      </c>
      <c r="W23" s="632">
        <f>+'Operating Report'!W100</f>
        <v>0</v>
      </c>
      <c r="X23" s="632">
        <f>+'Operating Report'!K100</f>
        <v>0</v>
      </c>
      <c r="Y23" s="100"/>
      <c r="Z23" s="100"/>
      <c r="AA23" s="98">
        <f t="shared" si="3"/>
        <v>24840.201999999997</v>
      </c>
      <c r="AC23" s="1690">
        <f>AA23-'Exh 6, ROO Summary'!N22</f>
        <v>0</v>
      </c>
      <c r="AD23" s="1684"/>
      <c r="AI23" s="1684"/>
      <c r="AJ23" s="1684"/>
      <c r="AK23" s="1684"/>
      <c r="AL23" s="1684"/>
      <c r="AM23" s="1684"/>
      <c r="AO23" s="1690"/>
      <c r="AQ23" s="1684"/>
      <c r="AR23" s="1684"/>
      <c r="AS23" s="1684"/>
      <c r="AT23" s="1684"/>
      <c r="AU23" s="1684"/>
    </row>
    <row r="24" spans="1:47">
      <c r="A24" s="96">
        <v>12</v>
      </c>
      <c r="B24" s="81"/>
      <c r="C24" s="41" t="s">
        <v>8</v>
      </c>
      <c r="D24" s="77"/>
      <c r="E24" s="81"/>
      <c r="F24" s="50"/>
      <c r="G24" s="632">
        <f>'Operating Report'!I107</f>
        <v>0</v>
      </c>
      <c r="H24" s="632">
        <f>'Operating Report'!J107</f>
        <v>-1977.2275</v>
      </c>
      <c r="I24" s="632">
        <f>'Operating Report'!L107</f>
        <v>0</v>
      </c>
      <c r="J24" s="632">
        <f>'Operating Report'!M107</f>
        <v>0</v>
      </c>
      <c r="K24" s="632">
        <f>'Operating Report'!N107</f>
        <v>0</v>
      </c>
      <c r="L24" s="632">
        <f>'Operating Report'!O107</f>
        <v>0</v>
      </c>
      <c r="M24" s="632">
        <f>'Operating Report'!P107</f>
        <v>0</v>
      </c>
      <c r="N24" s="632">
        <f>'Operating Report'!Q107</f>
        <v>0</v>
      </c>
      <c r="O24" s="632">
        <f>'Operating Report'!R107</f>
        <v>0</v>
      </c>
      <c r="P24" s="632">
        <f>'Operating Report'!S107</f>
        <v>0</v>
      </c>
      <c r="Q24" s="100"/>
      <c r="R24" s="632">
        <f t="shared" si="2"/>
        <v>-1977.2275</v>
      </c>
      <c r="S24" s="100"/>
      <c r="T24" s="632">
        <f>'Operating Report'!T107</f>
        <v>0</v>
      </c>
      <c r="U24" s="632">
        <f>'Operating Report'!U107</f>
        <v>94.855999999999995</v>
      </c>
      <c r="V24" s="632">
        <f>'Operating Report'!V107</f>
        <v>0</v>
      </c>
      <c r="W24" s="632">
        <f>'Operating Report'!W107</f>
        <v>0</v>
      </c>
      <c r="X24" s="632">
        <f>'Operating Report'!K107</f>
        <v>0</v>
      </c>
      <c r="Y24" s="100"/>
      <c r="Z24" s="100"/>
      <c r="AA24" s="632">
        <f t="shared" si="3"/>
        <v>94.855999999999995</v>
      </c>
      <c r="AC24" s="1690">
        <f>AA24-'Exh 6, ROO Summary'!N23</f>
        <v>0</v>
      </c>
      <c r="AD24" s="1684" t="e">
        <f>-#REF!</f>
        <v>#REF!</v>
      </c>
      <c r="AE24" s="3" t="s">
        <v>3256</v>
      </c>
      <c r="AL24" s="1690"/>
      <c r="AM24" s="1690"/>
      <c r="AQ24" s="1718"/>
      <c r="AR24" s="1718"/>
      <c r="AS24" s="1718"/>
      <c r="AT24" s="1718"/>
      <c r="AU24" s="1718"/>
    </row>
    <row r="25" spans="1:47">
      <c r="A25" s="96">
        <v>13</v>
      </c>
      <c r="B25" s="101"/>
      <c r="C25" s="41" t="s">
        <v>9</v>
      </c>
      <c r="D25" s="102"/>
      <c r="E25" s="101"/>
      <c r="F25" s="103"/>
      <c r="G25" s="632">
        <f>+'Operating Report'!I123</f>
        <v>0</v>
      </c>
      <c r="H25" s="632">
        <f>+'Operating Report'!J123</f>
        <v>-25714.466148000007</v>
      </c>
      <c r="I25" s="632">
        <f>+'Operating Report'!L123</f>
        <v>0</v>
      </c>
      <c r="J25" s="632">
        <f>+'Operating Report'!M123</f>
        <v>39.050400000000003</v>
      </c>
      <c r="K25" s="632">
        <f>+'Operating Report'!N123</f>
        <v>-1788652.3900000001</v>
      </c>
      <c r="L25" s="632">
        <f>+'Operating Report'!O123</f>
        <v>0</v>
      </c>
      <c r="M25" s="632">
        <f>+'Operating Report'!P123</f>
        <v>-175185.21</v>
      </c>
      <c r="N25" s="632">
        <f>+'Operating Report'!Q123</f>
        <v>-41431</v>
      </c>
      <c r="O25" s="632">
        <f>+'Operating Report'!R123</f>
        <v>0</v>
      </c>
      <c r="P25" s="632">
        <f>+'Operating Report'!S123</f>
        <v>0</v>
      </c>
      <c r="Q25" s="100"/>
      <c r="R25" s="98">
        <f t="shared" si="2"/>
        <v>-2030944.015748</v>
      </c>
      <c r="S25" s="100"/>
      <c r="T25" s="632">
        <f>+'Operating Report'!T123</f>
        <v>0</v>
      </c>
      <c r="U25" s="632">
        <f>+'Operating Report'!U123</f>
        <v>307101.57116349996</v>
      </c>
      <c r="V25" s="632">
        <f>+'Operating Report'!V123</f>
        <v>0</v>
      </c>
      <c r="W25" s="632">
        <f>+'Operating Report'!W123</f>
        <v>0</v>
      </c>
      <c r="X25" s="632">
        <f>+'Operating Report'!K123</f>
        <v>0</v>
      </c>
      <c r="Y25" s="100"/>
      <c r="Z25" s="100"/>
      <c r="AA25" s="98">
        <f t="shared" si="3"/>
        <v>307101.57116349996</v>
      </c>
      <c r="AC25" s="1690">
        <f>AA25-'Exh 6, ROO Summary'!N24</f>
        <v>0</v>
      </c>
      <c r="AD25" s="1684"/>
      <c r="AL25" s="1690"/>
      <c r="AM25" s="1690"/>
      <c r="AQ25" s="1718"/>
      <c r="AR25" s="1718"/>
      <c r="AS25" s="1718"/>
      <c r="AT25" s="1718"/>
      <c r="AU25" s="1718"/>
    </row>
    <row r="26" spans="1:47">
      <c r="A26" s="96">
        <v>14</v>
      </c>
      <c r="B26" s="81"/>
      <c r="C26" s="41" t="s">
        <v>29</v>
      </c>
      <c r="D26" s="77"/>
      <c r="E26" s="81"/>
      <c r="F26" s="50"/>
      <c r="G26" s="632">
        <f>+'Operating Report'!I128</f>
        <v>0</v>
      </c>
      <c r="H26" s="632">
        <f>+'Operating Report'!J128</f>
        <v>0</v>
      </c>
      <c r="I26" s="632">
        <f>+'Operating Report'!L128</f>
        <v>1910511.9494739994</v>
      </c>
      <c r="J26" s="632">
        <f>+'Operating Report'!M128</f>
        <v>0</v>
      </c>
      <c r="K26" s="632">
        <f>+'Operating Report'!N128</f>
        <v>0</v>
      </c>
      <c r="L26" s="632">
        <f>+'Operating Report'!O128</f>
        <v>0</v>
      </c>
      <c r="M26" s="632">
        <f>+'Operating Report'!P128</f>
        <v>0</v>
      </c>
      <c r="N26" s="632">
        <f>+'Operating Report'!Q128</f>
        <v>0</v>
      </c>
      <c r="O26" s="632">
        <f>+'Operating Report'!R128</f>
        <v>-459130.68158399995</v>
      </c>
      <c r="P26" s="632">
        <f>+'Operating Report'!S128</f>
        <v>0</v>
      </c>
      <c r="Q26" s="99"/>
      <c r="R26" s="98">
        <f t="shared" si="2"/>
        <v>1451381.2678899996</v>
      </c>
      <c r="S26" s="99"/>
      <c r="T26" s="632">
        <f>+'Operating Report'!T128</f>
        <v>0</v>
      </c>
      <c r="U26" s="632">
        <f>+'Operating Report'!U128</f>
        <v>0</v>
      </c>
      <c r="V26" s="632">
        <f>+'Operating Report'!V128</f>
        <v>868217.01335499994</v>
      </c>
      <c r="W26" s="632">
        <f>+'Operating Report'!W128</f>
        <v>0</v>
      </c>
      <c r="X26" s="632">
        <f>+'Operating Report'!K128</f>
        <v>0</v>
      </c>
      <c r="Y26" s="100"/>
      <c r="Z26" s="99"/>
      <c r="AA26" s="98">
        <f t="shared" si="3"/>
        <v>868217.01335499994</v>
      </c>
      <c r="AC26" s="1690">
        <f>AA26-'Exh 6, ROO Summary'!N25</f>
        <v>0</v>
      </c>
      <c r="AD26" s="1684"/>
      <c r="AL26" s="1690"/>
      <c r="AM26" s="1690"/>
      <c r="AQ26" s="1718"/>
      <c r="AR26" s="1718"/>
      <c r="AS26" s="1719"/>
      <c r="AT26" s="1718"/>
      <c r="AU26" s="1719"/>
    </row>
    <row r="27" spans="1:47">
      <c r="A27" s="96">
        <v>15</v>
      </c>
      <c r="B27" s="81"/>
      <c r="C27" s="41" t="s">
        <v>30</v>
      </c>
      <c r="D27" s="77"/>
      <c r="E27" s="81"/>
      <c r="F27" s="50"/>
      <c r="G27" s="632"/>
      <c r="H27" s="632"/>
      <c r="I27" s="632"/>
      <c r="J27" s="632"/>
      <c r="K27" s="632"/>
      <c r="L27" s="632"/>
      <c r="M27" s="632"/>
      <c r="N27" s="632"/>
      <c r="O27" s="632"/>
      <c r="P27" s="632"/>
      <c r="Q27" s="100"/>
      <c r="R27" s="98">
        <f t="shared" si="2"/>
        <v>0</v>
      </c>
      <c r="S27" s="100"/>
      <c r="T27" s="632"/>
      <c r="U27" s="632"/>
      <c r="V27" s="632"/>
      <c r="W27" s="632"/>
      <c r="X27" s="632"/>
      <c r="Y27" s="100"/>
      <c r="Z27" s="100"/>
      <c r="AA27" s="98">
        <f t="shared" si="3"/>
        <v>0</v>
      </c>
      <c r="AC27" s="1690">
        <f>AA27-'Exh 6, ROO Summary'!N26</f>
        <v>0</v>
      </c>
    </row>
    <row r="28" spans="1:47">
      <c r="A28" s="96">
        <v>16</v>
      </c>
      <c r="B28" s="81"/>
      <c r="C28" s="41" t="s">
        <v>31</v>
      </c>
      <c r="D28" s="77"/>
      <c r="E28" s="81"/>
      <c r="F28" s="50"/>
      <c r="G28" s="632">
        <f>+'Operating Report'!I140</f>
        <v>0</v>
      </c>
      <c r="H28" s="632">
        <f>+'Operating Report'!J140</f>
        <v>0</v>
      </c>
      <c r="I28" s="632">
        <f>+'Operating Report'!L140</f>
        <v>0</v>
      </c>
      <c r="J28" s="632">
        <f>+'Operating Report'!M140</f>
        <v>6163.0958619000021</v>
      </c>
      <c r="K28" s="632">
        <f>+'Operating Report'!N140</f>
        <v>0</v>
      </c>
      <c r="L28" s="632">
        <f>+'Operating Report'!O140</f>
        <v>0</v>
      </c>
      <c r="M28" s="632">
        <f>+'Operating Report'!P140</f>
        <v>0</v>
      </c>
      <c r="N28" s="632">
        <f>+'Operating Report'!Q140</f>
        <v>0</v>
      </c>
      <c r="O28" s="632">
        <f>+'Operating Report'!R140</f>
        <v>0</v>
      </c>
      <c r="P28" s="632">
        <f>+'Operating Report'!S140</f>
        <v>0</v>
      </c>
      <c r="Q28" s="100"/>
      <c r="R28" s="632">
        <f t="shared" si="2"/>
        <v>6163.0958619000021</v>
      </c>
      <c r="S28" s="100"/>
      <c r="T28" s="632">
        <f>+'Operating Report'!T140</f>
        <v>0</v>
      </c>
      <c r="U28" s="632">
        <f>+'Operating Report'!U140</f>
        <v>50096.159624661734</v>
      </c>
      <c r="V28" s="632">
        <f>+'Operating Report'!V140</f>
        <v>157360.47984614564</v>
      </c>
      <c r="W28" s="632">
        <f>+'Operating Report'!W140</f>
        <v>0</v>
      </c>
      <c r="X28" s="632">
        <f>+'Operating Report'!K140</f>
        <v>0</v>
      </c>
      <c r="Y28" s="100"/>
      <c r="Z28" s="100"/>
      <c r="AA28" s="632">
        <f t="shared" si="3"/>
        <v>207456.63947080736</v>
      </c>
      <c r="AB28" s="50"/>
      <c r="AC28" s="1690">
        <f>AA28-'Exh 6, ROO Summary'!N27</f>
        <v>0</v>
      </c>
      <c r="AU28" s="1720"/>
    </row>
    <row r="29" spans="1:47">
      <c r="A29" s="96">
        <v>17</v>
      </c>
      <c r="B29" s="81"/>
      <c r="C29" s="41" t="s">
        <v>32</v>
      </c>
      <c r="D29" s="77"/>
      <c r="E29" s="81"/>
      <c r="F29" s="50"/>
      <c r="G29" s="632">
        <f>+'Operating Report'!I143</f>
        <v>-585016.33393903612</v>
      </c>
      <c r="H29" s="632">
        <f>+'Operating Report'!J143</f>
        <v>5815.255666080001</v>
      </c>
      <c r="I29" s="632">
        <f>+'Operating Report'!L143</f>
        <v>-215951.4291088309</v>
      </c>
      <c r="J29" s="632">
        <f>+'Operating Report'!M143</f>
        <v>-18212.552496998997</v>
      </c>
      <c r="K29" s="632">
        <f>+'Operating Report'!N143</f>
        <v>375617.00190000003</v>
      </c>
      <c r="L29" s="632">
        <f>+'Operating Report'!O143</f>
        <v>81511.687967562582</v>
      </c>
      <c r="M29" s="632">
        <f>+'Operating Report'!P143</f>
        <v>36788.894099999998</v>
      </c>
      <c r="N29" s="632">
        <f>+'Operating Report'!Q143</f>
        <v>9623.25</v>
      </c>
      <c r="O29" s="632">
        <f>+'Operating Report'!R143</f>
        <v>96417.443132639979</v>
      </c>
      <c r="P29" s="632">
        <f>+'Operating Report'!S143</f>
        <v>0</v>
      </c>
      <c r="Q29" s="100"/>
      <c r="R29" s="98">
        <f t="shared" si="2"/>
        <v>-213406.78277858341</v>
      </c>
      <c r="S29" s="100"/>
      <c r="T29" s="632">
        <f>+'Operating Report'!T143</f>
        <v>360262.11107983382</v>
      </c>
      <c r="U29" s="632">
        <f>+'Operating Report'!U143</f>
        <v>-191518.08530277398</v>
      </c>
      <c r="V29" s="632">
        <f>+'Operating Report'!V143</f>
        <v>-215371.27357224052</v>
      </c>
      <c r="W29" s="632">
        <f>+'Operating Report'!W143</f>
        <v>-168084.94814999998</v>
      </c>
      <c r="X29" s="632">
        <f>+'Operating Report'!K143</f>
        <v>2994204.663600733</v>
      </c>
      <c r="Y29" s="100">
        <f>(Y15-SUM(Y18:Y28))*'Exh 8, Conversion Factor'!$C$33</f>
        <v>0</v>
      </c>
      <c r="Z29" s="100"/>
      <c r="AA29" s="98">
        <f t="shared" si="3"/>
        <v>2779492.4676555526</v>
      </c>
      <c r="AB29" s="50"/>
      <c r="AC29" s="1690">
        <f>AA29-'Exh 6, ROO Summary'!N28</f>
        <v>0</v>
      </c>
      <c r="AD29" s="73"/>
    </row>
    <row r="30" spans="1:47">
      <c r="A30" s="96">
        <v>18</v>
      </c>
      <c r="B30" s="81"/>
      <c r="C30" s="45" t="s">
        <v>33</v>
      </c>
      <c r="D30" s="77"/>
      <c r="E30" s="81"/>
      <c r="F30" s="50"/>
      <c r="G30" s="100">
        <f t="shared" ref="G30:L30" si="4">SUM(G18:G29)</f>
        <v>-714879.26756267389</v>
      </c>
      <c r="H30" s="100">
        <f t="shared" si="4"/>
        <v>-21876.437981920008</v>
      </c>
      <c r="I30" s="100">
        <f t="shared" si="4"/>
        <v>1735683.9842091303</v>
      </c>
      <c r="J30" s="100">
        <f t="shared" si="4"/>
        <v>68513.88796490099</v>
      </c>
      <c r="K30" s="100">
        <f t="shared" si="4"/>
        <v>-1413035.3881000001</v>
      </c>
      <c r="L30" s="100">
        <f t="shared" si="4"/>
        <v>99605.792883931194</v>
      </c>
      <c r="M30" s="100">
        <f t="shared" ref="M30:U30" si="5">SUM(M18:M29)</f>
        <v>-138396.31589999999</v>
      </c>
      <c r="N30" s="100">
        <f t="shared" si="5"/>
        <v>-36201.75</v>
      </c>
      <c r="O30" s="100">
        <f>SUM(O18:O29)</f>
        <v>-362713.23845135997</v>
      </c>
      <c r="P30" s="100">
        <f>SUM(P18:P29)</f>
        <v>0</v>
      </c>
      <c r="Q30" s="100"/>
      <c r="R30" s="98">
        <f t="shared" si="2"/>
        <v>-783298.7329379915</v>
      </c>
      <c r="S30" s="100"/>
      <c r="T30" s="100">
        <f t="shared" si="5"/>
        <v>360262.11107983382</v>
      </c>
      <c r="U30" s="100">
        <f t="shared" si="5"/>
        <v>720472.79709138779</v>
      </c>
      <c r="V30" s="100">
        <f>SUM(V18:V29)</f>
        <v>810206.21962890506</v>
      </c>
      <c r="W30" s="100">
        <f>SUM(W18:W29)</f>
        <v>632319.56684999994</v>
      </c>
      <c r="X30" s="100">
        <f>SUM(X18:X29)</f>
        <v>3658863.3729852289</v>
      </c>
      <c r="Y30" s="100">
        <f>SUM(Y18:Y29)</f>
        <v>0</v>
      </c>
      <c r="Z30" s="100"/>
      <c r="AA30" s="98">
        <f t="shared" si="3"/>
        <v>6182124.0676353555</v>
      </c>
      <c r="AB30" s="50"/>
      <c r="AC30" s="1690">
        <f>AA30-'Exh 6, ROO Summary'!N29</f>
        <v>0</v>
      </c>
      <c r="AI30" s="1684"/>
      <c r="AJ30" s="1684"/>
      <c r="AK30" s="1684"/>
      <c r="AL30" s="1684"/>
      <c r="AM30" s="1684"/>
      <c r="AO30" s="1684"/>
      <c r="AU30" s="764"/>
    </row>
    <row r="31" spans="1:47" ht="16.2" thickBot="1">
      <c r="A31" s="96">
        <v>19</v>
      </c>
      <c r="B31" s="81"/>
      <c r="C31" s="45" t="s">
        <v>10</v>
      </c>
      <c r="D31" s="77"/>
      <c r="E31" s="81"/>
      <c r="F31" s="50"/>
      <c r="G31" s="343">
        <f t="shared" ref="G31:L31" si="6">+G15-G30</f>
        <v>-2200775.7324373261</v>
      </c>
      <c r="H31" s="343">
        <f t="shared" si="6"/>
        <v>21876.437981920008</v>
      </c>
      <c r="I31" s="343">
        <f t="shared" si="6"/>
        <v>-812388.70950464963</v>
      </c>
      <c r="J31" s="343">
        <f t="shared" si="6"/>
        <v>-68513.88796490099</v>
      </c>
      <c r="K31" s="343">
        <f t="shared" si="6"/>
        <v>1413035.3881000001</v>
      </c>
      <c r="L31" s="343">
        <f t="shared" si="6"/>
        <v>306639.20711606881</v>
      </c>
      <c r="M31" s="343">
        <f t="shared" ref="M31:U31" si="7">+M15-M30</f>
        <v>138396.31589999999</v>
      </c>
      <c r="N31" s="343">
        <f t="shared" si="7"/>
        <v>36201.75</v>
      </c>
      <c r="O31" s="343">
        <f>+O15-O30</f>
        <v>362713.23845135997</v>
      </c>
      <c r="P31" s="343">
        <f>+P15-P30</f>
        <v>0</v>
      </c>
      <c r="Q31" s="343"/>
      <c r="R31" s="343">
        <f t="shared" si="2"/>
        <v>-802815.99235752784</v>
      </c>
      <c r="S31" s="343"/>
      <c r="T31" s="343">
        <f t="shared" si="7"/>
        <v>-360262.11107983382</v>
      </c>
      <c r="U31" s="343">
        <f t="shared" si="7"/>
        <v>-720472.79709138779</v>
      </c>
      <c r="V31" s="343">
        <f>+V15-V30</f>
        <v>-810206.21962890483</v>
      </c>
      <c r="W31" s="343">
        <f>+W15-W30</f>
        <v>-632319.56684999994</v>
      </c>
      <c r="X31" s="343">
        <f>+X15-X30</f>
        <v>11263912.782117045</v>
      </c>
      <c r="Y31" s="343">
        <f>+Y15-Y30</f>
        <v>0</v>
      </c>
      <c r="Z31" s="343"/>
      <c r="AA31" s="343">
        <f t="shared" si="3"/>
        <v>8740652.0874669179</v>
      </c>
      <c r="AB31" s="50"/>
      <c r="AC31" s="1690">
        <f>AA31-'Exh 6, ROO Summary'!N30</f>
        <v>0</v>
      </c>
      <c r="AL31" s="1690"/>
      <c r="AM31" s="1690"/>
    </row>
    <row r="32" spans="1:47" ht="16.2" thickBot="1">
      <c r="A32" s="96"/>
      <c r="B32" s="81"/>
      <c r="C32" s="45"/>
      <c r="D32" s="77"/>
      <c r="E32" s="81"/>
      <c r="F32" s="50"/>
      <c r="G32" s="106"/>
      <c r="H32" s="106"/>
      <c r="I32" s="106"/>
      <c r="J32" s="106"/>
      <c r="K32" s="106"/>
      <c r="L32" s="106"/>
      <c r="M32" s="106"/>
      <c r="N32" s="106"/>
      <c r="O32" s="106"/>
      <c r="P32" s="106"/>
      <c r="Q32" s="784"/>
      <c r="R32" s="106"/>
      <c r="S32" s="784"/>
      <c r="T32" s="106"/>
      <c r="U32" s="106"/>
      <c r="V32" s="106"/>
      <c r="W32" s="106"/>
      <c r="X32" s="106"/>
      <c r="Y32" s="106"/>
      <c r="Z32" s="784"/>
      <c r="AA32" s="106"/>
      <c r="AB32" s="107"/>
      <c r="AL32" s="1690"/>
      <c r="AM32" s="1690"/>
      <c r="AU32" s="764"/>
    </row>
    <row r="33" spans="1:139" ht="16.2" thickTop="1">
      <c r="A33" s="96">
        <v>20</v>
      </c>
      <c r="B33" s="81"/>
      <c r="C33" s="45" t="s">
        <v>34</v>
      </c>
      <c r="D33" s="77"/>
      <c r="E33" s="81"/>
      <c r="F33" s="50"/>
      <c r="G33" s="108"/>
      <c r="H33" s="108"/>
      <c r="I33" s="108"/>
      <c r="J33" s="1696"/>
      <c r="K33" s="1696"/>
      <c r="L33" s="1696"/>
      <c r="M33" s="1696"/>
      <c r="N33" s="1696"/>
      <c r="O33" s="1696"/>
      <c r="P33" s="1696"/>
      <c r="Q33" s="108"/>
      <c r="R33" s="785"/>
      <c r="S33" s="108"/>
      <c r="T33" s="1696"/>
      <c r="U33" s="1696"/>
      <c r="V33" s="108"/>
      <c r="W33" s="108"/>
      <c r="X33" s="108"/>
      <c r="Y33" s="108"/>
      <c r="Z33" s="108"/>
      <c r="AA33" s="785"/>
      <c r="AB33" s="50"/>
      <c r="AL33" s="1690"/>
      <c r="AM33" s="1690"/>
      <c r="AO33" s="1690"/>
    </row>
    <row r="34" spans="1:139">
      <c r="A34" s="96">
        <v>21</v>
      </c>
      <c r="B34" s="81"/>
      <c r="C34" s="33" t="s">
        <v>36</v>
      </c>
      <c r="D34" s="77"/>
      <c r="E34" s="81"/>
      <c r="F34" s="50"/>
      <c r="G34" s="782"/>
      <c r="H34" s="782"/>
      <c r="I34" s="100">
        <f>+'Rate Base'!H13-'Rate Base'!D13</f>
        <v>31077329.243195057</v>
      </c>
      <c r="J34" s="782"/>
      <c r="K34" s="782"/>
      <c r="L34" s="782"/>
      <c r="M34" s="782"/>
      <c r="N34" s="782"/>
      <c r="O34" s="782">
        <f>-O26/2</f>
        <v>229565.34079199997</v>
      </c>
      <c r="P34" s="782"/>
      <c r="Q34" s="782"/>
      <c r="R34" s="98">
        <f t="shared" ref="R34:R39" si="8">SUM(G34:P34)</f>
        <v>31306894.583987057</v>
      </c>
      <c r="S34" s="782"/>
      <c r="T34" s="782"/>
      <c r="U34" s="782"/>
      <c r="V34" s="100">
        <f>+'Pro Forma Plant Additions'!E16</f>
        <v>13586826.540000001</v>
      </c>
      <c r="W34" s="100"/>
      <c r="X34" s="782"/>
      <c r="Y34" s="100"/>
      <c r="Z34" s="782"/>
      <c r="AA34" s="98">
        <f t="shared" ref="AA34:AA39" si="9">SUM(T34:Y34)</f>
        <v>13586826.540000001</v>
      </c>
      <c r="AB34" s="50"/>
      <c r="AU34" s="43"/>
    </row>
    <row r="35" spans="1:139">
      <c r="A35" s="96">
        <v>22</v>
      </c>
      <c r="B35" s="81"/>
      <c r="C35" s="33" t="s">
        <v>37</v>
      </c>
      <c r="D35" s="77"/>
      <c r="E35" s="81"/>
      <c r="F35" s="50"/>
      <c r="G35" s="99"/>
      <c r="H35" s="99"/>
      <c r="I35" s="99">
        <f>+'Rate Base'!H14-'Rate Base'!D14</f>
        <v>-7438116.7491337657</v>
      </c>
      <c r="J35" s="1697"/>
      <c r="K35" s="1697"/>
      <c r="L35" s="1697"/>
      <c r="M35" s="1697"/>
      <c r="N35" s="1697"/>
      <c r="O35" s="1697"/>
      <c r="P35" s="1697"/>
      <c r="Q35" s="100"/>
      <c r="R35" s="98">
        <f t="shared" si="8"/>
        <v>-7438116.7491337657</v>
      </c>
      <c r="S35" s="100"/>
      <c r="T35" s="1697"/>
      <c r="U35" s="1697"/>
      <c r="V35" s="99">
        <f>-'Pro Forma Plant Additions'!E19</f>
        <v>-434108.50667749997</v>
      </c>
      <c r="W35" s="99"/>
      <c r="X35" s="99"/>
      <c r="Y35" s="99"/>
      <c r="Z35" s="100"/>
      <c r="AA35" s="98">
        <f t="shared" si="9"/>
        <v>-434108.50667749997</v>
      </c>
      <c r="AB35" s="50"/>
      <c r="AM35" s="1721"/>
      <c r="AU35" s="1618"/>
    </row>
    <row r="36" spans="1:139">
      <c r="A36" s="96">
        <v>23</v>
      </c>
      <c r="B36" s="81"/>
      <c r="C36" s="38" t="s">
        <v>11</v>
      </c>
      <c r="D36" s="77"/>
      <c r="E36" s="81"/>
      <c r="F36" s="50"/>
      <c r="G36" s="99"/>
      <c r="H36" s="99"/>
      <c r="I36" s="99">
        <f>+'Rate Base'!H16-'Rate Base'!D16</f>
        <v>44862.196250000037</v>
      </c>
      <c r="J36" s="1697"/>
      <c r="K36" s="1697"/>
      <c r="L36" s="1697"/>
      <c r="M36" s="1697"/>
      <c r="N36" s="1697"/>
      <c r="O36" s="1697"/>
      <c r="P36" s="1697"/>
      <c r="Q36" s="100"/>
      <c r="R36" s="98">
        <f t="shared" si="8"/>
        <v>44862.196250000037</v>
      </c>
      <c r="S36" s="100"/>
      <c r="T36" s="1697"/>
      <c r="U36" s="1697"/>
      <c r="V36" s="99"/>
      <c r="W36" s="99"/>
      <c r="X36" s="99"/>
      <c r="Y36" s="99"/>
      <c r="Z36" s="100"/>
      <c r="AA36" s="98">
        <f t="shared" si="9"/>
        <v>0</v>
      </c>
      <c r="AB36" s="50"/>
    </row>
    <row r="37" spans="1:139" ht="16.2" thickBot="1">
      <c r="A37" s="96">
        <v>24</v>
      </c>
      <c r="B37" s="81"/>
      <c r="C37" s="38" t="s">
        <v>38</v>
      </c>
      <c r="D37" s="77"/>
      <c r="E37" s="81"/>
      <c r="F37" s="50"/>
      <c r="G37" s="99"/>
      <c r="H37" s="99"/>
      <c r="I37" s="99">
        <f>+'Rate Base'!H17-'Rate Base'!D17</f>
        <v>-2047961.5683333576</v>
      </c>
      <c r="J37" s="1697"/>
      <c r="K37" s="1697"/>
      <c r="L37" s="1697"/>
      <c r="M37" s="1697"/>
      <c r="N37" s="1697"/>
      <c r="O37" s="1697"/>
      <c r="P37" s="1697"/>
      <c r="Q37" s="109"/>
      <c r="R37" s="98">
        <f t="shared" si="8"/>
        <v>-2047961.5683333576</v>
      </c>
      <c r="S37" s="109"/>
      <c r="T37" s="1697"/>
      <c r="U37" s="1697"/>
      <c r="V37" s="99">
        <f>-'Pro Forma Plant Additions'!E22</f>
        <v>37664.656901024988</v>
      </c>
      <c r="W37" s="99"/>
      <c r="X37" s="99"/>
      <c r="Y37" s="99"/>
      <c r="Z37" s="109"/>
      <c r="AA37" s="98">
        <f t="shared" si="9"/>
        <v>37664.656901024988</v>
      </c>
      <c r="AB37" s="50"/>
    </row>
    <row r="38" spans="1:139">
      <c r="A38" s="96">
        <v>25</v>
      </c>
      <c r="B38" s="81"/>
      <c r="C38" s="38" t="s">
        <v>39</v>
      </c>
      <c r="D38" s="77"/>
      <c r="E38" s="81"/>
      <c r="F38" s="50"/>
      <c r="G38" s="99"/>
      <c r="H38" s="99"/>
      <c r="I38" s="99">
        <f>+'Rate Base'!H18-'Rate Base'!D18</f>
        <v>0</v>
      </c>
      <c r="J38" s="1697"/>
      <c r="K38" s="1697"/>
      <c r="L38" s="1697"/>
      <c r="M38" s="1697"/>
      <c r="N38" s="1697"/>
      <c r="O38" s="1697"/>
      <c r="P38" s="1697"/>
      <c r="Q38" s="100"/>
      <c r="R38" s="98">
        <f t="shared" si="8"/>
        <v>0</v>
      </c>
      <c r="S38" s="100"/>
      <c r="T38" s="1697"/>
      <c r="U38" s="1697"/>
      <c r="V38" s="99"/>
      <c r="W38" s="99"/>
      <c r="X38" s="99"/>
      <c r="Y38" s="99"/>
      <c r="Z38" s="100"/>
      <c r="AA38" s="98">
        <f t="shared" si="9"/>
        <v>0</v>
      </c>
      <c r="AB38" s="50"/>
      <c r="AL38" s="43"/>
      <c r="AM38" s="43"/>
    </row>
    <row r="39" spans="1:139" ht="16.2" thickBot="1">
      <c r="A39" s="96">
        <v>26</v>
      </c>
      <c r="B39" s="81"/>
      <c r="C39" s="45" t="s">
        <v>35</v>
      </c>
      <c r="D39" s="77"/>
      <c r="E39" s="81"/>
      <c r="F39" s="50"/>
      <c r="G39" s="109">
        <f t="shared" ref="G39:L39" si="10">SUM(G34:G38)</f>
        <v>0</v>
      </c>
      <c r="H39" s="109">
        <f t="shared" si="10"/>
        <v>0</v>
      </c>
      <c r="I39" s="109">
        <f t="shared" si="10"/>
        <v>21636113.121977933</v>
      </c>
      <c r="J39" s="109">
        <f t="shared" si="10"/>
        <v>0</v>
      </c>
      <c r="K39" s="109">
        <f t="shared" si="10"/>
        <v>0</v>
      </c>
      <c r="L39" s="109">
        <f t="shared" si="10"/>
        <v>0</v>
      </c>
      <c r="M39" s="109">
        <f t="shared" ref="M39:U39" si="11">SUM(M34:M38)</f>
        <v>0</v>
      </c>
      <c r="N39" s="109">
        <f t="shared" si="11"/>
        <v>0</v>
      </c>
      <c r="O39" s="109">
        <f>SUM(O34:O38)</f>
        <v>229565.34079199997</v>
      </c>
      <c r="P39" s="109">
        <f>SUM(P34:P38)</f>
        <v>0</v>
      </c>
      <c r="Q39" s="109"/>
      <c r="R39" s="109">
        <f t="shared" si="8"/>
        <v>21865678.462769933</v>
      </c>
      <c r="S39" s="109"/>
      <c r="T39" s="109">
        <f t="shared" si="11"/>
        <v>0</v>
      </c>
      <c r="U39" s="109">
        <f t="shared" si="11"/>
        <v>0</v>
      </c>
      <c r="V39" s="109">
        <f>SUM(V34:V38)</f>
        <v>13190382.690223526</v>
      </c>
      <c r="W39" s="109"/>
      <c r="X39" s="109">
        <f>SUM(X34:X38)</f>
        <v>0</v>
      </c>
      <c r="Y39" s="109"/>
      <c r="Z39" s="109"/>
      <c r="AA39" s="109">
        <f t="shared" si="9"/>
        <v>13190382.690223526</v>
      </c>
      <c r="AB39" s="50"/>
      <c r="AC39" s="49">
        <f>AA39+R39</f>
        <v>35056061.152993456</v>
      </c>
      <c r="AL39" s="43"/>
      <c r="AM39" s="43"/>
    </row>
    <row r="40" spans="1:139" ht="16.2" thickBot="1">
      <c r="A40" s="96"/>
      <c r="B40" s="101"/>
      <c r="C40" s="110"/>
      <c r="D40" s="102"/>
      <c r="E40" s="101"/>
      <c r="F40" s="103"/>
      <c r="G40" s="104"/>
      <c r="H40" s="104"/>
      <c r="I40" s="104"/>
      <c r="J40" s="104"/>
      <c r="K40" s="104"/>
      <c r="L40" s="104"/>
      <c r="M40" s="104"/>
      <c r="N40" s="104"/>
      <c r="O40" s="104"/>
      <c r="P40" s="104"/>
      <c r="Q40" s="783"/>
      <c r="R40" s="111"/>
      <c r="S40" s="783"/>
      <c r="T40" s="104"/>
      <c r="U40" s="104"/>
      <c r="V40" s="111"/>
      <c r="W40" s="104"/>
      <c r="X40" s="104"/>
      <c r="Y40" s="104"/>
      <c r="Z40" s="783"/>
      <c r="AA40" s="111"/>
      <c r="AB40" s="112"/>
      <c r="AC40" s="112"/>
      <c r="AD40" s="112"/>
      <c r="AE40" s="112"/>
      <c r="AF40" s="112"/>
      <c r="AG40" s="112"/>
      <c r="AH40" s="112"/>
      <c r="AI40" s="112"/>
      <c r="AJ40" s="112"/>
      <c r="AK40" s="43"/>
      <c r="AL40" s="1725"/>
      <c r="AM40" s="43"/>
      <c r="AN40" s="97"/>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c r="BV40" s="112"/>
      <c r="BW40" s="112"/>
      <c r="BX40" s="112"/>
      <c r="BY40" s="112"/>
      <c r="BZ40" s="112"/>
      <c r="CA40" s="112"/>
      <c r="CB40" s="112"/>
      <c r="CC40" s="112"/>
      <c r="CD40" s="112"/>
      <c r="CE40" s="112"/>
      <c r="CF40" s="112"/>
      <c r="CG40" s="112"/>
      <c r="CH40" s="112"/>
      <c r="CI40" s="112"/>
      <c r="CJ40" s="112"/>
      <c r="CK40" s="112"/>
      <c r="CL40" s="112"/>
      <c r="CM40" s="112"/>
      <c r="CN40" s="112"/>
      <c r="CO40" s="112"/>
      <c r="CP40" s="112"/>
      <c r="CQ40" s="112"/>
      <c r="CR40" s="112"/>
      <c r="CS40" s="112"/>
      <c r="CT40" s="112"/>
      <c r="CU40" s="112"/>
      <c r="CV40" s="112"/>
      <c r="CW40" s="112"/>
      <c r="CX40" s="112"/>
      <c r="CY40" s="112"/>
      <c r="CZ40" s="112"/>
      <c r="DA40" s="112"/>
      <c r="DB40" s="112"/>
      <c r="DC40" s="112"/>
      <c r="DD40" s="112"/>
      <c r="DE40" s="112"/>
      <c r="DF40" s="112"/>
      <c r="DG40" s="112"/>
      <c r="DH40" s="112"/>
      <c r="DI40" s="112"/>
      <c r="DJ40" s="112"/>
      <c r="DK40" s="112"/>
      <c r="DL40" s="112"/>
      <c r="DM40" s="112"/>
      <c r="DN40" s="112"/>
      <c r="DO40" s="112"/>
      <c r="DP40" s="112"/>
      <c r="DQ40" s="112"/>
      <c r="DR40" s="112"/>
      <c r="DS40" s="112"/>
      <c r="DT40" s="112"/>
      <c r="DU40" s="112"/>
      <c r="DV40" s="112"/>
      <c r="DW40" s="112"/>
      <c r="DX40" s="112"/>
      <c r="DY40" s="112"/>
      <c r="DZ40" s="112"/>
      <c r="EA40" s="112"/>
      <c r="EB40" s="112"/>
      <c r="EC40" s="112"/>
      <c r="ED40" s="112"/>
      <c r="EE40" s="112"/>
      <c r="EF40" s="112"/>
      <c r="EG40" s="112"/>
      <c r="EH40" s="112"/>
      <c r="EI40" s="112"/>
    </row>
    <row r="41" spans="1:139">
      <c r="A41" s="96">
        <v>27</v>
      </c>
      <c r="B41" s="113"/>
      <c r="C41" s="1771" t="s">
        <v>3319</v>
      </c>
      <c r="D41" s="114"/>
      <c r="E41" s="101"/>
      <c r="F41" s="103"/>
      <c r="G41" s="1791">
        <f>((+G39*'Capital Structure Calculation'!$J$14)-'Exh 9, Summary of Adj'!G31)/'Exh 8, Conversion Factor'!$C$25</f>
        <v>2915655</v>
      </c>
      <c r="H41" s="1792">
        <f>((+H39*'Capital Structure Calculation'!$J$14)-'Exh 9, Summary of Adj'!H31)/'Exh 8, Conversion Factor'!$C$25</f>
        <v>-28982.574118779015</v>
      </c>
      <c r="I41" s="1792">
        <f>((+I39*'Capital Structure Calculation'!$J$14)-'Exh 9, Summary of Adj'!I31)/'Exh 8, Conversion Factor'!$C$25</f>
        <v>3068724.866104031</v>
      </c>
      <c r="J41" s="1792">
        <f>((+J39*'Capital Structure Calculation'!$J$14)-'Exh 9, Summary of Adj'!J31)/'Exh 8, Conversion Factor'!$C$25</f>
        <v>90769.294240203672</v>
      </c>
      <c r="K41" s="1792">
        <f>((+K39*'Capital Structure Calculation'!$J$14)-'Exh 9, Summary of Adj'!K31)/'Exh 8, Conversion Factor'!$C$25</f>
        <v>-1872032.4991624439</v>
      </c>
      <c r="L41" s="1792">
        <f>((+L39*'Capital Structure Calculation'!$J$14)-'Exh 9, Summary of Adj'!L31)/'Exh 8, Conversion Factor'!$C$25</f>
        <v>-406245</v>
      </c>
      <c r="M41" s="1792">
        <f>((+M39*'Capital Structure Calculation'!$J$14)-'Exh 9, Summary of Adj'!M31)/'Exh 8, Conversion Factor'!$C$25</f>
        <v>-183351.67208906225</v>
      </c>
      <c r="N41" s="1792">
        <f>((+N39*'Capital Structure Calculation'!$J$14)-'Exh 9, Summary of Adj'!N31)/'Exh 8, Conversion Factor'!$C$25</f>
        <v>-47961.18561310786</v>
      </c>
      <c r="O41" s="1792">
        <f>((+O39*'Capital Structure Calculation'!$J$14)-'Exh 9, Summary of Adj'!O31)/'Exh 8, Conversion Factor'!$C$25</f>
        <v>-459393.15502686065</v>
      </c>
      <c r="P41" s="115">
        <f>((+P39*'Capital Structure Calculation'!$J$14)-'Exh 9, Summary of Adj'!P31)/'Exh 8, Conversion Factor'!$C$25</f>
        <v>0</v>
      </c>
      <c r="Q41" s="115"/>
      <c r="R41" s="115">
        <f>((+R39*'Capital Structure Calculation'!$J$14)-'Exh 9, Summary of Adj'!R31)/'Exh 8, Conversion Factor'!$C$25</f>
        <v>3077183.0743339807</v>
      </c>
      <c r="S41" s="115"/>
      <c r="T41" s="1792">
        <f>((+T39*'Capital Structure Calculation'!$J$14)-'Exh 9, Summary of Adj'!T31)/'Exh 8, Conversion Factor'!$C$25</f>
        <v>477286.26320191676</v>
      </c>
      <c r="U41" s="1792">
        <f>((+U39*'Capital Structure Calculation'!$J$14)-'Exh 9, Summary of Adj'!U31)/'Exh 8, Conversion Factor'!$C$25</f>
        <v>954504.39690056548</v>
      </c>
      <c r="V41" s="1792">
        <f>((+V39*'Capital Structure Calculation'!$J$14)-'Exh 9, Summary of Adj'!V31)/'Exh 8, Conversion Factor'!$C$25</f>
        <v>2288074.7872173605</v>
      </c>
      <c r="W41" s="1792">
        <f>((+W39*'Capital Structure Calculation'!$J$14)-'Exh 9, Summary of Adj'!W31)/'Exh 8, Conversion Factor'!$C$25</f>
        <v>837716.30135263654</v>
      </c>
      <c r="X41" s="1792">
        <f>((+X39*'Capital Structure Calculation'!$J$14)-'Exh 9, Summary of Adj'!X31)/'Exh 8, Conversion Factor'!$C$25</f>
        <v>-14922776.155102273</v>
      </c>
      <c r="Y41" s="115">
        <f>((+Y39*'Capital Structure Calculation'!$J$14)-'Exh 9, Summary of Adj'!Y31)/'Exh 8, Conversion Factor'!$C$25</f>
        <v>0</v>
      </c>
      <c r="Z41" s="115"/>
      <c r="AA41" s="115">
        <f>((+AA39*'Capital Structure Calculation'!$J$14)-'Exh 9, Summary of Adj'!AA31)/'Exh 8, Conversion Factor'!$C$25</f>
        <v>-10365194.406429794</v>
      </c>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116"/>
      <c r="BQ41" s="116"/>
      <c r="BR41" s="116"/>
      <c r="BS41" s="116"/>
      <c r="BT41" s="116"/>
      <c r="BU41" s="116"/>
      <c r="BV41" s="116"/>
      <c r="BW41" s="116"/>
      <c r="BX41" s="116"/>
      <c r="BY41" s="116"/>
      <c r="BZ41" s="116"/>
      <c r="CA41" s="116"/>
      <c r="CB41" s="116"/>
      <c r="CC41" s="116"/>
      <c r="CD41" s="116"/>
      <c r="CE41" s="116"/>
      <c r="CF41" s="116"/>
      <c r="CG41" s="116"/>
      <c r="CH41" s="116"/>
      <c r="CI41" s="116"/>
      <c r="CJ41" s="116"/>
      <c r="CK41" s="116"/>
      <c r="CL41" s="116"/>
      <c r="CM41" s="116"/>
      <c r="CN41" s="116"/>
      <c r="CO41" s="116"/>
      <c r="CP41" s="116"/>
      <c r="CQ41" s="116"/>
      <c r="CR41" s="116"/>
      <c r="CS41" s="116"/>
      <c r="CT41" s="116"/>
      <c r="CU41" s="116"/>
      <c r="CV41" s="116"/>
      <c r="CW41" s="116"/>
      <c r="CX41" s="116"/>
      <c r="CY41" s="116"/>
      <c r="CZ41" s="116"/>
      <c r="DA41" s="116"/>
      <c r="DB41" s="116"/>
      <c r="DC41" s="116"/>
      <c r="DD41" s="116"/>
      <c r="DE41" s="116"/>
      <c r="DF41" s="116"/>
      <c r="DG41" s="116"/>
      <c r="DH41" s="116"/>
      <c r="DI41" s="116"/>
      <c r="DJ41" s="116"/>
      <c r="DK41" s="116"/>
      <c r="DL41" s="116"/>
      <c r="DM41" s="116"/>
      <c r="DN41" s="116"/>
      <c r="DO41" s="116"/>
      <c r="DP41" s="116"/>
      <c r="DQ41" s="116"/>
      <c r="DR41" s="116"/>
      <c r="DS41" s="116"/>
      <c r="DT41" s="116"/>
      <c r="DU41" s="116"/>
      <c r="DV41" s="116"/>
      <c r="DW41" s="116"/>
      <c r="DX41" s="116"/>
      <c r="DY41" s="116"/>
      <c r="DZ41" s="116"/>
      <c r="EA41" s="116"/>
      <c r="EB41" s="116"/>
      <c r="EC41" s="116"/>
      <c r="ED41" s="116"/>
      <c r="EE41" s="116"/>
      <c r="EF41" s="116"/>
      <c r="EG41" s="116"/>
      <c r="EH41" s="116"/>
      <c r="EI41" s="116"/>
    </row>
    <row r="42" spans="1:139">
      <c r="A42" s="50"/>
      <c r="B42" s="50"/>
      <c r="C42" s="50"/>
      <c r="D42" s="50"/>
      <c r="E42" s="50"/>
      <c r="F42" s="50"/>
      <c r="G42" s="117"/>
      <c r="H42" s="117"/>
      <c r="I42" s="117"/>
      <c r="J42" s="289"/>
      <c r="K42" s="289"/>
      <c r="L42" s="289"/>
      <c r="M42" s="289"/>
      <c r="N42" s="289"/>
      <c r="O42" s="289"/>
      <c r="P42" s="289"/>
      <c r="Q42" s="117"/>
      <c r="R42" s="50"/>
      <c r="S42" s="117"/>
      <c r="T42" s="117"/>
      <c r="U42" s="117"/>
      <c r="V42" s="117"/>
      <c r="W42" s="289"/>
      <c r="X42" s="117"/>
      <c r="Y42" s="289"/>
      <c r="Z42" s="117"/>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row>
    <row r="43" spans="1:139">
      <c r="A43" s="50"/>
      <c r="B43" s="50"/>
      <c r="C43" s="50" t="s">
        <v>2432</v>
      </c>
      <c r="D43" s="50"/>
      <c r="E43" s="50"/>
      <c r="F43" s="50"/>
      <c r="G43" s="118">
        <v>2904183.7900000028</v>
      </c>
      <c r="H43" s="118">
        <v>-28982.574118779015</v>
      </c>
      <c r="I43" s="118">
        <v>4308761.3882119134</v>
      </c>
      <c r="J43" s="143">
        <v>90769.294240203672</v>
      </c>
      <c r="K43" s="143">
        <v>-1288107.5814347249</v>
      </c>
      <c r="L43" s="143">
        <v>0</v>
      </c>
      <c r="M43" s="143">
        <v>0</v>
      </c>
      <c r="N43" s="143">
        <v>0</v>
      </c>
      <c r="O43" s="143">
        <v>0</v>
      </c>
      <c r="P43" s="143">
        <v>0</v>
      </c>
      <c r="Q43" s="119"/>
      <c r="R43" s="119"/>
      <c r="S43" s="119"/>
      <c r="T43" s="143">
        <v>121700.73733306683</v>
      </c>
      <c r="U43" s="143">
        <v>2114703.1021065707</v>
      </c>
      <c r="V43" s="143">
        <v>10172129.083139265</v>
      </c>
      <c r="W43" s="143">
        <v>968904.8187259814</v>
      </c>
      <c r="X43" s="118">
        <v>-14922776.155102273</v>
      </c>
      <c r="Y43" s="143"/>
      <c r="Z43" s="119"/>
      <c r="AA43" s="119"/>
      <c r="AB43" s="51"/>
      <c r="AC43" s="51"/>
      <c r="AD43" s="51"/>
      <c r="AE43" s="51"/>
      <c r="AF43" s="51"/>
      <c r="AG43" s="51"/>
      <c r="AH43" s="51"/>
      <c r="AI43" s="51"/>
      <c r="AJ43" s="51"/>
      <c r="AK43" s="51"/>
      <c r="AL43" s="51"/>
      <c r="AM43" s="51"/>
      <c r="AN43" s="51"/>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c r="EF43" s="50"/>
      <c r="EG43" s="50"/>
      <c r="EH43" s="50"/>
      <c r="EI43" s="50"/>
    </row>
    <row r="44" spans="1:139">
      <c r="A44" s="50"/>
      <c r="B44" s="50"/>
      <c r="C44" s="50" t="s">
        <v>1807</v>
      </c>
      <c r="D44" s="50"/>
      <c r="E44" s="50"/>
      <c r="F44" s="50"/>
      <c r="G44" s="118">
        <f>G41-G43</f>
        <v>11471.209999997169</v>
      </c>
      <c r="H44" s="118">
        <f t="shared" ref="H44:W44" si="12">H41-H43</f>
        <v>0</v>
      </c>
      <c r="I44" s="118">
        <f t="shared" si="12"/>
        <v>-1240036.5221078824</v>
      </c>
      <c r="J44" s="118">
        <f t="shared" si="12"/>
        <v>0</v>
      </c>
      <c r="K44" s="118">
        <f t="shared" si="12"/>
        <v>-583924.91772771906</v>
      </c>
      <c r="L44" s="118">
        <f t="shared" si="12"/>
        <v>-406245</v>
      </c>
      <c r="M44" s="118">
        <f t="shared" si="12"/>
        <v>-183351.67208906225</v>
      </c>
      <c r="N44" s="118">
        <f t="shared" si="12"/>
        <v>-47961.18561310786</v>
      </c>
      <c r="O44" s="118">
        <f t="shared" si="12"/>
        <v>-459393.15502686065</v>
      </c>
      <c r="P44" s="118">
        <f t="shared" si="12"/>
        <v>0</v>
      </c>
      <c r="Q44" s="119"/>
      <c r="R44" s="119">
        <f>SUM(G44:P44)</f>
        <v>-2909441.2425646349</v>
      </c>
      <c r="S44" s="119"/>
      <c r="T44" s="118">
        <f t="shared" si="12"/>
        <v>355585.52586884995</v>
      </c>
      <c r="U44" s="118">
        <f t="shared" si="12"/>
        <v>-1160198.7052060054</v>
      </c>
      <c r="V44" s="118">
        <f t="shared" si="12"/>
        <v>-7884054.295921905</v>
      </c>
      <c r="W44" s="118">
        <f t="shared" si="12"/>
        <v>-131188.51737334486</v>
      </c>
      <c r="X44" s="118">
        <f>X41-X43</f>
        <v>0</v>
      </c>
      <c r="Y44" s="143"/>
      <c r="Z44" s="119"/>
      <c r="AA44" s="119">
        <f>SUM(T44:Y44)</f>
        <v>-8819855.992632404</v>
      </c>
      <c r="AB44" s="51"/>
      <c r="AC44" s="51"/>
      <c r="AD44" s="51"/>
      <c r="AE44" s="51"/>
      <c r="AF44" s="51"/>
      <c r="AG44" s="51"/>
      <c r="AH44" s="51"/>
      <c r="AI44" s="51"/>
      <c r="AJ44" s="51"/>
      <c r="AK44" s="51"/>
      <c r="AL44" s="51"/>
      <c r="AM44" s="51"/>
      <c r="AN44" s="51"/>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row>
    <row r="45" spans="1:139">
      <c r="A45" s="50"/>
      <c r="B45" s="50"/>
      <c r="C45" s="50"/>
      <c r="D45" s="50"/>
      <c r="E45" s="50"/>
      <c r="F45" s="50"/>
      <c r="G45" s="118"/>
      <c r="H45" s="118"/>
      <c r="I45" s="118"/>
      <c r="J45" s="143"/>
      <c r="K45" s="143"/>
      <c r="L45" s="143"/>
      <c r="M45" s="143"/>
      <c r="N45" s="143"/>
      <c r="P45" s="143"/>
      <c r="Q45" s="119"/>
      <c r="R45" s="51"/>
      <c r="S45" s="119"/>
      <c r="T45" s="118"/>
      <c r="U45" s="118"/>
      <c r="V45" s="118"/>
      <c r="W45" s="143"/>
      <c r="X45" s="118"/>
      <c r="Y45" s="143"/>
      <c r="Z45" s="119"/>
      <c r="AA45" s="51"/>
      <c r="AB45" s="51"/>
      <c r="AC45" s="51"/>
      <c r="AD45" s="51"/>
      <c r="AE45" s="51"/>
      <c r="AF45" s="51"/>
      <c r="AG45" s="51"/>
      <c r="AH45" s="51"/>
      <c r="AI45" s="51"/>
      <c r="AJ45" s="51"/>
      <c r="AK45" s="51"/>
      <c r="AL45" s="51"/>
      <c r="AM45" s="51"/>
      <c r="AN45" s="51"/>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c r="ED45" s="50"/>
      <c r="EE45" s="50"/>
      <c r="EF45" s="50"/>
      <c r="EG45" s="50"/>
      <c r="EH45" s="50"/>
      <c r="EI45" s="50"/>
    </row>
    <row r="46" spans="1:139">
      <c r="A46" s="50"/>
      <c r="B46" s="50"/>
      <c r="C46" s="1795" t="s">
        <v>3371</v>
      </c>
      <c r="D46" s="1795"/>
      <c r="E46" s="1795"/>
      <c r="F46" s="1795"/>
      <c r="G46" s="1796">
        <v>2913264</v>
      </c>
      <c r="H46" s="1796">
        <v>-28983</v>
      </c>
      <c r="I46" s="1796">
        <v>3068725</v>
      </c>
      <c r="J46" s="1796">
        <v>90769</v>
      </c>
      <c r="K46" s="1796">
        <v>-1872032</v>
      </c>
      <c r="L46" s="1796">
        <v>-406245</v>
      </c>
      <c r="M46" s="1796">
        <v>-183352</v>
      </c>
      <c r="N46" s="1796">
        <v>-47961</v>
      </c>
      <c r="O46" s="1796">
        <v>-459393</v>
      </c>
      <c r="P46" s="1796">
        <v>0</v>
      </c>
      <c r="Q46" s="1796"/>
      <c r="R46" s="1797">
        <f>SUM(G46:P46)</f>
        <v>3074792</v>
      </c>
      <c r="S46" s="1796"/>
      <c r="T46" s="1796">
        <v>477286</v>
      </c>
      <c r="U46" s="1796">
        <v>954504</v>
      </c>
      <c r="V46" s="1796">
        <v>2288075</v>
      </c>
      <c r="W46" s="1796">
        <v>837716</v>
      </c>
      <c r="X46" s="1796">
        <v>-14922776</v>
      </c>
      <c r="Y46" s="1796">
        <v>0</v>
      </c>
      <c r="Z46" s="1796"/>
      <c r="AA46" s="1797">
        <f>SUM(T46:Y46)</f>
        <v>-10365195</v>
      </c>
      <c r="AB46" s="1798"/>
      <c r="AC46" s="1798"/>
      <c r="AD46" s="51"/>
      <c r="AE46" s="51"/>
      <c r="AF46" s="51"/>
      <c r="AG46" s="51"/>
      <c r="AH46" s="51"/>
      <c r="AI46" s="51"/>
      <c r="AJ46" s="51"/>
      <c r="AK46" s="51"/>
      <c r="AL46" s="51"/>
      <c r="AM46" s="51"/>
      <c r="AN46" s="51"/>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row>
    <row r="47" spans="1:139">
      <c r="A47" s="50"/>
      <c r="B47" s="50"/>
      <c r="C47" s="1795"/>
      <c r="D47" s="1795"/>
      <c r="E47" s="1795"/>
      <c r="F47" s="1795"/>
      <c r="G47" s="1796">
        <f>ROUND(G46-G41, 0)</f>
        <v>-2391</v>
      </c>
      <c r="H47" s="1796">
        <f t="shared" ref="H47:R47" si="13">ROUND(H46-H41, 0)</f>
        <v>0</v>
      </c>
      <c r="I47" s="1796">
        <f t="shared" si="13"/>
        <v>0</v>
      </c>
      <c r="J47" s="1796">
        <f t="shared" si="13"/>
        <v>0</v>
      </c>
      <c r="K47" s="1796">
        <f t="shared" si="13"/>
        <v>0</v>
      </c>
      <c r="L47" s="1796">
        <f t="shared" si="13"/>
        <v>0</v>
      </c>
      <c r="M47" s="1796">
        <f t="shared" si="13"/>
        <v>0</v>
      </c>
      <c r="N47" s="1796">
        <f t="shared" si="13"/>
        <v>0</v>
      </c>
      <c r="O47" s="1796">
        <f t="shared" si="13"/>
        <v>0</v>
      </c>
      <c r="P47" s="1796">
        <f t="shared" si="13"/>
        <v>0</v>
      </c>
      <c r="Q47" s="1796"/>
      <c r="R47" s="1796">
        <f t="shared" si="13"/>
        <v>-2391</v>
      </c>
      <c r="S47" s="1796"/>
      <c r="T47" s="1796">
        <f t="shared" ref="T47:Y47" si="14">ROUND(T46-T41, 0)</f>
        <v>0</v>
      </c>
      <c r="U47" s="1796">
        <f t="shared" si="14"/>
        <v>0</v>
      </c>
      <c r="V47" s="1796">
        <f t="shared" si="14"/>
        <v>0</v>
      </c>
      <c r="W47" s="1796">
        <f t="shared" si="14"/>
        <v>0</v>
      </c>
      <c r="X47" s="1796">
        <f t="shared" si="14"/>
        <v>0</v>
      </c>
      <c r="Y47" s="1796">
        <f t="shared" si="14"/>
        <v>0</v>
      </c>
      <c r="Z47" s="1796"/>
      <c r="AA47" s="1796">
        <f>SUM(T47:Y47)</f>
        <v>0</v>
      </c>
      <c r="AB47" s="1798"/>
      <c r="AC47" s="1798"/>
      <c r="AD47" s="51"/>
      <c r="AE47" s="51"/>
      <c r="AF47" s="51"/>
      <c r="AG47" s="51"/>
      <c r="AH47" s="51"/>
      <c r="AI47" s="51"/>
      <c r="AJ47" s="51"/>
      <c r="AK47" s="51"/>
      <c r="AL47" s="51"/>
      <c r="AM47" s="51"/>
      <c r="AN47" s="51"/>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row>
    <row r="48" spans="1:139">
      <c r="A48" s="50"/>
      <c r="B48" s="50"/>
      <c r="C48" s="1795"/>
      <c r="D48" s="1795"/>
      <c r="E48" s="1795"/>
      <c r="F48" s="1795"/>
      <c r="G48" s="1798"/>
      <c r="H48" s="1799"/>
      <c r="I48" s="1799"/>
      <c r="J48" s="1799"/>
      <c r="K48" s="1799"/>
      <c r="L48" s="1799"/>
      <c r="M48" s="1799"/>
      <c r="N48" s="1799"/>
      <c r="O48" s="1799"/>
      <c r="P48" s="1799"/>
      <c r="Q48" s="1798"/>
      <c r="R48" s="1798"/>
      <c r="S48" s="1798"/>
      <c r="T48" s="1799"/>
      <c r="U48" s="1800"/>
      <c r="V48" s="1799"/>
      <c r="W48" s="1799"/>
      <c r="X48" s="1799"/>
      <c r="Y48" s="1799"/>
      <c r="Z48" s="1798"/>
      <c r="AA48" s="1798"/>
      <c r="AB48" s="1798"/>
      <c r="AC48" s="1798"/>
      <c r="AD48" s="51"/>
      <c r="AE48" s="51"/>
      <c r="AF48" s="51"/>
      <c r="AG48" s="51"/>
      <c r="AH48" s="51"/>
      <c r="AI48" s="51"/>
      <c r="AJ48" s="51"/>
      <c r="AK48" s="51"/>
      <c r="AL48" s="51"/>
      <c r="AM48" s="51"/>
      <c r="AN48" s="51"/>
    </row>
    <row r="49" spans="1:40">
      <c r="A49" s="50"/>
      <c r="B49" s="50"/>
      <c r="C49" s="1795" t="s">
        <v>3357</v>
      </c>
      <c r="D49" s="1795"/>
      <c r="E49" s="1795"/>
      <c r="F49" s="1795"/>
      <c r="G49" s="1796"/>
      <c r="H49" s="1796"/>
      <c r="I49" s="1796">
        <v>21636113</v>
      </c>
      <c r="J49" s="1796"/>
      <c r="K49" s="1796"/>
      <c r="L49" s="1796"/>
      <c r="M49" s="1796"/>
      <c r="N49" s="1796"/>
      <c r="O49" s="1796">
        <v>229565</v>
      </c>
      <c r="P49" s="1796"/>
      <c r="Q49" s="1796"/>
      <c r="R49" s="1797">
        <f>SUM(G49:P49)</f>
        <v>21865678</v>
      </c>
      <c r="S49" s="1796"/>
      <c r="T49" s="1796"/>
      <c r="U49" s="1796"/>
      <c r="V49" s="1796">
        <v>13190383</v>
      </c>
      <c r="W49" s="1796"/>
      <c r="X49" s="1796"/>
      <c r="Y49" s="1796"/>
      <c r="Z49" s="1796"/>
      <c r="AA49" s="1797">
        <f>SUM(T49:Y49)</f>
        <v>13190383</v>
      </c>
      <c r="AB49" s="1798"/>
      <c r="AC49" s="1797">
        <f>AA49+R49</f>
        <v>35056061</v>
      </c>
      <c r="AD49" s="51"/>
      <c r="AE49" s="51"/>
      <c r="AF49" s="51"/>
      <c r="AG49" s="51"/>
      <c r="AH49" s="51"/>
      <c r="AI49" s="51"/>
      <c r="AJ49" s="51"/>
      <c r="AK49" s="51"/>
      <c r="AL49" s="51"/>
      <c r="AM49" s="51"/>
      <c r="AN49" s="51"/>
    </row>
    <row r="50" spans="1:40">
      <c r="A50" s="50"/>
      <c r="B50" s="50"/>
      <c r="C50" s="1795"/>
      <c r="D50" s="1795"/>
      <c r="E50" s="1795"/>
      <c r="F50" s="1795"/>
      <c r="G50" s="1796"/>
      <c r="H50" s="1796"/>
      <c r="I50" s="1796">
        <f>ROUND(I49-I39, 0)</f>
        <v>0</v>
      </c>
      <c r="J50" s="1796"/>
      <c r="K50" s="1796"/>
      <c r="L50" s="1796"/>
      <c r="M50" s="1796"/>
      <c r="N50" s="1796"/>
      <c r="O50" s="1796">
        <f>ROUND(O49-O39, 0)</f>
        <v>0</v>
      </c>
      <c r="P50" s="1796"/>
      <c r="Q50" s="1796"/>
      <c r="R50" s="1796">
        <f>ROUND(R49-R39, 0)</f>
        <v>0</v>
      </c>
      <c r="S50" s="1796"/>
      <c r="T50" s="1796"/>
      <c r="U50" s="1796"/>
      <c r="V50" s="1796">
        <f>ROUND(V49-V39, 0)</f>
        <v>0</v>
      </c>
      <c r="W50" s="1796"/>
      <c r="X50" s="1796"/>
      <c r="Y50" s="1796"/>
      <c r="Z50" s="1796"/>
      <c r="AA50" s="1796">
        <f>ROUND(AA49-AA39, 0)</f>
        <v>0</v>
      </c>
      <c r="AB50" s="1798"/>
      <c r="AC50" s="1797">
        <f>ROUND(AC49-AC39, 0)</f>
        <v>0</v>
      </c>
      <c r="AD50" s="51"/>
      <c r="AE50" s="51"/>
      <c r="AF50" s="51"/>
      <c r="AG50" s="51"/>
      <c r="AH50" s="51"/>
      <c r="AI50" s="51"/>
      <c r="AJ50" s="51"/>
      <c r="AK50" s="51"/>
      <c r="AL50" s="51"/>
      <c r="AM50" s="51"/>
      <c r="AN50" s="51"/>
    </row>
    <row r="51" spans="1:40">
      <c r="A51" s="50"/>
      <c r="B51" s="50"/>
      <c r="C51" s="50"/>
      <c r="D51" s="50"/>
      <c r="E51" s="50"/>
      <c r="F51" s="50"/>
      <c r="G51" s="118"/>
      <c r="H51" s="118"/>
      <c r="I51" s="118"/>
      <c r="J51" s="118"/>
      <c r="K51" s="118"/>
      <c r="L51" s="118"/>
      <c r="M51" s="118"/>
      <c r="N51" s="118"/>
      <c r="O51" s="118"/>
      <c r="P51" s="118"/>
      <c r="Q51" s="118"/>
      <c r="R51" s="118"/>
      <c r="S51" s="118"/>
      <c r="T51" s="118"/>
      <c r="U51" s="118"/>
      <c r="V51" s="118"/>
      <c r="W51" s="118"/>
      <c r="X51" s="118"/>
      <c r="Y51" s="118"/>
      <c r="Z51" s="118"/>
      <c r="AA51" s="118"/>
      <c r="AB51" s="51"/>
      <c r="AC51" s="51"/>
      <c r="AD51" s="51"/>
      <c r="AE51" s="51"/>
      <c r="AF51" s="51"/>
      <c r="AG51" s="51"/>
      <c r="AH51" s="51"/>
      <c r="AI51" s="51"/>
      <c r="AJ51" s="51"/>
      <c r="AK51" s="51"/>
      <c r="AL51" s="51"/>
      <c r="AM51" s="51"/>
      <c r="AN51" s="51"/>
    </row>
    <row r="52" spans="1:40" ht="46.8">
      <c r="A52" s="50"/>
      <c r="B52" s="50"/>
      <c r="C52" s="50" t="s">
        <v>3361</v>
      </c>
      <c r="D52" s="50"/>
      <c r="E52" s="50"/>
      <c r="F52" s="50"/>
      <c r="G52" s="1821" t="s">
        <v>3385</v>
      </c>
      <c r="H52" s="122"/>
      <c r="I52" s="122"/>
      <c r="J52" s="122"/>
      <c r="K52" s="1821" t="s">
        <v>3384</v>
      </c>
      <c r="L52" s="122"/>
      <c r="M52" s="122"/>
      <c r="N52" s="122"/>
      <c r="O52" s="1821" t="s">
        <v>3382</v>
      </c>
      <c r="P52" s="122"/>
      <c r="Q52" s="51"/>
      <c r="R52" s="51"/>
      <c r="S52" s="51"/>
      <c r="T52" s="122"/>
      <c r="U52" s="120"/>
      <c r="V52" s="122"/>
      <c r="W52" s="122"/>
      <c r="X52" s="122"/>
      <c r="Y52" s="122"/>
      <c r="Z52" s="51"/>
      <c r="AA52" s="51"/>
      <c r="AB52" s="51"/>
      <c r="AC52" s="51"/>
      <c r="AD52" s="51"/>
      <c r="AE52" s="51"/>
      <c r="AF52" s="51"/>
      <c r="AG52" s="51"/>
      <c r="AH52" s="51"/>
      <c r="AI52" s="51"/>
      <c r="AJ52" s="51"/>
      <c r="AK52" s="51"/>
      <c r="AL52" s="51"/>
      <c r="AM52" s="51"/>
      <c r="AN52" s="51"/>
    </row>
    <row r="53" spans="1:40">
      <c r="A53" s="50"/>
      <c r="B53" s="50"/>
      <c r="C53" s="50"/>
      <c r="D53" s="50"/>
      <c r="E53" s="50"/>
      <c r="F53" s="50"/>
      <c r="G53" s="118"/>
      <c r="H53" s="118"/>
      <c r="I53" s="118"/>
      <c r="J53" s="143"/>
      <c r="K53" s="143"/>
      <c r="L53" s="143"/>
      <c r="M53" s="143"/>
      <c r="N53" s="143"/>
      <c r="O53" s="143"/>
      <c r="P53" s="143"/>
      <c r="Q53" s="51"/>
      <c r="R53" s="51"/>
      <c r="S53" s="51"/>
      <c r="T53" s="143"/>
      <c r="U53" s="143"/>
      <c r="V53" s="143"/>
      <c r="W53" s="143"/>
      <c r="X53" s="118"/>
      <c r="Y53" s="122"/>
      <c r="Z53" s="51"/>
      <c r="AA53" s="51"/>
      <c r="AB53" s="51"/>
      <c r="AC53" s="51"/>
      <c r="AD53" s="51"/>
      <c r="AE53" s="51"/>
      <c r="AF53" s="51"/>
      <c r="AG53" s="51"/>
      <c r="AH53" s="51"/>
      <c r="AI53" s="51"/>
      <c r="AJ53" s="51"/>
      <c r="AK53" s="51"/>
      <c r="AL53" s="51"/>
      <c r="AM53" s="51"/>
      <c r="AN53" s="51"/>
    </row>
    <row r="54" spans="1:40">
      <c r="A54" s="50"/>
      <c r="B54" s="50"/>
      <c r="C54" s="50"/>
      <c r="D54" s="50"/>
      <c r="E54" s="50"/>
      <c r="F54" s="50"/>
      <c r="G54" s="118"/>
      <c r="H54" s="118"/>
      <c r="I54" s="118"/>
      <c r="J54" s="118"/>
      <c r="K54" s="118"/>
      <c r="L54" s="118"/>
      <c r="M54" s="118"/>
      <c r="N54" s="118"/>
      <c r="O54" s="118"/>
      <c r="P54" s="118"/>
      <c r="Q54" s="51"/>
      <c r="R54" s="119"/>
      <c r="S54" s="51"/>
      <c r="T54" s="118"/>
      <c r="U54" s="118"/>
      <c r="V54" s="118"/>
      <c r="W54" s="118"/>
      <c r="X54" s="118"/>
      <c r="Y54" s="51"/>
      <c r="Z54" s="51"/>
      <c r="AA54" s="119"/>
      <c r="AB54" s="51"/>
      <c r="AC54" s="51"/>
      <c r="AD54" s="51"/>
      <c r="AE54" s="51"/>
      <c r="AF54" s="51"/>
      <c r="AG54" s="51"/>
      <c r="AH54" s="51"/>
      <c r="AI54" s="51"/>
      <c r="AJ54" s="51"/>
      <c r="AK54" s="51"/>
      <c r="AL54" s="51"/>
      <c r="AM54" s="51"/>
      <c r="AN54" s="51"/>
    </row>
    <row r="55" spans="1:40">
      <c r="A55" s="50"/>
      <c r="B55" s="50"/>
      <c r="C55" s="50"/>
      <c r="D55" s="50"/>
      <c r="E55" s="50"/>
      <c r="F55" s="50"/>
      <c r="G55" s="51"/>
      <c r="H55" s="121"/>
      <c r="I55" s="121"/>
      <c r="J55" s="121"/>
      <c r="K55" s="121"/>
      <c r="L55" s="121"/>
      <c r="M55" s="121"/>
      <c r="N55" s="121"/>
      <c r="O55" s="121"/>
      <c r="P55" s="121"/>
      <c r="Q55" s="51"/>
      <c r="R55" s="1772"/>
      <c r="S55" s="51"/>
      <c r="T55" s="121"/>
      <c r="U55" s="123"/>
      <c r="V55" s="121"/>
      <c r="W55" s="121"/>
      <c r="X55" s="121"/>
      <c r="Y55" s="121"/>
      <c r="Z55" s="51"/>
      <c r="AA55" s="1772"/>
      <c r="AB55" s="51"/>
      <c r="AC55" s="51"/>
      <c r="AD55" s="51"/>
      <c r="AE55" s="51"/>
      <c r="AF55" s="51"/>
      <c r="AG55" s="51"/>
      <c r="AH55" s="51"/>
      <c r="AI55" s="51"/>
      <c r="AJ55" s="51"/>
      <c r="AK55" s="51"/>
      <c r="AL55" s="51"/>
      <c r="AM55" s="51"/>
      <c r="AN55" s="51"/>
    </row>
    <row r="56" spans="1:40">
      <c r="A56" s="50"/>
      <c r="B56" s="50"/>
      <c r="C56" s="50"/>
      <c r="D56" s="50"/>
      <c r="E56" s="50"/>
      <c r="F56" s="50"/>
      <c r="G56" s="51"/>
      <c r="H56" s="121"/>
      <c r="I56" s="121"/>
      <c r="J56" s="121"/>
      <c r="K56" s="121"/>
      <c r="L56" s="121"/>
      <c r="M56" s="121"/>
      <c r="N56" s="121"/>
      <c r="O56" s="121"/>
      <c r="P56" s="121"/>
      <c r="Q56" s="51"/>
      <c r="R56" s="51"/>
      <c r="S56" s="51"/>
      <c r="T56" s="121"/>
      <c r="U56" s="120"/>
      <c r="V56" s="121"/>
      <c r="W56" s="121"/>
      <c r="X56" s="121"/>
      <c r="Y56" s="121"/>
      <c r="Z56" s="51"/>
      <c r="AA56" s="51"/>
      <c r="AB56" s="51"/>
      <c r="AC56" s="51"/>
      <c r="AD56" s="51"/>
      <c r="AE56" s="51"/>
      <c r="AF56" s="51"/>
      <c r="AG56" s="51"/>
      <c r="AH56" s="51"/>
      <c r="AI56" s="51"/>
      <c r="AJ56" s="51"/>
      <c r="AK56" s="51"/>
      <c r="AL56" s="51"/>
      <c r="AM56" s="51"/>
      <c r="AN56" s="51"/>
    </row>
    <row r="57" spans="1:40">
      <c r="A57" s="50"/>
      <c r="B57" s="50"/>
      <c r="C57" s="1805" t="s">
        <v>3364</v>
      </c>
      <c r="D57" s="1808"/>
      <c r="E57" s="1808"/>
      <c r="F57" s="1808"/>
      <c r="G57" s="51"/>
      <c r="H57" s="51"/>
      <c r="I57" s="51"/>
      <c r="J57" s="51"/>
      <c r="K57" s="51"/>
      <c r="L57" s="51"/>
      <c r="M57" s="51"/>
      <c r="N57" s="51"/>
      <c r="O57" s="51"/>
      <c r="P57" s="51"/>
      <c r="Q57" s="51"/>
      <c r="R57" s="51"/>
      <c r="S57" s="51"/>
      <c r="T57" s="51"/>
      <c r="U57" s="120"/>
      <c r="V57" s="51"/>
      <c r="W57" s="51"/>
      <c r="X57" s="51"/>
      <c r="Y57" s="51"/>
      <c r="Z57" s="51"/>
      <c r="AA57" s="51"/>
      <c r="AB57" s="51"/>
      <c r="AC57" s="51"/>
      <c r="AD57" s="51"/>
      <c r="AE57" s="51"/>
      <c r="AF57" s="51"/>
      <c r="AG57" s="51"/>
      <c r="AH57" s="51"/>
      <c r="AI57" s="51"/>
      <c r="AJ57" s="51"/>
      <c r="AK57" s="51"/>
      <c r="AL57" s="51"/>
      <c r="AM57" s="51"/>
      <c r="AN57" s="51"/>
    </row>
    <row r="58" spans="1:40">
      <c r="A58" s="50"/>
      <c r="B58" s="50"/>
      <c r="C58" s="1806" t="s">
        <v>3366</v>
      </c>
      <c r="D58" s="1806"/>
      <c r="E58" s="1806"/>
      <c r="F58" s="1806"/>
      <c r="G58" s="51"/>
      <c r="H58" s="51"/>
      <c r="I58" s="51"/>
      <c r="J58" s="51"/>
      <c r="K58" s="51"/>
      <c r="L58" s="51"/>
      <c r="M58" s="51"/>
      <c r="N58" s="51"/>
      <c r="O58" s="51"/>
      <c r="P58" s="51"/>
      <c r="Q58" s="51"/>
      <c r="R58" s="51"/>
      <c r="S58" s="51"/>
      <c r="T58" s="51"/>
      <c r="U58" s="120"/>
      <c r="V58" s="51"/>
      <c r="W58" s="51"/>
      <c r="X58" s="51"/>
      <c r="Y58" s="51"/>
      <c r="Z58" s="51"/>
      <c r="AA58" s="51"/>
      <c r="AB58" s="51"/>
      <c r="AC58" s="51"/>
      <c r="AD58" s="51"/>
      <c r="AE58" s="51"/>
      <c r="AF58" s="51"/>
      <c r="AG58" s="51"/>
      <c r="AH58" s="51"/>
      <c r="AI58" s="51"/>
      <c r="AJ58" s="51"/>
      <c r="AK58" s="51"/>
      <c r="AL58" s="51"/>
      <c r="AM58" s="51"/>
      <c r="AN58" s="51"/>
    </row>
    <row r="59" spans="1:40">
      <c r="A59" s="50"/>
      <c r="B59" s="50"/>
      <c r="C59" s="1806" t="s">
        <v>3365</v>
      </c>
      <c r="D59" s="1806"/>
      <c r="E59" s="1806"/>
      <c r="F59" s="1806"/>
      <c r="G59" s="51"/>
      <c r="H59" s="51"/>
      <c r="I59" s="51"/>
      <c r="J59" s="51"/>
      <c r="K59" s="51"/>
      <c r="L59" s="51"/>
      <c r="M59" s="51"/>
      <c r="N59" s="51"/>
      <c r="O59" s="51"/>
      <c r="P59" s="51"/>
      <c r="Q59" s="51"/>
      <c r="R59" s="51"/>
      <c r="S59" s="51"/>
      <c r="T59" s="51"/>
      <c r="U59" s="120"/>
      <c r="V59" s="51"/>
      <c r="W59" s="51"/>
      <c r="X59" s="51"/>
      <c r="Y59" s="51"/>
      <c r="Z59" s="51"/>
      <c r="AA59" s="51"/>
      <c r="AB59" s="51"/>
      <c r="AC59" s="51"/>
      <c r="AD59" s="51"/>
      <c r="AE59" s="51"/>
      <c r="AF59" s="51"/>
      <c r="AG59" s="51"/>
      <c r="AH59" s="51"/>
      <c r="AI59" s="51"/>
      <c r="AJ59" s="51"/>
      <c r="AK59" s="51"/>
      <c r="AL59" s="51"/>
      <c r="AM59" s="51"/>
      <c r="AN59" s="51"/>
    </row>
    <row r="60" spans="1:40">
      <c r="C60" s="1807" t="s">
        <v>3367</v>
      </c>
      <c r="D60" s="1807"/>
      <c r="E60" s="1807"/>
      <c r="F60" s="1807"/>
    </row>
    <row r="61" spans="1:40">
      <c r="C61" s="1807" t="s">
        <v>3368</v>
      </c>
      <c r="D61" s="1807"/>
      <c r="E61" s="1807"/>
      <c r="F61" s="1807"/>
    </row>
    <row r="62" spans="1:40">
      <c r="C62" s="1807" t="s">
        <v>3369</v>
      </c>
      <c r="D62" s="1807"/>
      <c r="E62" s="1807"/>
      <c r="F62" s="1807"/>
    </row>
    <row r="63" spans="1:40">
      <c r="C63" s="1807" t="s">
        <v>3370</v>
      </c>
      <c r="D63" s="1807"/>
      <c r="E63" s="1807"/>
      <c r="F63" s="1807"/>
    </row>
    <row r="64" spans="1:40">
      <c r="C64" s="1807"/>
      <c r="D64" s="1807"/>
      <c r="E64" s="1807"/>
      <c r="F64" s="1807"/>
    </row>
    <row r="65" spans="3:3">
      <c r="C65" s="3" t="s">
        <v>3360</v>
      </c>
    </row>
  </sheetData>
  <mergeCells count="3">
    <mergeCell ref="B1:AA1"/>
    <mergeCell ref="B2:AA2"/>
    <mergeCell ref="B3:AA3"/>
  </mergeCells>
  <phoneticPr fontId="141" type="noConversion"/>
  <printOptions horizontalCentered="1"/>
  <pageMargins left="0" right="0" top="0.5" bottom="0.5" header="0.3" footer="0.3"/>
  <pageSetup paperSize="5" scale="76" orientation="landscape" r:id="rId1"/>
  <headerFooter scaleWithDoc="0" alignWithMargins="0">
    <oddHeader>&amp;RDocket No. UG-200568
Exhibit _____ (MCP-10)
Page 1 of 1</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7"/>
    <pageSetUpPr fitToPage="1"/>
  </sheetPr>
  <dimension ref="A1:AK225"/>
  <sheetViews>
    <sheetView zoomScale="80" zoomScaleNormal="80" workbookViewId="0">
      <pane xSplit="2" ySplit="7" topLeftCell="I8" activePane="bottomRight" state="frozen"/>
      <selection activeCell="F27" sqref="F27"/>
      <selection pane="topRight" activeCell="F27" sqref="F27"/>
      <selection pane="bottomLeft" activeCell="F27" sqref="F27"/>
      <selection pane="bottomRight" activeCell="T30" sqref="T30"/>
    </sheetView>
  </sheetViews>
  <sheetFormatPr defaultColWidth="9.109375" defaultRowHeight="15.6"/>
  <cols>
    <col min="1" max="1" width="6.33203125" style="15" customWidth="1"/>
    <col min="2" max="2" width="14.109375" style="14" bestFit="1" customWidth="1"/>
    <col min="3" max="3" width="60.109375" style="14" bestFit="1" customWidth="1"/>
    <col min="4" max="4" width="17.33203125" style="14" bestFit="1" customWidth="1"/>
    <col min="5" max="5" width="18.88671875" style="14" bestFit="1" customWidth="1"/>
    <col min="6" max="6" width="9.88671875" style="14" bestFit="1" customWidth="1"/>
    <col min="7" max="7" width="22.109375" style="14" bestFit="1" customWidth="1"/>
    <col min="8" max="8" width="18" style="14" customWidth="1"/>
    <col min="9" max="9" width="12.33203125" style="14" bestFit="1" customWidth="1"/>
    <col min="10" max="10" width="16" style="344" bestFit="1" customWidth="1"/>
    <col min="11" max="11" width="16.5546875" style="14" bestFit="1" customWidth="1"/>
    <col min="12" max="12" width="11.33203125" style="14" bestFit="1" customWidth="1"/>
    <col min="13" max="13" width="15" style="14" bestFit="1" customWidth="1"/>
    <col min="14" max="14" width="15" style="14" customWidth="1"/>
    <col min="15" max="15" width="9.109375" style="14"/>
    <col min="16" max="16" width="13.33203125" style="14" customWidth="1"/>
    <col min="17" max="18" width="16.109375" style="14" customWidth="1"/>
    <col min="19" max="19" width="9.109375" style="14"/>
    <col min="20" max="20" width="10.88671875" style="14" customWidth="1"/>
    <col min="21" max="21" width="9.109375" style="14"/>
    <col min="22" max="22" width="15.33203125" style="14" customWidth="1"/>
    <col min="23" max="23" width="14.6640625" style="14" customWidth="1"/>
    <col min="24" max="24" width="9.109375" style="14" customWidth="1"/>
    <col min="25" max="25" width="9.109375" style="14"/>
    <col min="26" max="26" width="13.5546875" style="14" customWidth="1"/>
    <col min="27" max="27" width="15.109375" style="14" customWidth="1"/>
    <col min="28" max="28" width="11.33203125" style="14" bestFit="1" customWidth="1"/>
    <col min="29" max="30" width="9.109375" style="14"/>
    <col min="31" max="31" width="15.6640625" style="14" customWidth="1"/>
    <col min="32" max="32" width="16.88671875" style="14" bestFit="1" customWidth="1"/>
    <col min="33" max="34" width="9.109375" style="14"/>
    <col min="35" max="35" width="9.6640625" style="14" bestFit="1" customWidth="1"/>
    <col min="36" max="16384" width="9.109375" style="14"/>
  </cols>
  <sheetData>
    <row r="1" spans="1:37">
      <c r="C1" s="1890" t="s">
        <v>770</v>
      </c>
      <c r="D1" s="1890"/>
      <c r="E1" s="1890"/>
      <c r="F1" s="1890"/>
      <c r="G1" s="1890"/>
      <c r="H1" s="1890"/>
      <c r="I1" s="1890"/>
    </row>
    <row r="2" spans="1:37">
      <c r="C2" s="1890" t="s">
        <v>1793</v>
      </c>
      <c r="D2" s="1890"/>
      <c r="E2" s="1890"/>
      <c r="F2" s="1890"/>
      <c r="G2" s="1890"/>
      <c r="H2" s="1890"/>
      <c r="I2" s="1890"/>
    </row>
    <row r="3" spans="1:37">
      <c r="C3" s="1890" t="s">
        <v>1942</v>
      </c>
      <c r="D3" s="1890"/>
      <c r="E3" s="1890"/>
      <c r="F3" s="1890"/>
      <c r="G3" s="1890"/>
      <c r="H3" s="1890"/>
      <c r="I3" s="1890"/>
    </row>
    <row r="4" spans="1:37">
      <c r="C4" s="1891"/>
      <c r="D4" s="1891"/>
      <c r="E4" s="1891"/>
      <c r="F4" s="1891"/>
      <c r="G4" s="1891"/>
      <c r="H4" s="1891"/>
      <c r="I4" s="1891"/>
    </row>
    <row r="6" spans="1:37" s="15" customFormat="1">
      <c r="B6" s="15" t="s">
        <v>1798</v>
      </c>
      <c r="C6" s="15" t="s">
        <v>1799</v>
      </c>
      <c r="D6" s="15" t="s">
        <v>1800</v>
      </c>
      <c r="E6" s="15" t="s">
        <v>1801</v>
      </c>
      <c r="F6" s="608" t="s">
        <v>1802</v>
      </c>
      <c r="G6" s="15" t="s">
        <v>1803</v>
      </c>
      <c r="H6" s="15" t="s">
        <v>1804</v>
      </c>
      <c r="I6" s="15" t="s">
        <v>1805</v>
      </c>
      <c r="J6" s="771" t="s">
        <v>1806</v>
      </c>
    </row>
    <row r="7" spans="1:37" ht="31.2">
      <c r="A7" s="1586" t="s">
        <v>649</v>
      </c>
      <c r="B7" s="1587" t="s">
        <v>1794</v>
      </c>
      <c r="C7" s="1587" t="s">
        <v>1795</v>
      </c>
      <c r="D7" s="1588" t="s">
        <v>1796</v>
      </c>
      <c r="E7" s="1589" t="s">
        <v>3138</v>
      </c>
      <c r="F7" s="1587" t="s">
        <v>748</v>
      </c>
      <c r="G7" s="1587" t="s">
        <v>1797</v>
      </c>
      <c r="H7" s="1587" t="s">
        <v>749</v>
      </c>
      <c r="I7" s="1587" t="s">
        <v>750</v>
      </c>
      <c r="J7" s="1590" t="s">
        <v>1429</v>
      </c>
      <c r="M7" s="14" t="s">
        <v>3324</v>
      </c>
      <c r="N7" s="14" t="s">
        <v>3191</v>
      </c>
      <c r="Q7" s="14" t="s">
        <v>2433</v>
      </c>
      <c r="R7" s="14" t="s">
        <v>3157</v>
      </c>
      <c r="T7" s="1592" t="s">
        <v>3212</v>
      </c>
      <c r="V7" s="14" t="s">
        <v>2433</v>
      </c>
      <c r="W7" s="14" t="s">
        <v>3157</v>
      </c>
      <c r="Z7" s="14" t="s">
        <v>3324</v>
      </c>
      <c r="AA7" s="14" t="s">
        <v>3191</v>
      </c>
    </row>
    <row r="8" spans="1:37">
      <c r="A8" s="15">
        <v>1</v>
      </c>
      <c r="B8" s="126" t="s">
        <v>751</v>
      </c>
      <c r="C8" s="126" t="s">
        <v>1944</v>
      </c>
      <c r="D8" s="124">
        <v>303</v>
      </c>
      <c r="E8" s="128">
        <v>205921.33</v>
      </c>
      <c r="F8" s="345"/>
      <c r="G8" s="125">
        <f>IF($T$8=$Q$7, Q8, R8)</f>
        <v>205921.33</v>
      </c>
      <c r="H8" s="125"/>
      <c r="I8" s="282"/>
      <c r="J8" s="1579">
        <v>44196</v>
      </c>
      <c r="K8" s="240"/>
      <c r="L8" s="344" t="str">
        <f>IFERROR(VLOOKUP(P8, $Z$8:$AB$33, 3, FALSE), "")</f>
        <v/>
      </c>
      <c r="M8" s="1619" t="s">
        <v>3139</v>
      </c>
      <c r="N8" s="125">
        <v>0</v>
      </c>
      <c r="O8" s="14" t="str">
        <f>VLOOKUP(M8, $P$32:$S$145, 4, FALSE)</f>
        <v>Reg</v>
      </c>
      <c r="P8" s="14" t="str">
        <f>LEFT(C8, 9)</f>
        <v>FP-101480</v>
      </c>
      <c r="Q8" s="240">
        <v>205921.33</v>
      </c>
      <c r="R8" s="240">
        <f>IFERROR(VLOOKUP(P8,$M$8:$N$27,2,FALSE), Q8)</f>
        <v>205921.33</v>
      </c>
      <c r="T8" s="1591" t="s">
        <v>3157</v>
      </c>
      <c r="V8" s="240">
        <v>0</v>
      </c>
      <c r="W8" s="240">
        <f>IFERROR(VLOOKUP(P8,$Z$8:$AA$33,2,FALSE), V8)</f>
        <v>0</v>
      </c>
      <c r="X8" s="240"/>
      <c r="Z8" s="14" t="s">
        <v>3165</v>
      </c>
      <c r="AA8" s="240">
        <f>'Exhibit PCD-4'!U7</f>
        <v>4131574.32</v>
      </c>
      <c r="AB8" s="344">
        <f>'Exhibit PCD-4'!V7</f>
        <v>43857</v>
      </c>
      <c r="AE8" s="240"/>
      <c r="AF8" s="344"/>
      <c r="AK8" s="1619"/>
    </row>
    <row r="9" spans="1:37">
      <c r="A9" s="15">
        <v>2</v>
      </c>
      <c r="B9" s="126" t="s">
        <v>751</v>
      </c>
      <c r="C9" s="126" t="s">
        <v>2255</v>
      </c>
      <c r="D9" s="124">
        <v>303</v>
      </c>
      <c r="E9" s="128">
        <v>87032.79</v>
      </c>
      <c r="F9" s="345">
        <f>+'State Allocation Formulas'!C21</f>
        <v>0.75170000000000003</v>
      </c>
      <c r="G9" s="125">
        <f>IF($T$8=$Q$7, Q9, R9)</f>
        <v>65422.548242999997</v>
      </c>
      <c r="H9" s="125"/>
      <c r="I9" s="282"/>
      <c r="J9" s="1579">
        <v>44166</v>
      </c>
      <c r="K9" s="240"/>
      <c r="L9" s="344" t="str">
        <f t="shared" ref="L9:L72" si="0">IFERROR(VLOOKUP(P9, $Z$8:$AB$33, 3, FALSE), "")</f>
        <v/>
      </c>
      <c r="M9" s="1619" t="s">
        <v>3140</v>
      </c>
      <c r="N9" s="125">
        <v>0</v>
      </c>
      <c r="O9" s="14" t="str">
        <f t="shared" ref="O9:O26" si="1">VLOOKUP(M9, $P$32:$S$145, 4, FALSE)</f>
        <v>Meters</v>
      </c>
      <c r="P9" s="14" t="str">
        <f t="shared" ref="P9:P29" si="2">LEFT(C9, 9)</f>
        <v>FP-200663</v>
      </c>
      <c r="Q9" s="240">
        <v>65422.548242999997</v>
      </c>
      <c r="R9" s="240">
        <f t="shared" ref="R9:R29" si="3">IFERROR(VLOOKUP(P9,$M$8:$N$27,2,FALSE), Q9)</f>
        <v>65422.548242999997</v>
      </c>
      <c r="V9" s="240">
        <v>0</v>
      </c>
      <c r="W9" s="240">
        <f t="shared" ref="W9:W72" si="4">IFERROR(VLOOKUP(P9,$Z$8:$AA$33,2,FALSE), V9)</f>
        <v>0</v>
      </c>
      <c r="X9" s="240"/>
      <c r="Z9" s="14" t="s">
        <v>3184</v>
      </c>
      <c r="AA9" s="240">
        <f>'Exhibit PCD-4'!U8</f>
        <v>0</v>
      </c>
      <c r="AB9" s="344">
        <f>'Exhibit PCD-4'!V8</f>
        <v>44194</v>
      </c>
      <c r="AE9" s="240"/>
      <c r="AF9" s="344"/>
      <c r="AK9" s="1619"/>
    </row>
    <row r="10" spans="1:37">
      <c r="A10" s="15">
        <v>3</v>
      </c>
      <c r="B10" s="126" t="s">
        <v>751</v>
      </c>
      <c r="C10" s="126" t="s">
        <v>1945</v>
      </c>
      <c r="D10" s="124">
        <v>303</v>
      </c>
      <c r="E10" s="128">
        <v>5648475</v>
      </c>
      <c r="F10" s="345"/>
      <c r="G10" s="125">
        <f>IF($T$8=$Q$7, Q10, R10)</f>
        <v>5648475</v>
      </c>
      <c r="H10" s="125">
        <f>IF($T$12=$V$7, V10, W10)</f>
        <v>0</v>
      </c>
      <c r="I10" s="282">
        <v>2</v>
      </c>
      <c r="J10" s="1580">
        <v>44188</v>
      </c>
      <c r="K10" s="125">
        <f>G10</f>
        <v>5648475</v>
      </c>
      <c r="L10" s="344">
        <f t="shared" si="0"/>
        <v>44194</v>
      </c>
      <c r="M10" s="1619" t="s">
        <v>3163</v>
      </c>
      <c r="N10" s="125">
        <v>0</v>
      </c>
      <c r="O10" s="14" t="str">
        <f t="shared" si="1"/>
        <v>Main</v>
      </c>
      <c r="P10" s="1617" t="str">
        <f t="shared" si="2"/>
        <v>FP-302596</v>
      </c>
      <c r="Q10" s="240">
        <v>5648475</v>
      </c>
      <c r="R10" s="240">
        <f>IFERROR(VLOOKUP(P10,$M$8:$N$27,2,FALSE), Q10)</f>
        <v>5648475</v>
      </c>
      <c r="V10" s="240">
        <v>5648475</v>
      </c>
      <c r="W10" s="240">
        <f>IFERROR(VLOOKUP(P10,$Z$8:$AA$33,2,FALSE), V10)</f>
        <v>0</v>
      </c>
      <c r="X10" s="240"/>
      <c r="Z10" s="14" t="s">
        <v>3175</v>
      </c>
      <c r="AA10" s="240">
        <f>'Exhibit PCD-4'!U9</f>
        <v>0</v>
      </c>
      <c r="AB10" s="344">
        <f>'Exhibit PCD-4'!V9</f>
        <v>44175</v>
      </c>
      <c r="AE10" s="240"/>
      <c r="AF10" s="344"/>
      <c r="AK10" s="1619"/>
    </row>
    <row r="11" spans="1:37">
      <c r="A11" s="15">
        <v>4</v>
      </c>
      <c r="B11" s="126" t="s">
        <v>751</v>
      </c>
      <c r="C11" s="126" t="s">
        <v>1946</v>
      </c>
      <c r="D11" s="124">
        <v>303</v>
      </c>
      <c r="E11" s="128">
        <v>50930.429999999993</v>
      </c>
      <c r="F11" s="345">
        <f>+'State Allocation Formulas'!$C$21</f>
        <v>0.75170000000000003</v>
      </c>
      <c r="G11" s="125">
        <f t="shared" ref="G11:G29" si="5">IF($T$8=$Q$7, Q11, R11)</f>
        <v>38284.404230999993</v>
      </c>
      <c r="H11" s="125"/>
      <c r="I11" s="282"/>
      <c r="J11" s="1581">
        <v>44196</v>
      </c>
      <c r="K11" s="240"/>
      <c r="L11" s="344" t="str">
        <f t="shared" si="0"/>
        <v/>
      </c>
      <c r="M11" s="1619" t="s">
        <v>3141</v>
      </c>
      <c r="N11" s="125">
        <v>0</v>
      </c>
      <c r="O11" s="14" t="str">
        <f t="shared" si="1"/>
        <v>Serv</v>
      </c>
      <c r="P11" s="14" t="str">
        <f t="shared" si="2"/>
        <v>FP-302621</v>
      </c>
      <c r="Q11" s="240">
        <v>38284.404230999993</v>
      </c>
      <c r="R11" s="240">
        <f t="shared" si="3"/>
        <v>38284.404230999993</v>
      </c>
      <c r="T11" s="1592" t="s">
        <v>3211</v>
      </c>
      <c r="V11" s="240">
        <v>0</v>
      </c>
      <c r="W11" s="240">
        <f t="shared" si="4"/>
        <v>0</v>
      </c>
      <c r="X11" s="240"/>
      <c r="Z11" s="14" t="s">
        <v>3174</v>
      </c>
      <c r="AA11" s="240">
        <f>'Exhibit PCD-4'!U10</f>
        <v>0</v>
      </c>
      <c r="AB11" s="344">
        <f>'Exhibit PCD-4'!V10</f>
        <v>44175</v>
      </c>
      <c r="AE11" s="240"/>
      <c r="AF11" s="344"/>
      <c r="AK11" s="1619"/>
    </row>
    <row r="12" spans="1:37">
      <c r="A12" s="15">
        <v>5</v>
      </c>
      <c r="B12" s="126" t="s">
        <v>751</v>
      </c>
      <c r="C12" s="126" t="s">
        <v>1947</v>
      </c>
      <c r="D12" s="124">
        <v>303</v>
      </c>
      <c r="E12" s="128">
        <v>746233</v>
      </c>
      <c r="F12" s="345"/>
      <c r="G12" s="125">
        <f t="shared" si="5"/>
        <v>746233</v>
      </c>
      <c r="H12" s="125">
        <f>IF($T$12=$V$7, V12, W12)</f>
        <v>0</v>
      </c>
      <c r="I12" s="282">
        <v>4</v>
      </c>
      <c r="J12" s="1580">
        <v>44175</v>
      </c>
      <c r="K12" s="125">
        <f>G12</f>
        <v>746233</v>
      </c>
      <c r="L12" s="344">
        <f t="shared" si="0"/>
        <v>44175</v>
      </c>
      <c r="M12" s="1619" t="s">
        <v>3142</v>
      </c>
      <c r="N12" s="125">
        <v>0</v>
      </c>
      <c r="O12" s="14" t="str">
        <f t="shared" si="1"/>
        <v>Main</v>
      </c>
      <c r="P12" s="1617" t="str">
        <f t="shared" si="2"/>
        <v>FP-306998</v>
      </c>
      <c r="Q12" s="240">
        <v>746233</v>
      </c>
      <c r="R12" s="240">
        <f t="shared" si="3"/>
        <v>746233</v>
      </c>
      <c r="T12" s="1591" t="s">
        <v>3157</v>
      </c>
      <c r="V12" s="240">
        <v>746233</v>
      </c>
      <c r="W12" s="240">
        <f t="shared" si="4"/>
        <v>0</v>
      </c>
      <c r="X12" s="240"/>
      <c r="Z12" s="1619" t="s">
        <v>3168</v>
      </c>
      <c r="AA12" s="1703">
        <f>'Exhibit PCD-4'!U11</f>
        <v>0</v>
      </c>
      <c r="AB12" s="1680" t="str">
        <f>'Exhibit PCD-4'!V11</f>
        <v>N/A</v>
      </c>
      <c r="AC12" s="1619"/>
      <c r="AE12" s="240"/>
      <c r="AF12" s="344"/>
      <c r="AK12" s="1619"/>
    </row>
    <row r="13" spans="1:37">
      <c r="A13" s="15">
        <v>6</v>
      </c>
      <c r="B13" s="126" t="s">
        <v>751</v>
      </c>
      <c r="C13" s="126" t="s">
        <v>1948</v>
      </c>
      <c r="D13" s="124">
        <v>303</v>
      </c>
      <c r="E13" s="128">
        <v>346857.72</v>
      </c>
      <c r="F13" s="345">
        <f>+'State Allocation Formulas'!$C$21</f>
        <v>0.75170000000000003</v>
      </c>
      <c r="G13" s="125">
        <f t="shared" si="5"/>
        <v>260732.94812399999</v>
      </c>
      <c r="H13" s="125"/>
      <c r="I13" s="282"/>
      <c r="J13" s="1581">
        <v>44926</v>
      </c>
      <c r="K13" s="240"/>
      <c r="L13" s="344" t="str">
        <f t="shared" si="0"/>
        <v/>
      </c>
      <c r="M13" s="1619" t="s">
        <v>3143</v>
      </c>
      <c r="N13" s="125">
        <v>0</v>
      </c>
      <c r="O13" s="14" t="str">
        <f t="shared" si="1"/>
        <v>Serv</v>
      </c>
      <c r="P13" s="14" t="str">
        <f t="shared" si="2"/>
        <v>FP-316019</v>
      </c>
      <c r="Q13" s="240">
        <v>260732.94812399999</v>
      </c>
      <c r="R13" s="240">
        <f t="shared" si="3"/>
        <v>260732.94812399999</v>
      </c>
      <c r="V13" s="240">
        <v>0</v>
      </c>
      <c r="W13" s="240">
        <f t="shared" si="4"/>
        <v>0</v>
      </c>
      <c r="X13" s="240"/>
      <c r="Z13" s="14" t="s">
        <v>3166</v>
      </c>
      <c r="AA13" s="240">
        <f>'Exhibit PCD-4'!U12</f>
        <v>1043390.01</v>
      </c>
      <c r="AB13" s="344">
        <f>'Exhibit PCD-4'!V12</f>
        <v>44043</v>
      </c>
      <c r="AE13" s="240"/>
      <c r="AF13" s="344"/>
      <c r="AK13" s="1619"/>
    </row>
    <row r="14" spans="1:37">
      <c r="A14" s="15">
        <v>7</v>
      </c>
      <c r="B14" s="126" t="s">
        <v>751</v>
      </c>
      <c r="C14" s="126" t="s">
        <v>1949</v>
      </c>
      <c r="D14" s="124">
        <v>303</v>
      </c>
      <c r="E14" s="128">
        <v>35994.870000000003</v>
      </c>
      <c r="F14" s="345">
        <f>+'State Allocation Formulas'!$C$21</f>
        <v>0.75170000000000003</v>
      </c>
      <c r="G14" s="125">
        <f t="shared" si="5"/>
        <v>27057.343779000003</v>
      </c>
      <c r="H14" s="125"/>
      <c r="I14" s="282"/>
      <c r="J14" s="1581">
        <v>43876</v>
      </c>
      <c r="K14" s="240"/>
      <c r="L14" s="344" t="str">
        <f t="shared" si="0"/>
        <v/>
      </c>
      <c r="M14" s="1619" t="s">
        <v>3144</v>
      </c>
      <c r="N14" s="125">
        <v>0</v>
      </c>
      <c r="O14" s="14" t="str">
        <f t="shared" si="1"/>
        <v>Main</v>
      </c>
      <c r="P14" s="14" t="str">
        <f t="shared" si="2"/>
        <v>FP-316047</v>
      </c>
      <c r="Q14" s="240">
        <v>27057.343779000003</v>
      </c>
      <c r="R14" s="240">
        <f t="shared" si="3"/>
        <v>27057.343779000003</v>
      </c>
      <c r="V14" s="240">
        <v>0</v>
      </c>
      <c r="W14" s="240">
        <f t="shared" si="4"/>
        <v>0</v>
      </c>
      <c r="X14" s="240"/>
      <c r="Z14" s="14" t="s">
        <v>3185</v>
      </c>
      <c r="AA14" s="240">
        <f>'Exhibit PCD-4'!U13</f>
        <v>0</v>
      </c>
      <c r="AB14" s="344">
        <f>'Exhibit PCD-4'!V13</f>
        <v>44194</v>
      </c>
      <c r="AE14" s="240"/>
      <c r="AF14" s="344"/>
      <c r="AK14" s="1619"/>
    </row>
    <row r="15" spans="1:37">
      <c r="A15" s="15">
        <v>8</v>
      </c>
      <c r="B15" s="126" t="s">
        <v>751</v>
      </c>
      <c r="C15" s="126" t="s">
        <v>2257</v>
      </c>
      <c r="D15" s="124">
        <v>303</v>
      </c>
      <c r="E15" s="128">
        <v>158747.54</v>
      </c>
      <c r="F15" s="345">
        <f>+'State Allocation Formulas'!C21</f>
        <v>0.75170000000000003</v>
      </c>
      <c r="G15" s="125">
        <f t="shared" si="5"/>
        <v>119330.52581800001</v>
      </c>
      <c r="H15" s="125"/>
      <c r="I15" s="282"/>
      <c r="J15" s="1581">
        <v>44012</v>
      </c>
      <c r="K15" s="240"/>
      <c r="L15" s="344" t="str">
        <f t="shared" si="0"/>
        <v/>
      </c>
      <c r="M15" s="1619" t="s">
        <v>3145</v>
      </c>
      <c r="N15" s="125">
        <v>0</v>
      </c>
      <c r="O15" s="14" t="str">
        <f t="shared" si="1"/>
        <v>Serv</v>
      </c>
      <c r="P15" s="14" t="str">
        <f t="shared" si="2"/>
        <v>FP-316102</v>
      </c>
      <c r="Q15" s="240">
        <v>119330.52581800001</v>
      </c>
      <c r="R15" s="240">
        <f t="shared" si="3"/>
        <v>119330.52581800001</v>
      </c>
      <c r="V15" s="240">
        <v>0</v>
      </c>
      <c r="W15" s="240">
        <f t="shared" si="4"/>
        <v>0</v>
      </c>
      <c r="X15" s="240"/>
      <c r="Z15" s="14" t="s">
        <v>3176</v>
      </c>
      <c r="AA15" s="240">
        <f>'Exhibit PCD-4'!U14</f>
        <v>0</v>
      </c>
      <c r="AB15" s="344">
        <f>'Exhibit PCD-4'!V14</f>
        <v>44175</v>
      </c>
      <c r="AE15" s="240"/>
      <c r="AF15" s="344"/>
      <c r="AK15" s="1619"/>
    </row>
    <row r="16" spans="1:37">
      <c r="A16" s="15">
        <v>9</v>
      </c>
      <c r="B16" s="126" t="s">
        <v>751</v>
      </c>
      <c r="C16" s="126" t="s">
        <v>1950</v>
      </c>
      <c r="D16" s="124">
        <v>303</v>
      </c>
      <c r="E16" s="128">
        <v>670450.44000000006</v>
      </c>
      <c r="F16" s="345">
        <f>+'State Allocation Formulas'!$C$21</f>
        <v>0.75170000000000003</v>
      </c>
      <c r="G16" s="125">
        <f t="shared" si="5"/>
        <v>503977.59574800008</v>
      </c>
      <c r="H16" s="125"/>
      <c r="I16" s="282"/>
      <c r="J16" s="1581">
        <v>43496</v>
      </c>
      <c r="K16" s="240"/>
      <c r="L16" s="344" t="str">
        <f t="shared" si="0"/>
        <v/>
      </c>
      <c r="M16" s="1619" t="s">
        <v>3146</v>
      </c>
      <c r="N16" s="125">
        <v>0</v>
      </c>
      <c r="O16" s="14" t="str">
        <f t="shared" si="1"/>
        <v>Main</v>
      </c>
      <c r="P16" s="14" t="str">
        <f t="shared" si="2"/>
        <v>FP-316182</v>
      </c>
      <c r="Q16" s="240">
        <v>503977.59574800008</v>
      </c>
      <c r="R16" s="240">
        <f t="shared" si="3"/>
        <v>503977.59574800008</v>
      </c>
      <c r="V16" s="240">
        <v>0</v>
      </c>
      <c r="W16" s="240">
        <f t="shared" si="4"/>
        <v>0</v>
      </c>
      <c r="X16" s="240"/>
      <c r="Z16" s="14" t="s">
        <v>3187</v>
      </c>
      <c r="AA16" s="240">
        <f>'Exhibit PCD-4'!U15</f>
        <v>0</v>
      </c>
      <c r="AB16" s="1702">
        <f>'Exhibit PCD-4'!V15</f>
        <v>44194</v>
      </c>
      <c r="AE16" s="240"/>
      <c r="AF16" s="1680"/>
      <c r="AK16" s="1619"/>
    </row>
    <row r="17" spans="1:37">
      <c r="A17" s="15">
        <v>10</v>
      </c>
      <c r="B17" s="126" t="s">
        <v>751</v>
      </c>
      <c r="C17" s="126" t="s">
        <v>1951</v>
      </c>
      <c r="D17" s="124">
        <v>303</v>
      </c>
      <c r="E17" s="128">
        <v>21082.9</v>
      </c>
      <c r="F17" s="345"/>
      <c r="G17" s="125">
        <f t="shared" si="5"/>
        <v>21082.9</v>
      </c>
      <c r="H17" s="125"/>
      <c r="I17" s="282"/>
      <c r="J17" s="1581">
        <v>44073</v>
      </c>
      <c r="K17" s="240"/>
      <c r="L17" s="344" t="str">
        <f t="shared" si="0"/>
        <v/>
      </c>
      <c r="M17" s="1619" t="s">
        <v>3147</v>
      </c>
      <c r="N17" s="125">
        <v>0</v>
      </c>
      <c r="O17" s="14" t="str">
        <f t="shared" si="1"/>
        <v>Serv</v>
      </c>
      <c r="P17" s="14" t="str">
        <f t="shared" si="2"/>
        <v>FP-316269</v>
      </c>
      <c r="Q17" s="240">
        <v>21082.9</v>
      </c>
      <c r="R17" s="240">
        <f t="shared" si="3"/>
        <v>21082.9</v>
      </c>
      <c r="V17" s="240">
        <v>0</v>
      </c>
      <c r="W17" s="240">
        <f t="shared" si="4"/>
        <v>0</v>
      </c>
      <c r="X17" s="240"/>
      <c r="Z17" s="14" t="s">
        <v>3181</v>
      </c>
      <c r="AA17" s="240">
        <f>'Exhibit PCD-4'!U16</f>
        <v>1584349.9</v>
      </c>
      <c r="AB17" s="1702">
        <f>'Exhibit PCD-4'!V16</f>
        <v>43853</v>
      </c>
      <c r="AE17" s="240"/>
      <c r="AF17" s="344"/>
      <c r="AK17" s="1619"/>
    </row>
    <row r="18" spans="1:37">
      <c r="A18" s="15">
        <v>11</v>
      </c>
      <c r="B18" s="126" t="s">
        <v>751</v>
      </c>
      <c r="C18" s="126" t="s">
        <v>2256</v>
      </c>
      <c r="D18" s="124">
        <v>303</v>
      </c>
      <c r="E18" s="128">
        <v>155972.76</v>
      </c>
      <c r="F18" s="345">
        <f>+'State Allocation Formulas'!C21</f>
        <v>0.75170000000000003</v>
      </c>
      <c r="G18" s="125">
        <f t="shared" si="5"/>
        <v>117244.72369200001</v>
      </c>
      <c r="H18" s="125"/>
      <c r="I18" s="282"/>
      <c r="J18" s="1581">
        <v>44196</v>
      </c>
      <c r="K18" s="240"/>
      <c r="L18" s="344" t="str">
        <f t="shared" si="0"/>
        <v/>
      </c>
      <c r="M18" s="1619" t="s">
        <v>3148</v>
      </c>
      <c r="N18" s="125">
        <v>0</v>
      </c>
      <c r="O18" s="14" t="str">
        <f t="shared" si="1"/>
        <v>Main</v>
      </c>
      <c r="P18" s="14" t="str">
        <f t="shared" si="2"/>
        <v>FP-316284</v>
      </c>
      <c r="Q18" s="240">
        <v>117244.72369200001</v>
      </c>
      <c r="R18" s="240">
        <f t="shared" si="3"/>
        <v>117244.72369200001</v>
      </c>
      <c r="V18" s="240">
        <v>0</v>
      </c>
      <c r="W18" s="240">
        <f t="shared" si="4"/>
        <v>0</v>
      </c>
      <c r="X18" s="240"/>
      <c r="Z18" s="14" t="s">
        <v>3167</v>
      </c>
      <c r="AA18" s="240">
        <f>'Exhibit PCD-4'!U17</f>
        <v>892536.09</v>
      </c>
      <c r="AB18" s="1702">
        <f>'Exhibit PCD-4'!V17</f>
        <v>44077</v>
      </c>
      <c r="AE18" s="240"/>
      <c r="AF18" s="344"/>
      <c r="AK18" s="1619"/>
    </row>
    <row r="19" spans="1:37">
      <c r="A19" s="15">
        <v>12</v>
      </c>
      <c r="B19" s="126" t="s">
        <v>751</v>
      </c>
      <c r="C19" s="126" t="s">
        <v>1952</v>
      </c>
      <c r="D19" s="124">
        <v>303</v>
      </c>
      <c r="E19" s="128">
        <v>-450.01</v>
      </c>
      <c r="F19" s="345"/>
      <c r="G19" s="125">
        <f t="shared" si="5"/>
        <v>-450.01</v>
      </c>
      <c r="H19" s="125"/>
      <c r="I19" s="282"/>
      <c r="J19" s="1581">
        <v>43951</v>
      </c>
      <c r="K19" s="240"/>
      <c r="L19" s="344" t="str">
        <f t="shared" si="0"/>
        <v/>
      </c>
      <c r="M19" s="1619" t="s">
        <v>3149</v>
      </c>
      <c r="N19" s="125">
        <v>0</v>
      </c>
      <c r="O19" s="14" t="str">
        <f t="shared" si="1"/>
        <v>Serv</v>
      </c>
      <c r="P19" s="14" t="str">
        <f t="shared" si="2"/>
        <v>FP-316289</v>
      </c>
      <c r="Q19" s="240">
        <v>-450.01</v>
      </c>
      <c r="R19" s="240">
        <f t="shared" si="3"/>
        <v>-450.01</v>
      </c>
      <c r="V19" s="240">
        <v>0</v>
      </c>
      <c r="W19" s="240">
        <f t="shared" si="4"/>
        <v>0</v>
      </c>
      <c r="X19" s="240"/>
      <c r="Z19" s="14" t="s">
        <v>3186</v>
      </c>
      <c r="AA19" s="240">
        <f>'Exhibit PCD-4'!U18</f>
        <v>0</v>
      </c>
      <c r="AB19" s="1702" t="str">
        <f>'Exhibit PCD-4'!V18</f>
        <v>N/A</v>
      </c>
      <c r="AE19" s="240"/>
      <c r="AF19" s="344"/>
      <c r="AK19" s="1619"/>
    </row>
    <row r="20" spans="1:37">
      <c r="A20" s="15">
        <v>13</v>
      </c>
      <c r="B20" s="126" t="s">
        <v>751</v>
      </c>
      <c r="C20" s="126" t="s">
        <v>1953</v>
      </c>
      <c r="D20" s="124">
        <v>303</v>
      </c>
      <c r="E20" s="128">
        <v>69223.05</v>
      </c>
      <c r="F20" s="345">
        <f>+'State Allocation Formulas'!$C$21</f>
        <v>0.75170000000000003</v>
      </c>
      <c r="G20" s="125">
        <f t="shared" si="5"/>
        <v>52034.966685000007</v>
      </c>
      <c r="H20" s="125"/>
      <c r="I20" s="282"/>
      <c r="J20" s="1581">
        <v>45291</v>
      </c>
      <c r="K20" s="240"/>
      <c r="L20" s="344" t="str">
        <f t="shared" si="0"/>
        <v/>
      </c>
      <c r="M20" s="1619" t="s">
        <v>3150</v>
      </c>
      <c r="N20" s="125">
        <v>0</v>
      </c>
      <c r="O20" s="14" t="str">
        <f t="shared" si="1"/>
        <v>Main</v>
      </c>
      <c r="P20" s="14" t="str">
        <f t="shared" si="2"/>
        <v>FP-316361</v>
      </c>
      <c r="Q20" s="240">
        <v>52034.966685000007</v>
      </c>
      <c r="R20" s="240">
        <f t="shared" si="3"/>
        <v>52034.966685000007</v>
      </c>
      <c r="V20" s="240">
        <v>0</v>
      </c>
      <c r="W20" s="240">
        <f t="shared" si="4"/>
        <v>0</v>
      </c>
      <c r="X20" s="240"/>
      <c r="Z20" s="14" t="s">
        <v>3172</v>
      </c>
      <c r="AA20" s="240">
        <f>'Exhibit PCD-4'!U19</f>
        <v>0</v>
      </c>
      <c r="AB20" s="1702">
        <f>'Exhibit PCD-4'!V19</f>
        <v>44186</v>
      </c>
      <c r="AE20" s="240"/>
      <c r="AF20" s="344"/>
      <c r="AK20" s="1619"/>
    </row>
    <row r="21" spans="1:37">
      <c r="A21" s="15">
        <v>14</v>
      </c>
      <c r="B21" s="126" t="s">
        <v>751</v>
      </c>
      <c r="C21" s="126" t="s">
        <v>1954</v>
      </c>
      <c r="D21" s="124">
        <v>303</v>
      </c>
      <c r="E21" s="128">
        <v>15422.61</v>
      </c>
      <c r="F21" s="345"/>
      <c r="G21" s="125">
        <f t="shared" si="5"/>
        <v>15422.61</v>
      </c>
      <c r="H21" s="125"/>
      <c r="I21" s="282"/>
      <c r="J21" s="1581">
        <v>43951</v>
      </c>
      <c r="K21" s="240"/>
      <c r="L21" s="344" t="str">
        <f t="shared" si="0"/>
        <v/>
      </c>
      <c r="M21" s="1619" t="s">
        <v>3151</v>
      </c>
      <c r="N21" s="125">
        <v>0</v>
      </c>
      <c r="O21" s="14" t="str">
        <f t="shared" si="1"/>
        <v>Serv</v>
      </c>
      <c r="P21" s="14" t="str">
        <f t="shared" si="2"/>
        <v>FP-316451</v>
      </c>
      <c r="Q21" s="240">
        <v>15422.61</v>
      </c>
      <c r="R21" s="240">
        <f t="shared" si="3"/>
        <v>15422.61</v>
      </c>
      <c r="V21" s="240">
        <v>0</v>
      </c>
      <c r="W21" s="240">
        <f t="shared" si="4"/>
        <v>0</v>
      </c>
      <c r="X21" s="240"/>
      <c r="Z21" s="14" t="s">
        <v>3180</v>
      </c>
      <c r="AA21" s="240">
        <f>'Exhibit PCD-4'!U20</f>
        <v>213957.59</v>
      </c>
      <c r="AB21" s="1702">
        <f>'Exhibit PCD-4'!V20</f>
        <v>43944</v>
      </c>
      <c r="AE21" s="240"/>
      <c r="AF21" s="344"/>
      <c r="AK21" s="1619"/>
    </row>
    <row r="22" spans="1:37">
      <c r="A22" s="15">
        <v>15</v>
      </c>
      <c r="B22" s="126" t="s">
        <v>751</v>
      </c>
      <c r="C22" s="126" t="s">
        <v>2258</v>
      </c>
      <c r="D22" s="124">
        <v>303</v>
      </c>
      <c r="E22" s="128">
        <v>63738.720000000001</v>
      </c>
      <c r="F22" s="345">
        <f>+'State Allocation Formulas'!C21</f>
        <v>0.75170000000000003</v>
      </c>
      <c r="G22" s="125">
        <f t="shared" si="5"/>
        <v>47912.395824000007</v>
      </c>
      <c r="H22" s="125"/>
      <c r="I22" s="282"/>
      <c r="J22" s="1581">
        <v>44104</v>
      </c>
      <c r="K22" s="240"/>
      <c r="L22" s="344" t="str">
        <f t="shared" si="0"/>
        <v/>
      </c>
      <c r="M22" s="1619" t="s">
        <v>3152</v>
      </c>
      <c r="N22" s="125">
        <v>0</v>
      </c>
      <c r="O22" s="14" t="str">
        <f t="shared" si="1"/>
        <v>Main</v>
      </c>
      <c r="P22" s="14" t="str">
        <f t="shared" si="2"/>
        <v>FP-317101</v>
      </c>
      <c r="Q22" s="240">
        <v>47912.395824000007</v>
      </c>
      <c r="R22" s="240">
        <f t="shared" si="3"/>
        <v>47912.395824000007</v>
      </c>
      <c r="V22" s="240">
        <v>0</v>
      </c>
      <c r="W22" s="240">
        <f t="shared" si="4"/>
        <v>0</v>
      </c>
      <c r="X22" s="240"/>
      <c r="Z22" s="14" t="s">
        <v>3179</v>
      </c>
      <c r="AA22" s="240">
        <f>'Exhibit PCD-4'!U21</f>
        <v>0</v>
      </c>
      <c r="AB22" s="1702">
        <f>'Exhibit PCD-4'!V21</f>
        <v>44147</v>
      </c>
      <c r="AE22" s="240"/>
      <c r="AF22" s="344"/>
      <c r="AK22" s="1619"/>
    </row>
    <row r="23" spans="1:37">
      <c r="A23" s="15">
        <v>16</v>
      </c>
      <c r="B23" s="126" t="s">
        <v>751</v>
      </c>
      <c r="C23" s="126" t="s">
        <v>1955</v>
      </c>
      <c r="D23" s="124">
        <v>303</v>
      </c>
      <c r="E23" s="128">
        <v>882417.45</v>
      </c>
      <c r="F23" s="345"/>
      <c r="G23" s="125">
        <f t="shared" si="5"/>
        <v>882417.45</v>
      </c>
      <c r="H23" s="125">
        <f>IF($T$12=$V$7, V23, W23)</f>
        <v>892536.09</v>
      </c>
      <c r="I23" s="282">
        <v>11</v>
      </c>
      <c r="J23" s="1580">
        <v>44077</v>
      </c>
      <c r="K23" s="125">
        <f>G23</f>
        <v>882417.45</v>
      </c>
      <c r="L23" s="344">
        <f t="shared" si="0"/>
        <v>44077</v>
      </c>
      <c r="M23" s="1619" t="s">
        <v>3153</v>
      </c>
      <c r="N23" s="125">
        <v>0</v>
      </c>
      <c r="O23" s="14" t="str">
        <f t="shared" si="1"/>
        <v>Serv</v>
      </c>
      <c r="P23" s="1617" t="str">
        <f t="shared" si="2"/>
        <v>FP-317322</v>
      </c>
      <c r="Q23" s="240">
        <v>882417.45</v>
      </c>
      <c r="R23" s="240">
        <f t="shared" si="3"/>
        <v>882417.45</v>
      </c>
      <c r="V23" s="240">
        <v>882417.45</v>
      </c>
      <c r="W23" s="240">
        <f>IFERROR(VLOOKUP(P23,$Z$8:$AA$33,2,FALSE), V23)</f>
        <v>892536.09</v>
      </c>
      <c r="X23" s="240"/>
      <c r="Z23" s="1619" t="s">
        <v>3183</v>
      </c>
      <c r="AA23" s="1703">
        <f>'Exhibit PCD-4'!U22</f>
        <v>0</v>
      </c>
      <c r="AB23" s="1680">
        <f>'Exhibit PCD-4'!V22</f>
        <v>44196</v>
      </c>
      <c r="AC23" s="1619"/>
      <c r="AE23" s="240"/>
      <c r="AF23" s="344"/>
      <c r="AK23" s="1619"/>
    </row>
    <row r="24" spans="1:37">
      <c r="A24" s="15">
        <v>17</v>
      </c>
      <c r="B24" s="126" t="s">
        <v>751</v>
      </c>
      <c r="C24" s="126" t="s">
        <v>1956</v>
      </c>
      <c r="D24" s="124">
        <v>303</v>
      </c>
      <c r="E24" s="128">
        <v>8476.31</v>
      </c>
      <c r="F24" s="345">
        <f>+'State Allocation Formulas'!$C$21</f>
        <v>0.75170000000000003</v>
      </c>
      <c r="G24" s="125">
        <f t="shared" si="5"/>
        <v>6371.6422270000003</v>
      </c>
      <c r="H24" s="125"/>
      <c r="I24" s="282"/>
      <c r="J24" s="1581">
        <v>43842</v>
      </c>
      <c r="K24" s="240"/>
      <c r="L24" s="344" t="str">
        <f t="shared" si="0"/>
        <v/>
      </c>
      <c r="M24" s="1619" t="s">
        <v>3154</v>
      </c>
      <c r="N24" s="125">
        <v>0</v>
      </c>
      <c r="O24" s="14" t="str">
        <f t="shared" si="1"/>
        <v>Main</v>
      </c>
      <c r="P24" s="14" t="str">
        <f t="shared" si="2"/>
        <v>FP-317617</v>
      </c>
      <c r="Q24" s="240">
        <v>6371.6422270000003</v>
      </c>
      <c r="R24" s="240">
        <f t="shared" si="3"/>
        <v>6371.6422270000003</v>
      </c>
      <c r="V24" s="240">
        <v>0</v>
      </c>
      <c r="W24" s="240">
        <f t="shared" si="4"/>
        <v>0</v>
      </c>
      <c r="X24" s="240"/>
      <c r="Z24" s="14" t="s">
        <v>3173</v>
      </c>
      <c r="AA24" s="240">
        <f>'Exhibit PCD-4'!U23</f>
        <v>402968.57</v>
      </c>
      <c r="AB24" s="1702">
        <f>'Exhibit PCD-4'!V23</f>
        <v>44130</v>
      </c>
      <c r="AE24" s="240"/>
      <c r="AF24" s="344"/>
      <c r="AK24" s="1619"/>
    </row>
    <row r="25" spans="1:37">
      <c r="A25" s="15">
        <v>18</v>
      </c>
      <c r="B25" s="126" t="s">
        <v>751</v>
      </c>
      <c r="C25" s="126" t="s">
        <v>1957</v>
      </c>
      <c r="D25" s="124">
        <v>303</v>
      </c>
      <c r="E25" s="128">
        <v>858122</v>
      </c>
      <c r="F25" s="345"/>
      <c r="G25" s="125">
        <f t="shared" si="5"/>
        <v>858122</v>
      </c>
      <c r="H25" s="125">
        <f>IF($T$12=$V$7, V25, W25)</f>
        <v>1392314.26</v>
      </c>
      <c r="I25" s="282">
        <v>21</v>
      </c>
      <c r="J25" s="1580">
        <v>44102</v>
      </c>
      <c r="K25" s="125">
        <f>G25</f>
        <v>858122</v>
      </c>
      <c r="L25" s="344">
        <f t="shared" si="0"/>
        <v>44102</v>
      </c>
      <c r="M25" s="1619" t="s">
        <v>3164</v>
      </c>
      <c r="N25" s="125">
        <v>0</v>
      </c>
      <c r="O25" s="14" t="str">
        <f t="shared" si="1"/>
        <v>Serv</v>
      </c>
      <c r="P25" s="1617" t="str">
        <f t="shared" si="2"/>
        <v>FP-318808</v>
      </c>
      <c r="Q25" s="240">
        <v>858122</v>
      </c>
      <c r="R25" s="240">
        <f t="shared" si="3"/>
        <v>858122</v>
      </c>
      <c r="V25" s="240">
        <v>858122</v>
      </c>
      <c r="W25" s="240">
        <f t="shared" si="4"/>
        <v>1392314.26</v>
      </c>
      <c r="X25" s="240"/>
      <c r="Z25" s="1619" t="s">
        <v>3182</v>
      </c>
      <c r="AA25" s="1703">
        <f>'Exhibit PCD-4'!U24</f>
        <v>0</v>
      </c>
      <c r="AB25" s="1680" t="str">
        <f>'Exhibit PCD-4'!V24</f>
        <v>N/A</v>
      </c>
      <c r="AC25" s="1619"/>
      <c r="AE25" s="240"/>
      <c r="AF25" s="1680"/>
      <c r="AK25" s="1619"/>
    </row>
    <row r="26" spans="1:37">
      <c r="A26" s="15">
        <v>19</v>
      </c>
      <c r="B26" s="126" t="s">
        <v>751</v>
      </c>
      <c r="C26" s="126" t="s">
        <v>1958</v>
      </c>
      <c r="D26" s="124">
        <v>303</v>
      </c>
      <c r="E26" s="128">
        <v>136867.86000000002</v>
      </c>
      <c r="F26" s="345"/>
      <c r="G26" s="125">
        <f t="shared" si="5"/>
        <v>136867.86000000002</v>
      </c>
      <c r="H26" s="125"/>
      <c r="I26" s="282"/>
      <c r="J26" s="1581">
        <v>43982</v>
      </c>
      <c r="K26" s="240"/>
      <c r="L26" s="344" t="str">
        <f t="shared" si="0"/>
        <v/>
      </c>
      <c r="M26" s="1619" t="s">
        <v>3155</v>
      </c>
      <c r="N26" s="125">
        <v>0</v>
      </c>
      <c r="O26" s="14" t="str">
        <f t="shared" si="1"/>
        <v>Main</v>
      </c>
      <c r="P26" s="14" t="str">
        <f t="shared" si="2"/>
        <v>FP-318822</v>
      </c>
      <c r="Q26" s="240">
        <v>136867.86000000002</v>
      </c>
      <c r="R26" s="240">
        <f t="shared" si="3"/>
        <v>136867.86000000002</v>
      </c>
      <c r="V26" s="240">
        <v>0</v>
      </c>
      <c r="W26" s="240">
        <f t="shared" si="4"/>
        <v>0</v>
      </c>
      <c r="X26" s="240"/>
      <c r="Z26" s="14" t="s">
        <v>3177</v>
      </c>
      <c r="AA26" s="240">
        <f>'Exhibit PCD-4'!U25</f>
        <v>0</v>
      </c>
      <c r="AB26" s="1702">
        <f>'Exhibit PCD-4'!V25</f>
        <v>44175</v>
      </c>
      <c r="AE26" s="240"/>
      <c r="AF26" s="1680"/>
      <c r="AK26" s="1619"/>
    </row>
    <row r="27" spans="1:37">
      <c r="A27" s="15">
        <v>20</v>
      </c>
      <c r="B27" s="126" t="s">
        <v>751</v>
      </c>
      <c r="C27" s="126" t="s">
        <v>2259</v>
      </c>
      <c r="D27" s="124">
        <v>303</v>
      </c>
      <c r="E27" s="128">
        <v>26509.599999999999</v>
      </c>
      <c r="F27" s="345">
        <f>+'State Allocation Formulas'!C21</f>
        <v>0.75170000000000003</v>
      </c>
      <c r="G27" s="125">
        <f t="shared" si="5"/>
        <v>19927.266319999999</v>
      </c>
      <c r="H27" s="125"/>
      <c r="I27" s="282"/>
      <c r="J27" s="1581">
        <v>43952</v>
      </c>
      <c r="K27" s="240"/>
      <c r="L27" s="344" t="str">
        <f t="shared" si="0"/>
        <v/>
      </c>
      <c r="M27" s="1619" t="s">
        <v>3156</v>
      </c>
      <c r="N27" s="125">
        <v>0</v>
      </c>
      <c r="O27" s="14" t="str">
        <f>VLOOKUP(M27, $P$32:$S$145, 4, FALSE)</f>
        <v>Serv</v>
      </c>
      <c r="P27" s="14" t="str">
        <f t="shared" si="2"/>
        <v>FP-318846</v>
      </c>
      <c r="Q27" s="240">
        <v>19927.266319999999</v>
      </c>
      <c r="R27" s="240">
        <f t="shared" si="3"/>
        <v>19927.266319999999</v>
      </c>
      <c r="V27" s="240">
        <v>0</v>
      </c>
      <c r="W27" s="240">
        <f t="shared" si="4"/>
        <v>0</v>
      </c>
      <c r="X27" s="240"/>
      <c r="Z27" s="14" t="s">
        <v>3178</v>
      </c>
      <c r="AA27" s="240">
        <f>'Exhibit PCD-4'!U26</f>
        <v>0</v>
      </c>
      <c r="AB27" s="1702">
        <f>'Exhibit PCD-4'!V26</f>
        <v>44175</v>
      </c>
      <c r="AE27" s="240"/>
      <c r="AF27" s="1688"/>
      <c r="AH27" s="1689"/>
      <c r="AK27" s="1619"/>
    </row>
    <row r="28" spans="1:37">
      <c r="A28" s="15">
        <v>21</v>
      </c>
      <c r="B28" s="126" t="s">
        <v>751</v>
      </c>
      <c r="C28" s="126" t="s">
        <v>2260</v>
      </c>
      <c r="D28" s="124">
        <v>303</v>
      </c>
      <c r="E28" s="128">
        <v>27529.200000000001</v>
      </c>
      <c r="F28" s="345">
        <f>+'State Allocation Formulas'!C21</f>
        <v>0.75170000000000003</v>
      </c>
      <c r="G28" s="125">
        <f t="shared" si="5"/>
        <v>20693.699640000003</v>
      </c>
      <c r="H28" s="125"/>
      <c r="I28" s="282"/>
      <c r="J28" s="1581">
        <v>44119</v>
      </c>
      <c r="K28" s="240"/>
      <c r="L28" s="344" t="str">
        <f t="shared" si="0"/>
        <v/>
      </c>
      <c r="P28" s="14" t="str">
        <f t="shared" si="2"/>
        <v>FP-318893</v>
      </c>
      <c r="Q28" s="240">
        <v>20693.699640000003</v>
      </c>
      <c r="R28" s="240">
        <f t="shared" si="3"/>
        <v>20693.699640000003</v>
      </c>
      <c r="V28" s="240">
        <v>0</v>
      </c>
      <c r="W28" s="240">
        <f t="shared" si="4"/>
        <v>0</v>
      </c>
      <c r="X28" s="240"/>
      <c r="Z28" s="14" t="s">
        <v>3170</v>
      </c>
      <c r="AA28" s="240">
        <f>'Exhibit PCD-4'!U27</f>
        <v>1392314.26</v>
      </c>
      <c r="AB28" s="1702">
        <f>'Exhibit PCD-4'!V27</f>
        <v>44102</v>
      </c>
      <c r="AE28" s="240"/>
      <c r="AF28" s="344"/>
    </row>
    <row r="29" spans="1:37">
      <c r="A29" s="15">
        <v>22</v>
      </c>
      <c r="B29" s="126" t="s">
        <v>751</v>
      </c>
      <c r="C29" s="126" t="s">
        <v>1959</v>
      </c>
      <c r="D29" s="124">
        <v>303</v>
      </c>
      <c r="E29" s="128">
        <v>4731395</v>
      </c>
      <c r="F29" s="345"/>
      <c r="G29" s="125">
        <f t="shared" si="5"/>
        <v>4731395</v>
      </c>
      <c r="H29" s="125">
        <f>IF($T$12=$V$7, V29, W29)</f>
        <v>3416936.97</v>
      </c>
      <c r="I29" s="282">
        <v>23</v>
      </c>
      <c r="J29" s="1580">
        <v>44071</v>
      </c>
      <c r="K29" s="125">
        <f>G29</f>
        <v>4731395</v>
      </c>
      <c r="L29" s="344">
        <f t="shared" si="0"/>
        <v>44102</v>
      </c>
      <c r="N29" s="240">
        <f>SUM(N8:N28)</f>
        <v>0</v>
      </c>
      <c r="P29" s="1617" t="str">
        <f t="shared" si="2"/>
        <v>FP-318987</v>
      </c>
      <c r="Q29" s="240">
        <v>4731395</v>
      </c>
      <c r="R29" s="240">
        <f t="shared" si="3"/>
        <v>4731395</v>
      </c>
      <c r="V29" s="240">
        <v>4731395</v>
      </c>
      <c r="W29" s="240">
        <f t="shared" si="4"/>
        <v>3416936.97</v>
      </c>
      <c r="X29" s="240"/>
      <c r="Z29" s="14" t="s">
        <v>3171</v>
      </c>
      <c r="AA29" s="240">
        <f>'Exhibit PCD-4'!U28</f>
        <v>508798.83</v>
      </c>
      <c r="AB29" s="1702">
        <f>'Exhibit PCD-4'!V28</f>
        <v>44102</v>
      </c>
      <c r="AE29" s="240"/>
      <c r="AF29" s="344"/>
    </row>
    <row r="30" spans="1:37">
      <c r="A30" s="15">
        <v>23</v>
      </c>
      <c r="B30" s="346"/>
      <c r="C30" s="347" t="s">
        <v>752</v>
      </c>
      <c r="D30" s="129"/>
      <c r="E30" s="348">
        <f>SUM(E8:E29)</f>
        <v>14946950.569999998</v>
      </c>
      <c r="F30" s="346"/>
      <c r="G30" s="349">
        <f>SUM(G8:G29)</f>
        <v>14524477.200330999</v>
      </c>
      <c r="H30" s="349">
        <f>SUM(H8:H29)</f>
        <v>5701787.3200000003</v>
      </c>
      <c r="I30" s="350"/>
      <c r="J30" s="1582"/>
      <c r="K30" s="240"/>
      <c r="L30" s="344" t="str">
        <f t="shared" si="0"/>
        <v/>
      </c>
      <c r="Q30" s="240"/>
      <c r="R30" s="240"/>
      <c r="V30" s="240"/>
      <c r="W30" s="240"/>
      <c r="X30" s="240"/>
      <c r="Z30" s="14" t="s">
        <v>3169</v>
      </c>
      <c r="AA30" s="240">
        <f>'Exhibit PCD-4'!U29</f>
        <v>3416936.97</v>
      </c>
      <c r="AB30" s="1702">
        <f>'Exhibit PCD-4'!V29</f>
        <v>44102</v>
      </c>
      <c r="AE30" s="240"/>
      <c r="AF30" s="344"/>
    </row>
    <row r="31" spans="1:37">
      <c r="A31" s="15">
        <v>24</v>
      </c>
      <c r="B31" s="346" t="s">
        <v>772</v>
      </c>
      <c r="C31" s="346"/>
      <c r="D31" s="127"/>
      <c r="E31" s="128"/>
      <c r="F31" s="346"/>
      <c r="G31" s="351"/>
      <c r="H31" s="346"/>
      <c r="I31" s="350"/>
      <c r="J31" s="1583"/>
      <c r="K31" s="240"/>
      <c r="L31" s="344" t="str">
        <f t="shared" si="0"/>
        <v/>
      </c>
      <c r="Q31" s="240"/>
      <c r="R31" s="240"/>
      <c r="V31" s="240"/>
      <c r="W31" s="240"/>
      <c r="X31" s="240"/>
      <c r="Z31" s="1619" t="s">
        <v>3190</v>
      </c>
      <c r="AA31" s="1703">
        <f>'Exhibit PCD-4'!U30</f>
        <v>0</v>
      </c>
      <c r="AB31" s="1680" t="str">
        <f>'Exhibit PCD-4'!V30</f>
        <v>N/A</v>
      </c>
      <c r="AC31" s="1619"/>
      <c r="AE31" s="240"/>
      <c r="AF31" s="344"/>
    </row>
    <row r="32" spans="1:37">
      <c r="A32" s="15">
        <v>25</v>
      </c>
      <c r="B32" s="126" t="s">
        <v>753</v>
      </c>
      <c r="C32" s="346" t="s">
        <v>2386</v>
      </c>
      <c r="D32" s="127">
        <v>396.2</v>
      </c>
      <c r="E32" s="128">
        <v>481087.24</v>
      </c>
      <c r="F32" s="772">
        <f>+'State Allocation Formulas'!C21</f>
        <v>0.75170000000000003</v>
      </c>
      <c r="G32" s="125">
        <f t="shared" ref="G32:G95" si="6">IF($T$8=$Q$7, Q32, R32)</f>
        <v>361633.27830800001</v>
      </c>
      <c r="H32" s="346"/>
      <c r="I32" s="350"/>
      <c r="J32" s="1583">
        <v>44196</v>
      </c>
      <c r="K32" s="240"/>
      <c r="L32" s="344" t="str">
        <f t="shared" si="0"/>
        <v/>
      </c>
      <c r="P32" s="14" t="str">
        <f t="shared" ref="P32:P95" si="7">LEFT(C32, 9)</f>
        <v>FP-101163</v>
      </c>
      <c r="Q32" s="240">
        <v>361633.27830800001</v>
      </c>
      <c r="R32" s="240">
        <f t="shared" ref="R32:R63" si="8">IFERROR(VLOOKUP(P32,$M$8:$N$27,2,FALSE), Q32)</f>
        <v>361633.27830800001</v>
      </c>
      <c r="V32" s="240">
        <v>0</v>
      </c>
      <c r="W32" s="240">
        <f t="shared" si="4"/>
        <v>0</v>
      </c>
      <c r="X32" s="240"/>
      <c r="Z32" s="14" t="s">
        <v>3189</v>
      </c>
      <c r="AA32" s="240">
        <f>'Exhibit PCD-4'!U31</f>
        <v>0</v>
      </c>
      <c r="AB32" s="1702">
        <f>'Exhibit PCD-4'!V31</f>
        <v>44155</v>
      </c>
      <c r="AE32" s="240"/>
      <c r="AF32" s="1680"/>
    </row>
    <row r="33" spans="1:33">
      <c r="A33" s="15">
        <v>26</v>
      </c>
      <c r="B33" s="126" t="s">
        <v>753</v>
      </c>
      <c r="C33" s="346" t="s">
        <v>2387</v>
      </c>
      <c r="D33" s="127">
        <v>397.2</v>
      </c>
      <c r="E33" s="128">
        <v>290586.03999999998</v>
      </c>
      <c r="F33" s="772">
        <f>+'State Allocation Formulas'!C21</f>
        <v>0.75170000000000003</v>
      </c>
      <c r="G33" s="125">
        <f t="shared" si="6"/>
        <v>218433.52626799999</v>
      </c>
      <c r="H33" s="346"/>
      <c r="I33" s="350"/>
      <c r="J33" s="1583">
        <v>44196</v>
      </c>
      <c r="K33" s="240"/>
      <c r="L33" s="344" t="str">
        <f t="shared" si="0"/>
        <v/>
      </c>
      <c r="M33" s="1619"/>
      <c r="N33" s="125"/>
      <c r="P33" s="14" t="str">
        <f t="shared" si="7"/>
        <v>FP-101164</v>
      </c>
      <c r="Q33" s="240">
        <v>218433.52626799999</v>
      </c>
      <c r="R33" s="240">
        <f t="shared" si="8"/>
        <v>218433.52626799999</v>
      </c>
      <c r="V33" s="240">
        <v>0</v>
      </c>
      <c r="W33" s="240">
        <f t="shared" si="4"/>
        <v>0</v>
      </c>
      <c r="X33" s="240"/>
      <c r="Z33" s="1619" t="s">
        <v>3188</v>
      </c>
      <c r="AA33" s="1703">
        <f>'Exhibit PCD-4'!U32</f>
        <v>0</v>
      </c>
      <c r="AB33" s="1680" t="str">
        <f>'Exhibit PCD-4'!V32</f>
        <v>N/A</v>
      </c>
      <c r="AC33" s="1619"/>
      <c r="AE33" s="240"/>
      <c r="AF33" s="344"/>
    </row>
    <row r="34" spans="1:33">
      <c r="A34" s="15">
        <v>27</v>
      </c>
      <c r="B34" s="126" t="s">
        <v>753</v>
      </c>
      <c r="C34" s="126" t="s">
        <v>2344</v>
      </c>
      <c r="D34" s="124">
        <v>376.2</v>
      </c>
      <c r="E34" s="128">
        <v>36096.400000000001</v>
      </c>
      <c r="F34" s="126"/>
      <c r="G34" s="125">
        <f t="shared" si="6"/>
        <v>36096.400000000001</v>
      </c>
      <c r="H34" s="125"/>
      <c r="I34" s="282"/>
      <c r="J34" s="1584">
        <v>43946</v>
      </c>
      <c r="K34" s="240"/>
      <c r="L34" s="344" t="str">
        <f t="shared" si="0"/>
        <v/>
      </c>
      <c r="M34" s="1619"/>
      <c r="N34" s="125"/>
      <c r="P34" s="14" t="str">
        <f t="shared" si="7"/>
        <v>FP-101191</v>
      </c>
      <c r="Q34" s="240">
        <v>36096.400000000001</v>
      </c>
      <c r="R34" s="240">
        <f t="shared" si="8"/>
        <v>36096.400000000001</v>
      </c>
      <c r="V34" s="240">
        <v>0</v>
      </c>
      <c r="W34" s="240">
        <f t="shared" si="4"/>
        <v>0</v>
      </c>
      <c r="X34" s="240"/>
    </row>
    <row r="35" spans="1:33">
      <c r="A35" s="15">
        <v>28</v>
      </c>
      <c r="B35" s="126" t="s">
        <v>753</v>
      </c>
      <c r="C35" s="126" t="s">
        <v>754</v>
      </c>
      <c r="D35" s="124">
        <v>376</v>
      </c>
      <c r="E35" s="128">
        <v>55032.54</v>
      </c>
      <c r="F35" s="126"/>
      <c r="G35" s="125">
        <f t="shared" si="6"/>
        <v>55032.54</v>
      </c>
      <c r="H35" s="125"/>
      <c r="I35" s="282"/>
      <c r="J35" s="1584">
        <v>44075</v>
      </c>
      <c r="K35" s="240"/>
      <c r="L35" s="344" t="str">
        <f t="shared" si="0"/>
        <v/>
      </c>
      <c r="M35" s="1619"/>
      <c r="N35" s="125"/>
      <c r="P35" s="14" t="str">
        <f t="shared" si="7"/>
        <v>FP-101192</v>
      </c>
      <c r="Q35" s="240">
        <v>55032.54</v>
      </c>
      <c r="R35" s="240">
        <f t="shared" si="8"/>
        <v>55032.54</v>
      </c>
      <c r="V35" s="240">
        <v>0</v>
      </c>
      <c r="W35" s="240">
        <f t="shared" si="4"/>
        <v>0</v>
      </c>
      <c r="X35" s="240"/>
      <c r="AA35" s="240">
        <f>SUM(AA8:AA34)</f>
        <v>13586826.540000001</v>
      </c>
      <c r="AC35" s="1689"/>
      <c r="AE35" s="240"/>
      <c r="AG35" s="1689"/>
    </row>
    <row r="36" spans="1:33">
      <c r="A36" s="15">
        <v>29</v>
      </c>
      <c r="B36" s="126" t="s">
        <v>753</v>
      </c>
      <c r="C36" s="126" t="s">
        <v>2345</v>
      </c>
      <c r="D36" s="124">
        <v>378</v>
      </c>
      <c r="E36" s="128">
        <v>611717</v>
      </c>
      <c r="F36" s="126"/>
      <c r="G36" s="125">
        <f t="shared" si="6"/>
        <v>0</v>
      </c>
      <c r="H36" s="125">
        <f>IF($T$8=$Q$7, Q36, R36)</f>
        <v>0</v>
      </c>
      <c r="I36" s="282">
        <v>27</v>
      </c>
      <c r="J36" s="1621">
        <v>44196</v>
      </c>
      <c r="K36" s="240" t="s">
        <v>3266</v>
      </c>
      <c r="L36" s="344" t="str">
        <f t="shared" si="0"/>
        <v/>
      </c>
      <c r="M36" s="1619"/>
      <c r="N36" s="125"/>
      <c r="P36" s="14" t="str">
        <f t="shared" si="7"/>
        <v>FP-101194</v>
      </c>
      <c r="Q36" s="240">
        <v>611717</v>
      </c>
      <c r="R36" s="240">
        <f t="shared" si="8"/>
        <v>0</v>
      </c>
      <c r="S36" s="240" t="str">
        <f>K36</f>
        <v>Reg</v>
      </c>
      <c r="V36" s="240">
        <v>611717</v>
      </c>
      <c r="W36" s="240">
        <f t="shared" si="4"/>
        <v>611717</v>
      </c>
      <c r="X36" s="240"/>
      <c r="AE36" s="240"/>
      <c r="AG36" s="1689"/>
    </row>
    <row r="37" spans="1:33">
      <c r="A37" s="15">
        <v>30</v>
      </c>
      <c r="B37" s="126" t="s">
        <v>753</v>
      </c>
      <c r="C37" s="126" t="s">
        <v>755</v>
      </c>
      <c r="D37" s="124">
        <v>378</v>
      </c>
      <c r="E37" s="128">
        <v>650533.54</v>
      </c>
      <c r="F37" s="126"/>
      <c r="G37" s="125">
        <f t="shared" si="6"/>
        <v>650533.54</v>
      </c>
      <c r="H37" s="125"/>
      <c r="I37" s="282"/>
      <c r="J37" s="1584">
        <v>44119</v>
      </c>
      <c r="K37" s="240"/>
      <c r="L37" s="344" t="str">
        <f t="shared" si="0"/>
        <v/>
      </c>
      <c r="M37" s="1619"/>
      <c r="N37" s="125"/>
      <c r="P37" s="14" t="str">
        <f t="shared" si="7"/>
        <v>FP-101196</v>
      </c>
      <c r="Q37" s="240">
        <v>650533.54</v>
      </c>
      <c r="R37" s="240">
        <f t="shared" si="8"/>
        <v>650533.54</v>
      </c>
      <c r="V37" s="240">
        <v>0</v>
      </c>
      <c r="W37" s="240">
        <f t="shared" si="4"/>
        <v>0</v>
      </c>
      <c r="X37" s="240"/>
    </row>
    <row r="38" spans="1:33">
      <c r="A38" s="15">
        <v>31</v>
      </c>
      <c r="B38" s="126" t="s">
        <v>753</v>
      </c>
      <c r="C38" s="126" t="s">
        <v>756</v>
      </c>
      <c r="D38" s="124">
        <v>380</v>
      </c>
      <c r="E38" s="128">
        <v>62.76</v>
      </c>
      <c r="F38" s="126"/>
      <c r="G38" s="125">
        <f t="shared" si="6"/>
        <v>62.76</v>
      </c>
      <c r="H38" s="125"/>
      <c r="I38" s="282"/>
      <c r="J38" s="1584">
        <v>44136</v>
      </c>
      <c r="K38" s="240"/>
      <c r="L38" s="344" t="str">
        <f t="shared" si="0"/>
        <v/>
      </c>
      <c r="M38" s="1619"/>
      <c r="N38" s="125"/>
      <c r="P38" s="14" t="str">
        <f t="shared" si="7"/>
        <v>FP-101197</v>
      </c>
      <c r="Q38" s="240">
        <v>62.76</v>
      </c>
      <c r="R38" s="240">
        <f t="shared" si="8"/>
        <v>62.76</v>
      </c>
      <c r="V38" s="240">
        <v>0</v>
      </c>
      <c r="W38" s="240">
        <f t="shared" si="4"/>
        <v>0</v>
      </c>
      <c r="X38" s="240"/>
    </row>
    <row r="39" spans="1:33">
      <c r="A39" s="15">
        <v>32</v>
      </c>
      <c r="B39" s="126" t="s">
        <v>753</v>
      </c>
      <c r="C39" s="126" t="s">
        <v>757</v>
      </c>
      <c r="D39" s="127">
        <v>385</v>
      </c>
      <c r="E39" s="128">
        <v>40010.83</v>
      </c>
      <c r="F39" s="126"/>
      <c r="G39" s="125">
        <f t="shared" si="6"/>
        <v>40010.83</v>
      </c>
      <c r="H39" s="529"/>
      <c r="I39" s="282"/>
      <c r="J39" s="1584">
        <v>44181</v>
      </c>
      <c r="K39" s="240"/>
      <c r="L39" s="344" t="str">
        <f t="shared" si="0"/>
        <v/>
      </c>
      <c r="M39" s="1619"/>
      <c r="N39" s="125"/>
      <c r="P39" s="14" t="str">
        <f t="shared" si="7"/>
        <v>FP-101200</v>
      </c>
      <c r="Q39" s="240">
        <v>40010.83</v>
      </c>
      <c r="R39" s="240">
        <f t="shared" si="8"/>
        <v>40010.83</v>
      </c>
      <c r="V39" s="240">
        <v>0</v>
      </c>
      <c r="W39" s="240">
        <f t="shared" si="4"/>
        <v>0</v>
      </c>
      <c r="X39" s="240"/>
      <c r="AA39" s="240"/>
    </row>
    <row r="40" spans="1:33">
      <c r="A40" s="15">
        <v>33</v>
      </c>
      <c r="B40" s="126" t="s">
        <v>753</v>
      </c>
      <c r="C40" s="126" t="s">
        <v>758</v>
      </c>
      <c r="D40" s="124">
        <v>385</v>
      </c>
      <c r="E40" s="128">
        <v>21467.7</v>
      </c>
      <c r="F40" s="126"/>
      <c r="G40" s="125">
        <f t="shared" si="6"/>
        <v>21467.7</v>
      </c>
      <c r="H40" s="125"/>
      <c r="I40" s="282"/>
      <c r="J40" s="1584">
        <v>43981</v>
      </c>
      <c r="K40" s="240"/>
      <c r="L40" s="344" t="str">
        <f t="shared" si="0"/>
        <v/>
      </c>
      <c r="M40" s="1619"/>
      <c r="N40" s="125"/>
      <c r="P40" s="14" t="str">
        <f t="shared" si="7"/>
        <v>FP-101201</v>
      </c>
      <c r="Q40" s="240">
        <v>21467.7</v>
      </c>
      <c r="R40" s="240">
        <f t="shared" si="8"/>
        <v>21467.7</v>
      </c>
      <c r="V40" s="240">
        <v>0</v>
      </c>
      <c r="W40" s="240">
        <f t="shared" si="4"/>
        <v>0</v>
      </c>
      <c r="X40" s="240"/>
      <c r="AA40" s="240"/>
    </row>
    <row r="41" spans="1:33">
      <c r="A41" s="15">
        <v>34</v>
      </c>
      <c r="B41" s="126" t="s">
        <v>753</v>
      </c>
      <c r="C41" s="126" t="s">
        <v>2388</v>
      </c>
      <c r="D41" s="774">
        <v>381</v>
      </c>
      <c r="E41" s="128">
        <v>3919185.28</v>
      </c>
      <c r="F41" s="345">
        <f>+'State Allocation Formulas'!C21</f>
        <v>0.75170000000000003</v>
      </c>
      <c r="G41" s="125">
        <f t="shared" si="6"/>
        <v>0</v>
      </c>
      <c r="H41" s="125">
        <f>IF($T$8=$Q$7, Q41, R41)</f>
        <v>0</v>
      </c>
      <c r="I41" s="282">
        <v>28</v>
      </c>
      <c r="J41" s="1621">
        <v>44196</v>
      </c>
      <c r="K41" s="240" t="s">
        <v>3120</v>
      </c>
      <c r="L41" s="344" t="str">
        <f t="shared" si="0"/>
        <v/>
      </c>
      <c r="M41" s="1619"/>
      <c r="N41" s="125"/>
      <c r="P41" s="14" t="str">
        <f t="shared" si="7"/>
        <v>FP-101210</v>
      </c>
      <c r="Q41" s="240">
        <v>2946051.574976</v>
      </c>
      <c r="R41" s="240">
        <f t="shared" si="8"/>
        <v>0</v>
      </c>
      <c r="S41" s="240" t="str">
        <f>K41</f>
        <v>Meters</v>
      </c>
      <c r="V41" s="240">
        <v>2946051.574976</v>
      </c>
      <c r="W41" s="240">
        <f t="shared" si="4"/>
        <v>2946051.574976</v>
      </c>
      <c r="X41" s="240"/>
      <c r="AA41" s="240"/>
    </row>
    <row r="42" spans="1:33">
      <c r="A42" s="15">
        <v>35</v>
      </c>
      <c r="B42" s="126" t="s">
        <v>753</v>
      </c>
      <c r="C42" s="126" t="s">
        <v>2389</v>
      </c>
      <c r="D42" s="774">
        <v>392.2</v>
      </c>
      <c r="E42" s="128">
        <v>2180374.04</v>
      </c>
      <c r="F42" s="345">
        <f>+'State Allocation Formulas'!C21</f>
        <v>0.75170000000000003</v>
      </c>
      <c r="G42" s="125">
        <f t="shared" si="6"/>
        <v>1638987.1658680001</v>
      </c>
      <c r="H42" s="125"/>
      <c r="I42" s="282"/>
      <c r="J42" s="1584">
        <v>44196</v>
      </c>
      <c r="K42" s="240"/>
      <c r="L42" s="344" t="str">
        <f t="shared" si="0"/>
        <v/>
      </c>
      <c r="M42" s="1619"/>
      <c r="N42" s="125"/>
      <c r="P42" s="14" t="str">
        <f t="shared" si="7"/>
        <v>FP-101215</v>
      </c>
      <c r="Q42" s="240">
        <v>1638987.1658680001</v>
      </c>
      <c r="R42" s="240">
        <f t="shared" si="8"/>
        <v>1638987.1658680001</v>
      </c>
      <c r="V42" s="240">
        <v>0</v>
      </c>
      <c r="W42" s="240">
        <f t="shared" si="4"/>
        <v>0</v>
      </c>
      <c r="X42" s="240"/>
      <c r="AA42" s="240"/>
    </row>
    <row r="43" spans="1:33">
      <c r="A43" s="15">
        <v>36</v>
      </c>
      <c r="B43" s="126" t="s">
        <v>753</v>
      </c>
      <c r="C43" s="126" t="s">
        <v>2390</v>
      </c>
      <c r="D43" s="774">
        <v>383</v>
      </c>
      <c r="E43" s="128">
        <v>1320143.48</v>
      </c>
      <c r="F43" s="345">
        <f>+'State Allocation Formulas'!C21</f>
        <v>0.75170000000000003</v>
      </c>
      <c r="G43" s="125">
        <f t="shared" si="6"/>
        <v>992351.85391599999</v>
      </c>
      <c r="H43" s="125"/>
      <c r="I43" s="282"/>
      <c r="J43" s="1584">
        <v>44196</v>
      </c>
      <c r="K43" s="240"/>
      <c r="L43" s="344" t="str">
        <f t="shared" si="0"/>
        <v/>
      </c>
      <c r="M43" s="1619"/>
      <c r="N43" s="125"/>
      <c r="P43" s="14" t="str">
        <f t="shared" si="7"/>
        <v>FP-101259</v>
      </c>
      <c r="Q43" s="240">
        <v>992351.85391599999</v>
      </c>
      <c r="R43" s="240">
        <f t="shared" si="8"/>
        <v>992351.85391599999</v>
      </c>
      <c r="V43" s="240">
        <v>0</v>
      </c>
      <c r="W43" s="240">
        <f t="shared" si="4"/>
        <v>0</v>
      </c>
      <c r="X43" s="240"/>
      <c r="AA43" s="240"/>
    </row>
    <row r="44" spans="1:33">
      <c r="A44" s="15">
        <v>37</v>
      </c>
      <c r="B44" s="126" t="s">
        <v>753</v>
      </c>
      <c r="C44" s="126" t="s">
        <v>759</v>
      </c>
      <c r="D44" s="124">
        <v>380</v>
      </c>
      <c r="E44" s="128">
        <v>31924.36</v>
      </c>
      <c r="F44" s="126"/>
      <c r="G44" s="125">
        <f t="shared" si="6"/>
        <v>31924.36</v>
      </c>
      <c r="H44" s="125"/>
      <c r="I44" s="282"/>
      <c r="J44" s="1584">
        <v>44136</v>
      </c>
      <c r="K44" s="240"/>
      <c r="L44" s="344" t="str">
        <f t="shared" si="0"/>
        <v/>
      </c>
      <c r="M44" s="1619"/>
      <c r="N44" s="125"/>
      <c r="P44" s="14" t="str">
        <f t="shared" si="7"/>
        <v>FP-101275</v>
      </c>
      <c r="Q44" s="240">
        <v>31924.36</v>
      </c>
      <c r="R44" s="240">
        <f t="shared" si="8"/>
        <v>31924.36</v>
      </c>
      <c r="V44" s="240">
        <v>0</v>
      </c>
      <c r="W44" s="240">
        <f t="shared" si="4"/>
        <v>0</v>
      </c>
      <c r="X44" s="240"/>
      <c r="AA44" s="240"/>
    </row>
    <row r="45" spans="1:33">
      <c r="A45" s="15">
        <v>38</v>
      </c>
      <c r="B45" s="126" t="s">
        <v>753</v>
      </c>
      <c r="C45" s="126" t="s">
        <v>3161</v>
      </c>
      <c r="D45" s="124">
        <v>375.1</v>
      </c>
      <c r="E45" s="128">
        <v>124289.24</v>
      </c>
      <c r="F45" s="126"/>
      <c r="G45" s="125">
        <f t="shared" si="6"/>
        <v>124289.24</v>
      </c>
      <c r="H45" s="125"/>
      <c r="I45" s="282"/>
      <c r="J45" s="1584">
        <v>44196</v>
      </c>
      <c r="K45" s="240"/>
      <c r="L45" s="344" t="str">
        <f t="shared" si="0"/>
        <v/>
      </c>
      <c r="M45" s="1619"/>
      <c r="N45" s="125"/>
      <c r="P45" s="14" t="str">
        <f t="shared" si="7"/>
        <v>FP-101413</v>
      </c>
      <c r="Q45" s="240">
        <v>124289.24</v>
      </c>
      <c r="R45" s="240">
        <f t="shared" si="8"/>
        <v>124289.24</v>
      </c>
      <c r="V45" s="240">
        <v>0</v>
      </c>
      <c r="W45" s="240">
        <f t="shared" si="4"/>
        <v>0</v>
      </c>
      <c r="X45" s="240"/>
      <c r="AA45" s="240"/>
    </row>
    <row r="46" spans="1:33">
      <c r="A46" s="15">
        <v>39</v>
      </c>
      <c r="B46" s="126" t="s">
        <v>753</v>
      </c>
      <c r="C46" s="126" t="s">
        <v>3162</v>
      </c>
      <c r="D46" s="124">
        <v>394.1</v>
      </c>
      <c r="E46" s="128">
        <v>4282.32</v>
      </c>
      <c r="F46" s="126"/>
      <c r="G46" s="125">
        <f t="shared" si="6"/>
        <v>4282.32</v>
      </c>
      <c r="H46" s="125"/>
      <c r="I46" s="282"/>
      <c r="J46" s="1584">
        <v>44196</v>
      </c>
      <c r="K46" s="240"/>
      <c r="L46" s="344" t="str">
        <f t="shared" si="0"/>
        <v/>
      </c>
      <c r="M46" s="1619"/>
      <c r="N46" s="125"/>
      <c r="P46" s="14" t="str">
        <f t="shared" si="7"/>
        <v>FP-101416</v>
      </c>
      <c r="Q46" s="240">
        <v>4282.32</v>
      </c>
      <c r="R46" s="240">
        <f t="shared" si="8"/>
        <v>4282.32</v>
      </c>
      <c r="V46" s="240">
        <v>0</v>
      </c>
      <c r="W46" s="240">
        <f t="shared" si="4"/>
        <v>0</v>
      </c>
      <c r="X46" s="240"/>
      <c r="AA46" s="240"/>
    </row>
    <row r="47" spans="1:33">
      <c r="A47" s="15">
        <v>40</v>
      </c>
      <c r="B47" s="126" t="s">
        <v>753</v>
      </c>
      <c r="C47" s="126" t="s">
        <v>1970</v>
      </c>
      <c r="D47" s="124">
        <v>367.1</v>
      </c>
      <c r="E47" s="128">
        <v>7616.94</v>
      </c>
      <c r="F47" s="126"/>
      <c r="G47" s="125">
        <f t="shared" si="6"/>
        <v>7616.94</v>
      </c>
      <c r="H47" s="126"/>
      <c r="I47" s="282"/>
      <c r="J47" s="1584">
        <v>44196</v>
      </c>
      <c r="K47" s="240"/>
      <c r="L47" s="344" t="str">
        <f t="shared" si="0"/>
        <v/>
      </c>
      <c r="M47" s="1619"/>
      <c r="N47" s="125"/>
      <c r="P47" s="14" t="str">
        <f t="shared" si="7"/>
        <v>FP-200043</v>
      </c>
      <c r="Q47" s="240">
        <v>7616.94</v>
      </c>
      <c r="R47" s="240">
        <f t="shared" si="8"/>
        <v>7616.94</v>
      </c>
      <c r="V47" s="240">
        <v>0</v>
      </c>
      <c r="W47" s="240">
        <f t="shared" si="4"/>
        <v>0</v>
      </c>
      <c r="X47" s="240"/>
      <c r="AA47" s="240"/>
    </row>
    <row r="48" spans="1:33">
      <c r="A48" s="15">
        <v>41</v>
      </c>
      <c r="B48" s="126" t="s">
        <v>753</v>
      </c>
      <c r="C48" s="126" t="s">
        <v>2391</v>
      </c>
      <c r="D48" s="124">
        <v>391.3</v>
      </c>
      <c r="E48" s="128">
        <v>54854.48</v>
      </c>
      <c r="F48" s="345">
        <f>+'State Allocation Formulas'!C21</f>
        <v>0.75170000000000003</v>
      </c>
      <c r="G48" s="125">
        <f t="shared" si="6"/>
        <v>41234.112616000006</v>
      </c>
      <c r="H48" s="126"/>
      <c r="I48" s="282"/>
      <c r="J48" s="1584">
        <v>44196</v>
      </c>
      <c r="K48" s="240"/>
      <c r="L48" s="344" t="str">
        <f t="shared" si="0"/>
        <v/>
      </c>
      <c r="M48" s="1619"/>
      <c r="N48" s="125"/>
      <c r="P48" s="14" t="str">
        <f t="shared" si="7"/>
        <v>FP-200662</v>
      </c>
      <c r="Q48" s="240">
        <v>41234.112616000006</v>
      </c>
      <c r="R48" s="240">
        <f t="shared" si="8"/>
        <v>41234.112616000006</v>
      </c>
      <c r="V48" s="240">
        <v>0</v>
      </c>
      <c r="W48" s="240">
        <f t="shared" si="4"/>
        <v>0</v>
      </c>
      <c r="X48" s="240"/>
      <c r="AA48" s="240"/>
    </row>
    <row r="49" spans="1:27">
      <c r="A49" s="15">
        <v>42</v>
      </c>
      <c r="B49" s="126" t="s">
        <v>753</v>
      </c>
      <c r="C49" s="126" t="s">
        <v>1262</v>
      </c>
      <c r="D49" s="124">
        <v>376.2</v>
      </c>
      <c r="E49" s="128">
        <v>2757265.26</v>
      </c>
      <c r="F49" s="126"/>
      <c r="G49" s="125">
        <f t="shared" si="6"/>
        <v>2757265.26</v>
      </c>
      <c r="H49" s="125">
        <f>IF($T$12=$V$7, V49, W49)</f>
        <v>4131574.32</v>
      </c>
      <c r="I49" s="282">
        <v>1</v>
      </c>
      <c r="J49" s="1585">
        <v>43857</v>
      </c>
      <c r="K49" s="125">
        <f>G49</f>
        <v>2757265.26</v>
      </c>
      <c r="L49" s="344">
        <f t="shared" si="0"/>
        <v>43857</v>
      </c>
      <c r="M49" s="1619"/>
      <c r="N49" s="125"/>
      <c r="P49" s="1617" t="str">
        <f t="shared" si="7"/>
        <v>FP-300233</v>
      </c>
      <c r="Q49" s="240">
        <v>2757265.26</v>
      </c>
      <c r="R49" s="240">
        <f t="shared" si="8"/>
        <v>2757265.26</v>
      </c>
      <c r="V49" s="240">
        <v>2757265.26</v>
      </c>
      <c r="W49" s="240">
        <f t="shared" si="4"/>
        <v>4131574.32</v>
      </c>
      <c r="X49" s="240"/>
      <c r="AA49" s="240"/>
    </row>
    <row r="50" spans="1:27">
      <c r="A50" s="15">
        <v>43</v>
      </c>
      <c r="B50" s="126" t="s">
        <v>753</v>
      </c>
      <c r="C50" s="126" t="s">
        <v>760</v>
      </c>
      <c r="D50" s="124">
        <v>376.1</v>
      </c>
      <c r="E50" s="128">
        <v>747641.35000000009</v>
      </c>
      <c r="F50" s="126"/>
      <c r="G50" s="125">
        <f t="shared" si="6"/>
        <v>747641.35000000009</v>
      </c>
      <c r="H50" s="125"/>
      <c r="I50" s="282"/>
      <c r="J50" s="1584">
        <v>43891</v>
      </c>
      <c r="K50" s="240"/>
      <c r="L50" s="344" t="str">
        <f t="shared" si="0"/>
        <v/>
      </c>
      <c r="M50" s="1619"/>
      <c r="N50" s="125"/>
      <c r="P50" s="14" t="str">
        <f t="shared" si="7"/>
        <v>FP-302369</v>
      </c>
      <c r="Q50" s="240">
        <v>747641.35000000009</v>
      </c>
      <c r="R50" s="240">
        <f t="shared" si="8"/>
        <v>747641.35000000009</v>
      </c>
      <c r="V50" s="240">
        <v>0</v>
      </c>
      <c r="W50" s="240">
        <f t="shared" si="4"/>
        <v>0</v>
      </c>
      <c r="X50" s="240"/>
      <c r="AA50" s="240"/>
    </row>
    <row r="51" spans="1:27">
      <c r="A51" s="15">
        <v>45</v>
      </c>
      <c r="B51" s="126" t="s">
        <v>753</v>
      </c>
      <c r="C51" s="126" t="s">
        <v>2284</v>
      </c>
      <c r="D51" s="124">
        <v>381</v>
      </c>
      <c r="E51" s="128">
        <v>363466.8</v>
      </c>
      <c r="F51" s="345">
        <f>+'State Allocation Formulas'!C21</f>
        <v>0.75170000000000003</v>
      </c>
      <c r="G51" s="125">
        <f t="shared" si="6"/>
        <v>273217.99356000003</v>
      </c>
      <c r="H51" s="125"/>
      <c r="I51" s="282"/>
      <c r="J51" s="1581">
        <v>44196</v>
      </c>
      <c r="K51" s="240"/>
      <c r="L51" s="344" t="str">
        <f t="shared" si="0"/>
        <v/>
      </c>
      <c r="M51" s="1619"/>
      <c r="N51" s="125"/>
      <c r="P51" s="14" t="str">
        <f t="shared" si="7"/>
        <v>FP-306980</v>
      </c>
      <c r="Q51" s="240">
        <v>273217.99356000003</v>
      </c>
      <c r="R51" s="240">
        <f t="shared" si="8"/>
        <v>273217.99356000003</v>
      </c>
      <c r="V51" s="240">
        <v>0</v>
      </c>
      <c r="W51" s="240">
        <f t="shared" si="4"/>
        <v>0</v>
      </c>
      <c r="X51" s="240"/>
      <c r="AA51" s="240"/>
    </row>
    <row r="52" spans="1:27">
      <c r="A52" s="15">
        <v>46</v>
      </c>
      <c r="B52" s="126" t="s">
        <v>753</v>
      </c>
      <c r="C52" s="126" t="s">
        <v>2341</v>
      </c>
      <c r="D52" s="124">
        <v>376.2</v>
      </c>
      <c r="E52" s="128">
        <v>3360413</v>
      </c>
      <c r="F52" s="126"/>
      <c r="G52" s="125">
        <f t="shared" si="6"/>
        <v>3360413</v>
      </c>
      <c r="H52" s="125">
        <f>IF($T$12=$V$7, V52, W52)</f>
        <v>0</v>
      </c>
      <c r="I52" s="282">
        <v>3</v>
      </c>
      <c r="J52" s="1585">
        <v>44175</v>
      </c>
      <c r="K52" s="125">
        <f>G52</f>
        <v>3360413</v>
      </c>
      <c r="L52" s="344">
        <f t="shared" si="0"/>
        <v>44175</v>
      </c>
      <c r="M52" s="1619"/>
      <c r="N52" s="125"/>
      <c r="P52" s="1617" t="str">
        <f t="shared" si="7"/>
        <v>FP-306988</v>
      </c>
      <c r="Q52" s="240">
        <v>3360413</v>
      </c>
      <c r="R52" s="240">
        <f t="shared" si="8"/>
        <v>3360413</v>
      </c>
      <c r="V52" s="240">
        <v>3360413</v>
      </c>
      <c r="W52" s="240">
        <f t="shared" si="4"/>
        <v>0</v>
      </c>
      <c r="X52" s="240"/>
      <c r="AA52" s="240"/>
    </row>
    <row r="53" spans="1:27">
      <c r="A53" s="15">
        <v>47</v>
      </c>
      <c r="B53" s="126" t="s">
        <v>753</v>
      </c>
      <c r="C53" s="14" t="s">
        <v>1971</v>
      </c>
      <c r="D53" s="124">
        <v>367.1</v>
      </c>
      <c r="E53" s="128">
        <v>2363557.25</v>
      </c>
      <c r="F53" s="126"/>
      <c r="G53" s="125">
        <f t="shared" si="6"/>
        <v>2363557.25</v>
      </c>
      <c r="H53" s="125"/>
      <c r="I53" s="282"/>
      <c r="J53" s="1584">
        <v>44895</v>
      </c>
      <c r="K53" s="240"/>
      <c r="L53" s="344" t="str">
        <f t="shared" si="0"/>
        <v/>
      </c>
      <c r="P53" s="14" t="str">
        <f t="shared" si="7"/>
        <v>FP-309960</v>
      </c>
      <c r="Q53" s="240">
        <v>2363557.25</v>
      </c>
      <c r="R53" s="240">
        <f t="shared" si="8"/>
        <v>2363557.25</v>
      </c>
      <c r="V53" s="240">
        <v>0</v>
      </c>
      <c r="W53" s="240">
        <f t="shared" si="4"/>
        <v>0</v>
      </c>
      <c r="X53" s="240"/>
      <c r="AA53" s="240"/>
    </row>
    <row r="54" spans="1:27">
      <c r="A54" s="15">
        <v>48</v>
      </c>
      <c r="B54" s="126" t="s">
        <v>753</v>
      </c>
      <c r="C54" s="126" t="s">
        <v>1960</v>
      </c>
      <c r="D54" s="124">
        <v>378</v>
      </c>
      <c r="E54" s="128">
        <v>20008.89</v>
      </c>
      <c r="F54" s="126"/>
      <c r="G54" s="125">
        <f t="shared" si="6"/>
        <v>20008.89</v>
      </c>
      <c r="H54" s="125"/>
      <c r="I54" s="282"/>
      <c r="J54" s="1584">
        <v>43861</v>
      </c>
      <c r="K54" s="240"/>
      <c r="L54" s="344" t="str">
        <f t="shared" si="0"/>
        <v/>
      </c>
      <c r="N54" s="240"/>
      <c r="P54" s="14" t="str">
        <f t="shared" si="7"/>
        <v>FP-312009</v>
      </c>
      <c r="Q54" s="240">
        <v>20008.89</v>
      </c>
      <c r="R54" s="240">
        <f t="shared" si="8"/>
        <v>20008.89</v>
      </c>
      <c r="V54" s="240">
        <v>0</v>
      </c>
      <c r="W54" s="240">
        <f t="shared" si="4"/>
        <v>0</v>
      </c>
      <c r="X54" s="240"/>
      <c r="AA54" s="240"/>
    </row>
    <row r="55" spans="1:27">
      <c r="A55" s="15">
        <v>49</v>
      </c>
      <c r="B55" s="126" t="s">
        <v>753</v>
      </c>
      <c r="C55" s="126" t="s">
        <v>2285</v>
      </c>
      <c r="D55" s="124">
        <v>376.2</v>
      </c>
      <c r="E55" s="128">
        <v>179168.59</v>
      </c>
      <c r="F55" s="126"/>
      <c r="G55" s="125">
        <f t="shared" si="6"/>
        <v>179168.59</v>
      </c>
      <c r="H55" s="125"/>
      <c r="I55" s="282" t="s">
        <v>777</v>
      </c>
      <c r="J55" s="1584">
        <v>44196</v>
      </c>
      <c r="K55" s="240"/>
      <c r="L55" s="344" t="str">
        <f t="shared" si="0"/>
        <v/>
      </c>
      <c r="P55" s="14" t="str">
        <f t="shared" si="7"/>
        <v>FP-316027</v>
      </c>
      <c r="Q55" s="240">
        <v>179168.59</v>
      </c>
      <c r="R55" s="240">
        <f t="shared" si="8"/>
        <v>179168.59</v>
      </c>
      <c r="V55" s="240">
        <v>0</v>
      </c>
      <c r="W55" s="240">
        <f t="shared" si="4"/>
        <v>0</v>
      </c>
      <c r="X55" s="240"/>
      <c r="AA55" s="240"/>
    </row>
    <row r="56" spans="1:27">
      <c r="A56" s="15">
        <v>50</v>
      </c>
      <c r="B56" s="126" t="s">
        <v>753</v>
      </c>
      <c r="C56" s="126" t="s">
        <v>2286</v>
      </c>
      <c r="D56" s="124">
        <v>376.2</v>
      </c>
      <c r="E56" s="128">
        <v>239545.87</v>
      </c>
      <c r="F56" s="126"/>
      <c r="G56" s="125">
        <f t="shared" si="6"/>
        <v>239545.87</v>
      </c>
      <c r="H56" s="125"/>
      <c r="I56" s="282" t="s">
        <v>777</v>
      </c>
      <c r="J56" s="1584">
        <v>44196</v>
      </c>
      <c r="K56" s="240"/>
      <c r="L56" s="344" t="str">
        <f t="shared" si="0"/>
        <v/>
      </c>
      <c r="P56" s="14" t="str">
        <f t="shared" si="7"/>
        <v>FP-316033</v>
      </c>
      <c r="Q56" s="240">
        <v>239545.87</v>
      </c>
      <c r="R56" s="240">
        <f t="shared" si="8"/>
        <v>239545.87</v>
      </c>
      <c r="V56" s="240">
        <v>0</v>
      </c>
      <c r="W56" s="240">
        <f t="shared" si="4"/>
        <v>0</v>
      </c>
      <c r="X56" s="240"/>
      <c r="AA56" s="240"/>
    </row>
    <row r="57" spans="1:27">
      <c r="A57" s="15">
        <v>51</v>
      </c>
      <c r="B57" s="126" t="s">
        <v>753</v>
      </c>
      <c r="C57" s="126" t="s">
        <v>1961</v>
      </c>
      <c r="D57" s="124">
        <v>376.2</v>
      </c>
      <c r="E57" s="128">
        <v>112657.85</v>
      </c>
      <c r="F57" s="126"/>
      <c r="G57" s="125">
        <f t="shared" si="6"/>
        <v>112657.85</v>
      </c>
      <c r="H57" s="125"/>
      <c r="I57" s="282"/>
      <c r="J57" s="1584">
        <v>44165</v>
      </c>
      <c r="K57" s="240"/>
      <c r="L57" s="344" t="str">
        <f t="shared" si="0"/>
        <v/>
      </c>
      <c r="P57" s="14" t="str">
        <f t="shared" si="7"/>
        <v>FP-316034</v>
      </c>
      <c r="Q57" s="240">
        <v>112657.85</v>
      </c>
      <c r="R57" s="240">
        <f t="shared" si="8"/>
        <v>112657.85</v>
      </c>
      <c r="V57" s="240">
        <v>0</v>
      </c>
      <c r="W57" s="240">
        <f t="shared" si="4"/>
        <v>0</v>
      </c>
      <c r="X57" s="240"/>
      <c r="AA57" s="240"/>
    </row>
    <row r="58" spans="1:27">
      <c r="A58" s="15">
        <v>52</v>
      </c>
      <c r="B58" s="126" t="s">
        <v>753</v>
      </c>
      <c r="C58" s="126" t="s">
        <v>2287</v>
      </c>
      <c r="D58" s="124">
        <v>376.2</v>
      </c>
      <c r="E58" s="128">
        <v>1321132.3500000001</v>
      </c>
      <c r="F58" s="126"/>
      <c r="G58" s="125">
        <f t="shared" si="6"/>
        <v>1321132.3500000001</v>
      </c>
      <c r="H58" s="125"/>
      <c r="I58" s="282" t="s">
        <v>777</v>
      </c>
      <c r="J58" s="1584">
        <v>44196</v>
      </c>
      <c r="K58" s="240"/>
      <c r="L58" s="344" t="str">
        <f t="shared" si="0"/>
        <v/>
      </c>
      <c r="P58" s="14" t="str">
        <f t="shared" si="7"/>
        <v>FP-316035</v>
      </c>
      <c r="Q58" s="240">
        <v>1321132.3500000001</v>
      </c>
      <c r="R58" s="240">
        <f t="shared" si="8"/>
        <v>1321132.3500000001</v>
      </c>
      <c r="V58" s="240">
        <v>0</v>
      </c>
      <c r="W58" s="240">
        <f t="shared" si="4"/>
        <v>0</v>
      </c>
      <c r="X58" s="240"/>
      <c r="AA58" s="240"/>
    </row>
    <row r="59" spans="1:27">
      <c r="A59" s="15">
        <v>53</v>
      </c>
      <c r="B59" s="126" t="s">
        <v>753</v>
      </c>
      <c r="C59" s="126" t="s">
        <v>2288</v>
      </c>
      <c r="D59" s="124">
        <v>376.2</v>
      </c>
      <c r="E59" s="128">
        <v>588710.21</v>
      </c>
      <c r="F59" s="126"/>
      <c r="G59" s="125">
        <f t="shared" si="6"/>
        <v>588710.21</v>
      </c>
      <c r="H59" s="125"/>
      <c r="I59" s="282"/>
      <c r="J59" s="1584">
        <v>44166</v>
      </c>
      <c r="K59" s="240"/>
      <c r="L59" s="344" t="str">
        <f t="shared" si="0"/>
        <v/>
      </c>
      <c r="P59" s="14" t="str">
        <f t="shared" si="7"/>
        <v>FP-316043</v>
      </c>
      <c r="Q59" s="240">
        <v>588710.21</v>
      </c>
      <c r="R59" s="240">
        <f t="shared" si="8"/>
        <v>588710.21</v>
      </c>
      <c r="V59" s="240">
        <v>0</v>
      </c>
      <c r="W59" s="240">
        <f t="shared" si="4"/>
        <v>0</v>
      </c>
      <c r="X59" s="240"/>
      <c r="AA59" s="240"/>
    </row>
    <row r="60" spans="1:27">
      <c r="A60" s="15">
        <v>54</v>
      </c>
      <c r="B60" s="126" t="s">
        <v>753</v>
      </c>
      <c r="C60" s="126" t="s">
        <v>2289</v>
      </c>
      <c r="D60" s="124">
        <v>376.2</v>
      </c>
      <c r="E60" s="128">
        <v>1714110.95</v>
      </c>
      <c r="F60" s="126"/>
      <c r="G60" s="125">
        <f t="shared" si="6"/>
        <v>1714110.95</v>
      </c>
      <c r="H60" s="125"/>
      <c r="I60" s="282" t="s">
        <v>777</v>
      </c>
      <c r="J60" s="1584">
        <v>44196</v>
      </c>
      <c r="K60" s="240"/>
      <c r="L60" s="344" t="str">
        <f t="shared" si="0"/>
        <v/>
      </c>
      <c r="P60" s="14" t="str">
        <f t="shared" si="7"/>
        <v>FP-316044</v>
      </c>
      <c r="Q60" s="240">
        <v>1714110.95</v>
      </c>
      <c r="R60" s="240">
        <f t="shared" si="8"/>
        <v>1714110.95</v>
      </c>
      <c r="V60" s="240">
        <v>0</v>
      </c>
      <c r="W60" s="240">
        <f t="shared" si="4"/>
        <v>0</v>
      </c>
      <c r="X60" s="240"/>
      <c r="AA60" s="240"/>
    </row>
    <row r="61" spans="1:27">
      <c r="A61" s="15">
        <v>55</v>
      </c>
      <c r="B61" s="126" t="s">
        <v>753</v>
      </c>
      <c r="C61" s="126" t="s">
        <v>1962</v>
      </c>
      <c r="D61" s="124">
        <v>376.2</v>
      </c>
      <c r="E61" s="128">
        <v>490462.48</v>
      </c>
      <c r="F61" s="126"/>
      <c r="G61" s="125">
        <f t="shared" si="6"/>
        <v>490462.48</v>
      </c>
      <c r="H61" s="125"/>
      <c r="I61" s="282"/>
      <c r="J61" s="1584">
        <v>44042</v>
      </c>
      <c r="K61" s="240"/>
      <c r="L61" s="344" t="str">
        <f t="shared" si="0"/>
        <v/>
      </c>
      <c r="P61" s="14" t="str">
        <f t="shared" si="7"/>
        <v>FP-316046</v>
      </c>
      <c r="Q61" s="240">
        <v>490462.48</v>
      </c>
      <c r="R61" s="240">
        <f t="shared" si="8"/>
        <v>490462.48</v>
      </c>
      <c r="V61" s="240">
        <v>0</v>
      </c>
      <c r="W61" s="240">
        <f t="shared" si="4"/>
        <v>0</v>
      </c>
      <c r="X61" s="240"/>
      <c r="AA61" s="240"/>
    </row>
    <row r="62" spans="1:27">
      <c r="A62" s="15">
        <v>56</v>
      </c>
      <c r="B62" s="126" t="s">
        <v>753</v>
      </c>
      <c r="C62" s="126" t="s">
        <v>1972</v>
      </c>
      <c r="D62" s="124">
        <v>378</v>
      </c>
      <c r="E62" s="128">
        <v>17894.23</v>
      </c>
      <c r="F62" s="345"/>
      <c r="G62" s="125">
        <f t="shared" si="6"/>
        <v>17894.23</v>
      </c>
      <c r="H62" s="125"/>
      <c r="I62" s="282"/>
      <c r="J62" s="1584">
        <v>43951</v>
      </c>
      <c r="K62" s="240"/>
      <c r="L62" s="344" t="str">
        <f t="shared" si="0"/>
        <v/>
      </c>
      <c r="P62" s="14" t="str">
        <f t="shared" si="7"/>
        <v>FP-316146</v>
      </c>
      <c r="Q62" s="240">
        <v>17894.23</v>
      </c>
      <c r="R62" s="240">
        <f t="shared" si="8"/>
        <v>17894.23</v>
      </c>
      <c r="V62" s="240">
        <v>0</v>
      </c>
      <c r="W62" s="240">
        <f t="shared" si="4"/>
        <v>0</v>
      </c>
      <c r="X62" s="240"/>
      <c r="AA62" s="240"/>
    </row>
    <row r="63" spans="1:27">
      <c r="A63" s="15">
        <v>57</v>
      </c>
      <c r="B63" s="126" t="s">
        <v>753</v>
      </c>
      <c r="C63" s="126" t="s">
        <v>2290</v>
      </c>
      <c r="D63" s="124">
        <v>376.1</v>
      </c>
      <c r="E63" s="128">
        <v>517249.44</v>
      </c>
      <c r="F63" s="345"/>
      <c r="G63" s="125">
        <f t="shared" si="6"/>
        <v>517249.44</v>
      </c>
      <c r="H63" s="125"/>
      <c r="I63" s="282" t="s">
        <v>777</v>
      </c>
      <c r="J63" s="1584">
        <v>44166</v>
      </c>
      <c r="K63" s="240"/>
      <c r="L63" s="344" t="str">
        <f t="shared" si="0"/>
        <v/>
      </c>
      <c r="P63" s="14" t="str">
        <f t="shared" si="7"/>
        <v>FP-316403</v>
      </c>
      <c r="Q63" s="240">
        <v>517249.44</v>
      </c>
      <c r="R63" s="240">
        <f t="shared" si="8"/>
        <v>517249.44</v>
      </c>
      <c r="V63" s="240">
        <v>0</v>
      </c>
      <c r="W63" s="240">
        <f t="shared" si="4"/>
        <v>0</v>
      </c>
      <c r="X63" s="240"/>
      <c r="AA63" s="240"/>
    </row>
    <row r="64" spans="1:27">
      <c r="A64" s="15">
        <v>58</v>
      </c>
      <c r="B64" s="126" t="s">
        <v>753</v>
      </c>
      <c r="C64" s="126" t="s">
        <v>1263</v>
      </c>
      <c r="D64" s="124">
        <v>376.2</v>
      </c>
      <c r="E64" s="128">
        <v>4257740</v>
      </c>
      <c r="F64" s="126"/>
      <c r="G64" s="125">
        <f t="shared" si="6"/>
        <v>4257740</v>
      </c>
      <c r="H64" s="125">
        <f>IF($T$12=$V$7, V64, W64)</f>
        <v>0</v>
      </c>
      <c r="I64" s="282">
        <v>5</v>
      </c>
      <c r="J64" s="1580">
        <v>44439</v>
      </c>
      <c r="K64" s="125">
        <f>G64</f>
        <v>4257740</v>
      </c>
      <c r="L64" s="344" t="str">
        <f t="shared" si="0"/>
        <v>N/A</v>
      </c>
      <c r="P64" s="1617" t="str">
        <f t="shared" si="7"/>
        <v>FP-316429</v>
      </c>
      <c r="Q64" s="240">
        <v>4257740</v>
      </c>
      <c r="R64" s="240">
        <f t="shared" ref="R64:R95" si="9">IFERROR(VLOOKUP(P64,$M$8:$N$27,2,FALSE), Q64)</f>
        <v>4257740</v>
      </c>
      <c r="V64" s="240">
        <v>4257740</v>
      </c>
      <c r="W64" s="240">
        <f t="shared" si="4"/>
        <v>0</v>
      </c>
      <c r="X64" s="240"/>
      <c r="AA64" s="240"/>
    </row>
    <row r="65" spans="1:27">
      <c r="A65" s="15">
        <v>59</v>
      </c>
      <c r="B65" s="126" t="s">
        <v>753</v>
      </c>
      <c r="C65" s="126" t="s">
        <v>2291</v>
      </c>
      <c r="D65" s="124">
        <v>376.2</v>
      </c>
      <c r="E65" s="128">
        <v>3462856.75</v>
      </c>
      <c r="F65" s="126"/>
      <c r="G65" s="125">
        <f t="shared" si="6"/>
        <v>3462856.75</v>
      </c>
      <c r="H65" s="125"/>
      <c r="I65" s="282" t="s">
        <v>777</v>
      </c>
      <c r="J65" s="1581">
        <v>44165</v>
      </c>
      <c r="K65" s="240"/>
      <c r="L65" s="344" t="str">
        <f t="shared" si="0"/>
        <v/>
      </c>
      <c r="P65" s="14" t="str">
        <f t="shared" si="7"/>
        <v>FP-316570</v>
      </c>
      <c r="Q65" s="240">
        <v>3462856.75</v>
      </c>
      <c r="R65" s="240">
        <f t="shared" si="9"/>
        <v>3462856.75</v>
      </c>
      <c r="V65" s="240">
        <v>0</v>
      </c>
      <c r="W65" s="240">
        <f t="shared" si="4"/>
        <v>0</v>
      </c>
      <c r="X65" s="240"/>
    </row>
    <row r="66" spans="1:27">
      <c r="A66" s="15">
        <v>60</v>
      </c>
      <c r="B66" s="126" t="s">
        <v>753</v>
      </c>
      <c r="C66" s="126" t="s">
        <v>2292</v>
      </c>
      <c r="D66" s="124">
        <v>376.2</v>
      </c>
      <c r="E66" s="128">
        <v>1079817.45</v>
      </c>
      <c r="F66" s="126"/>
      <c r="G66" s="125">
        <f t="shared" si="6"/>
        <v>1079817.45</v>
      </c>
      <c r="H66" s="125"/>
      <c r="I66" s="282" t="s">
        <v>777</v>
      </c>
      <c r="J66" s="1581">
        <v>44196</v>
      </c>
      <c r="K66" s="240"/>
      <c r="L66" s="344" t="str">
        <f t="shared" si="0"/>
        <v/>
      </c>
      <c r="P66" s="14" t="str">
        <f t="shared" si="7"/>
        <v>FP-316580</v>
      </c>
      <c r="Q66" s="240">
        <v>1079817.45</v>
      </c>
      <c r="R66" s="240">
        <f t="shared" si="9"/>
        <v>1079817.45</v>
      </c>
      <c r="V66" s="240">
        <v>0</v>
      </c>
      <c r="W66" s="240">
        <f t="shared" si="4"/>
        <v>0</v>
      </c>
      <c r="X66" s="240"/>
      <c r="AA66" s="240"/>
    </row>
    <row r="67" spans="1:27">
      <c r="A67" s="15">
        <v>61</v>
      </c>
      <c r="B67" s="126" t="s">
        <v>753</v>
      </c>
      <c r="C67" s="126" t="s">
        <v>1967</v>
      </c>
      <c r="D67" s="124">
        <v>378</v>
      </c>
      <c r="E67" s="128">
        <v>1015615.47</v>
      </c>
      <c r="F67" s="126"/>
      <c r="G67" s="125">
        <f t="shared" si="6"/>
        <v>1015615.47</v>
      </c>
      <c r="H67" s="125">
        <f>IF($T$12=$V$7, V67, W67)</f>
        <v>1043390.01</v>
      </c>
      <c r="I67" s="282">
        <v>6</v>
      </c>
      <c r="J67" s="1580">
        <v>44043</v>
      </c>
      <c r="K67" s="125">
        <f>G67</f>
        <v>1015615.47</v>
      </c>
      <c r="L67" s="344">
        <f t="shared" si="0"/>
        <v>44043</v>
      </c>
      <c r="P67" s="1617" t="str">
        <f t="shared" si="7"/>
        <v>FP-316586</v>
      </c>
      <c r="Q67" s="240">
        <v>1015615.47</v>
      </c>
      <c r="R67" s="240">
        <f t="shared" si="9"/>
        <v>1015615.47</v>
      </c>
      <c r="V67" s="240">
        <v>1015615.47</v>
      </c>
      <c r="W67" s="240">
        <f t="shared" si="4"/>
        <v>1043390.01</v>
      </c>
      <c r="X67" s="240"/>
    </row>
    <row r="68" spans="1:27">
      <c r="A68" s="15">
        <v>62</v>
      </c>
      <c r="B68" s="126" t="s">
        <v>753</v>
      </c>
      <c r="C68" s="126" t="s">
        <v>1966</v>
      </c>
      <c r="D68" s="124">
        <v>378</v>
      </c>
      <c r="E68" s="128">
        <v>1308260.44</v>
      </c>
      <c r="F68" s="126"/>
      <c r="G68" s="125">
        <f t="shared" si="6"/>
        <v>1308260.44</v>
      </c>
      <c r="H68" s="125">
        <f>IF($T$12=$V$7, V68, W68)</f>
        <v>0</v>
      </c>
      <c r="I68" s="282">
        <v>7</v>
      </c>
      <c r="J68" s="1580">
        <v>44188</v>
      </c>
      <c r="K68" s="125">
        <f>G68</f>
        <v>1308260.44</v>
      </c>
      <c r="L68" s="344">
        <f t="shared" si="0"/>
        <v>44194</v>
      </c>
      <c r="N68" s="240"/>
      <c r="P68" s="1617" t="str">
        <f t="shared" si="7"/>
        <v>FP-316587</v>
      </c>
      <c r="Q68" s="240">
        <v>1308260.44</v>
      </c>
      <c r="R68" s="240">
        <f t="shared" si="9"/>
        <v>1308260.44</v>
      </c>
      <c r="V68" s="240">
        <v>1308260.44</v>
      </c>
      <c r="W68" s="240">
        <f t="shared" si="4"/>
        <v>0</v>
      </c>
      <c r="X68" s="240"/>
    </row>
    <row r="69" spans="1:27">
      <c r="A69" s="15">
        <v>63</v>
      </c>
      <c r="B69" s="126" t="s">
        <v>753</v>
      </c>
      <c r="C69" s="126" t="s">
        <v>1973</v>
      </c>
      <c r="D69" s="124">
        <v>378</v>
      </c>
      <c r="E69" s="128">
        <v>1160244.8899999999</v>
      </c>
      <c r="F69" s="126"/>
      <c r="G69" s="125">
        <f t="shared" si="6"/>
        <v>1160244.8899999999</v>
      </c>
      <c r="H69" s="125">
        <f>IF($T$12=$V$7, V69, W69)</f>
        <v>0</v>
      </c>
      <c r="I69" s="282">
        <v>8</v>
      </c>
      <c r="J69" s="1585">
        <v>44175</v>
      </c>
      <c r="K69" s="125">
        <f>G69</f>
        <v>1160244.8899999999</v>
      </c>
      <c r="L69" s="344">
        <f t="shared" si="0"/>
        <v>44175</v>
      </c>
      <c r="M69" s="240"/>
      <c r="P69" s="1617" t="str">
        <f t="shared" si="7"/>
        <v>FP-316589</v>
      </c>
      <c r="Q69" s="240">
        <v>1160244.8899999999</v>
      </c>
      <c r="R69" s="240">
        <f t="shared" si="9"/>
        <v>1160244.8899999999</v>
      </c>
      <c r="V69" s="240">
        <v>1160244.8899999999</v>
      </c>
      <c r="W69" s="240">
        <f t="shared" si="4"/>
        <v>0</v>
      </c>
      <c r="X69" s="240"/>
    </row>
    <row r="70" spans="1:27">
      <c r="A70" s="15">
        <v>64</v>
      </c>
      <c r="B70" s="126" t="s">
        <v>753</v>
      </c>
      <c r="C70" s="126" t="s">
        <v>1264</v>
      </c>
      <c r="D70" s="124">
        <v>376.2</v>
      </c>
      <c r="E70" s="128">
        <v>9795152</v>
      </c>
      <c r="F70" s="126"/>
      <c r="G70" s="125">
        <f t="shared" si="6"/>
        <v>9795152</v>
      </c>
      <c r="H70" s="125">
        <f>IF($T$12=$V$7, V70, W70)</f>
        <v>0</v>
      </c>
      <c r="I70" s="282">
        <v>9</v>
      </c>
      <c r="J70" s="1580">
        <v>44188</v>
      </c>
      <c r="K70" s="125">
        <f>G70</f>
        <v>9795152</v>
      </c>
      <c r="L70" s="344">
        <f t="shared" si="0"/>
        <v>44194</v>
      </c>
      <c r="P70" s="1617" t="str">
        <f t="shared" si="7"/>
        <v>FP-316670</v>
      </c>
      <c r="Q70" s="240">
        <v>9795152</v>
      </c>
      <c r="R70" s="240">
        <f t="shared" si="9"/>
        <v>9795152</v>
      </c>
      <c r="V70" s="240">
        <v>9795152</v>
      </c>
      <c r="W70" s="240">
        <f t="shared" si="4"/>
        <v>0</v>
      </c>
      <c r="X70" s="240"/>
    </row>
    <row r="71" spans="1:27">
      <c r="A71" s="15">
        <v>65</v>
      </c>
      <c r="B71" s="126" t="s">
        <v>753</v>
      </c>
      <c r="C71" s="126" t="s">
        <v>1965</v>
      </c>
      <c r="D71" s="124">
        <v>378</v>
      </c>
      <c r="E71" s="128">
        <v>77932.33</v>
      </c>
      <c r="F71" s="126"/>
      <c r="G71" s="125">
        <f t="shared" si="6"/>
        <v>77932.33</v>
      </c>
      <c r="H71" s="125"/>
      <c r="I71" s="282"/>
      <c r="J71" s="1584">
        <v>43860</v>
      </c>
      <c r="K71" s="240"/>
      <c r="L71" s="344" t="str">
        <f t="shared" si="0"/>
        <v/>
      </c>
      <c r="M71" s="240"/>
      <c r="P71" s="14" t="str">
        <f t="shared" si="7"/>
        <v>FP-316822</v>
      </c>
      <c r="Q71" s="240">
        <v>77932.33</v>
      </c>
      <c r="R71" s="240">
        <f t="shared" si="9"/>
        <v>77932.33</v>
      </c>
      <c r="V71" s="240">
        <v>0</v>
      </c>
      <c r="W71" s="240">
        <f t="shared" si="4"/>
        <v>0</v>
      </c>
      <c r="X71" s="240"/>
    </row>
    <row r="72" spans="1:27">
      <c r="A72" s="15">
        <v>66</v>
      </c>
      <c r="B72" s="126" t="s">
        <v>753</v>
      </c>
      <c r="C72" s="126" t="s">
        <v>1964</v>
      </c>
      <c r="D72" s="124">
        <v>378</v>
      </c>
      <c r="E72" s="128">
        <v>77959.740000000005</v>
      </c>
      <c r="F72" s="126"/>
      <c r="G72" s="125">
        <f t="shared" si="6"/>
        <v>77959.740000000005</v>
      </c>
      <c r="H72" s="125"/>
      <c r="I72" s="282"/>
      <c r="J72" s="1584">
        <v>43860</v>
      </c>
      <c r="K72" s="240"/>
      <c r="L72" s="344" t="str">
        <f t="shared" si="0"/>
        <v/>
      </c>
      <c r="P72" s="14" t="str">
        <f t="shared" si="7"/>
        <v>FP-316823</v>
      </c>
      <c r="Q72" s="240">
        <v>77959.740000000005</v>
      </c>
      <c r="R72" s="240">
        <f t="shared" si="9"/>
        <v>77959.740000000005</v>
      </c>
      <c r="V72" s="240">
        <v>0</v>
      </c>
      <c r="W72" s="240">
        <f t="shared" si="4"/>
        <v>0</v>
      </c>
      <c r="X72" s="240"/>
    </row>
    <row r="73" spans="1:27">
      <c r="A73" s="15">
        <v>67</v>
      </c>
      <c r="B73" s="126" t="s">
        <v>753</v>
      </c>
      <c r="C73" s="14" t="s">
        <v>2340</v>
      </c>
      <c r="D73" s="124">
        <v>367.1</v>
      </c>
      <c r="E73" s="128">
        <v>2438636.9300000002</v>
      </c>
      <c r="F73" s="126"/>
      <c r="G73" s="125">
        <f t="shared" si="6"/>
        <v>2438636.9300000002</v>
      </c>
      <c r="H73" s="125"/>
      <c r="I73" s="282" t="s">
        <v>777</v>
      </c>
      <c r="J73" s="1584">
        <v>44165</v>
      </c>
      <c r="K73" s="240"/>
      <c r="L73" s="344" t="str">
        <f t="shared" ref="L73:L136" si="10">IFERROR(VLOOKUP(P73, $Z$8:$AB$33, 3, FALSE), "")</f>
        <v/>
      </c>
      <c r="P73" s="14" t="str">
        <f t="shared" si="7"/>
        <v>FP-316923</v>
      </c>
      <c r="Q73" s="240">
        <v>2438636.9300000002</v>
      </c>
      <c r="R73" s="240">
        <f t="shared" si="9"/>
        <v>2438636.9300000002</v>
      </c>
      <c r="V73" s="240">
        <v>0</v>
      </c>
      <c r="W73" s="240">
        <f t="shared" ref="W73:W136" si="11">IFERROR(VLOOKUP(P73,$Z$8:$AA$33,2,FALSE), V73)</f>
        <v>0</v>
      </c>
      <c r="X73" s="240"/>
    </row>
    <row r="74" spans="1:27">
      <c r="A74" s="15">
        <v>68</v>
      </c>
      <c r="B74" s="126" t="s">
        <v>753</v>
      </c>
      <c r="C74" s="14" t="s">
        <v>1963</v>
      </c>
      <c r="D74" s="124">
        <v>376.2</v>
      </c>
      <c r="E74" s="128">
        <v>1526471.05</v>
      </c>
      <c r="F74" s="126"/>
      <c r="G74" s="125">
        <f t="shared" si="6"/>
        <v>1526471.05</v>
      </c>
      <c r="H74" s="125">
        <f>IF($T$12=$V$7, V74, W74)</f>
        <v>1584349.9</v>
      </c>
      <c r="I74" s="282">
        <v>10</v>
      </c>
      <c r="J74" s="1580">
        <v>43853</v>
      </c>
      <c r="K74" s="125">
        <f>G74</f>
        <v>1526471.05</v>
      </c>
      <c r="L74" s="344">
        <f t="shared" si="10"/>
        <v>43853</v>
      </c>
      <c r="P74" s="1617" t="str">
        <f t="shared" si="7"/>
        <v>FP-317060</v>
      </c>
      <c r="Q74" s="240">
        <v>1526471.05</v>
      </c>
      <c r="R74" s="240">
        <f t="shared" si="9"/>
        <v>1526471.05</v>
      </c>
      <c r="V74" s="240">
        <v>1526471.05</v>
      </c>
      <c r="W74" s="240">
        <f t="shared" si="11"/>
        <v>1584349.9</v>
      </c>
      <c r="X74" s="240"/>
    </row>
    <row r="75" spans="1:27">
      <c r="A75" s="15">
        <v>69</v>
      </c>
      <c r="B75" s="126" t="s">
        <v>753</v>
      </c>
      <c r="C75" s="14" t="s">
        <v>1974</v>
      </c>
      <c r="D75" s="124">
        <v>376.3</v>
      </c>
      <c r="E75" s="128">
        <v>441993.69</v>
      </c>
      <c r="F75" s="126"/>
      <c r="G75" s="125">
        <f t="shared" si="6"/>
        <v>441993.69</v>
      </c>
      <c r="H75" s="125"/>
      <c r="I75" s="282" t="s">
        <v>777</v>
      </c>
      <c r="J75" s="1581">
        <v>43920</v>
      </c>
      <c r="K75" s="240"/>
      <c r="L75" s="344" t="str">
        <f t="shared" si="10"/>
        <v/>
      </c>
      <c r="P75" s="14" t="str">
        <f t="shared" si="7"/>
        <v>FP-317519</v>
      </c>
      <c r="Q75" s="240">
        <v>441993.69</v>
      </c>
      <c r="R75" s="240">
        <f t="shared" si="9"/>
        <v>441993.69</v>
      </c>
      <c r="V75" s="240">
        <v>0</v>
      </c>
      <c r="W75" s="240">
        <f t="shared" si="11"/>
        <v>0</v>
      </c>
      <c r="X75" s="240"/>
    </row>
    <row r="76" spans="1:27">
      <c r="A76" s="15">
        <v>70</v>
      </c>
      <c r="B76" s="126" t="s">
        <v>753</v>
      </c>
      <c r="C76" s="14" t="s">
        <v>1975</v>
      </c>
      <c r="D76" s="124">
        <v>380.3</v>
      </c>
      <c r="E76" s="128">
        <v>100949.38</v>
      </c>
      <c r="F76" s="126"/>
      <c r="G76" s="125">
        <f t="shared" si="6"/>
        <v>100949.38</v>
      </c>
      <c r="H76" s="125"/>
      <c r="I76" s="282" t="s">
        <v>777</v>
      </c>
      <c r="J76" s="1581">
        <v>43920</v>
      </c>
      <c r="K76" s="240"/>
      <c r="L76" s="344" t="str">
        <f t="shared" si="10"/>
        <v/>
      </c>
      <c r="P76" s="14" t="str">
        <f t="shared" si="7"/>
        <v>FP-317528</v>
      </c>
      <c r="Q76" s="240">
        <v>100949.38</v>
      </c>
      <c r="R76" s="240">
        <f t="shared" si="9"/>
        <v>100949.38</v>
      </c>
      <c r="V76" s="240">
        <v>0</v>
      </c>
      <c r="W76" s="240">
        <f t="shared" si="11"/>
        <v>0</v>
      </c>
      <c r="X76" s="240"/>
    </row>
    <row r="77" spans="1:27">
      <c r="A77" s="15">
        <v>71</v>
      </c>
      <c r="B77" s="126" t="s">
        <v>753</v>
      </c>
      <c r="C77" s="14" t="s">
        <v>1976</v>
      </c>
      <c r="D77" s="124">
        <v>378</v>
      </c>
      <c r="E77" s="128">
        <v>136928</v>
      </c>
      <c r="F77" s="126"/>
      <c r="G77" s="125">
        <f t="shared" si="6"/>
        <v>136928</v>
      </c>
      <c r="H77" s="125">
        <f>IF($T$12=$V$7, V77, W77)</f>
        <v>0</v>
      </c>
      <c r="I77" s="282">
        <v>12</v>
      </c>
      <c r="J77" s="1580">
        <v>44188</v>
      </c>
      <c r="K77" s="125">
        <f>G77</f>
        <v>136928</v>
      </c>
      <c r="L77" s="344" t="str">
        <f t="shared" si="10"/>
        <v>N/A</v>
      </c>
      <c r="P77" s="1617" t="str">
        <f t="shared" si="7"/>
        <v>FP-317535</v>
      </c>
      <c r="Q77" s="240">
        <v>136928</v>
      </c>
      <c r="R77" s="240">
        <f t="shared" si="9"/>
        <v>136928</v>
      </c>
      <c r="V77" s="240">
        <v>136928</v>
      </c>
      <c r="W77" s="240">
        <f t="shared" si="11"/>
        <v>0</v>
      </c>
      <c r="X77" s="240"/>
    </row>
    <row r="78" spans="1:27">
      <c r="A78" s="15">
        <v>72</v>
      </c>
      <c r="B78" s="126" t="s">
        <v>753</v>
      </c>
      <c r="C78" s="14" t="s">
        <v>1977</v>
      </c>
      <c r="D78" s="124">
        <v>378</v>
      </c>
      <c r="E78" s="128">
        <v>324.69</v>
      </c>
      <c r="F78" s="126"/>
      <c r="G78" s="125">
        <f t="shared" si="6"/>
        <v>324.69</v>
      </c>
      <c r="H78" s="125"/>
      <c r="I78" s="282"/>
      <c r="J78" s="1581">
        <v>44012</v>
      </c>
      <c r="K78" s="240"/>
      <c r="L78" s="344" t="str">
        <f t="shared" si="10"/>
        <v/>
      </c>
      <c r="P78" s="14" t="str">
        <f t="shared" si="7"/>
        <v>FP-317609</v>
      </c>
      <c r="Q78" s="240">
        <v>324.69</v>
      </c>
      <c r="R78" s="240">
        <f t="shared" si="9"/>
        <v>324.69</v>
      </c>
      <c r="V78" s="240">
        <v>0</v>
      </c>
      <c r="W78" s="240">
        <f t="shared" si="11"/>
        <v>0</v>
      </c>
      <c r="X78" s="240"/>
    </row>
    <row r="79" spans="1:27">
      <c r="A79" s="15">
        <v>73</v>
      </c>
      <c r="B79" s="126" t="s">
        <v>753</v>
      </c>
      <c r="C79" s="14" t="s">
        <v>2346</v>
      </c>
      <c r="D79" s="124">
        <v>376.3</v>
      </c>
      <c r="E79" s="128">
        <v>639913.04</v>
      </c>
      <c r="F79" s="126"/>
      <c r="G79" s="125">
        <f t="shared" si="6"/>
        <v>0</v>
      </c>
      <c r="H79" s="125">
        <f>IF($T$8=$Q$7, Q79, R79)</f>
        <v>0</v>
      </c>
      <c r="I79" s="282">
        <v>27</v>
      </c>
      <c r="J79" s="1620">
        <v>44196</v>
      </c>
      <c r="K79" s="240" t="s">
        <v>3264</v>
      </c>
      <c r="L79" s="344" t="str">
        <f t="shared" si="10"/>
        <v/>
      </c>
      <c r="P79" s="1619" t="str">
        <f t="shared" si="7"/>
        <v>FP-317628</v>
      </c>
      <c r="Q79" s="240">
        <v>639913.04</v>
      </c>
      <c r="R79" s="240">
        <f t="shared" si="9"/>
        <v>0</v>
      </c>
      <c r="S79" s="240" t="str">
        <f t="shared" ref="S79:S114" si="12">K79</f>
        <v>Main</v>
      </c>
      <c r="V79" s="240">
        <v>639913.04</v>
      </c>
      <c r="W79" s="240">
        <f t="shared" si="11"/>
        <v>639913.04</v>
      </c>
      <c r="X79" s="240"/>
    </row>
    <row r="80" spans="1:27">
      <c r="A80" s="15">
        <v>74</v>
      </c>
      <c r="B80" s="126" t="s">
        <v>753</v>
      </c>
      <c r="C80" s="14" t="s">
        <v>2347</v>
      </c>
      <c r="D80" s="124">
        <v>376</v>
      </c>
      <c r="E80" s="128">
        <v>122698.76</v>
      </c>
      <c r="F80" s="126"/>
      <c r="G80" s="125">
        <f t="shared" si="6"/>
        <v>122698.76</v>
      </c>
      <c r="H80" s="125"/>
      <c r="I80" s="282"/>
      <c r="J80" s="1581">
        <v>44196</v>
      </c>
      <c r="K80" s="240"/>
      <c r="L80" s="344" t="str">
        <f t="shared" si="10"/>
        <v/>
      </c>
      <c r="P80" s="14" t="str">
        <f t="shared" si="7"/>
        <v>FP-317629</v>
      </c>
      <c r="Q80" s="240">
        <v>122698.76</v>
      </c>
      <c r="R80" s="240">
        <f t="shared" si="9"/>
        <v>122698.76</v>
      </c>
      <c r="S80" s="240"/>
      <c r="V80" s="240">
        <v>0</v>
      </c>
      <c r="W80" s="240">
        <f t="shared" si="11"/>
        <v>0</v>
      </c>
      <c r="X80" s="240"/>
    </row>
    <row r="81" spans="1:24">
      <c r="A81" s="15">
        <v>75</v>
      </c>
      <c r="B81" s="126" t="s">
        <v>753</v>
      </c>
      <c r="C81" s="14" t="s">
        <v>2348</v>
      </c>
      <c r="D81" s="124">
        <v>380.3</v>
      </c>
      <c r="E81" s="128">
        <v>951862.52</v>
      </c>
      <c r="F81" s="126"/>
      <c r="G81" s="125">
        <f t="shared" si="6"/>
        <v>0</v>
      </c>
      <c r="H81" s="125">
        <f>IF($T$8=$Q$7, Q81, R81)</f>
        <v>0</v>
      </c>
      <c r="I81" s="282">
        <v>27</v>
      </c>
      <c r="J81" s="1620">
        <v>44196</v>
      </c>
      <c r="K81" s="240" t="s">
        <v>3265</v>
      </c>
      <c r="L81" s="344" t="str">
        <f t="shared" si="10"/>
        <v/>
      </c>
      <c r="P81" s="1619" t="str">
        <f t="shared" si="7"/>
        <v>FP-317630</v>
      </c>
      <c r="Q81" s="240">
        <v>951862.52</v>
      </c>
      <c r="R81" s="240">
        <f t="shared" si="9"/>
        <v>0</v>
      </c>
      <c r="S81" s="240" t="str">
        <f t="shared" si="12"/>
        <v>Serv</v>
      </c>
      <c r="V81" s="240">
        <v>951862.52</v>
      </c>
      <c r="W81" s="240">
        <f t="shared" si="11"/>
        <v>951862.52</v>
      </c>
      <c r="X81" s="240"/>
    </row>
    <row r="82" spans="1:24">
      <c r="A82" s="15">
        <v>76</v>
      </c>
      <c r="B82" s="126" t="s">
        <v>753</v>
      </c>
      <c r="C82" s="14" t="s">
        <v>2349</v>
      </c>
      <c r="D82" s="124">
        <v>380</v>
      </c>
      <c r="E82" s="128">
        <v>72198.240000000005</v>
      </c>
      <c r="F82" s="126"/>
      <c r="G82" s="125">
        <f t="shared" si="6"/>
        <v>72198.240000000005</v>
      </c>
      <c r="H82" s="125"/>
      <c r="I82" s="282"/>
      <c r="J82" s="1581">
        <v>44196</v>
      </c>
      <c r="K82" s="240"/>
      <c r="L82" s="344" t="str">
        <f t="shared" si="10"/>
        <v/>
      </c>
      <c r="P82" s="14" t="str">
        <f t="shared" si="7"/>
        <v>FP-317631</v>
      </c>
      <c r="Q82" s="240">
        <v>72198.240000000005</v>
      </c>
      <c r="R82" s="240">
        <f t="shared" si="9"/>
        <v>72198.240000000005</v>
      </c>
      <c r="S82" s="240"/>
      <c r="V82" s="240">
        <v>0</v>
      </c>
      <c r="W82" s="240">
        <f t="shared" si="11"/>
        <v>0</v>
      </c>
      <c r="X82" s="240"/>
    </row>
    <row r="83" spans="1:24">
      <c r="A83" s="15">
        <v>77</v>
      </c>
      <c r="B83" s="126" t="s">
        <v>753</v>
      </c>
      <c r="C83" s="14" t="s">
        <v>2350</v>
      </c>
      <c r="D83" s="124">
        <v>376.3</v>
      </c>
      <c r="E83" s="128">
        <v>79311</v>
      </c>
      <c r="F83" s="126"/>
      <c r="G83" s="125">
        <f t="shared" si="6"/>
        <v>0</v>
      </c>
      <c r="H83" s="125">
        <f>IF($T$8=$Q$7, Q83, R83)</f>
        <v>0</v>
      </c>
      <c r="I83" s="282">
        <v>27</v>
      </c>
      <c r="J83" s="1620">
        <v>44196</v>
      </c>
      <c r="K83" s="240" t="s">
        <v>3264</v>
      </c>
      <c r="L83" s="344" t="str">
        <f t="shared" si="10"/>
        <v/>
      </c>
      <c r="P83" s="1619" t="str">
        <f t="shared" si="7"/>
        <v>FP-317632</v>
      </c>
      <c r="Q83" s="240">
        <v>79311</v>
      </c>
      <c r="R83" s="240">
        <f t="shared" si="9"/>
        <v>0</v>
      </c>
      <c r="S83" s="240" t="str">
        <f t="shared" si="12"/>
        <v>Main</v>
      </c>
      <c r="V83" s="240">
        <v>79311</v>
      </c>
      <c r="W83" s="240">
        <f t="shared" si="11"/>
        <v>79311</v>
      </c>
      <c r="X83" s="240"/>
    </row>
    <row r="84" spans="1:24">
      <c r="A84" s="15">
        <v>78</v>
      </c>
      <c r="B84" s="126" t="s">
        <v>753</v>
      </c>
      <c r="C84" s="14" t="s">
        <v>2351</v>
      </c>
      <c r="D84" s="124">
        <v>376</v>
      </c>
      <c r="E84" s="128">
        <v>35499.24</v>
      </c>
      <c r="F84" s="126"/>
      <c r="G84" s="125">
        <f t="shared" si="6"/>
        <v>35499.24</v>
      </c>
      <c r="H84" s="125"/>
      <c r="I84" s="282"/>
      <c r="J84" s="1581">
        <v>44196</v>
      </c>
      <c r="K84" s="240"/>
      <c r="L84" s="344" t="str">
        <f t="shared" si="10"/>
        <v/>
      </c>
      <c r="P84" s="14" t="str">
        <f t="shared" si="7"/>
        <v>FP-317633</v>
      </c>
      <c r="Q84" s="240">
        <v>35499.24</v>
      </c>
      <c r="R84" s="240">
        <f t="shared" si="9"/>
        <v>35499.24</v>
      </c>
      <c r="S84" s="240"/>
      <c r="V84" s="240">
        <v>0</v>
      </c>
      <c r="W84" s="240">
        <f t="shared" si="11"/>
        <v>0</v>
      </c>
      <c r="X84" s="240"/>
    </row>
    <row r="85" spans="1:24">
      <c r="A85" s="15">
        <v>79</v>
      </c>
      <c r="B85" s="126" t="s">
        <v>753</v>
      </c>
      <c r="C85" s="14" t="s">
        <v>2352</v>
      </c>
      <c r="D85" s="124">
        <v>380.3</v>
      </c>
      <c r="E85" s="128">
        <v>133027.99</v>
      </c>
      <c r="F85" s="126"/>
      <c r="G85" s="125">
        <f t="shared" si="6"/>
        <v>0</v>
      </c>
      <c r="H85" s="125">
        <f>IF($T$8=$Q$7, Q85, R85)</f>
        <v>0</v>
      </c>
      <c r="I85" s="282">
        <v>27</v>
      </c>
      <c r="J85" s="1620">
        <v>44196</v>
      </c>
      <c r="K85" s="240" t="s">
        <v>3265</v>
      </c>
      <c r="L85" s="344" t="str">
        <f t="shared" si="10"/>
        <v/>
      </c>
      <c r="P85" s="1619" t="str">
        <f t="shared" si="7"/>
        <v>FP-317634</v>
      </c>
      <c r="Q85" s="240">
        <v>133027.99</v>
      </c>
      <c r="R85" s="240">
        <f t="shared" si="9"/>
        <v>0</v>
      </c>
      <c r="S85" s="240" t="str">
        <f t="shared" si="12"/>
        <v>Serv</v>
      </c>
      <c r="V85" s="240">
        <v>133027.99</v>
      </c>
      <c r="W85" s="240">
        <f t="shared" si="11"/>
        <v>133027.99</v>
      </c>
      <c r="X85" s="240"/>
    </row>
    <row r="86" spans="1:24">
      <c r="A86" s="15">
        <v>80</v>
      </c>
      <c r="B86" s="126" t="s">
        <v>753</v>
      </c>
      <c r="C86" s="14" t="s">
        <v>2353</v>
      </c>
      <c r="D86" s="124">
        <v>380</v>
      </c>
      <c r="E86" s="128">
        <v>75135.570000000007</v>
      </c>
      <c r="F86" s="126"/>
      <c r="G86" s="125">
        <f t="shared" si="6"/>
        <v>75135.570000000007</v>
      </c>
      <c r="H86" s="125"/>
      <c r="I86" s="282"/>
      <c r="J86" s="1581">
        <v>44196</v>
      </c>
      <c r="K86" s="240"/>
      <c r="L86" s="344" t="str">
        <f t="shared" si="10"/>
        <v/>
      </c>
      <c r="P86" s="14" t="str">
        <f t="shared" si="7"/>
        <v>FP-317635</v>
      </c>
      <c r="Q86" s="240">
        <v>75135.570000000007</v>
      </c>
      <c r="R86" s="240">
        <f t="shared" si="9"/>
        <v>75135.570000000007</v>
      </c>
      <c r="S86" s="240"/>
      <c r="V86" s="240">
        <v>0</v>
      </c>
      <c r="W86" s="240">
        <f t="shared" si="11"/>
        <v>0</v>
      </c>
      <c r="X86" s="240"/>
    </row>
    <row r="87" spans="1:24">
      <c r="A87" s="15">
        <v>81</v>
      </c>
      <c r="B87" s="126" t="s">
        <v>753</v>
      </c>
      <c r="C87" s="14" t="s">
        <v>2354</v>
      </c>
      <c r="D87" s="124">
        <v>376.3</v>
      </c>
      <c r="E87" s="128">
        <v>800173.4</v>
      </c>
      <c r="F87" s="126"/>
      <c r="G87" s="125">
        <f t="shared" si="6"/>
        <v>0</v>
      </c>
      <c r="H87" s="125">
        <f>IF($T$8=$Q$7, Q87, R87)</f>
        <v>0</v>
      </c>
      <c r="I87" s="282">
        <v>27</v>
      </c>
      <c r="J87" s="1620">
        <v>44196</v>
      </c>
      <c r="K87" s="240" t="s">
        <v>3264</v>
      </c>
      <c r="L87" s="344" t="str">
        <f t="shared" si="10"/>
        <v/>
      </c>
      <c r="P87" s="1619" t="str">
        <f t="shared" si="7"/>
        <v>FP-317636</v>
      </c>
      <c r="Q87" s="240">
        <v>800173.4</v>
      </c>
      <c r="R87" s="240">
        <f t="shared" si="9"/>
        <v>0</v>
      </c>
      <c r="S87" s="240" t="str">
        <f t="shared" si="12"/>
        <v>Main</v>
      </c>
      <c r="V87" s="240">
        <v>800173.4</v>
      </c>
      <c r="W87" s="240">
        <f t="shared" si="11"/>
        <v>800173.4</v>
      </c>
      <c r="X87" s="240"/>
    </row>
    <row r="88" spans="1:24">
      <c r="A88" s="15">
        <v>82</v>
      </c>
      <c r="B88" s="126" t="s">
        <v>753</v>
      </c>
      <c r="C88" s="14" t="s">
        <v>2355</v>
      </c>
      <c r="D88" s="124">
        <v>376</v>
      </c>
      <c r="E88" s="128">
        <v>270033.86</v>
      </c>
      <c r="F88" s="126"/>
      <c r="G88" s="125">
        <f t="shared" si="6"/>
        <v>270033.86</v>
      </c>
      <c r="H88" s="125"/>
      <c r="I88" s="282"/>
      <c r="J88" s="1581">
        <v>44196</v>
      </c>
      <c r="K88" s="240"/>
      <c r="L88" s="344" t="str">
        <f t="shared" si="10"/>
        <v/>
      </c>
      <c r="M88" s="1619" t="s">
        <v>3139</v>
      </c>
      <c r="N88" s="125">
        <f>SUMIFS($Q$32:$Q$114,$S$32:$S$114, O88, $P$32:$P$114, M88)</f>
        <v>611717</v>
      </c>
      <c r="O88" s="14" t="str">
        <f>VLOOKUP(M88, $P$32:$S$145, 4, FALSE)</f>
        <v>Reg</v>
      </c>
      <c r="P88" s="14" t="str">
        <f t="shared" si="7"/>
        <v>FP-317637</v>
      </c>
      <c r="Q88" s="240">
        <v>270033.86</v>
      </c>
      <c r="R88" s="240">
        <f t="shared" si="9"/>
        <v>270033.86</v>
      </c>
      <c r="S88" s="240"/>
      <c r="V88" s="240">
        <v>0</v>
      </c>
      <c r="W88" s="240">
        <f t="shared" si="11"/>
        <v>0</v>
      </c>
      <c r="X88" s="240"/>
    </row>
    <row r="89" spans="1:24">
      <c r="A89" s="15">
        <v>83</v>
      </c>
      <c r="B89" s="126" t="s">
        <v>753</v>
      </c>
      <c r="C89" s="14" t="s">
        <v>2356</v>
      </c>
      <c r="D89" s="124">
        <v>380.3</v>
      </c>
      <c r="E89" s="128">
        <v>1330260</v>
      </c>
      <c r="F89" s="126"/>
      <c r="G89" s="125">
        <f t="shared" si="6"/>
        <v>0</v>
      </c>
      <c r="H89" s="125">
        <f>IF($T$8=$Q$7, Q89, R89)</f>
        <v>0</v>
      </c>
      <c r="I89" s="282">
        <v>27</v>
      </c>
      <c r="J89" s="1620">
        <v>44196</v>
      </c>
      <c r="K89" s="240" t="s">
        <v>3265</v>
      </c>
      <c r="L89" s="344" t="str">
        <f t="shared" si="10"/>
        <v/>
      </c>
      <c r="M89" s="1619" t="s">
        <v>3140</v>
      </c>
      <c r="N89" s="125">
        <f t="shared" ref="N89:N107" si="13">SUMIFS($Q$32:$Q$114,$S$32:$S$114, O89, $P$32:$P$114, M89)</f>
        <v>2946051.574976</v>
      </c>
      <c r="O89" s="14" t="str">
        <f t="shared" ref="O89:O107" si="14">VLOOKUP(M89, $P$32:$S$145, 4, FALSE)</f>
        <v>Meters</v>
      </c>
      <c r="P89" s="1619" t="str">
        <f t="shared" si="7"/>
        <v>FP-317638</v>
      </c>
      <c r="Q89" s="240">
        <v>1330260</v>
      </c>
      <c r="R89" s="240">
        <f t="shared" si="9"/>
        <v>0</v>
      </c>
      <c r="S89" s="240" t="str">
        <f t="shared" si="12"/>
        <v>Serv</v>
      </c>
      <c r="V89" s="240">
        <v>1330260</v>
      </c>
      <c r="W89" s="240">
        <f t="shared" si="11"/>
        <v>1330260</v>
      </c>
      <c r="X89" s="240"/>
    </row>
    <row r="90" spans="1:24">
      <c r="A90" s="15">
        <v>84</v>
      </c>
      <c r="B90" s="126" t="s">
        <v>753</v>
      </c>
      <c r="C90" s="14" t="s">
        <v>2357</v>
      </c>
      <c r="D90" s="124">
        <v>380</v>
      </c>
      <c r="E90" s="128">
        <v>65462.16</v>
      </c>
      <c r="F90" s="126"/>
      <c r="G90" s="125">
        <f t="shared" si="6"/>
        <v>65462.16</v>
      </c>
      <c r="H90" s="125"/>
      <c r="I90" s="282"/>
      <c r="J90" s="1581">
        <v>44196</v>
      </c>
      <c r="K90" s="240"/>
      <c r="L90" s="344" t="str">
        <f t="shared" si="10"/>
        <v/>
      </c>
      <c r="M90" s="1619" t="s">
        <v>3163</v>
      </c>
      <c r="N90" s="125">
        <f t="shared" si="13"/>
        <v>639913.04</v>
      </c>
      <c r="O90" s="14" t="str">
        <f t="shared" si="14"/>
        <v>Main</v>
      </c>
      <c r="P90" s="14" t="str">
        <f t="shared" si="7"/>
        <v>FP-317639</v>
      </c>
      <c r="Q90" s="240">
        <v>65462.16</v>
      </c>
      <c r="R90" s="240">
        <f t="shared" si="9"/>
        <v>65462.16</v>
      </c>
      <c r="S90" s="240"/>
      <c r="V90" s="240">
        <v>0</v>
      </c>
      <c r="W90" s="240">
        <f t="shared" si="11"/>
        <v>0</v>
      </c>
      <c r="X90" s="240"/>
    </row>
    <row r="91" spans="1:24">
      <c r="A91" s="15">
        <v>85</v>
      </c>
      <c r="B91" s="126" t="s">
        <v>753</v>
      </c>
      <c r="C91" s="14" t="s">
        <v>2358</v>
      </c>
      <c r="D91" s="124">
        <v>376.3</v>
      </c>
      <c r="E91" s="128">
        <v>484622.4</v>
      </c>
      <c r="F91" s="126"/>
      <c r="G91" s="125">
        <f t="shared" si="6"/>
        <v>0</v>
      </c>
      <c r="H91" s="125">
        <f>IF($T$8=$Q$7, Q91, R91)</f>
        <v>0</v>
      </c>
      <c r="I91" s="282">
        <v>27</v>
      </c>
      <c r="J91" s="1620">
        <v>44196</v>
      </c>
      <c r="K91" s="240" t="s">
        <v>3264</v>
      </c>
      <c r="L91" s="344" t="str">
        <f t="shared" si="10"/>
        <v/>
      </c>
      <c r="M91" s="1619" t="s">
        <v>3141</v>
      </c>
      <c r="N91" s="125">
        <f t="shared" si="13"/>
        <v>951862.52</v>
      </c>
      <c r="O91" s="14" t="str">
        <f t="shared" si="14"/>
        <v>Serv</v>
      </c>
      <c r="P91" s="1619" t="str">
        <f t="shared" si="7"/>
        <v>FP-317640</v>
      </c>
      <c r="Q91" s="240">
        <v>484622.4</v>
      </c>
      <c r="R91" s="240">
        <f t="shared" si="9"/>
        <v>0</v>
      </c>
      <c r="S91" s="240" t="str">
        <f t="shared" si="12"/>
        <v>Main</v>
      </c>
      <c r="V91" s="240">
        <v>484622.4</v>
      </c>
      <c r="W91" s="240">
        <f t="shared" si="11"/>
        <v>484622.4</v>
      </c>
      <c r="X91" s="240"/>
    </row>
    <row r="92" spans="1:24">
      <c r="A92" s="15">
        <v>86</v>
      </c>
      <c r="B92" s="126" t="s">
        <v>753</v>
      </c>
      <c r="C92" s="14" t="s">
        <v>2359</v>
      </c>
      <c r="D92" s="124">
        <v>376</v>
      </c>
      <c r="E92" s="128">
        <v>149164.20000000001</v>
      </c>
      <c r="F92" s="126"/>
      <c r="G92" s="125">
        <f t="shared" si="6"/>
        <v>149164.20000000001</v>
      </c>
      <c r="H92" s="125"/>
      <c r="I92" s="282"/>
      <c r="J92" s="1581">
        <v>44196</v>
      </c>
      <c r="K92" s="240"/>
      <c r="L92" s="344" t="str">
        <f t="shared" si="10"/>
        <v/>
      </c>
      <c r="M92" s="1619" t="s">
        <v>3142</v>
      </c>
      <c r="N92" s="125">
        <f t="shared" si="13"/>
        <v>79311</v>
      </c>
      <c r="O92" s="14" t="str">
        <f t="shared" si="14"/>
        <v>Main</v>
      </c>
      <c r="P92" s="14" t="str">
        <f t="shared" si="7"/>
        <v>FP-317641</v>
      </c>
      <c r="Q92" s="240">
        <v>149164.20000000001</v>
      </c>
      <c r="R92" s="240">
        <f t="shared" si="9"/>
        <v>149164.20000000001</v>
      </c>
      <c r="S92" s="240"/>
      <c r="V92" s="240">
        <v>0</v>
      </c>
      <c r="W92" s="240">
        <f t="shared" si="11"/>
        <v>0</v>
      </c>
      <c r="X92" s="240"/>
    </row>
    <row r="93" spans="1:24">
      <c r="A93" s="15">
        <v>87</v>
      </c>
      <c r="B93" s="126" t="s">
        <v>753</v>
      </c>
      <c r="C93" s="14" t="s">
        <v>2360</v>
      </c>
      <c r="D93" s="124">
        <v>380.3</v>
      </c>
      <c r="E93" s="128">
        <v>447800.6</v>
      </c>
      <c r="F93" s="126"/>
      <c r="G93" s="125">
        <f t="shared" si="6"/>
        <v>0</v>
      </c>
      <c r="H93" s="125">
        <f>IF($T$8=$Q$7, Q93, R93)</f>
        <v>0</v>
      </c>
      <c r="I93" s="282">
        <v>27</v>
      </c>
      <c r="J93" s="1620">
        <v>44196</v>
      </c>
      <c r="K93" s="240" t="s">
        <v>3265</v>
      </c>
      <c r="L93" s="344" t="str">
        <f t="shared" si="10"/>
        <v/>
      </c>
      <c r="M93" s="1619" t="s">
        <v>3143</v>
      </c>
      <c r="N93" s="125">
        <f t="shared" si="13"/>
        <v>133027.99</v>
      </c>
      <c r="O93" s="14" t="str">
        <f t="shared" si="14"/>
        <v>Serv</v>
      </c>
      <c r="P93" s="1619" t="str">
        <f t="shared" si="7"/>
        <v>FP-317642</v>
      </c>
      <c r="Q93" s="240">
        <v>447800.6</v>
      </c>
      <c r="R93" s="240">
        <f t="shared" si="9"/>
        <v>0</v>
      </c>
      <c r="S93" s="240" t="str">
        <f t="shared" si="12"/>
        <v>Serv</v>
      </c>
      <c r="V93" s="240">
        <v>447800.6</v>
      </c>
      <c r="W93" s="240">
        <f t="shared" si="11"/>
        <v>447800.6</v>
      </c>
      <c r="X93" s="240"/>
    </row>
    <row r="94" spans="1:24">
      <c r="A94" s="15">
        <v>88</v>
      </c>
      <c r="B94" s="126" t="s">
        <v>753</v>
      </c>
      <c r="C94" s="14" t="s">
        <v>2361</v>
      </c>
      <c r="D94" s="124">
        <v>380</v>
      </c>
      <c r="E94" s="128">
        <v>74578.679999999993</v>
      </c>
      <c r="F94" s="126"/>
      <c r="G94" s="125">
        <f t="shared" si="6"/>
        <v>74578.679999999993</v>
      </c>
      <c r="H94" s="125"/>
      <c r="I94" s="282"/>
      <c r="J94" s="1581">
        <v>44196</v>
      </c>
      <c r="K94" s="240"/>
      <c r="L94" s="344" t="str">
        <f t="shared" si="10"/>
        <v/>
      </c>
      <c r="M94" s="1619" t="s">
        <v>3144</v>
      </c>
      <c r="N94" s="125">
        <f t="shared" si="13"/>
        <v>800173.4</v>
      </c>
      <c r="O94" s="14" t="str">
        <f t="shared" si="14"/>
        <v>Main</v>
      </c>
      <c r="P94" s="14" t="str">
        <f t="shared" si="7"/>
        <v>FP-317643</v>
      </c>
      <c r="Q94" s="240">
        <v>74578.679999999993</v>
      </c>
      <c r="R94" s="240">
        <f t="shared" si="9"/>
        <v>74578.679999999993</v>
      </c>
      <c r="S94" s="240"/>
      <c r="V94" s="240">
        <v>0</v>
      </c>
      <c r="W94" s="240">
        <f t="shared" si="11"/>
        <v>0</v>
      </c>
      <c r="X94" s="240"/>
    </row>
    <row r="95" spans="1:24">
      <c r="A95" s="15">
        <v>89</v>
      </c>
      <c r="B95" s="126" t="s">
        <v>753</v>
      </c>
      <c r="C95" s="14" t="s">
        <v>2401</v>
      </c>
      <c r="D95" s="124">
        <v>376.3</v>
      </c>
      <c r="E95" s="128">
        <v>1294473.18</v>
      </c>
      <c r="F95" s="126"/>
      <c r="G95" s="125">
        <f t="shared" si="6"/>
        <v>0</v>
      </c>
      <c r="H95" s="125">
        <f>IF($T$8=$Q$7, Q95, R95)</f>
        <v>0</v>
      </c>
      <c r="I95" s="282">
        <v>27</v>
      </c>
      <c r="J95" s="1620">
        <v>44196</v>
      </c>
      <c r="K95" s="240" t="s">
        <v>3264</v>
      </c>
      <c r="L95" s="344" t="str">
        <f t="shared" si="10"/>
        <v/>
      </c>
      <c r="M95" s="1619" t="s">
        <v>3145</v>
      </c>
      <c r="N95" s="125">
        <f t="shared" si="13"/>
        <v>1330260</v>
      </c>
      <c r="O95" s="14" t="str">
        <f t="shared" si="14"/>
        <v>Serv</v>
      </c>
      <c r="P95" s="1619" t="str">
        <f t="shared" si="7"/>
        <v>FP-317644</v>
      </c>
      <c r="Q95" s="240">
        <v>1294473.18</v>
      </c>
      <c r="R95" s="240">
        <f t="shared" si="9"/>
        <v>0</v>
      </c>
      <c r="S95" s="240" t="str">
        <f t="shared" si="12"/>
        <v>Main</v>
      </c>
      <c r="V95" s="240">
        <v>1294473.18</v>
      </c>
      <c r="W95" s="240">
        <f t="shared" si="11"/>
        <v>1294473.18</v>
      </c>
      <c r="X95" s="240"/>
    </row>
    <row r="96" spans="1:24">
      <c r="A96" s="15">
        <v>90</v>
      </c>
      <c r="B96" s="126" t="s">
        <v>753</v>
      </c>
      <c r="C96" s="14" t="s">
        <v>2362</v>
      </c>
      <c r="D96" s="774">
        <v>376</v>
      </c>
      <c r="E96" s="128">
        <v>126071.52</v>
      </c>
      <c r="F96" s="126"/>
      <c r="G96" s="125">
        <f t="shared" ref="G96:G160" si="15">IF($T$8=$Q$7, Q96, R96)</f>
        <v>126071.52</v>
      </c>
      <c r="H96" s="125"/>
      <c r="I96" s="282"/>
      <c r="J96" s="1584">
        <v>44196</v>
      </c>
      <c r="K96" s="240"/>
      <c r="L96" s="344" t="str">
        <f t="shared" si="10"/>
        <v/>
      </c>
      <c r="M96" s="1619" t="s">
        <v>3146</v>
      </c>
      <c r="N96" s="125">
        <f t="shared" si="13"/>
        <v>484622.4</v>
      </c>
      <c r="O96" s="14" t="str">
        <f t="shared" si="14"/>
        <v>Main</v>
      </c>
      <c r="P96" s="14" t="str">
        <f t="shared" ref="P96:P145" si="16">LEFT(C96, 9)</f>
        <v>FP-317645</v>
      </c>
      <c r="Q96" s="240">
        <v>126071.52</v>
      </c>
      <c r="R96" s="240">
        <f t="shared" ref="R96:R127" si="17">IFERROR(VLOOKUP(P96,$M$8:$N$27,2,FALSE), Q96)</f>
        <v>126071.52</v>
      </c>
      <c r="S96" s="240"/>
      <c r="V96" s="240">
        <v>0</v>
      </c>
      <c r="W96" s="240">
        <f t="shared" si="11"/>
        <v>0</v>
      </c>
      <c r="X96" s="240"/>
    </row>
    <row r="97" spans="1:24">
      <c r="A97" s="15">
        <v>91</v>
      </c>
      <c r="B97" s="126" t="s">
        <v>753</v>
      </c>
      <c r="C97" s="14" t="s">
        <v>2363</v>
      </c>
      <c r="D97" s="774">
        <v>380.3</v>
      </c>
      <c r="E97" s="128">
        <v>1568619.36</v>
      </c>
      <c r="F97" s="126"/>
      <c r="G97" s="125">
        <f t="shared" si="15"/>
        <v>0</v>
      </c>
      <c r="H97" s="125">
        <f>IF($T$8=$Q$7, Q97, R97)</f>
        <v>0</v>
      </c>
      <c r="I97" s="282">
        <v>27</v>
      </c>
      <c r="J97" s="1621">
        <v>44196</v>
      </c>
      <c r="K97" s="240" t="s">
        <v>3265</v>
      </c>
      <c r="L97" s="344" t="str">
        <f t="shared" si="10"/>
        <v/>
      </c>
      <c r="M97" s="1619" t="s">
        <v>3147</v>
      </c>
      <c r="N97" s="125">
        <f t="shared" si="13"/>
        <v>447800.6</v>
      </c>
      <c r="O97" s="14" t="str">
        <f t="shared" si="14"/>
        <v>Serv</v>
      </c>
      <c r="P97" s="1619" t="str">
        <f t="shared" si="16"/>
        <v>FP-317646</v>
      </c>
      <c r="Q97" s="240">
        <v>1568619.36</v>
      </c>
      <c r="R97" s="240">
        <f t="shared" si="17"/>
        <v>0</v>
      </c>
      <c r="S97" s="240" t="str">
        <f t="shared" si="12"/>
        <v>Serv</v>
      </c>
      <c r="V97" s="240">
        <v>1568619.36</v>
      </c>
      <c r="W97" s="240">
        <f t="shared" si="11"/>
        <v>1568619.36</v>
      </c>
      <c r="X97" s="240"/>
    </row>
    <row r="98" spans="1:24">
      <c r="A98" s="15">
        <v>92</v>
      </c>
      <c r="B98" s="126" t="s">
        <v>753</v>
      </c>
      <c r="C98" s="14" t="s">
        <v>2364</v>
      </c>
      <c r="D98" s="774">
        <v>380</v>
      </c>
      <c r="E98" s="128">
        <v>74578.679999999993</v>
      </c>
      <c r="F98" s="126"/>
      <c r="G98" s="125">
        <f t="shared" si="15"/>
        <v>74578.679999999993</v>
      </c>
      <c r="H98" s="125"/>
      <c r="I98" s="282"/>
      <c r="J98" s="1584">
        <v>44196</v>
      </c>
      <c r="K98" s="240"/>
      <c r="L98" s="344" t="str">
        <f t="shared" si="10"/>
        <v/>
      </c>
      <c r="M98" s="1619" t="s">
        <v>3148</v>
      </c>
      <c r="N98" s="125">
        <f t="shared" si="13"/>
        <v>1294473.18</v>
      </c>
      <c r="O98" s="14" t="str">
        <f t="shared" si="14"/>
        <v>Main</v>
      </c>
      <c r="P98" s="14" t="str">
        <f t="shared" si="16"/>
        <v>FP-317647</v>
      </c>
      <c r="Q98" s="240">
        <v>74578.679999999993</v>
      </c>
      <c r="R98" s="240">
        <f t="shared" si="17"/>
        <v>74578.679999999993</v>
      </c>
      <c r="S98" s="240"/>
      <c r="V98" s="240">
        <v>0</v>
      </c>
      <c r="W98" s="240">
        <f t="shared" si="11"/>
        <v>0</v>
      </c>
      <c r="X98" s="240"/>
    </row>
    <row r="99" spans="1:24">
      <c r="A99" s="15">
        <v>93</v>
      </c>
      <c r="B99" s="126" t="s">
        <v>753</v>
      </c>
      <c r="C99" s="14" t="s">
        <v>2402</v>
      </c>
      <c r="D99" s="124">
        <v>376.3</v>
      </c>
      <c r="E99" s="128">
        <v>1396510.12</v>
      </c>
      <c r="F99" s="126"/>
      <c r="G99" s="125">
        <f t="shared" si="15"/>
        <v>0</v>
      </c>
      <c r="H99" s="125">
        <f>IF($T$8=$Q$7, Q99, R99)</f>
        <v>0</v>
      </c>
      <c r="I99" s="282">
        <v>27</v>
      </c>
      <c r="J99" s="1620">
        <v>44196</v>
      </c>
      <c r="K99" s="240" t="s">
        <v>3264</v>
      </c>
      <c r="L99" s="344" t="str">
        <f t="shared" si="10"/>
        <v/>
      </c>
      <c r="M99" s="1619" t="s">
        <v>3149</v>
      </c>
      <c r="N99" s="125">
        <f t="shared" si="13"/>
        <v>1568619.36</v>
      </c>
      <c r="O99" s="14" t="str">
        <f t="shared" si="14"/>
        <v>Serv</v>
      </c>
      <c r="P99" s="1619" t="str">
        <f t="shared" si="16"/>
        <v>FP-317648</v>
      </c>
      <c r="Q99" s="240">
        <v>1396510.12</v>
      </c>
      <c r="R99" s="240">
        <f t="shared" si="17"/>
        <v>0</v>
      </c>
      <c r="S99" s="240" t="str">
        <f t="shared" si="12"/>
        <v>Main</v>
      </c>
      <c r="V99" s="240">
        <v>1396510.12</v>
      </c>
      <c r="W99" s="240">
        <f t="shared" si="11"/>
        <v>1396510.12</v>
      </c>
      <c r="X99" s="240"/>
    </row>
    <row r="100" spans="1:24">
      <c r="A100" s="15">
        <v>94</v>
      </c>
      <c r="B100" s="126" t="s">
        <v>753</v>
      </c>
      <c r="C100" s="14" t="s">
        <v>2367</v>
      </c>
      <c r="D100" s="124">
        <v>376</v>
      </c>
      <c r="E100" s="128">
        <v>54857.760000000002</v>
      </c>
      <c r="F100" s="126"/>
      <c r="G100" s="125">
        <f t="shared" si="15"/>
        <v>54857.760000000002</v>
      </c>
      <c r="H100" s="125"/>
      <c r="I100" s="282"/>
      <c r="J100" s="1581">
        <v>44196</v>
      </c>
      <c r="K100" s="240"/>
      <c r="L100" s="344" t="str">
        <f t="shared" si="10"/>
        <v/>
      </c>
      <c r="M100" s="1619" t="s">
        <v>3150</v>
      </c>
      <c r="N100" s="125">
        <f t="shared" si="13"/>
        <v>1396510.12</v>
      </c>
      <c r="O100" s="14" t="str">
        <f t="shared" si="14"/>
        <v>Main</v>
      </c>
      <c r="P100" s="14" t="str">
        <f t="shared" si="16"/>
        <v>FP-317649</v>
      </c>
      <c r="Q100" s="240">
        <v>54857.760000000002</v>
      </c>
      <c r="R100" s="240">
        <f t="shared" si="17"/>
        <v>54857.760000000002</v>
      </c>
      <c r="S100" s="240"/>
      <c r="V100" s="240">
        <v>0</v>
      </c>
      <c r="W100" s="240">
        <f t="shared" si="11"/>
        <v>0</v>
      </c>
      <c r="X100" s="240"/>
    </row>
    <row r="101" spans="1:24">
      <c r="A101" s="15">
        <v>95</v>
      </c>
      <c r="B101" s="126" t="s">
        <v>753</v>
      </c>
      <c r="C101" s="14" t="s">
        <v>2368</v>
      </c>
      <c r="D101" s="124">
        <v>380.3</v>
      </c>
      <c r="E101" s="128">
        <v>2118035.96</v>
      </c>
      <c r="F101" s="126"/>
      <c r="G101" s="125">
        <f t="shared" si="15"/>
        <v>0</v>
      </c>
      <c r="H101" s="125">
        <f>IF($T$8=$Q$7, Q101, R101)</f>
        <v>0</v>
      </c>
      <c r="I101" s="282">
        <v>27</v>
      </c>
      <c r="J101" s="1620">
        <v>44196</v>
      </c>
      <c r="K101" s="240" t="s">
        <v>3265</v>
      </c>
      <c r="L101" s="344" t="str">
        <f t="shared" si="10"/>
        <v/>
      </c>
      <c r="M101" s="1619" t="s">
        <v>3151</v>
      </c>
      <c r="N101" s="125">
        <f t="shared" si="13"/>
        <v>2118035.96</v>
      </c>
      <c r="O101" s="14" t="str">
        <f t="shared" si="14"/>
        <v>Serv</v>
      </c>
      <c r="P101" s="1619" t="str">
        <f t="shared" si="16"/>
        <v>FP-317650</v>
      </c>
      <c r="Q101" s="240">
        <v>2118035.96</v>
      </c>
      <c r="R101" s="240">
        <f t="shared" si="17"/>
        <v>0</v>
      </c>
      <c r="S101" s="240" t="str">
        <f t="shared" si="12"/>
        <v>Serv</v>
      </c>
      <c r="V101" s="240">
        <v>2118035.96</v>
      </c>
      <c r="W101" s="240">
        <f t="shared" si="11"/>
        <v>2118035.96</v>
      </c>
      <c r="X101" s="240"/>
    </row>
    <row r="102" spans="1:24">
      <c r="A102" s="15">
        <v>96</v>
      </c>
      <c r="B102" s="126" t="s">
        <v>753</v>
      </c>
      <c r="C102" s="14" t="s">
        <v>2369</v>
      </c>
      <c r="D102" s="124">
        <v>380</v>
      </c>
      <c r="E102" s="128">
        <v>74578.679999999993</v>
      </c>
      <c r="F102" s="126"/>
      <c r="G102" s="125">
        <f t="shared" si="15"/>
        <v>74578.679999999993</v>
      </c>
      <c r="H102" s="125"/>
      <c r="I102" s="282"/>
      <c r="J102" s="1581">
        <v>44196</v>
      </c>
      <c r="K102" s="240"/>
      <c r="L102" s="344" t="str">
        <f t="shared" si="10"/>
        <v/>
      </c>
      <c r="M102" s="1619" t="s">
        <v>3152</v>
      </c>
      <c r="N102" s="125">
        <f t="shared" si="13"/>
        <v>255366.68</v>
      </c>
      <c r="O102" s="14" t="str">
        <f t="shared" si="14"/>
        <v>Main</v>
      </c>
      <c r="P102" s="14" t="str">
        <f t="shared" si="16"/>
        <v>FP-317651</v>
      </c>
      <c r="Q102" s="240">
        <v>74578.679999999993</v>
      </c>
      <c r="R102" s="240">
        <f t="shared" si="17"/>
        <v>74578.679999999993</v>
      </c>
      <c r="S102" s="240"/>
      <c r="V102" s="240">
        <v>0</v>
      </c>
      <c r="W102" s="240">
        <f t="shared" si="11"/>
        <v>0</v>
      </c>
      <c r="X102" s="240"/>
    </row>
    <row r="103" spans="1:24">
      <c r="A103" s="15">
        <v>97</v>
      </c>
      <c r="B103" s="126" t="s">
        <v>753</v>
      </c>
      <c r="C103" s="14" t="s">
        <v>2370</v>
      </c>
      <c r="D103" s="124">
        <v>376.3</v>
      </c>
      <c r="E103" s="128">
        <v>255366.68</v>
      </c>
      <c r="F103" s="126"/>
      <c r="G103" s="125">
        <f t="shared" si="15"/>
        <v>0</v>
      </c>
      <c r="H103" s="125">
        <f>IF($T$8=$Q$7, Q103, R103)</f>
        <v>0</v>
      </c>
      <c r="I103" s="282">
        <v>27</v>
      </c>
      <c r="J103" s="1620">
        <v>44196</v>
      </c>
      <c r="K103" s="240" t="s">
        <v>3264</v>
      </c>
      <c r="L103" s="344" t="str">
        <f t="shared" si="10"/>
        <v/>
      </c>
      <c r="M103" s="1619" t="s">
        <v>3153</v>
      </c>
      <c r="N103" s="125">
        <f t="shared" si="13"/>
        <v>884722.06</v>
      </c>
      <c r="O103" s="14" t="str">
        <f t="shared" si="14"/>
        <v>Serv</v>
      </c>
      <c r="P103" s="1619" t="str">
        <f t="shared" si="16"/>
        <v>FP-317652</v>
      </c>
      <c r="Q103" s="240">
        <v>255366.68</v>
      </c>
      <c r="R103" s="240">
        <f t="shared" si="17"/>
        <v>0</v>
      </c>
      <c r="S103" s="240" t="str">
        <f t="shared" si="12"/>
        <v>Main</v>
      </c>
      <c r="V103" s="240">
        <v>255366.68</v>
      </c>
      <c r="W103" s="240">
        <f t="shared" si="11"/>
        <v>255366.68</v>
      </c>
      <c r="X103" s="240"/>
    </row>
    <row r="104" spans="1:24">
      <c r="A104" s="15">
        <v>98</v>
      </c>
      <c r="B104" s="126" t="s">
        <v>753</v>
      </c>
      <c r="C104" s="14" t="s">
        <v>2371</v>
      </c>
      <c r="D104" s="124">
        <v>376</v>
      </c>
      <c r="E104" s="128">
        <v>100812.24</v>
      </c>
      <c r="F104" s="126"/>
      <c r="G104" s="125">
        <f t="shared" si="15"/>
        <v>100812.24</v>
      </c>
      <c r="H104" s="125"/>
      <c r="I104" s="282"/>
      <c r="J104" s="1581">
        <v>44196</v>
      </c>
      <c r="K104" s="240"/>
      <c r="L104" s="344" t="str">
        <f t="shared" si="10"/>
        <v/>
      </c>
      <c r="M104" s="1619" t="s">
        <v>3154</v>
      </c>
      <c r="N104" s="125">
        <f t="shared" si="13"/>
        <v>613354.97</v>
      </c>
      <c r="O104" s="14" t="str">
        <f t="shared" si="14"/>
        <v>Main</v>
      </c>
      <c r="P104" s="14" t="str">
        <f t="shared" si="16"/>
        <v>FP-317653</v>
      </c>
      <c r="Q104" s="240">
        <v>100812.24</v>
      </c>
      <c r="R104" s="240">
        <f t="shared" si="17"/>
        <v>100812.24</v>
      </c>
      <c r="S104" s="240"/>
      <c r="V104" s="240">
        <v>0</v>
      </c>
      <c r="W104" s="240">
        <f t="shared" si="11"/>
        <v>0</v>
      </c>
      <c r="X104" s="240"/>
    </row>
    <row r="105" spans="1:24">
      <c r="A105" s="15">
        <v>99</v>
      </c>
      <c r="B105" s="126" t="s">
        <v>753</v>
      </c>
      <c r="C105" s="14" t="s">
        <v>2372</v>
      </c>
      <c r="D105" s="124">
        <v>380.3</v>
      </c>
      <c r="E105" s="128">
        <v>884722.06</v>
      </c>
      <c r="F105" s="126"/>
      <c r="G105" s="125">
        <f t="shared" si="15"/>
        <v>0</v>
      </c>
      <c r="H105" s="125">
        <f>IF($T$8=$Q$7, Q105, R105)</f>
        <v>0</v>
      </c>
      <c r="I105" s="282">
        <v>27</v>
      </c>
      <c r="J105" s="1620">
        <v>44196</v>
      </c>
      <c r="K105" s="240" t="s">
        <v>3265</v>
      </c>
      <c r="L105" s="344" t="str">
        <f t="shared" si="10"/>
        <v/>
      </c>
      <c r="M105" s="1619" t="s">
        <v>3164</v>
      </c>
      <c r="N105" s="125">
        <f t="shared" si="13"/>
        <v>1801553.41</v>
      </c>
      <c r="O105" s="14" t="str">
        <f t="shared" si="14"/>
        <v>Serv</v>
      </c>
      <c r="P105" s="1619" t="str">
        <f t="shared" si="16"/>
        <v>FP-317654</v>
      </c>
      <c r="Q105" s="240">
        <v>884722.06</v>
      </c>
      <c r="R105" s="240">
        <f t="shared" si="17"/>
        <v>0</v>
      </c>
      <c r="S105" s="240" t="str">
        <f t="shared" si="12"/>
        <v>Serv</v>
      </c>
      <c r="V105" s="240">
        <v>884722.06</v>
      </c>
      <c r="W105" s="240">
        <f t="shared" si="11"/>
        <v>884722.06</v>
      </c>
      <c r="X105" s="240"/>
    </row>
    <row r="106" spans="1:24">
      <c r="A106" s="15">
        <v>100</v>
      </c>
      <c r="B106" s="126" t="s">
        <v>753</v>
      </c>
      <c r="C106" s="14" t="s">
        <v>2373</v>
      </c>
      <c r="D106" s="124">
        <v>380</v>
      </c>
      <c r="E106" s="128">
        <v>74578.679999999993</v>
      </c>
      <c r="F106" s="126"/>
      <c r="G106" s="125">
        <f t="shared" si="15"/>
        <v>74578.679999999993</v>
      </c>
      <c r="H106" s="125"/>
      <c r="I106" s="282"/>
      <c r="J106" s="1581">
        <v>44196</v>
      </c>
      <c r="K106" s="240"/>
      <c r="L106" s="344" t="str">
        <f t="shared" si="10"/>
        <v/>
      </c>
      <c r="M106" s="1619" t="s">
        <v>3155</v>
      </c>
      <c r="N106" s="125">
        <f t="shared" si="13"/>
        <v>1417842.72</v>
      </c>
      <c r="O106" s="14" t="str">
        <f t="shared" si="14"/>
        <v>Main</v>
      </c>
      <c r="P106" s="14" t="str">
        <f t="shared" si="16"/>
        <v>FP-317655</v>
      </c>
      <c r="Q106" s="240">
        <v>74578.679999999993</v>
      </c>
      <c r="R106" s="240">
        <f t="shared" si="17"/>
        <v>74578.679999999993</v>
      </c>
      <c r="S106" s="240"/>
      <c r="V106" s="240">
        <v>0</v>
      </c>
      <c r="W106" s="240">
        <f t="shared" si="11"/>
        <v>0</v>
      </c>
      <c r="X106" s="240"/>
    </row>
    <row r="107" spans="1:24">
      <c r="A107" s="15">
        <v>101</v>
      </c>
      <c r="B107" s="126" t="s">
        <v>753</v>
      </c>
      <c r="C107" s="14" t="s">
        <v>2374</v>
      </c>
      <c r="D107" s="124">
        <v>376.3</v>
      </c>
      <c r="E107" s="128">
        <v>613354.97</v>
      </c>
      <c r="F107" s="126"/>
      <c r="G107" s="125">
        <f t="shared" si="15"/>
        <v>0</v>
      </c>
      <c r="H107" s="125">
        <f>IF($T$8=$Q$7, Q107, R107)</f>
        <v>0</v>
      </c>
      <c r="I107" s="282">
        <v>27</v>
      </c>
      <c r="J107" s="1620">
        <v>44196</v>
      </c>
      <c r="K107" s="240" t="s">
        <v>3264</v>
      </c>
      <c r="L107" s="344" t="str">
        <f t="shared" si="10"/>
        <v/>
      </c>
      <c r="M107" s="1619" t="s">
        <v>3156</v>
      </c>
      <c r="N107" s="125">
        <f t="shared" si="13"/>
        <v>2952964.66</v>
      </c>
      <c r="O107" s="14" t="str">
        <f t="shared" si="14"/>
        <v>Serv</v>
      </c>
      <c r="P107" s="1619" t="str">
        <f t="shared" si="16"/>
        <v>FP-317656</v>
      </c>
      <c r="Q107" s="240">
        <v>613354.97</v>
      </c>
      <c r="R107" s="240">
        <f t="shared" si="17"/>
        <v>0</v>
      </c>
      <c r="S107" s="240" t="str">
        <f t="shared" si="12"/>
        <v>Main</v>
      </c>
      <c r="V107" s="240">
        <v>613354.97</v>
      </c>
      <c r="W107" s="240">
        <f t="shared" si="11"/>
        <v>613354.97</v>
      </c>
      <c r="X107" s="240"/>
    </row>
    <row r="108" spans="1:24">
      <c r="A108" s="15">
        <v>102</v>
      </c>
      <c r="B108" s="126" t="s">
        <v>753</v>
      </c>
      <c r="C108" s="14" t="s">
        <v>2375</v>
      </c>
      <c r="D108" s="124">
        <v>376</v>
      </c>
      <c r="E108" s="128">
        <v>97392.48</v>
      </c>
      <c r="F108" s="126"/>
      <c r="G108" s="125">
        <f t="shared" si="15"/>
        <v>97392.48</v>
      </c>
      <c r="H108" s="125"/>
      <c r="I108" s="282"/>
      <c r="J108" s="1581">
        <v>44196</v>
      </c>
      <c r="K108" s="240"/>
      <c r="L108" s="344" t="str">
        <f t="shared" si="10"/>
        <v/>
      </c>
      <c r="N108" s="240">
        <f>SUM(N88:N107)</f>
        <v>22728182.644976001</v>
      </c>
      <c r="P108" s="14" t="str">
        <f t="shared" si="16"/>
        <v>FP-317657</v>
      </c>
      <c r="Q108" s="240">
        <v>97392.48</v>
      </c>
      <c r="R108" s="240">
        <f t="shared" si="17"/>
        <v>97392.48</v>
      </c>
      <c r="S108" s="240"/>
      <c r="V108" s="240">
        <v>0</v>
      </c>
      <c r="W108" s="240">
        <f t="shared" si="11"/>
        <v>0</v>
      </c>
      <c r="X108" s="240"/>
    </row>
    <row r="109" spans="1:24">
      <c r="A109" s="15">
        <v>103</v>
      </c>
      <c r="B109" s="126" t="s">
        <v>753</v>
      </c>
      <c r="C109" s="14" t="s">
        <v>2376</v>
      </c>
      <c r="D109" s="124">
        <v>380.3</v>
      </c>
      <c r="E109" s="128">
        <v>1801553.41</v>
      </c>
      <c r="F109" s="126"/>
      <c r="G109" s="125">
        <f t="shared" si="15"/>
        <v>0</v>
      </c>
      <c r="H109" s="125">
        <f>IF($T$8=$Q$7, Q109, R109)</f>
        <v>0</v>
      </c>
      <c r="I109" s="282">
        <v>27</v>
      </c>
      <c r="J109" s="1620">
        <v>44196</v>
      </c>
      <c r="K109" s="240" t="s">
        <v>3265</v>
      </c>
      <c r="L109" s="344" t="str">
        <f t="shared" si="10"/>
        <v/>
      </c>
      <c r="P109" s="1619" t="str">
        <f t="shared" si="16"/>
        <v>FP-317658</v>
      </c>
      <c r="Q109" s="240">
        <v>1801553.41</v>
      </c>
      <c r="R109" s="240">
        <f t="shared" si="17"/>
        <v>0</v>
      </c>
      <c r="S109" s="240" t="str">
        <f t="shared" si="12"/>
        <v>Serv</v>
      </c>
      <c r="V109" s="240">
        <v>1801553.41</v>
      </c>
      <c r="W109" s="240">
        <f t="shared" si="11"/>
        <v>1801553.41</v>
      </c>
      <c r="X109" s="240"/>
    </row>
    <row r="110" spans="1:24">
      <c r="A110" s="15">
        <v>104</v>
      </c>
      <c r="B110" s="126" t="s">
        <v>753</v>
      </c>
      <c r="C110" s="14" t="s">
        <v>2377</v>
      </c>
      <c r="D110" s="124">
        <v>380</v>
      </c>
      <c r="E110" s="128">
        <v>74578.679999999993</v>
      </c>
      <c r="F110" s="126"/>
      <c r="G110" s="125">
        <f t="shared" si="15"/>
        <v>74578.679999999993</v>
      </c>
      <c r="H110" s="125"/>
      <c r="I110" s="282"/>
      <c r="J110" s="1581">
        <v>44196</v>
      </c>
      <c r="K110" s="240"/>
      <c r="L110" s="344" t="str">
        <f t="shared" si="10"/>
        <v/>
      </c>
      <c r="P110" s="14" t="str">
        <f t="shared" si="16"/>
        <v>FP-317659</v>
      </c>
      <c r="Q110" s="240">
        <v>74578.679999999993</v>
      </c>
      <c r="R110" s="240">
        <f t="shared" si="17"/>
        <v>74578.679999999993</v>
      </c>
      <c r="S110" s="240"/>
      <c r="V110" s="240">
        <v>0</v>
      </c>
      <c r="W110" s="240">
        <f t="shared" si="11"/>
        <v>0</v>
      </c>
      <c r="X110" s="240"/>
    </row>
    <row r="111" spans="1:24">
      <c r="A111" s="15">
        <v>105</v>
      </c>
      <c r="B111" s="126" t="s">
        <v>753</v>
      </c>
      <c r="C111" s="14" t="s">
        <v>2378</v>
      </c>
      <c r="D111" s="124">
        <v>394</v>
      </c>
      <c r="E111" s="128">
        <v>88997.82</v>
      </c>
      <c r="F111" s="126"/>
      <c r="G111" s="125">
        <f t="shared" si="15"/>
        <v>88997.82</v>
      </c>
      <c r="H111" s="125"/>
      <c r="I111" s="282"/>
      <c r="J111" s="1581">
        <v>44196</v>
      </c>
      <c r="K111" s="240"/>
      <c r="L111" s="344" t="str">
        <f t="shared" si="10"/>
        <v/>
      </c>
      <c r="P111" s="14" t="str">
        <f t="shared" si="16"/>
        <v>FP-317744</v>
      </c>
      <c r="Q111" s="240">
        <v>88997.82</v>
      </c>
      <c r="R111" s="240">
        <f t="shared" si="17"/>
        <v>88997.82</v>
      </c>
      <c r="S111" s="240"/>
      <c r="V111" s="240">
        <v>0</v>
      </c>
      <c r="W111" s="240">
        <f t="shared" si="11"/>
        <v>0</v>
      </c>
      <c r="X111" s="240"/>
    </row>
    <row r="112" spans="1:24">
      <c r="A112" s="15">
        <v>106</v>
      </c>
      <c r="B112" s="126" t="s">
        <v>753</v>
      </c>
      <c r="C112" s="14" t="s">
        <v>2379</v>
      </c>
      <c r="D112" s="124">
        <v>376.3</v>
      </c>
      <c r="E112" s="128">
        <v>1417842.72</v>
      </c>
      <c r="F112" s="126"/>
      <c r="G112" s="125">
        <f t="shared" si="15"/>
        <v>0</v>
      </c>
      <c r="H112" s="125">
        <f>IF($T$8=$Q$7, Q112, R112)</f>
        <v>0</v>
      </c>
      <c r="I112" s="282">
        <v>27</v>
      </c>
      <c r="J112" s="1620">
        <v>44196</v>
      </c>
      <c r="K112" s="240" t="s">
        <v>3264</v>
      </c>
      <c r="L112" s="344" t="str">
        <f t="shared" si="10"/>
        <v/>
      </c>
      <c r="P112" s="1619" t="str">
        <f t="shared" si="16"/>
        <v>FP-317750</v>
      </c>
      <c r="Q112" s="240">
        <v>1417842.72</v>
      </c>
      <c r="R112" s="240">
        <f t="shared" si="17"/>
        <v>0</v>
      </c>
      <c r="S112" s="240" t="str">
        <f t="shared" si="12"/>
        <v>Main</v>
      </c>
      <c r="V112" s="240">
        <v>1417842.72</v>
      </c>
      <c r="W112" s="240">
        <f t="shared" si="11"/>
        <v>1417842.72</v>
      </c>
      <c r="X112" s="240"/>
    </row>
    <row r="113" spans="1:24">
      <c r="A113" s="15">
        <v>107</v>
      </c>
      <c r="B113" s="126" t="s">
        <v>753</v>
      </c>
      <c r="C113" s="14" t="s">
        <v>2380</v>
      </c>
      <c r="D113" s="124">
        <v>376</v>
      </c>
      <c r="E113" s="128">
        <v>145471.79999999999</v>
      </c>
      <c r="F113" s="126"/>
      <c r="G113" s="125">
        <f t="shared" si="15"/>
        <v>145471.79999999999</v>
      </c>
      <c r="H113" s="125"/>
      <c r="I113" s="282"/>
      <c r="J113" s="1581">
        <v>44196</v>
      </c>
      <c r="K113" s="240"/>
      <c r="L113" s="344" t="str">
        <f t="shared" si="10"/>
        <v/>
      </c>
      <c r="P113" s="14" t="str">
        <f t="shared" si="16"/>
        <v>FP-317751</v>
      </c>
      <c r="Q113" s="240">
        <v>145471.79999999999</v>
      </c>
      <c r="R113" s="240">
        <f t="shared" si="17"/>
        <v>145471.79999999999</v>
      </c>
      <c r="S113" s="240"/>
      <c r="V113" s="240">
        <v>0</v>
      </c>
      <c r="W113" s="240">
        <f t="shared" si="11"/>
        <v>0</v>
      </c>
      <c r="X113" s="240"/>
    </row>
    <row r="114" spans="1:24">
      <c r="A114" s="15">
        <v>108</v>
      </c>
      <c r="B114" s="126" t="s">
        <v>753</v>
      </c>
      <c r="C114" s="14" t="s">
        <v>2381</v>
      </c>
      <c r="D114" s="124">
        <v>380.3</v>
      </c>
      <c r="E114" s="128">
        <v>2952964.66</v>
      </c>
      <c r="F114" s="126"/>
      <c r="G114" s="125">
        <f t="shared" si="15"/>
        <v>0</v>
      </c>
      <c r="H114" s="125">
        <f>IF($T$8=$Q$7, Q114, R114)</f>
        <v>0</v>
      </c>
      <c r="I114" s="282">
        <v>27</v>
      </c>
      <c r="J114" s="1620">
        <v>44196</v>
      </c>
      <c r="K114" s="240" t="s">
        <v>3265</v>
      </c>
      <c r="L114" s="344" t="str">
        <f t="shared" si="10"/>
        <v/>
      </c>
      <c r="P114" s="1619" t="str">
        <f t="shared" si="16"/>
        <v>FP-317752</v>
      </c>
      <c r="Q114" s="240">
        <v>2952964.66</v>
      </c>
      <c r="R114" s="240">
        <f t="shared" si="17"/>
        <v>0</v>
      </c>
      <c r="S114" s="240" t="str">
        <f t="shared" si="12"/>
        <v>Serv</v>
      </c>
      <c r="V114" s="240">
        <v>2952964.66</v>
      </c>
      <c r="W114" s="240">
        <f t="shared" si="11"/>
        <v>2952964.66</v>
      </c>
      <c r="X114" s="240"/>
    </row>
    <row r="115" spans="1:24">
      <c r="A115" s="15">
        <v>109</v>
      </c>
      <c r="B115" s="126" t="s">
        <v>753</v>
      </c>
      <c r="C115" s="14" t="s">
        <v>2382</v>
      </c>
      <c r="D115" s="124">
        <v>380</v>
      </c>
      <c r="E115" s="128">
        <v>72740.759999999995</v>
      </c>
      <c r="F115" s="126"/>
      <c r="G115" s="125">
        <f t="shared" si="15"/>
        <v>72740.759999999995</v>
      </c>
      <c r="H115" s="125"/>
      <c r="I115" s="282"/>
      <c r="J115" s="1581">
        <v>44196</v>
      </c>
      <c r="K115" s="240"/>
      <c r="L115" s="344" t="str">
        <f t="shared" si="10"/>
        <v/>
      </c>
      <c r="P115" s="14" t="str">
        <f t="shared" si="16"/>
        <v>FP-317753</v>
      </c>
      <c r="Q115" s="240">
        <v>72740.759999999995</v>
      </c>
      <c r="R115" s="240">
        <f t="shared" si="17"/>
        <v>72740.759999999995</v>
      </c>
      <c r="V115" s="240">
        <v>0</v>
      </c>
      <c r="W115" s="240">
        <f t="shared" si="11"/>
        <v>0</v>
      </c>
      <c r="X115" s="240"/>
    </row>
    <row r="116" spans="1:24">
      <c r="A116" s="15">
        <v>110</v>
      </c>
      <c r="B116" s="126" t="s">
        <v>753</v>
      </c>
      <c r="C116" s="14" t="s">
        <v>2383</v>
      </c>
      <c r="D116" s="124">
        <v>376</v>
      </c>
      <c r="E116" s="128">
        <v>296950</v>
      </c>
      <c r="F116" s="126"/>
      <c r="G116" s="125">
        <f t="shared" si="15"/>
        <v>296950</v>
      </c>
      <c r="H116" s="125"/>
      <c r="I116" s="282"/>
      <c r="J116" s="1581">
        <v>44196</v>
      </c>
      <c r="K116" s="240"/>
      <c r="L116" s="344" t="str">
        <f t="shared" si="10"/>
        <v/>
      </c>
      <c r="P116" s="14" t="str">
        <f t="shared" si="16"/>
        <v>FP-318092</v>
      </c>
      <c r="Q116" s="240">
        <v>296950</v>
      </c>
      <c r="R116" s="240">
        <f t="shared" si="17"/>
        <v>296950</v>
      </c>
      <c r="V116" s="240">
        <v>0</v>
      </c>
      <c r="W116" s="240">
        <f t="shared" si="11"/>
        <v>0</v>
      </c>
      <c r="X116" s="240"/>
    </row>
    <row r="117" spans="1:24">
      <c r="A117" s="15">
        <v>111</v>
      </c>
      <c r="B117" s="126" t="s">
        <v>753</v>
      </c>
      <c r="C117" s="14" t="s">
        <v>2384</v>
      </c>
      <c r="D117" s="124">
        <v>376.3</v>
      </c>
      <c r="E117" s="128">
        <v>5004463.92</v>
      </c>
      <c r="F117" s="126"/>
      <c r="G117" s="125">
        <f t="shared" si="15"/>
        <v>5004463.92</v>
      </c>
      <c r="H117" s="125"/>
      <c r="I117" s="282"/>
      <c r="J117" s="1581">
        <v>44196</v>
      </c>
      <c r="K117" s="240"/>
      <c r="L117" s="344" t="str">
        <f t="shared" si="10"/>
        <v/>
      </c>
      <c r="P117" s="14" t="str">
        <f t="shared" si="16"/>
        <v>FP-318186</v>
      </c>
      <c r="Q117" s="240">
        <v>5004463.92</v>
      </c>
      <c r="R117" s="240">
        <f t="shared" si="17"/>
        <v>5004463.92</v>
      </c>
      <c r="V117" s="240">
        <v>0</v>
      </c>
      <c r="W117" s="240">
        <f t="shared" si="11"/>
        <v>0</v>
      </c>
      <c r="X117" s="240"/>
    </row>
    <row r="118" spans="1:24">
      <c r="A118" s="15">
        <v>112</v>
      </c>
      <c r="B118" s="126" t="s">
        <v>753</v>
      </c>
      <c r="C118" s="14" t="s">
        <v>2385</v>
      </c>
      <c r="D118" s="124">
        <v>380</v>
      </c>
      <c r="E118" s="128">
        <v>4410563.92</v>
      </c>
      <c r="F118" s="126"/>
      <c r="G118" s="125">
        <f t="shared" si="15"/>
        <v>4410563.92</v>
      </c>
      <c r="H118" s="125"/>
      <c r="I118" s="282"/>
      <c r="J118" s="1581">
        <v>44196</v>
      </c>
      <c r="K118" s="240"/>
      <c r="L118" s="344" t="str">
        <f t="shared" si="10"/>
        <v/>
      </c>
      <c r="P118" s="14" t="str">
        <f t="shared" si="16"/>
        <v>FP-318187</v>
      </c>
      <c r="Q118" s="240">
        <v>4410563.92</v>
      </c>
      <c r="R118" s="240">
        <f t="shared" si="17"/>
        <v>4410563.92</v>
      </c>
      <c r="V118" s="240">
        <v>0</v>
      </c>
      <c r="W118" s="240">
        <f t="shared" si="11"/>
        <v>0</v>
      </c>
      <c r="X118" s="240"/>
    </row>
    <row r="119" spans="1:24">
      <c r="A119" s="15">
        <v>113</v>
      </c>
      <c r="B119" s="126" t="s">
        <v>753</v>
      </c>
      <c r="C119" s="14" t="s">
        <v>1978</v>
      </c>
      <c r="D119" s="124">
        <v>380.3</v>
      </c>
      <c r="E119" s="128">
        <v>71392.820000000007</v>
      </c>
      <c r="F119" s="126"/>
      <c r="G119" s="125">
        <f t="shared" si="15"/>
        <v>71392.820000000007</v>
      </c>
      <c r="H119" s="125"/>
      <c r="I119" s="282" t="s">
        <v>777</v>
      </c>
      <c r="J119" s="1581">
        <v>43831</v>
      </c>
      <c r="K119" s="240"/>
      <c r="L119" s="344" t="str">
        <f t="shared" si="10"/>
        <v/>
      </c>
      <c r="P119" s="14" t="str">
        <f t="shared" si="16"/>
        <v>FP-318325</v>
      </c>
      <c r="Q119" s="240">
        <v>71392.820000000007</v>
      </c>
      <c r="R119" s="240">
        <f t="shared" si="17"/>
        <v>71392.820000000007</v>
      </c>
      <c r="V119" s="240">
        <v>0</v>
      </c>
      <c r="W119" s="240">
        <f t="shared" si="11"/>
        <v>0</v>
      </c>
      <c r="X119" s="240"/>
    </row>
    <row r="120" spans="1:24">
      <c r="A120" s="15">
        <v>114</v>
      </c>
      <c r="B120" s="126" t="s">
        <v>753</v>
      </c>
      <c r="C120" s="14" t="s">
        <v>2293</v>
      </c>
      <c r="D120" s="124">
        <v>376.3</v>
      </c>
      <c r="E120" s="128">
        <v>433146.02</v>
      </c>
      <c r="F120" s="126"/>
      <c r="G120" s="125">
        <f t="shared" si="15"/>
        <v>433146.02</v>
      </c>
      <c r="H120" s="125">
        <f>IF($T$12=$V$7, V120, W120)</f>
        <v>213957.59</v>
      </c>
      <c r="I120" s="282">
        <v>14</v>
      </c>
      <c r="J120" s="1580">
        <v>43944</v>
      </c>
      <c r="K120" s="125">
        <f t="shared" ref="K120:K127" si="18">G120</f>
        <v>433146.02</v>
      </c>
      <c r="L120" s="344">
        <f t="shared" si="10"/>
        <v>43944</v>
      </c>
      <c r="P120" s="1617" t="str">
        <f t="shared" si="16"/>
        <v>FP-318482</v>
      </c>
      <c r="Q120" s="240">
        <v>433146.02</v>
      </c>
      <c r="R120" s="240">
        <f t="shared" si="17"/>
        <v>433146.02</v>
      </c>
      <c r="V120" s="240">
        <v>433146.02</v>
      </c>
      <c r="W120" s="240">
        <f t="shared" si="11"/>
        <v>213957.59</v>
      </c>
      <c r="X120" s="240"/>
    </row>
    <row r="121" spans="1:24">
      <c r="A121" s="15">
        <v>115</v>
      </c>
      <c r="B121" s="126" t="s">
        <v>753</v>
      </c>
      <c r="C121" s="14" t="s">
        <v>2294</v>
      </c>
      <c r="D121" s="124">
        <v>378</v>
      </c>
      <c r="E121" s="128">
        <v>177166.29</v>
      </c>
      <c r="F121" s="126"/>
      <c r="G121" s="125">
        <f t="shared" si="15"/>
        <v>177166.29</v>
      </c>
      <c r="H121" s="125">
        <f t="shared" ref="H121:H127" si="19">IF($T$12=$V$7, V121, W121)</f>
        <v>0</v>
      </c>
      <c r="I121" s="282">
        <v>15</v>
      </c>
      <c r="J121" s="1580">
        <v>44155</v>
      </c>
      <c r="K121" s="125">
        <f t="shared" si="18"/>
        <v>177166.29</v>
      </c>
      <c r="L121" s="344">
        <f t="shared" si="10"/>
        <v>44147</v>
      </c>
      <c r="P121" s="1617" t="str">
        <f t="shared" si="16"/>
        <v>FP-318566</v>
      </c>
      <c r="Q121" s="240">
        <v>177166.29</v>
      </c>
      <c r="R121" s="240">
        <f t="shared" si="17"/>
        <v>177166.29</v>
      </c>
      <c r="V121" s="240">
        <v>177166.29</v>
      </c>
      <c r="W121" s="240">
        <f t="shared" si="11"/>
        <v>0</v>
      </c>
      <c r="X121" s="240"/>
    </row>
    <row r="122" spans="1:24">
      <c r="A122" s="15">
        <v>116</v>
      </c>
      <c r="B122" s="126" t="s">
        <v>753</v>
      </c>
      <c r="C122" s="14" t="s">
        <v>2295</v>
      </c>
      <c r="D122" s="124">
        <v>376.3</v>
      </c>
      <c r="E122" s="128">
        <v>125671.29</v>
      </c>
      <c r="F122" s="126"/>
      <c r="G122" s="125">
        <f t="shared" si="15"/>
        <v>125671.29</v>
      </c>
      <c r="H122" s="125">
        <f t="shared" si="19"/>
        <v>0</v>
      </c>
      <c r="I122" s="282">
        <v>16</v>
      </c>
      <c r="J122" s="1580">
        <v>44183</v>
      </c>
      <c r="K122" s="125">
        <f t="shared" si="18"/>
        <v>125671.29</v>
      </c>
      <c r="L122" s="344">
        <f t="shared" si="10"/>
        <v>44196</v>
      </c>
      <c r="P122" s="1617" t="str">
        <f t="shared" si="16"/>
        <v>FP-318588</v>
      </c>
      <c r="Q122" s="240">
        <v>125671.29</v>
      </c>
      <c r="R122" s="240">
        <f t="shared" si="17"/>
        <v>125671.29</v>
      </c>
      <c r="V122" s="240">
        <v>125671.29</v>
      </c>
      <c r="W122" s="240">
        <f t="shared" si="11"/>
        <v>0</v>
      </c>
      <c r="X122" s="240"/>
    </row>
    <row r="123" spans="1:24">
      <c r="A123" s="15">
        <v>117</v>
      </c>
      <c r="B123" s="126" t="s">
        <v>753</v>
      </c>
      <c r="C123" s="14" t="s">
        <v>2296</v>
      </c>
      <c r="D123" s="124">
        <v>376.1</v>
      </c>
      <c r="E123" s="128">
        <v>312625</v>
      </c>
      <c r="F123" s="126"/>
      <c r="G123" s="125">
        <f t="shared" si="15"/>
        <v>312625</v>
      </c>
      <c r="H123" s="125">
        <f t="shared" si="19"/>
        <v>402968.57</v>
      </c>
      <c r="I123" s="282">
        <v>17</v>
      </c>
      <c r="J123" s="1580">
        <v>44130</v>
      </c>
      <c r="K123" s="125">
        <f t="shared" si="18"/>
        <v>312625</v>
      </c>
      <c r="L123" s="344">
        <f t="shared" si="10"/>
        <v>44130</v>
      </c>
      <c r="P123" s="1617" t="str">
        <f t="shared" si="16"/>
        <v>FP-318690</v>
      </c>
      <c r="Q123" s="240">
        <v>312625</v>
      </c>
      <c r="R123" s="240">
        <f t="shared" si="17"/>
        <v>312625</v>
      </c>
      <c r="V123" s="240">
        <v>312625</v>
      </c>
      <c r="W123" s="240">
        <f t="shared" si="11"/>
        <v>402968.57</v>
      </c>
      <c r="X123" s="240"/>
    </row>
    <row r="124" spans="1:24">
      <c r="A124" s="15">
        <v>118</v>
      </c>
      <c r="B124" s="126" t="s">
        <v>753</v>
      </c>
      <c r="C124" s="14" t="s">
        <v>2297</v>
      </c>
      <c r="D124" s="124">
        <v>378</v>
      </c>
      <c r="E124" s="128">
        <v>352513.6</v>
      </c>
      <c r="F124" s="126"/>
      <c r="G124" s="125">
        <f t="shared" si="15"/>
        <v>352513.6</v>
      </c>
      <c r="H124" s="125">
        <f t="shared" si="19"/>
        <v>0</v>
      </c>
      <c r="I124" s="282">
        <v>18</v>
      </c>
      <c r="J124" s="1580">
        <v>44247</v>
      </c>
      <c r="K124" s="125">
        <f t="shared" si="18"/>
        <v>352513.6</v>
      </c>
      <c r="L124" s="344" t="str">
        <f t="shared" si="10"/>
        <v>N/A</v>
      </c>
      <c r="P124" s="1617" t="str">
        <f t="shared" si="16"/>
        <v>FP-318742</v>
      </c>
      <c r="Q124" s="240">
        <v>352513.6</v>
      </c>
      <c r="R124" s="240">
        <f t="shared" si="17"/>
        <v>352513.6</v>
      </c>
      <c r="V124" s="240">
        <v>352513.6</v>
      </c>
      <c r="W124" s="240">
        <f t="shared" si="11"/>
        <v>0</v>
      </c>
      <c r="X124" s="240"/>
    </row>
    <row r="125" spans="1:24">
      <c r="A125" s="15">
        <v>119</v>
      </c>
      <c r="B125" s="126" t="s">
        <v>753</v>
      </c>
      <c r="C125" s="14" t="s">
        <v>2298</v>
      </c>
      <c r="D125" s="124">
        <v>378</v>
      </c>
      <c r="E125" s="128">
        <v>124719</v>
      </c>
      <c r="F125" s="126"/>
      <c r="G125" s="125">
        <f t="shared" si="15"/>
        <v>124719</v>
      </c>
      <c r="H125" s="125">
        <f t="shared" si="19"/>
        <v>0</v>
      </c>
      <c r="I125" s="282">
        <v>19</v>
      </c>
      <c r="J125" s="1580">
        <v>44175</v>
      </c>
      <c r="K125" s="125">
        <f t="shared" si="18"/>
        <v>124719</v>
      </c>
      <c r="L125" s="344">
        <f t="shared" si="10"/>
        <v>44175</v>
      </c>
      <c r="P125" s="1617" t="str">
        <f t="shared" si="16"/>
        <v>FP-318746</v>
      </c>
      <c r="Q125" s="240">
        <v>124719</v>
      </c>
      <c r="R125" s="240">
        <f t="shared" si="17"/>
        <v>124719</v>
      </c>
      <c r="V125" s="240">
        <v>124719</v>
      </c>
      <c r="W125" s="240">
        <f t="shared" si="11"/>
        <v>0</v>
      </c>
      <c r="X125" s="240"/>
    </row>
    <row r="126" spans="1:24">
      <c r="A126" s="15">
        <v>120</v>
      </c>
      <c r="B126" s="126" t="s">
        <v>753</v>
      </c>
      <c r="C126" s="14" t="s">
        <v>2299</v>
      </c>
      <c r="D126" s="124">
        <v>378</v>
      </c>
      <c r="E126" s="128">
        <v>124719</v>
      </c>
      <c r="F126" s="126"/>
      <c r="G126" s="125">
        <f t="shared" si="15"/>
        <v>124719</v>
      </c>
      <c r="H126" s="125">
        <f t="shared" si="19"/>
        <v>0</v>
      </c>
      <c r="I126" s="282">
        <v>20</v>
      </c>
      <c r="J126" s="1580">
        <v>44175</v>
      </c>
      <c r="K126" s="125">
        <f t="shared" si="18"/>
        <v>124719</v>
      </c>
      <c r="L126" s="344">
        <f t="shared" si="10"/>
        <v>44175</v>
      </c>
      <c r="P126" s="1617" t="str">
        <f t="shared" si="16"/>
        <v>FP-318747</v>
      </c>
      <c r="Q126" s="240">
        <v>124719</v>
      </c>
      <c r="R126" s="240">
        <f t="shared" si="17"/>
        <v>124719</v>
      </c>
      <c r="V126" s="240">
        <v>124719</v>
      </c>
      <c r="W126" s="240">
        <f t="shared" si="11"/>
        <v>0</v>
      </c>
      <c r="X126" s="240"/>
    </row>
    <row r="127" spans="1:24">
      <c r="A127" s="15">
        <v>121</v>
      </c>
      <c r="B127" s="126" t="s">
        <v>753</v>
      </c>
      <c r="C127" s="14" t="s">
        <v>2300</v>
      </c>
      <c r="D127" s="124">
        <v>378</v>
      </c>
      <c r="E127" s="128">
        <v>464483</v>
      </c>
      <c r="F127" s="126"/>
      <c r="G127" s="125">
        <f t="shared" si="15"/>
        <v>464483</v>
      </c>
      <c r="H127" s="125">
        <f t="shared" si="19"/>
        <v>508798.83</v>
      </c>
      <c r="I127" s="282">
        <v>22</v>
      </c>
      <c r="J127" s="1580">
        <v>44102</v>
      </c>
      <c r="K127" s="125">
        <f t="shared" si="18"/>
        <v>464483</v>
      </c>
      <c r="L127" s="344">
        <f t="shared" si="10"/>
        <v>44102</v>
      </c>
      <c r="P127" s="1617" t="str">
        <f t="shared" si="16"/>
        <v>FP-318829</v>
      </c>
      <c r="Q127" s="240">
        <v>464483</v>
      </c>
      <c r="R127" s="240">
        <f t="shared" si="17"/>
        <v>464483</v>
      </c>
      <c r="V127" s="240">
        <v>464483</v>
      </c>
      <c r="W127" s="240">
        <f t="shared" si="11"/>
        <v>508798.83</v>
      </c>
      <c r="X127" s="240"/>
    </row>
    <row r="128" spans="1:24">
      <c r="A128" s="15">
        <v>122</v>
      </c>
      <c r="B128" s="126" t="s">
        <v>753</v>
      </c>
      <c r="C128" s="14" t="s">
        <v>2301</v>
      </c>
      <c r="D128" s="124">
        <v>385</v>
      </c>
      <c r="E128" s="128">
        <v>58451</v>
      </c>
      <c r="F128" s="126"/>
      <c r="G128" s="125">
        <f t="shared" si="15"/>
        <v>58451</v>
      </c>
      <c r="H128" s="125"/>
      <c r="I128" s="282"/>
      <c r="J128" s="1581">
        <v>44104</v>
      </c>
      <c r="K128" s="240"/>
      <c r="L128" s="344" t="str">
        <f t="shared" si="10"/>
        <v/>
      </c>
      <c r="P128" s="14" t="str">
        <f t="shared" si="16"/>
        <v>FP-319029</v>
      </c>
      <c r="Q128" s="240">
        <v>58451</v>
      </c>
      <c r="R128" s="240">
        <f t="shared" ref="R128:R145" si="20">IFERROR(VLOOKUP(P128,$M$8:$N$27,2,FALSE), Q128)</f>
        <v>58451</v>
      </c>
      <c r="V128" s="240">
        <v>0</v>
      </c>
      <c r="W128" s="240">
        <f t="shared" si="11"/>
        <v>0</v>
      </c>
      <c r="X128" s="240"/>
    </row>
    <row r="129" spans="1:24">
      <c r="A129" s="15">
        <v>123</v>
      </c>
      <c r="B129" s="126" t="s">
        <v>753</v>
      </c>
      <c r="C129" s="14" t="s">
        <v>2302</v>
      </c>
      <c r="D129" s="124">
        <v>378</v>
      </c>
      <c r="E129" s="128">
        <v>143033.60000000001</v>
      </c>
      <c r="F129" s="126"/>
      <c r="G129" s="125">
        <f t="shared" si="15"/>
        <v>143033.60000000001</v>
      </c>
      <c r="H129" s="125">
        <f>IF($T$12=$V$7, V129, W129)</f>
        <v>0</v>
      </c>
      <c r="I129" s="282">
        <v>24</v>
      </c>
      <c r="J129" s="1580">
        <v>44195</v>
      </c>
      <c r="K129" s="125">
        <f>G129</f>
        <v>143033.60000000001</v>
      </c>
      <c r="L129" s="344" t="str">
        <f t="shared" si="10"/>
        <v>N/A</v>
      </c>
      <c r="P129" s="1617" t="str">
        <f t="shared" si="16"/>
        <v>FP-319056</v>
      </c>
      <c r="Q129" s="240">
        <v>143033.60000000001</v>
      </c>
      <c r="R129" s="240">
        <f t="shared" si="20"/>
        <v>143033.60000000001</v>
      </c>
      <c r="V129" s="240">
        <v>143033.60000000001</v>
      </c>
      <c r="W129" s="240">
        <f t="shared" si="11"/>
        <v>0</v>
      </c>
      <c r="X129" s="240"/>
    </row>
    <row r="130" spans="1:24">
      <c r="A130" s="15">
        <v>124</v>
      </c>
      <c r="B130" s="126" t="s">
        <v>753</v>
      </c>
      <c r="C130" s="14" t="s">
        <v>2303</v>
      </c>
      <c r="D130" s="124">
        <v>378</v>
      </c>
      <c r="E130" s="128">
        <v>144470.20000000001</v>
      </c>
      <c r="F130" s="126"/>
      <c r="G130" s="125">
        <f t="shared" si="15"/>
        <v>144470.20000000001</v>
      </c>
      <c r="H130" s="125">
        <f>IF($T$12=$V$7, V130, W130)</f>
        <v>0</v>
      </c>
      <c r="I130" s="282">
        <v>25</v>
      </c>
      <c r="J130" s="1580">
        <v>44155</v>
      </c>
      <c r="K130" s="125">
        <f>G130</f>
        <v>144470.20000000001</v>
      </c>
      <c r="L130" s="344">
        <f t="shared" si="10"/>
        <v>44155</v>
      </c>
      <c r="P130" s="1617" t="str">
        <f t="shared" si="16"/>
        <v>FP-319063</v>
      </c>
      <c r="Q130" s="240">
        <v>144470.20000000001</v>
      </c>
      <c r="R130" s="240">
        <f t="shared" si="20"/>
        <v>144470.20000000001</v>
      </c>
      <c r="V130" s="240">
        <v>144470.20000000001</v>
      </c>
      <c r="W130" s="240">
        <f t="shared" si="11"/>
        <v>0</v>
      </c>
      <c r="X130" s="240"/>
    </row>
    <row r="131" spans="1:24">
      <c r="A131" s="15">
        <v>125</v>
      </c>
      <c r="B131" s="126" t="s">
        <v>753</v>
      </c>
      <c r="C131" s="14" t="s">
        <v>2304</v>
      </c>
      <c r="D131" s="124">
        <v>376.2</v>
      </c>
      <c r="E131" s="128">
        <v>1725636</v>
      </c>
      <c r="F131" s="126"/>
      <c r="G131" s="125">
        <f t="shared" si="15"/>
        <v>1725636</v>
      </c>
      <c r="H131" s="125">
        <f>IF($T$12=$V$7, V131, W131)</f>
        <v>0</v>
      </c>
      <c r="I131" s="282">
        <v>26</v>
      </c>
      <c r="J131" s="1580">
        <v>44407</v>
      </c>
      <c r="K131" s="125">
        <f>G131</f>
        <v>1725636</v>
      </c>
      <c r="L131" s="344" t="str">
        <f t="shared" si="10"/>
        <v>N/A</v>
      </c>
      <c r="P131" s="1617" t="str">
        <f t="shared" si="16"/>
        <v>FP-319072</v>
      </c>
      <c r="Q131" s="240">
        <v>1725636</v>
      </c>
      <c r="R131" s="240">
        <f>IFERROR(VLOOKUP(P131,$M$8:$N$27,2,FALSE), Q131)</f>
        <v>1725636</v>
      </c>
      <c r="V131" s="240">
        <v>1725636</v>
      </c>
      <c r="W131" s="240">
        <f>IFERROR(VLOOKUP(P131,$Z$8:$AA$33,2,FALSE), V131)</f>
        <v>0</v>
      </c>
      <c r="X131" s="240"/>
    </row>
    <row r="132" spans="1:24">
      <c r="A132" s="15">
        <v>126</v>
      </c>
      <c r="B132" s="126" t="s">
        <v>753</v>
      </c>
      <c r="C132" s="14" t="s">
        <v>1979</v>
      </c>
      <c r="D132" s="124">
        <v>376.3</v>
      </c>
      <c r="E132" s="128">
        <v>19400.099999999999</v>
      </c>
      <c r="F132" s="126"/>
      <c r="G132" s="125">
        <f t="shared" si="15"/>
        <v>19400.099999999999</v>
      </c>
      <c r="H132" s="125"/>
      <c r="I132" s="282"/>
      <c r="J132" s="1581">
        <v>43889</v>
      </c>
      <c r="K132" s="344"/>
      <c r="L132" s="344" t="str">
        <f t="shared" si="10"/>
        <v/>
      </c>
      <c r="P132" s="14" t="str">
        <f t="shared" si="16"/>
        <v>FP-319086</v>
      </c>
      <c r="Q132" s="240">
        <v>19400.099999999999</v>
      </c>
      <c r="R132" s="240">
        <f t="shared" si="20"/>
        <v>19400.099999999999</v>
      </c>
      <c r="V132" s="240">
        <v>0</v>
      </c>
      <c r="W132" s="240">
        <f t="shared" si="11"/>
        <v>0</v>
      </c>
      <c r="X132" s="240"/>
    </row>
    <row r="133" spans="1:24">
      <c r="A133" s="15">
        <v>127</v>
      </c>
      <c r="B133" s="126" t="s">
        <v>753</v>
      </c>
      <c r="C133" s="14" t="s">
        <v>2305</v>
      </c>
      <c r="D133" s="124">
        <v>378</v>
      </c>
      <c r="E133" s="128">
        <v>5607.8</v>
      </c>
      <c r="F133" s="126"/>
      <c r="G133" s="125">
        <f t="shared" si="15"/>
        <v>5607.8</v>
      </c>
      <c r="H133" s="125"/>
      <c r="I133" s="282"/>
      <c r="J133" s="1581">
        <v>44124</v>
      </c>
      <c r="K133" s="240"/>
      <c r="L133" s="344" t="str">
        <f t="shared" si="10"/>
        <v/>
      </c>
      <c r="P133" s="14" t="str">
        <f t="shared" si="16"/>
        <v>FP-319095</v>
      </c>
      <c r="Q133" s="240">
        <v>5607.8</v>
      </c>
      <c r="R133" s="240">
        <f t="shared" si="20"/>
        <v>5607.8</v>
      </c>
      <c r="V133" s="240">
        <v>0</v>
      </c>
      <c r="W133" s="240">
        <f t="shared" si="11"/>
        <v>0</v>
      </c>
      <c r="X133" s="240"/>
    </row>
    <row r="134" spans="1:24">
      <c r="A134" s="15">
        <v>128</v>
      </c>
      <c r="B134" s="126" t="s">
        <v>753</v>
      </c>
      <c r="C134" s="14" t="s">
        <v>2306</v>
      </c>
      <c r="D134" s="124">
        <v>378</v>
      </c>
      <c r="E134" s="128">
        <v>5845.1</v>
      </c>
      <c r="F134" s="126"/>
      <c r="G134" s="125">
        <f t="shared" si="15"/>
        <v>5845.1</v>
      </c>
      <c r="H134" s="125"/>
      <c r="I134" s="282"/>
      <c r="J134" s="1581">
        <v>44094</v>
      </c>
      <c r="K134" s="240"/>
      <c r="L134" s="344" t="str">
        <f t="shared" si="10"/>
        <v/>
      </c>
      <c r="P134" s="14" t="str">
        <f t="shared" si="16"/>
        <v>FP-319099</v>
      </c>
      <c r="Q134" s="240">
        <v>5845.1</v>
      </c>
      <c r="R134" s="240">
        <f t="shared" si="20"/>
        <v>5845.1</v>
      </c>
      <c r="V134" s="240">
        <v>0</v>
      </c>
      <c r="W134" s="240">
        <f t="shared" si="11"/>
        <v>0</v>
      </c>
      <c r="X134" s="240"/>
    </row>
    <row r="135" spans="1:24">
      <c r="A135" s="15">
        <v>129</v>
      </c>
      <c r="B135" s="126" t="s">
        <v>753</v>
      </c>
      <c r="C135" s="14" t="s">
        <v>2307</v>
      </c>
      <c r="D135" s="124">
        <v>376.2</v>
      </c>
      <c r="E135" s="128">
        <v>1196019</v>
      </c>
      <c r="F135" s="126"/>
      <c r="G135" s="125">
        <f t="shared" si="15"/>
        <v>1196019</v>
      </c>
      <c r="H135" s="125"/>
      <c r="I135" s="282" t="s">
        <v>777</v>
      </c>
      <c r="J135" s="1581">
        <v>44195</v>
      </c>
      <c r="K135" s="240"/>
      <c r="L135" s="344" t="str">
        <f t="shared" si="10"/>
        <v/>
      </c>
      <c r="P135" s="14" t="str">
        <f t="shared" si="16"/>
        <v>FP-319106</v>
      </c>
      <c r="Q135" s="240">
        <v>1196019</v>
      </c>
      <c r="R135" s="240">
        <f t="shared" si="20"/>
        <v>1196019</v>
      </c>
      <c r="V135" s="240">
        <v>0</v>
      </c>
      <c r="W135" s="240">
        <f t="shared" si="11"/>
        <v>0</v>
      </c>
      <c r="X135" s="240"/>
    </row>
    <row r="136" spans="1:24">
      <c r="A136" s="15">
        <v>130</v>
      </c>
      <c r="B136" s="126" t="s">
        <v>753</v>
      </c>
      <c r="C136" s="14" t="s">
        <v>2365</v>
      </c>
      <c r="D136" s="124">
        <v>376</v>
      </c>
      <c r="E136" s="128">
        <v>1178410</v>
      </c>
      <c r="F136" s="126"/>
      <c r="G136" s="125">
        <f t="shared" si="15"/>
        <v>1178410</v>
      </c>
      <c r="H136" s="125"/>
      <c r="I136" s="282"/>
      <c r="J136" s="1581">
        <v>44196</v>
      </c>
      <c r="K136" s="240"/>
      <c r="L136" s="344" t="str">
        <f t="shared" si="10"/>
        <v/>
      </c>
      <c r="P136" s="14" t="str">
        <f t="shared" si="16"/>
        <v>FP-319111</v>
      </c>
      <c r="Q136" s="240">
        <v>1178410</v>
      </c>
      <c r="R136" s="240">
        <f t="shared" si="20"/>
        <v>1178410</v>
      </c>
      <c r="V136" s="240">
        <v>0</v>
      </c>
      <c r="W136" s="240">
        <f t="shared" si="11"/>
        <v>0</v>
      </c>
      <c r="X136" s="240"/>
    </row>
    <row r="137" spans="1:24">
      <c r="A137" s="15">
        <v>131</v>
      </c>
      <c r="B137" s="126" t="s">
        <v>753</v>
      </c>
      <c r="C137" s="14" t="s">
        <v>2366</v>
      </c>
      <c r="D137" s="124">
        <v>380</v>
      </c>
      <c r="E137" s="128">
        <v>128780</v>
      </c>
      <c r="F137" s="126"/>
      <c r="G137" s="125">
        <f t="shared" si="15"/>
        <v>128780</v>
      </c>
      <c r="H137" s="125"/>
      <c r="I137" s="282"/>
      <c r="J137" s="1581">
        <v>44196</v>
      </c>
      <c r="K137" s="240"/>
      <c r="L137" s="344" t="str">
        <f t="shared" ref="L137:L195" si="21">IFERROR(VLOOKUP(P137, $Z$8:$AB$33, 3, FALSE), "")</f>
        <v/>
      </c>
      <c r="P137" s="14" t="str">
        <f t="shared" si="16"/>
        <v>FP-319112</v>
      </c>
      <c r="Q137" s="240">
        <v>128780</v>
      </c>
      <c r="R137" s="240">
        <f t="shared" si="20"/>
        <v>128780</v>
      </c>
      <c r="V137" s="240">
        <v>0</v>
      </c>
      <c r="W137" s="240">
        <f t="shared" ref="W137:W195" si="22">IFERROR(VLOOKUP(P137,$Z$8:$AA$33,2,FALSE), V137)</f>
        <v>0</v>
      </c>
      <c r="X137" s="240"/>
    </row>
    <row r="138" spans="1:24">
      <c r="A138" s="15">
        <v>132</v>
      </c>
      <c r="B138" s="126" t="s">
        <v>753</v>
      </c>
      <c r="C138" s="14" t="s">
        <v>2309</v>
      </c>
      <c r="D138" s="124">
        <v>376.3</v>
      </c>
      <c r="E138" s="128">
        <v>121015.44</v>
      </c>
      <c r="F138" s="126"/>
      <c r="G138" s="125">
        <f t="shared" si="15"/>
        <v>121015.44</v>
      </c>
      <c r="H138" s="125"/>
      <c r="I138" s="282"/>
      <c r="J138" s="1581">
        <v>43936</v>
      </c>
      <c r="K138" s="240"/>
      <c r="L138" s="344" t="str">
        <f t="shared" si="21"/>
        <v/>
      </c>
      <c r="P138" s="14" t="str">
        <f t="shared" si="16"/>
        <v>FP-319168</v>
      </c>
      <c r="Q138" s="240">
        <v>121015.44</v>
      </c>
      <c r="R138" s="240">
        <f t="shared" si="20"/>
        <v>121015.44</v>
      </c>
      <c r="V138" s="240">
        <v>0</v>
      </c>
      <c r="W138" s="240">
        <f t="shared" si="22"/>
        <v>0</v>
      </c>
      <c r="X138" s="240"/>
    </row>
    <row r="139" spans="1:24">
      <c r="A139" s="15">
        <v>133</v>
      </c>
      <c r="B139" s="126" t="s">
        <v>753</v>
      </c>
      <c r="C139" s="14" t="s">
        <v>2308</v>
      </c>
      <c r="D139" s="124">
        <v>376.3</v>
      </c>
      <c r="E139" s="128">
        <v>169486.67</v>
      </c>
      <c r="F139" s="126"/>
      <c r="G139" s="125">
        <f t="shared" si="15"/>
        <v>169486.67</v>
      </c>
      <c r="H139" s="125"/>
      <c r="I139" s="282"/>
      <c r="J139" s="1581">
        <v>43952</v>
      </c>
      <c r="K139" s="240"/>
      <c r="L139" s="344" t="str">
        <f t="shared" si="21"/>
        <v/>
      </c>
      <c r="P139" s="14" t="str">
        <f t="shared" si="16"/>
        <v>FP-319180</v>
      </c>
      <c r="Q139" s="240">
        <v>169486.67</v>
      </c>
      <c r="R139" s="240">
        <f t="shared" si="20"/>
        <v>169486.67</v>
      </c>
      <c r="V139" s="240">
        <v>0</v>
      </c>
      <c r="W139" s="240">
        <f t="shared" si="22"/>
        <v>0</v>
      </c>
      <c r="X139" s="240"/>
    </row>
    <row r="140" spans="1:24">
      <c r="A140" s="15">
        <v>134</v>
      </c>
      <c r="B140" s="126" t="s">
        <v>753</v>
      </c>
      <c r="C140" s="126" t="s">
        <v>1980</v>
      </c>
      <c r="D140" s="124">
        <v>376.3</v>
      </c>
      <c r="E140" s="128">
        <v>10487.23</v>
      </c>
      <c r="F140" s="126"/>
      <c r="G140" s="125">
        <f t="shared" si="15"/>
        <v>10487.23</v>
      </c>
      <c r="H140" s="125"/>
      <c r="I140" s="282"/>
      <c r="J140" s="1584">
        <v>43981</v>
      </c>
      <c r="K140" s="240"/>
      <c r="L140" s="344" t="str">
        <f t="shared" si="21"/>
        <v/>
      </c>
      <c r="P140" s="14" t="str">
        <f t="shared" si="16"/>
        <v>FP-319193</v>
      </c>
      <c r="Q140" s="240">
        <v>10487.23</v>
      </c>
      <c r="R140" s="240">
        <f t="shared" si="20"/>
        <v>10487.23</v>
      </c>
      <c r="V140" s="240">
        <v>0</v>
      </c>
      <c r="W140" s="240">
        <f t="shared" si="22"/>
        <v>0</v>
      </c>
      <c r="X140" s="240"/>
    </row>
    <row r="141" spans="1:24">
      <c r="A141" s="15">
        <v>135</v>
      </c>
      <c r="B141" s="126" t="s">
        <v>753</v>
      </c>
      <c r="C141" s="126" t="s">
        <v>1981</v>
      </c>
      <c r="D141" s="124">
        <v>376.2</v>
      </c>
      <c r="E141" s="128">
        <v>16510.169999999998</v>
      </c>
      <c r="F141" s="126"/>
      <c r="G141" s="125">
        <f t="shared" si="15"/>
        <v>16510.169999999998</v>
      </c>
      <c r="H141" s="125"/>
      <c r="I141" s="282"/>
      <c r="J141" s="1584">
        <v>44195</v>
      </c>
      <c r="K141" s="240"/>
      <c r="L141" s="344" t="str">
        <f t="shared" si="21"/>
        <v/>
      </c>
      <c r="P141" s="14" t="str">
        <f t="shared" si="16"/>
        <v>FP-319209</v>
      </c>
      <c r="Q141" s="240">
        <v>16510.169999999998</v>
      </c>
      <c r="R141" s="240">
        <f t="shared" si="20"/>
        <v>16510.169999999998</v>
      </c>
      <c r="V141" s="240">
        <v>0</v>
      </c>
      <c r="W141" s="240">
        <f t="shared" si="22"/>
        <v>0</v>
      </c>
      <c r="X141" s="240"/>
    </row>
    <row r="142" spans="1:24">
      <c r="A142" s="15">
        <v>136</v>
      </c>
      <c r="B142" s="126" t="s">
        <v>753</v>
      </c>
      <c r="C142" s="126" t="s">
        <v>1982</v>
      </c>
      <c r="D142" s="124">
        <v>376.3</v>
      </c>
      <c r="E142" s="128">
        <v>52336.62</v>
      </c>
      <c r="F142" s="126"/>
      <c r="G142" s="125">
        <f t="shared" si="15"/>
        <v>52336.62</v>
      </c>
      <c r="H142" s="125"/>
      <c r="I142" s="282"/>
      <c r="J142" s="1584">
        <v>43981</v>
      </c>
      <c r="K142" s="240"/>
      <c r="L142" s="344" t="str">
        <f t="shared" si="21"/>
        <v/>
      </c>
      <c r="P142" s="14" t="str">
        <f t="shared" si="16"/>
        <v>FP-319238</v>
      </c>
      <c r="Q142" s="240">
        <v>52336.62</v>
      </c>
      <c r="R142" s="240">
        <f t="shared" si="20"/>
        <v>52336.62</v>
      </c>
      <c r="V142" s="240">
        <v>0</v>
      </c>
      <c r="W142" s="240">
        <f t="shared" si="22"/>
        <v>0</v>
      </c>
      <c r="X142" s="240"/>
    </row>
    <row r="143" spans="1:24">
      <c r="A143" s="15">
        <v>137</v>
      </c>
      <c r="B143" s="126" t="s">
        <v>753</v>
      </c>
      <c r="C143" s="126" t="s">
        <v>1983</v>
      </c>
      <c r="D143" s="124">
        <v>376.1</v>
      </c>
      <c r="E143" s="128">
        <v>1145.58</v>
      </c>
      <c r="F143" s="126"/>
      <c r="G143" s="125">
        <f t="shared" si="15"/>
        <v>1145.58</v>
      </c>
      <c r="H143" s="125"/>
      <c r="I143" s="282"/>
      <c r="J143" s="1581">
        <v>43862</v>
      </c>
      <c r="K143" s="240"/>
      <c r="L143" s="344" t="str">
        <f t="shared" si="21"/>
        <v/>
      </c>
      <c r="P143" s="14" t="str">
        <f t="shared" si="16"/>
        <v>FP-319247</v>
      </c>
      <c r="Q143" s="240">
        <v>1145.58</v>
      </c>
      <c r="R143" s="240">
        <f t="shared" si="20"/>
        <v>1145.58</v>
      </c>
      <c r="V143" s="240">
        <v>0</v>
      </c>
      <c r="W143" s="240">
        <f t="shared" si="22"/>
        <v>0</v>
      </c>
      <c r="X143" s="240"/>
    </row>
    <row r="144" spans="1:24">
      <c r="A144" s="15">
        <v>138</v>
      </c>
      <c r="B144" s="126" t="s">
        <v>753</v>
      </c>
      <c r="C144" s="126" t="s">
        <v>1984</v>
      </c>
      <c r="D144" s="124">
        <v>376.3</v>
      </c>
      <c r="E144" s="128">
        <v>-87097.05</v>
      </c>
      <c r="F144" s="126"/>
      <c r="G144" s="125">
        <f t="shared" si="15"/>
        <v>-87097.05</v>
      </c>
      <c r="H144" s="125"/>
      <c r="I144" s="282"/>
      <c r="J144" s="1584">
        <v>44155</v>
      </c>
      <c r="K144" s="240"/>
      <c r="L144" s="344" t="str">
        <f t="shared" si="21"/>
        <v/>
      </c>
      <c r="P144" s="14" t="str">
        <f t="shared" si="16"/>
        <v>FP-319256</v>
      </c>
      <c r="Q144" s="240">
        <v>-87097.05</v>
      </c>
      <c r="R144" s="240">
        <f t="shared" si="20"/>
        <v>-87097.05</v>
      </c>
      <c r="V144" s="240">
        <v>0</v>
      </c>
      <c r="W144" s="240">
        <f t="shared" si="22"/>
        <v>0</v>
      </c>
      <c r="X144" s="240"/>
    </row>
    <row r="145" spans="1:24">
      <c r="A145" s="15">
        <v>139</v>
      </c>
      <c r="B145" s="126" t="s">
        <v>753</v>
      </c>
      <c r="C145" s="126" t="s">
        <v>1985</v>
      </c>
      <c r="D145" s="124">
        <v>380.3</v>
      </c>
      <c r="E145" s="128">
        <v>-21795.91</v>
      </c>
      <c r="F145" s="126"/>
      <c r="G145" s="125">
        <f t="shared" si="15"/>
        <v>-21795.91</v>
      </c>
      <c r="H145" s="125"/>
      <c r="I145" s="282"/>
      <c r="J145" s="1584">
        <v>44155</v>
      </c>
      <c r="K145" s="240"/>
      <c r="L145" s="344" t="str">
        <f t="shared" si="21"/>
        <v/>
      </c>
      <c r="P145" s="14" t="str">
        <f t="shared" si="16"/>
        <v>FP-319257</v>
      </c>
      <c r="Q145" s="240">
        <v>-21795.91</v>
      </c>
      <c r="R145" s="240">
        <f t="shared" si="20"/>
        <v>-21795.91</v>
      </c>
      <c r="V145" s="240">
        <v>0</v>
      </c>
      <c r="W145" s="240">
        <f t="shared" si="22"/>
        <v>0</v>
      </c>
      <c r="X145" s="240"/>
    </row>
    <row r="146" spans="1:24">
      <c r="A146" s="15">
        <v>140</v>
      </c>
      <c r="B146" s="346"/>
      <c r="C146" s="347"/>
      <c r="D146" s="129"/>
      <c r="E146" s="348">
        <f>SUM(E34:E145)</f>
        <v>88517757.529999986</v>
      </c>
      <c r="F146" s="346"/>
      <c r="G146" s="349">
        <f>SUM(G32:G145)</f>
        <v>64423460.310535997</v>
      </c>
      <c r="H146" s="349">
        <f>SUM(H32:H145)</f>
        <v>7885039.2200000007</v>
      </c>
      <c r="I146" s="350"/>
      <c r="J146" s="1582"/>
      <c r="K146" s="240"/>
      <c r="L146" s="344" t="str">
        <f t="shared" si="21"/>
        <v/>
      </c>
      <c r="Q146" s="240"/>
      <c r="R146" s="240"/>
      <c r="V146" s="240"/>
      <c r="W146" s="240"/>
      <c r="X146" s="240"/>
    </row>
    <row r="147" spans="1:24">
      <c r="A147" s="15">
        <v>141</v>
      </c>
      <c r="B147" s="346"/>
      <c r="C147" s="347"/>
      <c r="D147" s="127"/>
      <c r="E147" s="128"/>
      <c r="F147" s="346"/>
      <c r="G147" s="1704"/>
      <c r="H147" s="1704"/>
      <c r="I147" s="350"/>
      <c r="J147" s="1582"/>
      <c r="K147" s="240"/>
      <c r="L147" s="344"/>
      <c r="Q147" s="240"/>
      <c r="R147" s="240"/>
      <c r="V147" s="240"/>
      <c r="W147" s="240"/>
      <c r="X147" s="240"/>
    </row>
    <row r="148" spans="1:24">
      <c r="A148" s="15">
        <v>142</v>
      </c>
      <c r="B148" s="126" t="s">
        <v>762</v>
      </c>
      <c r="C148" s="126" t="s">
        <v>763</v>
      </c>
      <c r="D148" s="124">
        <v>392.2</v>
      </c>
      <c r="E148" s="128">
        <v>219131.38</v>
      </c>
      <c r="F148" s="126"/>
      <c r="G148" s="125">
        <f t="shared" si="15"/>
        <v>219131.38</v>
      </c>
      <c r="H148" s="125"/>
      <c r="I148" s="282"/>
      <c r="J148" s="1584">
        <v>44012</v>
      </c>
      <c r="K148" s="240"/>
      <c r="L148" s="344" t="str">
        <f t="shared" si="21"/>
        <v/>
      </c>
      <c r="P148" s="14" t="str">
        <f t="shared" ref="P148:P195" si="23">LEFT(C148, 9)</f>
        <v>FP-101204</v>
      </c>
      <c r="Q148" s="240">
        <v>219131.38</v>
      </c>
      <c r="R148" s="240">
        <f t="shared" ref="R148:R195" si="24">IFERROR(VLOOKUP(P148,$M$8:$N$27,2,FALSE), Q148)</f>
        <v>219131.38</v>
      </c>
      <c r="V148" s="240">
        <v>0</v>
      </c>
      <c r="W148" s="240">
        <f t="shared" si="22"/>
        <v>0</v>
      </c>
      <c r="X148" s="240"/>
    </row>
    <row r="149" spans="1:24">
      <c r="A149" s="15">
        <v>143</v>
      </c>
      <c r="B149" s="126" t="s">
        <v>762</v>
      </c>
      <c r="C149" s="126" t="s">
        <v>1968</v>
      </c>
      <c r="D149" s="124">
        <v>394.1</v>
      </c>
      <c r="E149" s="128">
        <v>1359.54</v>
      </c>
      <c r="F149" s="126"/>
      <c r="G149" s="125">
        <f t="shared" si="15"/>
        <v>1359.54</v>
      </c>
      <c r="H149" s="125"/>
      <c r="I149" s="282"/>
      <c r="J149" s="1584">
        <v>43921</v>
      </c>
      <c r="K149" s="240"/>
      <c r="L149" s="344" t="str">
        <f t="shared" si="21"/>
        <v/>
      </c>
      <c r="P149" s="14" t="str">
        <f t="shared" si="23"/>
        <v>FP-101288</v>
      </c>
      <c r="Q149" s="240">
        <v>1359.54</v>
      </c>
      <c r="R149" s="240">
        <f t="shared" si="24"/>
        <v>1359.54</v>
      </c>
      <c r="V149" s="240">
        <v>0</v>
      </c>
      <c r="W149" s="240">
        <f t="shared" si="22"/>
        <v>0</v>
      </c>
      <c r="X149" s="240"/>
    </row>
    <row r="150" spans="1:24">
      <c r="A150" s="15">
        <v>144</v>
      </c>
      <c r="B150" s="126" t="s">
        <v>762</v>
      </c>
      <c r="C150" s="126" t="s">
        <v>1969</v>
      </c>
      <c r="D150" s="124">
        <v>390.1</v>
      </c>
      <c r="E150" s="128">
        <v>36245.61</v>
      </c>
      <c r="F150" s="126"/>
      <c r="G150" s="125">
        <f t="shared" si="15"/>
        <v>36245.61</v>
      </c>
      <c r="H150" s="125"/>
      <c r="I150" s="282"/>
      <c r="J150" s="1584">
        <v>43860</v>
      </c>
      <c r="K150" s="240"/>
      <c r="L150" s="344" t="str">
        <f t="shared" si="21"/>
        <v/>
      </c>
      <c r="P150" s="14" t="str">
        <f t="shared" si="23"/>
        <v>FP-101413</v>
      </c>
      <c r="Q150" s="240">
        <v>36245.61</v>
      </c>
      <c r="R150" s="240">
        <f t="shared" si="24"/>
        <v>36245.61</v>
      </c>
      <c r="V150" s="240">
        <v>0</v>
      </c>
      <c r="W150" s="240">
        <f t="shared" si="22"/>
        <v>0</v>
      </c>
      <c r="X150" s="240"/>
    </row>
    <row r="151" spans="1:24">
      <c r="A151" s="15">
        <v>145</v>
      </c>
      <c r="B151" s="126" t="s">
        <v>762</v>
      </c>
      <c r="C151" s="126" t="s">
        <v>2261</v>
      </c>
      <c r="D151" s="124">
        <v>391.3</v>
      </c>
      <c r="E151" s="128">
        <v>27223.01</v>
      </c>
      <c r="F151" s="345">
        <f>+'State Allocation Formulas'!C21</f>
        <v>0.75170000000000003</v>
      </c>
      <c r="G151" s="125">
        <f>IF($T$8=$Q$7, Q151, R151)</f>
        <v>27223.01</v>
      </c>
      <c r="H151" s="125"/>
      <c r="I151" s="282"/>
      <c r="J151" s="1584">
        <v>43952</v>
      </c>
      <c r="K151" s="240"/>
      <c r="L151" s="344" t="str">
        <f t="shared" si="21"/>
        <v/>
      </c>
      <c r="P151" s="14" t="str">
        <f t="shared" si="23"/>
        <v>FP-306967</v>
      </c>
      <c r="Q151" s="240">
        <v>27223.01</v>
      </c>
      <c r="R151" s="240">
        <f t="shared" si="24"/>
        <v>27223.01</v>
      </c>
      <c r="V151" s="240">
        <v>0</v>
      </c>
      <c r="W151" s="240">
        <f t="shared" si="22"/>
        <v>0</v>
      </c>
      <c r="X151" s="240"/>
    </row>
    <row r="152" spans="1:24">
      <c r="A152" s="15">
        <v>146</v>
      </c>
      <c r="B152" s="126" t="s">
        <v>762</v>
      </c>
      <c r="C152" s="126" t="s">
        <v>2392</v>
      </c>
      <c r="D152" s="124">
        <v>391.1</v>
      </c>
      <c r="E152" s="128">
        <v>176798.64</v>
      </c>
      <c r="F152" s="345">
        <f>+'State Allocation Formulas'!C21</f>
        <v>0.75170000000000003</v>
      </c>
      <c r="G152" s="125">
        <f t="shared" si="15"/>
        <v>176798.64</v>
      </c>
      <c r="H152" s="125"/>
      <c r="I152" s="282"/>
      <c r="J152" s="1584">
        <v>44196</v>
      </c>
      <c r="K152" s="240"/>
      <c r="L152" s="344" t="str">
        <f t="shared" si="21"/>
        <v/>
      </c>
      <c r="P152" s="14" t="str">
        <f t="shared" si="23"/>
        <v>FP-316445</v>
      </c>
      <c r="Q152" s="240">
        <v>176798.64</v>
      </c>
      <c r="R152" s="240">
        <f t="shared" si="24"/>
        <v>176798.64</v>
      </c>
      <c r="V152" s="240">
        <v>0</v>
      </c>
      <c r="W152" s="240">
        <f t="shared" si="22"/>
        <v>0</v>
      </c>
      <c r="X152" s="240"/>
    </row>
    <row r="153" spans="1:24">
      <c r="A153" s="15">
        <v>147</v>
      </c>
      <c r="B153" s="126" t="s">
        <v>762</v>
      </c>
      <c r="C153" s="126" t="s">
        <v>2393</v>
      </c>
      <c r="D153" s="124">
        <v>391.5</v>
      </c>
      <c r="E153" s="128">
        <v>50980</v>
      </c>
      <c r="F153" s="345">
        <f>+'State Allocation Formulas'!C21</f>
        <v>0.75170000000000003</v>
      </c>
      <c r="G153" s="125">
        <f t="shared" si="15"/>
        <v>50980</v>
      </c>
      <c r="H153" s="125"/>
      <c r="I153" s="282"/>
      <c r="J153" s="1584">
        <v>44196</v>
      </c>
      <c r="K153" s="240"/>
      <c r="L153" s="344" t="str">
        <f t="shared" si="21"/>
        <v/>
      </c>
      <c r="P153" s="14" t="str">
        <f t="shared" si="23"/>
        <v>FP-316832</v>
      </c>
      <c r="Q153" s="240">
        <v>50980</v>
      </c>
      <c r="R153" s="240">
        <f t="shared" si="24"/>
        <v>50980</v>
      </c>
      <c r="V153" s="240">
        <v>0</v>
      </c>
      <c r="W153" s="240">
        <f t="shared" si="22"/>
        <v>0</v>
      </c>
      <c r="X153" s="240"/>
    </row>
    <row r="154" spans="1:24">
      <c r="A154" s="15">
        <v>148</v>
      </c>
      <c r="B154" s="126" t="s">
        <v>762</v>
      </c>
      <c r="C154" s="126" t="s">
        <v>2262</v>
      </c>
      <c r="D154" s="124">
        <v>391.3</v>
      </c>
      <c r="E154" s="128">
        <v>17333.2</v>
      </c>
      <c r="F154" s="345">
        <f>+'State Allocation Formulas'!C21</f>
        <v>0.75170000000000003</v>
      </c>
      <c r="G154" s="125">
        <f t="shared" si="15"/>
        <v>17333.2</v>
      </c>
      <c r="H154" s="125"/>
      <c r="I154" s="282"/>
      <c r="J154" s="1584">
        <v>43952</v>
      </c>
      <c r="K154" s="240"/>
      <c r="L154" s="344" t="str">
        <f t="shared" si="21"/>
        <v/>
      </c>
      <c r="P154" s="14" t="str">
        <f t="shared" si="23"/>
        <v>FP-316915</v>
      </c>
      <c r="Q154" s="240">
        <v>17333.2</v>
      </c>
      <c r="R154" s="240">
        <f t="shared" si="24"/>
        <v>17333.2</v>
      </c>
      <c r="V154" s="240">
        <v>0</v>
      </c>
      <c r="W154" s="240">
        <f t="shared" si="22"/>
        <v>0</v>
      </c>
      <c r="X154" s="240"/>
    </row>
    <row r="155" spans="1:24">
      <c r="A155" s="15">
        <v>149</v>
      </c>
      <c r="B155" s="126" t="s">
        <v>762</v>
      </c>
      <c r="C155" s="126" t="s">
        <v>2238</v>
      </c>
      <c r="D155" s="124">
        <v>390.1</v>
      </c>
      <c r="E155" s="128">
        <v>316076</v>
      </c>
      <c r="F155" s="126"/>
      <c r="G155" s="125">
        <f t="shared" si="15"/>
        <v>316076</v>
      </c>
      <c r="H155" s="125"/>
      <c r="I155" s="282"/>
      <c r="J155" s="1584">
        <v>44013</v>
      </c>
      <c r="K155" s="240"/>
      <c r="L155" s="344" t="str">
        <f t="shared" si="21"/>
        <v/>
      </c>
      <c r="P155" s="14" t="str">
        <f t="shared" si="23"/>
        <v>FP-317290</v>
      </c>
      <c r="Q155" s="240">
        <v>316076</v>
      </c>
      <c r="R155" s="240">
        <f t="shared" si="24"/>
        <v>316076</v>
      </c>
      <c r="V155" s="240">
        <v>0</v>
      </c>
      <c r="W155" s="240">
        <f t="shared" si="22"/>
        <v>0</v>
      </c>
      <c r="X155" s="240"/>
    </row>
    <row r="156" spans="1:24">
      <c r="A156" s="15">
        <v>150</v>
      </c>
      <c r="B156" s="126" t="s">
        <v>762</v>
      </c>
      <c r="C156" s="126" t="s">
        <v>1265</v>
      </c>
      <c r="D156" s="124">
        <v>390.1</v>
      </c>
      <c r="E156" s="128">
        <v>15243.69</v>
      </c>
      <c r="F156" s="126"/>
      <c r="G156" s="125">
        <f t="shared" si="15"/>
        <v>15243.69</v>
      </c>
      <c r="H156" s="125"/>
      <c r="I156" s="282"/>
      <c r="J156" s="1584">
        <v>44155</v>
      </c>
      <c r="K156" s="240"/>
      <c r="L156" s="344" t="str">
        <f t="shared" si="21"/>
        <v/>
      </c>
      <c r="P156" s="14" t="str">
        <f t="shared" si="23"/>
        <v>FP-317291</v>
      </c>
      <c r="Q156" s="240">
        <v>15243.69</v>
      </c>
      <c r="R156" s="240">
        <f t="shared" si="24"/>
        <v>15243.69</v>
      </c>
      <c r="V156" s="240">
        <v>0</v>
      </c>
      <c r="W156" s="240">
        <f t="shared" si="22"/>
        <v>0</v>
      </c>
      <c r="X156" s="240"/>
    </row>
    <row r="157" spans="1:24">
      <c r="A157" s="15">
        <v>151</v>
      </c>
      <c r="B157" s="126" t="s">
        <v>762</v>
      </c>
      <c r="C157" s="126" t="s">
        <v>2239</v>
      </c>
      <c r="D157" s="124">
        <v>390</v>
      </c>
      <c r="E157" s="128">
        <v>20392</v>
      </c>
      <c r="F157" s="126"/>
      <c r="G157" s="125">
        <f t="shared" si="15"/>
        <v>20392</v>
      </c>
      <c r="H157" s="125"/>
      <c r="I157" s="282"/>
      <c r="J157" s="1584">
        <v>43987</v>
      </c>
      <c r="K157" s="240"/>
      <c r="L157" s="344" t="str">
        <f t="shared" si="21"/>
        <v/>
      </c>
      <c r="P157" s="14" t="str">
        <f t="shared" si="23"/>
        <v>FP-317387</v>
      </c>
      <c r="Q157" s="240">
        <v>20392</v>
      </c>
      <c r="R157" s="240">
        <f t="shared" si="24"/>
        <v>20392</v>
      </c>
      <c r="V157" s="240">
        <v>0</v>
      </c>
      <c r="W157" s="240">
        <f t="shared" si="22"/>
        <v>0</v>
      </c>
      <c r="X157" s="240"/>
    </row>
    <row r="158" spans="1:24">
      <c r="A158" s="15">
        <v>152</v>
      </c>
      <c r="B158" s="126" t="s">
        <v>762</v>
      </c>
      <c r="C158" s="126" t="s">
        <v>2394</v>
      </c>
      <c r="D158" s="124">
        <v>397</v>
      </c>
      <c r="E158" s="128">
        <v>509800</v>
      </c>
      <c r="F158" s="773">
        <f>+'State Allocation Formulas'!C21</f>
        <v>0.75170000000000003</v>
      </c>
      <c r="G158" s="125">
        <f t="shared" si="15"/>
        <v>509800</v>
      </c>
      <c r="H158" s="125"/>
      <c r="I158" s="282"/>
      <c r="J158" s="1584">
        <v>44196</v>
      </c>
      <c r="K158" s="240"/>
      <c r="L158" s="344" t="str">
        <f t="shared" si="21"/>
        <v/>
      </c>
      <c r="P158" s="14" t="str">
        <f t="shared" si="23"/>
        <v>FP-318192</v>
      </c>
      <c r="Q158" s="240">
        <v>509800</v>
      </c>
      <c r="R158" s="240">
        <f t="shared" si="24"/>
        <v>509800</v>
      </c>
      <c r="V158" s="240">
        <v>0</v>
      </c>
      <c r="W158" s="240">
        <f t="shared" si="22"/>
        <v>0</v>
      </c>
      <c r="X158" s="240"/>
    </row>
    <row r="159" spans="1:24">
      <c r="A159" s="15">
        <v>153</v>
      </c>
      <c r="B159" s="126" t="s">
        <v>762</v>
      </c>
      <c r="C159" s="126" t="s">
        <v>2395</v>
      </c>
      <c r="D159" s="124">
        <v>397</v>
      </c>
      <c r="E159" s="128">
        <v>1223.52</v>
      </c>
      <c r="F159" s="773">
        <f>+'State Allocation Formulas'!C21</f>
        <v>0.75170000000000003</v>
      </c>
      <c r="G159" s="125">
        <f t="shared" si="15"/>
        <v>1223.52</v>
      </c>
      <c r="H159" s="125"/>
      <c r="I159" s="282"/>
      <c r="J159" s="1584">
        <v>44196</v>
      </c>
      <c r="K159" s="240"/>
      <c r="L159" s="344" t="str">
        <f t="shared" si="21"/>
        <v/>
      </c>
      <c r="P159" s="14" t="str">
        <f t="shared" si="23"/>
        <v>FP-318197</v>
      </c>
      <c r="Q159" s="240">
        <v>1223.52</v>
      </c>
      <c r="R159" s="240">
        <f t="shared" si="24"/>
        <v>1223.52</v>
      </c>
      <c r="V159" s="240">
        <v>0</v>
      </c>
      <c r="W159" s="240">
        <f t="shared" si="22"/>
        <v>0</v>
      </c>
      <c r="X159" s="240"/>
    </row>
    <row r="160" spans="1:24">
      <c r="A160" s="15">
        <v>154</v>
      </c>
      <c r="B160" s="126" t="s">
        <v>762</v>
      </c>
      <c r="C160" s="126" t="s">
        <v>2263</v>
      </c>
      <c r="D160" s="124">
        <v>394.1</v>
      </c>
      <c r="E160" s="128">
        <v>14274.4</v>
      </c>
      <c r="F160" s="126"/>
      <c r="G160" s="125">
        <f t="shared" si="15"/>
        <v>14274.4</v>
      </c>
      <c r="H160" s="125"/>
      <c r="I160" s="282"/>
      <c r="J160" s="1584">
        <v>43862</v>
      </c>
      <c r="K160" s="240"/>
      <c r="L160" s="344" t="str">
        <f t="shared" si="21"/>
        <v/>
      </c>
      <c r="P160" s="14" t="str">
        <f t="shared" si="23"/>
        <v>FP-318317</v>
      </c>
      <c r="Q160" s="240">
        <v>14274.4</v>
      </c>
      <c r="R160" s="240">
        <f t="shared" si="24"/>
        <v>14274.4</v>
      </c>
      <c r="V160" s="240">
        <v>0</v>
      </c>
      <c r="W160" s="240">
        <f t="shared" si="22"/>
        <v>0</v>
      </c>
      <c r="X160" s="240"/>
    </row>
    <row r="161" spans="1:24">
      <c r="A161" s="15">
        <v>155</v>
      </c>
      <c r="B161" s="126" t="s">
        <v>762</v>
      </c>
      <c r="C161" s="126" t="s">
        <v>2264</v>
      </c>
      <c r="D161" s="124">
        <v>394.1</v>
      </c>
      <c r="E161" s="128">
        <v>6627.4</v>
      </c>
      <c r="F161" s="126"/>
      <c r="G161" s="125">
        <f t="shared" ref="G161:G194" si="25">IF($T$8=$Q$7, Q161, R161)</f>
        <v>6627.4</v>
      </c>
      <c r="H161" s="125"/>
      <c r="I161" s="282"/>
      <c r="J161" s="1584">
        <v>43862</v>
      </c>
      <c r="K161" s="240"/>
      <c r="L161" s="344" t="str">
        <f t="shared" si="21"/>
        <v/>
      </c>
      <c r="P161" s="14" t="str">
        <f t="shared" si="23"/>
        <v>FP-318319</v>
      </c>
      <c r="Q161" s="240">
        <v>6627.4</v>
      </c>
      <c r="R161" s="240">
        <f t="shared" si="24"/>
        <v>6627.4</v>
      </c>
      <c r="V161" s="240">
        <v>0</v>
      </c>
      <c r="W161" s="240">
        <f t="shared" si="22"/>
        <v>0</v>
      </c>
      <c r="X161" s="240"/>
    </row>
    <row r="162" spans="1:24">
      <c r="A162" s="15">
        <v>156</v>
      </c>
      <c r="B162" s="126" t="s">
        <v>762</v>
      </c>
      <c r="C162" s="126" t="s">
        <v>2240</v>
      </c>
      <c r="D162" s="124">
        <v>390.1</v>
      </c>
      <c r="E162" s="128">
        <v>1064539.08</v>
      </c>
      <c r="F162" s="126"/>
      <c r="G162" s="125">
        <f t="shared" si="25"/>
        <v>1064539.08</v>
      </c>
      <c r="H162" s="125">
        <f>IF($T$12=$V$7, V162, W162)</f>
        <v>0</v>
      </c>
      <c r="I162" s="282">
        <v>13</v>
      </c>
      <c r="J162" s="1584">
        <v>44134</v>
      </c>
      <c r="K162" s="125">
        <f>G162</f>
        <v>1064539.08</v>
      </c>
      <c r="L162" s="344">
        <f t="shared" si="21"/>
        <v>44186</v>
      </c>
      <c r="P162" s="14" t="str">
        <f t="shared" si="23"/>
        <v>FP-318352</v>
      </c>
      <c r="Q162" s="240">
        <v>1064539.08</v>
      </c>
      <c r="R162" s="240">
        <f t="shared" si="24"/>
        <v>1064539.08</v>
      </c>
      <c r="V162" s="240">
        <v>1064539.08</v>
      </c>
      <c r="W162" s="240">
        <f t="shared" si="22"/>
        <v>0</v>
      </c>
      <c r="X162" s="240"/>
    </row>
    <row r="163" spans="1:24">
      <c r="A163" s="15">
        <v>157</v>
      </c>
      <c r="B163" s="126" t="s">
        <v>762</v>
      </c>
      <c r="C163" s="126" t="s">
        <v>2265</v>
      </c>
      <c r="D163" s="124">
        <v>397</v>
      </c>
      <c r="E163" s="128">
        <v>158321.16</v>
      </c>
      <c r="F163" s="345">
        <f>+'State Allocation Formulas'!C21</f>
        <v>0.75170000000000003</v>
      </c>
      <c r="G163" s="125">
        <f t="shared" si="25"/>
        <v>158321.16</v>
      </c>
      <c r="H163" s="125"/>
      <c r="I163" s="282"/>
      <c r="J163" s="1584">
        <v>44150</v>
      </c>
      <c r="K163" s="240"/>
      <c r="L163" s="344" t="str">
        <f t="shared" si="21"/>
        <v/>
      </c>
      <c r="P163" s="14" t="str">
        <f t="shared" si="23"/>
        <v>FP-318706</v>
      </c>
      <c r="Q163" s="240">
        <v>158321.16</v>
      </c>
      <c r="R163" s="240">
        <f t="shared" si="24"/>
        <v>158321.16</v>
      </c>
      <c r="V163" s="240">
        <v>0</v>
      </c>
      <c r="W163" s="240">
        <f t="shared" si="22"/>
        <v>0</v>
      </c>
      <c r="X163" s="240"/>
    </row>
    <row r="164" spans="1:24">
      <c r="A164" s="15">
        <v>158</v>
      </c>
      <c r="B164" s="126" t="s">
        <v>762</v>
      </c>
      <c r="C164" s="126" t="s">
        <v>2241</v>
      </c>
      <c r="D164" s="124">
        <v>390.1</v>
      </c>
      <c r="E164" s="128">
        <v>620912.69999999995</v>
      </c>
      <c r="F164" s="126"/>
      <c r="G164" s="125">
        <f t="shared" si="25"/>
        <v>620912.69999999995</v>
      </c>
      <c r="H164" s="125"/>
      <c r="I164" s="282"/>
      <c r="J164" s="1584">
        <v>44136</v>
      </c>
      <c r="K164" s="240"/>
      <c r="L164" s="344" t="str">
        <f t="shared" si="21"/>
        <v/>
      </c>
      <c r="P164" s="14" t="str">
        <f t="shared" si="23"/>
        <v>FP-318797</v>
      </c>
      <c r="Q164" s="240">
        <v>620912.69999999995</v>
      </c>
      <c r="R164" s="240">
        <f t="shared" si="24"/>
        <v>620912.69999999995</v>
      </c>
      <c r="V164" s="240">
        <v>0</v>
      </c>
      <c r="W164" s="240">
        <f t="shared" si="22"/>
        <v>0</v>
      </c>
      <c r="X164" s="240"/>
    </row>
    <row r="165" spans="1:24">
      <c r="A165" s="15">
        <v>159</v>
      </c>
      <c r="B165" s="126" t="s">
        <v>762</v>
      </c>
      <c r="C165" s="126" t="s">
        <v>2242</v>
      </c>
      <c r="D165" s="124">
        <v>390.1</v>
      </c>
      <c r="E165" s="128">
        <v>76470</v>
      </c>
      <c r="F165" s="126"/>
      <c r="G165" s="125">
        <f t="shared" si="25"/>
        <v>76470</v>
      </c>
      <c r="H165" s="125"/>
      <c r="I165" s="282"/>
      <c r="J165" s="1584">
        <v>44043</v>
      </c>
      <c r="K165" s="240"/>
      <c r="L165" s="344" t="str">
        <f t="shared" si="21"/>
        <v/>
      </c>
      <c r="P165" s="14" t="str">
        <f t="shared" si="23"/>
        <v>FP-318801</v>
      </c>
      <c r="Q165" s="240">
        <v>76470</v>
      </c>
      <c r="R165" s="240">
        <f t="shared" si="24"/>
        <v>76470</v>
      </c>
      <c r="V165" s="240">
        <v>0</v>
      </c>
      <c r="W165" s="240">
        <f t="shared" si="22"/>
        <v>0</v>
      </c>
      <c r="X165" s="240"/>
    </row>
    <row r="166" spans="1:24">
      <c r="A166" s="15">
        <v>160</v>
      </c>
      <c r="B166" s="126" t="s">
        <v>762</v>
      </c>
      <c r="C166" s="126" t="s">
        <v>2266</v>
      </c>
      <c r="D166" s="124">
        <v>394.1</v>
      </c>
      <c r="E166" s="128">
        <v>33646.800000000003</v>
      </c>
      <c r="F166" s="126"/>
      <c r="G166" s="125">
        <f t="shared" si="25"/>
        <v>33646.800000000003</v>
      </c>
      <c r="H166" s="125"/>
      <c r="I166" s="282"/>
      <c r="J166" s="1584">
        <v>43951</v>
      </c>
      <c r="K166" s="240"/>
      <c r="L166" s="344" t="str">
        <f t="shared" si="21"/>
        <v/>
      </c>
      <c r="P166" s="14" t="str">
        <f t="shared" si="23"/>
        <v>FP-318889</v>
      </c>
      <c r="Q166" s="240">
        <v>33646.800000000003</v>
      </c>
      <c r="R166" s="240">
        <f t="shared" si="24"/>
        <v>33646.800000000003</v>
      </c>
      <c r="V166" s="240">
        <v>0</v>
      </c>
      <c r="W166" s="240">
        <f t="shared" si="22"/>
        <v>0</v>
      </c>
      <c r="X166" s="240"/>
    </row>
    <row r="167" spans="1:24">
      <c r="A167" s="15">
        <v>161</v>
      </c>
      <c r="B167" s="126" t="s">
        <v>762</v>
      </c>
      <c r="C167" s="126" t="s">
        <v>2267</v>
      </c>
      <c r="D167" s="124">
        <v>394.1</v>
      </c>
      <c r="E167" s="128">
        <v>23450.799999999999</v>
      </c>
      <c r="F167" s="126"/>
      <c r="G167" s="125">
        <f t="shared" si="25"/>
        <v>23450.799999999999</v>
      </c>
      <c r="H167" s="125"/>
      <c r="I167" s="282"/>
      <c r="J167" s="1584">
        <v>43951</v>
      </c>
      <c r="K167" s="240"/>
      <c r="L167" s="344" t="str">
        <f t="shared" si="21"/>
        <v/>
      </c>
      <c r="P167" s="14" t="str">
        <f t="shared" si="23"/>
        <v>FP-318904</v>
      </c>
      <c r="Q167" s="240">
        <v>23450.799999999999</v>
      </c>
      <c r="R167" s="240">
        <f t="shared" si="24"/>
        <v>23450.799999999999</v>
      </c>
      <c r="V167" s="240">
        <v>0</v>
      </c>
      <c r="W167" s="240">
        <f t="shared" si="22"/>
        <v>0</v>
      </c>
      <c r="X167" s="240"/>
    </row>
    <row r="168" spans="1:24">
      <c r="A168" s="15">
        <v>162</v>
      </c>
      <c r="B168" s="126" t="s">
        <v>762</v>
      </c>
      <c r="C168" s="126" t="s">
        <v>2268</v>
      </c>
      <c r="D168" s="124">
        <v>394.1</v>
      </c>
      <c r="E168" s="128">
        <v>23450.799999999999</v>
      </c>
      <c r="F168" s="126"/>
      <c r="G168" s="125">
        <f t="shared" si="25"/>
        <v>23450.799999999999</v>
      </c>
      <c r="H168" s="125"/>
      <c r="I168" s="282"/>
      <c r="J168" s="1584">
        <v>43988</v>
      </c>
      <c r="K168" s="240"/>
      <c r="L168" s="344" t="str">
        <f t="shared" si="21"/>
        <v/>
      </c>
      <c r="P168" s="14" t="str">
        <f t="shared" si="23"/>
        <v>FP-318914</v>
      </c>
      <c r="Q168" s="240">
        <v>23450.799999999999</v>
      </c>
      <c r="R168" s="240">
        <f t="shared" si="24"/>
        <v>23450.799999999999</v>
      </c>
      <c r="V168" s="240">
        <v>0</v>
      </c>
      <c r="W168" s="240">
        <f t="shared" si="22"/>
        <v>0</v>
      </c>
      <c r="X168" s="240"/>
    </row>
    <row r="169" spans="1:24">
      <c r="A169" s="15">
        <v>163</v>
      </c>
      <c r="B169" s="126" t="s">
        <v>762</v>
      </c>
      <c r="C169" s="126" t="s">
        <v>2269</v>
      </c>
      <c r="D169" s="124">
        <v>394.1</v>
      </c>
      <c r="E169" s="128">
        <v>23450.799999999999</v>
      </c>
      <c r="F169" s="126"/>
      <c r="G169" s="125">
        <f t="shared" si="25"/>
        <v>23450.799999999999</v>
      </c>
      <c r="H169" s="125"/>
      <c r="I169" s="282"/>
      <c r="J169" s="1584">
        <v>44135</v>
      </c>
      <c r="K169" s="240"/>
      <c r="L169" s="344" t="str">
        <f t="shared" si="21"/>
        <v/>
      </c>
      <c r="P169" s="14" t="str">
        <f t="shared" si="23"/>
        <v>FP-318918</v>
      </c>
      <c r="Q169" s="240">
        <v>23450.799999999999</v>
      </c>
      <c r="R169" s="240">
        <f t="shared" si="24"/>
        <v>23450.799999999999</v>
      </c>
      <c r="V169" s="240">
        <v>0</v>
      </c>
      <c r="W169" s="240">
        <f t="shared" si="22"/>
        <v>0</v>
      </c>
      <c r="X169" s="240"/>
    </row>
    <row r="170" spans="1:24">
      <c r="A170" s="15">
        <v>164</v>
      </c>
      <c r="B170" s="126" t="s">
        <v>762</v>
      </c>
      <c r="C170" s="126" t="s">
        <v>2270</v>
      </c>
      <c r="D170" s="124">
        <v>394.1</v>
      </c>
      <c r="E170" s="128">
        <v>8156.8</v>
      </c>
      <c r="F170" s="126"/>
      <c r="G170" s="125">
        <f t="shared" si="25"/>
        <v>8156.8</v>
      </c>
      <c r="H170" s="125"/>
      <c r="I170" s="282"/>
      <c r="J170" s="1584">
        <v>43982</v>
      </c>
      <c r="K170" s="240"/>
      <c r="L170" s="344" t="str">
        <f t="shared" si="21"/>
        <v/>
      </c>
      <c r="P170" s="14" t="str">
        <f t="shared" si="23"/>
        <v>FP-318957</v>
      </c>
      <c r="Q170" s="240">
        <v>8156.8</v>
      </c>
      <c r="R170" s="240">
        <f t="shared" si="24"/>
        <v>8156.8</v>
      </c>
      <c r="V170" s="240">
        <v>0</v>
      </c>
      <c r="W170" s="240">
        <f t="shared" si="22"/>
        <v>0</v>
      </c>
      <c r="X170" s="240"/>
    </row>
    <row r="171" spans="1:24">
      <c r="A171" s="15">
        <v>165</v>
      </c>
      <c r="B171" s="126" t="s">
        <v>762</v>
      </c>
      <c r="C171" s="126" t="s">
        <v>2271</v>
      </c>
      <c r="D171" s="124">
        <v>394.1</v>
      </c>
      <c r="E171" s="128">
        <v>25490</v>
      </c>
      <c r="F171" s="126"/>
      <c r="G171" s="125">
        <f t="shared" si="25"/>
        <v>25490</v>
      </c>
      <c r="H171" s="125"/>
      <c r="I171" s="282"/>
      <c r="J171" s="1584">
        <v>43951</v>
      </c>
      <c r="K171" s="240"/>
      <c r="L171" s="344" t="str">
        <f t="shared" si="21"/>
        <v/>
      </c>
      <c r="P171" s="14" t="str">
        <f t="shared" si="23"/>
        <v>FP-318958</v>
      </c>
      <c r="Q171" s="240">
        <v>25490</v>
      </c>
      <c r="R171" s="240">
        <f t="shared" si="24"/>
        <v>25490</v>
      </c>
      <c r="V171" s="240">
        <v>0</v>
      </c>
      <c r="W171" s="240">
        <f t="shared" si="22"/>
        <v>0</v>
      </c>
      <c r="X171" s="240"/>
    </row>
    <row r="172" spans="1:24">
      <c r="A172" s="15">
        <v>166</v>
      </c>
      <c r="B172" s="126" t="s">
        <v>762</v>
      </c>
      <c r="C172" s="126" t="s">
        <v>2272</v>
      </c>
      <c r="D172" s="124">
        <v>394.1</v>
      </c>
      <c r="E172" s="128">
        <v>20392</v>
      </c>
      <c r="F172" s="126"/>
      <c r="G172" s="125">
        <f t="shared" si="25"/>
        <v>20392</v>
      </c>
      <c r="H172" s="125"/>
      <c r="I172" s="282"/>
      <c r="J172" s="1584">
        <v>44135</v>
      </c>
      <c r="K172" s="240"/>
      <c r="L172" s="344" t="str">
        <f t="shared" si="21"/>
        <v/>
      </c>
      <c r="P172" s="14" t="str">
        <f t="shared" si="23"/>
        <v>FP-318959</v>
      </c>
      <c r="Q172" s="240">
        <v>20392</v>
      </c>
      <c r="R172" s="240">
        <f t="shared" si="24"/>
        <v>20392</v>
      </c>
      <c r="V172" s="240">
        <v>0</v>
      </c>
      <c r="W172" s="240">
        <f t="shared" si="22"/>
        <v>0</v>
      </c>
      <c r="X172" s="240"/>
    </row>
    <row r="173" spans="1:24">
      <c r="A173" s="15">
        <v>167</v>
      </c>
      <c r="B173" s="126" t="s">
        <v>762</v>
      </c>
      <c r="C173" s="126" t="s">
        <v>2273</v>
      </c>
      <c r="D173" s="124">
        <v>394.1</v>
      </c>
      <c r="E173" s="128">
        <v>7137.2</v>
      </c>
      <c r="F173" s="126"/>
      <c r="G173" s="125">
        <f t="shared" si="25"/>
        <v>7137.2</v>
      </c>
      <c r="H173" s="125"/>
      <c r="I173" s="282"/>
      <c r="J173" s="1584">
        <v>43925</v>
      </c>
      <c r="K173" s="240"/>
      <c r="L173" s="344" t="str">
        <f t="shared" si="21"/>
        <v/>
      </c>
      <c r="P173" s="14" t="str">
        <f t="shared" si="23"/>
        <v>FP-319025</v>
      </c>
      <c r="Q173" s="240">
        <v>7137.2</v>
      </c>
      <c r="R173" s="240">
        <f t="shared" si="24"/>
        <v>7137.2</v>
      </c>
      <c r="V173" s="240">
        <v>0</v>
      </c>
      <c r="W173" s="240">
        <f t="shared" si="22"/>
        <v>0</v>
      </c>
      <c r="X173" s="240"/>
    </row>
    <row r="174" spans="1:24">
      <c r="A174" s="15">
        <v>168</v>
      </c>
      <c r="B174" s="126" t="s">
        <v>762</v>
      </c>
      <c r="C174" s="126" t="s">
        <v>2274</v>
      </c>
      <c r="D174" s="124">
        <v>394</v>
      </c>
      <c r="E174" s="128">
        <v>76238.350000000006</v>
      </c>
      <c r="F174" s="345">
        <f>+'State Allocation Formulas'!C21</f>
        <v>0.75170000000000003</v>
      </c>
      <c r="G174" s="125">
        <f t="shared" si="25"/>
        <v>76238.350000000006</v>
      </c>
      <c r="H174" s="125"/>
      <c r="I174" s="282"/>
      <c r="J174" s="1584">
        <v>44012</v>
      </c>
      <c r="K174" s="240"/>
      <c r="L174" s="344" t="str">
        <f t="shared" si="21"/>
        <v/>
      </c>
      <c r="P174" s="14" t="str">
        <f t="shared" si="23"/>
        <v>FP-319043</v>
      </c>
      <c r="Q174" s="240">
        <v>76238.350000000006</v>
      </c>
      <c r="R174" s="240">
        <f t="shared" si="24"/>
        <v>76238.350000000006</v>
      </c>
      <c r="V174" s="240">
        <v>0</v>
      </c>
      <c r="W174" s="240">
        <f t="shared" si="22"/>
        <v>0</v>
      </c>
      <c r="X174" s="240"/>
    </row>
    <row r="175" spans="1:24">
      <c r="A175" s="15">
        <v>169</v>
      </c>
      <c r="B175" s="126" t="s">
        <v>762</v>
      </c>
      <c r="C175" s="126" t="s">
        <v>2243</v>
      </c>
      <c r="D175" s="124">
        <v>390.1</v>
      </c>
      <c r="E175" s="128">
        <v>195305.21</v>
      </c>
      <c r="F175" s="126"/>
      <c r="G175" s="125">
        <f t="shared" si="25"/>
        <v>195305.21</v>
      </c>
      <c r="H175" s="125"/>
      <c r="I175" s="282"/>
      <c r="J175" s="1584">
        <v>44104</v>
      </c>
      <c r="K175" s="240"/>
      <c r="L175" s="344" t="str">
        <f t="shared" si="21"/>
        <v/>
      </c>
      <c r="P175" s="14" t="str">
        <f t="shared" si="23"/>
        <v>FP-319044</v>
      </c>
      <c r="Q175" s="240">
        <v>195305.21</v>
      </c>
      <c r="R175" s="240">
        <f t="shared" si="24"/>
        <v>195305.21</v>
      </c>
      <c r="V175" s="240">
        <v>0</v>
      </c>
      <c r="W175" s="240">
        <f t="shared" si="22"/>
        <v>0</v>
      </c>
      <c r="X175" s="240"/>
    </row>
    <row r="176" spans="1:24">
      <c r="A176" s="15">
        <v>170</v>
      </c>
      <c r="B176" s="126" t="s">
        <v>762</v>
      </c>
      <c r="C176" s="126" t="s">
        <v>2275</v>
      </c>
      <c r="D176" s="124">
        <v>394</v>
      </c>
      <c r="E176" s="128">
        <v>11422.98</v>
      </c>
      <c r="F176" s="345">
        <f>+'State Allocation Formulas'!C21</f>
        <v>0.75170000000000003</v>
      </c>
      <c r="G176" s="125">
        <f t="shared" si="25"/>
        <v>11422.98</v>
      </c>
      <c r="H176" s="125"/>
      <c r="I176" s="282"/>
      <c r="J176" s="1584">
        <v>43920</v>
      </c>
      <c r="K176" s="240"/>
      <c r="L176" s="344" t="str">
        <f t="shared" si="21"/>
        <v/>
      </c>
      <c r="P176" s="14" t="str">
        <f t="shared" si="23"/>
        <v>FP-319045</v>
      </c>
      <c r="Q176" s="240">
        <v>11422.98</v>
      </c>
      <c r="R176" s="240">
        <f t="shared" si="24"/>
        <v>11422.98</v>
      </c>
      <c r="V176" s="240">
        <v>0</v>
      </c>
      <c r="W176" s="240">
        <f t="shared" si="22"/>
        <v>0</v>
      </c>
      <c r="X176" s="240"/>
    </row>
    <row r="177" spans="1:24">
      <c r="A177" s="15">
        <v>171</v>
      </c>
      <c r="B177" s="126" t="s">
        <v>762</v>
      </c>
      <c r="C177" s="126" t="s">
        <v>2276</v>
      </c>
      <c r="D177" s="124">
        <v>394</v>
      </c>
      <c r="E177" s="128">
        <v>13240.14</v>
      </c>
      <c r="F177" s="345">
        <f>+'State Allocation Formulas'!C21</f>
        <v>0.75170000000000003</v>
      </c>
      <c r="G177" s="125">
        <f t="shared" si="25"/>
        <v>13240.14</v>
      </c>
      <c r="H177" s="125"/>
      <c r="I177" s="282"/>
      <c r="J177" s="1584">
        <v>44012</v>
      </c>
      <c r="K177" s="240"/>
      <c r="L177" s="344" t="str">
        <f t="shared" si="21"/>
        <v/>
      </c>
      <c r="P177" s="14" t="str">
        <f t="shared" si="23"/>
        <v>FP-319048</v>
      </c>
      <c r="Q177" s="240">
        <v>13240.14</v>
      </c>
      <c r="R177" s="240">
        <f t="shared" si="24"/>
        <v>13240.14</v>
      </c>
      <c r="V177" s="240">
        <v>0</v>
      </c>
      <c r="W177" s="240">
        <f t="shared" si="22"/>
        <v>0</v>
      </c>
      <c r="X177" s="240"/>
    </row>
    <row r="178" spans="1:24">
      <c r="A178" s="15">
        <v>172</v>
      </c>
      <c r="B178" s="126" t="s">
        <v>762</v>
      </c>
      <c r="C178" s="126" t="s">
        <v>2244</v>
      </c>
      <c r="D178" s="124">
        <v>390</v>
      </c>
      <c r="E178" s="128">
        <v>67673.91</v>
      </c>
      <c r="F178" s="345">
        <f>+'State Allocation Formulas'!C21</f>
        <v>0.75170000000000003</v>
      </c>
      <c r="G178" s="125">
        <f t="shared" si="25"/>
        <v>67673.91</v>
      </c>
      <c r="H178" s="125"/>
      <c r="I178" s="282"/>
      <c r="J178" s="1584">
        <v>43900</v>
      </c>
      <c r="K178" s="240"/>
      <c r="L178" s="344" t="str">
        <f t="shared" si="21"/>
        <v/>
      </c>
      <c r="P178" s="14" t="str">
        <f t="shared" si="23"/>
        <v>FP-319052</v>
      </c>
      <c r="Q178" s="240">
        <v>67673.91</v>
      </c>
      <c r="R178" s="240">
        <f t="shared" si="24"/>
        <v>67673.91</v>
      </c>
      <c r="V178" s="240">
        <v>0</v>
      </c>
      <c r="W178" s="240">
        <f t="shared" si="22"/>
        <v>0</v>
      </c>
      <c r="X178" s="240"/>
    </row>
    <row r="179" spans="1:24">
      <c r="A179" s="15">
        <v>173</v>
      </c>
      <c r="B179" s="126" t="s">
        <v>762</v>
      </c>
      <c r="C179" s="126" t="s">
        <v>2277</v>
      </c>
      <c r="D179" s="124">
        <v>394</v>
      </c>
      <c r="E179" s="128">
        <v>5955.01</v>
      </c>
      <c r="F179" s="345">
        <f>+'State Allocation Formulas'!C21</f>
        <v>0.75170000000000003</v>
      </c>
      <c r="G179" s="125">
        <f t="shared" si="25"/>
        <v>5955.01</v>
      </c>
      <c r="H179" s="125"/>
      <c r="I179" s="282"/>
      <c r="J179" s="1584">
        <v>43891</v>
      </c>
      <c r="K179" s="240"/>
      <c r="L179" s="344" t="str">
        <f t="shared" si="21"/>
        <v/>
      </c>
      <c r="P179" s="14" t="str">
        <f t="shared" si="23"/>
        <v>FP-319053</v>
      </c>
      <c r="Q179" s="240">
        <v>5955.01</v>
      </c>
      <c r="R179" s="240">
        <f t="shared" si="24"/>
        <v>5955.01</v>
      </c>
      <c r="V179" s="240">
        <v>0</v>
      </c>
      <c r="W179" s="240">
        <f t="shared" si="22"/>
        <v>0</v>
      </c>
      <c r="X179" s="240"/>
    </row>
    <row r="180" spans="1:24">
      <c r="A180" s="15">
        <v>174</v>
      </c>
      <c r="B180" s="126" t="s">
        <v>762</v>
      </c>
      <c r="C180" s="126" t="s">
        <v>2245</v>
      </c>
      <c r="D180" s="124">
        <v>390.1</v>
      </c>
      <c r="E180" s="128">
        <v>23392</v>
      </c>
      <c r="F180" s="126"/>
      <c r="G180" s="125">
        <f t="shared" si="25"/>
        <v>23392</v>
      </c>
      <c r="H180" s="125"/>
      <c r="I180" s="282"/>
      <c r="J180" s="1584">
        <v>43920</v>
      </c>
      <c r="K180" s="240"/>
      <c r="L180" s="344" t="str">
        <f t="shared" si="21"/>
        <v/>
      </c>
      <c r="P180" s="14" t="str">
        <f t="shared" si="23"/>
        <v>FP-319090</v>
      </c>
      <c r="Q180" s="240">
        <v>23392</v>
      </c>
      <c r="R180" s="240">
        <f t="shared" si="24"/>
        <v>23392</v>
      </c>
      <c r="V180" s="240">
        <v>0</v>
      </c>
      <c r="W180" s="240">
        <f t="shared" si="22"/>
        <v>0</v>
      </c>
      <c r="X180" s="240"/>
    </row>
    <row r="181" spans="1:24">
      <c r="A181" s="15">
        <v>175</v>
      </c>
      <c r="B181" s="126" t="s">
        <v>762</v>
      </c>
      <c r="C181" s="126" t="s">
        <v>2246</v>
      </c>
      <c r="D181" s="124">
        <v>390.1</v>
      </c>
      <c r="E181" s="128">
        <v>46705.599999999999</v>
      </c>
      <c r="F181" s="126"/>
      <c r="G181" s="125">
        <f t="shared" si="25"/>
        <v>46705.599999999999</v>
      </c>
      <c r="H181" s="125"/>
      <c r="I181" s="282"/>
      <c r="J181" s="1584">
        <v>44094</v>
      </c>
      <c r="K181" s="240"/>
      <c r="L181" s="344" t="str">
        <f t="shared" si="21"/>
        <v/>
      </c>
      <c r="P181" s="14" t="str">
        <f t="shared" si="23"/>
        <v>FP-319091</v>
      </c>
      <c r="Q181" s="240">
        <v>46705.599999999999</v>
      </c>
      <c r="R181" s="240">
        <f t="shared" si="24"/>
        <v>46705.599999999999</v>
      </c>
      <c r="V181" s="240">
        <v>0</v>
      </c>
      <c r="W181" s="240">
        <f t="shared" si="22"/>
        <v>0</v>
      </c>
      <c r="X181" s="240"/>
    </row>
    <row r="182" spans="1:24">
      <c r="A182" s="15">
        <v>176</v>
      </c>
      <c r="B182" s="126" t="s">
        <v>762</v>
      </c>
      <c r="C182" s="126" t="s">
        <v>2247</v>
      </c>
      <c r="D182" s="124">
        <v>390.1</v>
      </c>
      <c r="E182" s="128">
        <v>18294</v>
      </c>
      <c r="F182" s="126"/>
      <c r="G182" s="125">
        <f t="shared" si="25"/>
        <v>18294</v>
      </c>
      <c r="H182" s="125"/>
      <c r="I182" s="282"/>
      <c r="J182" s="1584">
        <v>44185</v>
      </c>
      <c r="K182" s="240"/>
      <c r="L182" s="344" t="str">
        <f t="shared" si="21"/>
        <v/>
      </c>
      <c r="P182" s="14" t="str">
        <f t="shared" si="23"/>
        <v>FP-319092</v>
      </c>
      <c r="Q182" s="240">
        <v>18294</v>
      </c>
      <c r="R182" s="240">
        <f t="shared" si="24"/>
        <v>18294</v>
      </c>
      <c r="V182" s="240">
        <v>0</v>
      </c>
      <c r="W182" s="240">
        <f t="shared" si="22"/>
        <v>0</v>
      </c>
      <c r="X182" s="240"/>
    </row>
    <row r="183" spans="1:24">
      <c r="A183" s="15">
        <v>177</v>
      </c>
      <c r="B183" s="126" t="s">
        <v>762</v>
      </c>
      <c r="C183" s="126" t="s">
        <v>2248</v>
      </c>
      <c r="D183" s="124">
        <v>390.1</v>
      </c>
      <c r="E183" s="128">
        <v>13196</v>
      </c>
      <c r="F183" s="126"/>
      <c r="G183" s="125">
        <f t="shared" si="25"/>
        <v>13196</v>
      </c>
      <c r="H183" s="125"/>
      <c r="I183" s="282"/>
      <c r="J183" s="1584">
        <v>44014</v>
      </c>
      <c r="K183" s="240"/>
      <c r="L183" s="344" t="str">
        <f t="shared" si="21"/>
        <v/>
      </c>
      <c r="P183" s="14" t="str">
        <f t="shared" si="23"/>
        <v>FP-319093</v>
      </c>
      <c r="Q183" s="240">
        <v>13196</v>
      </c>
      <c r="R183" s="240">
        <f t="shared" si="24"/>
        <v>13196</v>
      </c>
      <c r="V183" s="240">
        <v>0</v>
      </c>
      <c r="W183" s="240">
        <f t="shared" si="22"/>
        <v>0</v>
      </c>
      <c r="X183" s="240"/>
    </row>
    <row r="184" spans="1:24">
      <c r="A184" s="15">
        <v>178</v>
      </c>
      <c r="B184" s="126" t="s">
        <v>762</v>
      </c>
      <c r="C184" s="126" t="s">
        <v>2249</v>
      </c>
      <c r="D184" s="124">
        <v>390.1</v>
      </c>
      <c r="E184" s="128">
        <v>5607.8</v>
      </c>
      <c r="F184" s="126"/>
      <c r="G184" s="125">
        <f t="shared" si="25"/>
        <v>5607.8</v>
      </c>
      <c r="H184" s="125"/>
      <c r="I184" s="282"/>
      <c r="J184" s="1584">
        <v>44124</v>
      </c>
      <c r="K184" s="240"/>
      <c r="L184" s="344" t="str">
        <f t="shared" si="21"/>
        <v/>
      </c>
      <c r="P184" s="14" t="str">
        <f t="shared" si="23"/>
        <v>FP-319094</v>
      </c>
      <c r="Q184" s="240">
        <v>5607.8</v>
      </c>
      <c r="R184" s="240">
        <f t="shared" si="24"/>
        <v>5607.8</v>
      </c>
      <c r="V184" s="240">
        <v>0</v>
      </c>
      <c r="W184" s="240">
        <f t="shared" si="22"/>
        <v>0</v>
      </c>
      <c r="X184" s="240"/>
    </row>
    <row r="185" spans="1:24">
      <c r="A185" s="15">
        <v>179</v>
      </c>
      <c r="B185" s="126" t="s">
        <v>762</v>
      </c>
      <c r="C185" s="126" t="s">
        <v>2250</v>
      </c>
      <c r="D185" s="124">
        <v>390.1</v>
      </c>
      <c r="E185" s="128">
        <v>3958.8</v>
      </c>
      <c r="F185" s="126"/>
      <c r="G185" s="125">
        <f t="shared" si="25"/>
        <v>3958.8</v>
      </c>
      <c r="H185" s="125"/>
      <c r="I185" s="282"/>
      <c r="J185" s="1584">
        <v>44141</v>
      </c>
      <c r="K185" s="240"/>
      <c r="L185" s="344" t="str">
        <f t="shared" si="21"/>
        <v/>
      </c>
      <c r="P185" s="14" t="str">
        <f t="shared" si="23"/>
        <v>FP-319098</v>
      </c>
      <c r="Q185" s="240">
        <v>3958.8</v>
      </c>
      <c r="R185" s="240">
        <f t="shared" si="24"/>
        <v>3958.8</v>
      </c>
      <c r="V185" s="240">
        <v>0</v>
      </c>
      <c r="W185" s="240">
        <f t="shared" si="22"/>
        <v>0</v>
      </c>
      <c r="X185" s="240"/>
    </row>
    <row r="186" spans="1:24">
      <c r="A186" s="15">
        <v>180</v>
      </c>
      <c r="B186" s="126" t="s">
        <v>762</v>
      </c>
      <c r="C186" s="126" t="s">
        <v>2278</v>
      </c>
      <c r="D186" s="124">
        <v>394.1</v>
      </c>
      <c r="E186" s="128">
        <v>4282.32</v>
      </c>
      <c r="F186" s="345"/>
      <c r="G186" s="125">
        <f t="shared" si="25"/>
        <v>4282.32</v>
      </c>
      <c r="H186" s="125"/>
      <c r="I186" s="282"/>
      <c r="J186" s="1584">
        <v>43956</v>
      </c>
      <c r="K186" s="240"/>
      <c r="L186" s="344" t="str">
        <f t="shared" si="21"/>
        <v/>
      </c>
      <c r="P186" s="14" t="str">
        <f t="shared" si="23"/>
        <v>FP-319100</v>
      </c>
      <c r="Q186" s="240">
        <v>4282.32</v>
      </c>
      <c r="R186" s="240">
        <f t="shared" si="24"/>
        <v>4282.32</v>
      </c>
      <c r="V186" s="240">
        <v>0</v>
      </c>
      <c r="W186" s="240">
        <f t="shared" si="22"/>
        <v>0</v>
      </c>
      <c r="X186" s="240"/>
    </row>
    <row r="187" spans="1:24">
      <c r="A187" s="15">
        <v>181</v>
      </c>
      <c r="B187" s="126" t="s">
        <v>762</v>
      </c>
      <c r="C187" s="126" t="s">
        <v>2279</v>
      </c>
      <c r="D187" s="124">
        <v>394.1</v>
      </c>
      <c r="E187" s="128">
        <v>3059.82</v>
      </c>
      <c r="F187" s="126"/>
      <c r="G187" s="125">
        <f t="shared" si="25"/>
        <v>3059.82</v>
      </c>
      <c r="H187" s="125"/>
      <c r="I187" s="282"/>
      <c r="J187" s="1584">
        <v>43956</v>
      </c>
      <c r="K187" s="240"/>
      <c r="L187" s="344" t="str">
        <f t="shared" si="21"/>
        <v/>
      </c>
      <c r="P187" s="14" t="str">
        <f t="shared" si="23"/>
        <v>FP-319101</v>
      </c>
      <c r="Q187" s="240">
        <v>3059.82</v>
      </c>
      <c r="R187" s="240">
        <f t="shared" si="24"/>
        <v>3059.82</v>
      </c>
      <c r="V187" s="240">
        <v>0</v>
      </c>
      <c r="W187" s="240">
        <f t="shared" si="22"/>
        <v>0</v>
      </c>
      <c r="X187" s="240"/>
    </row>
    <row r="188" spans="1:24">
      <c r="A188" s="15">
        <v>182</v>
      </c>
      <c r="B188" s="126" t="s">
        <v>762</v>
      </c>
      <c r="C188" s="126" t="s">
        <v>2280</v>
      </c>
      <c r="D188" s="124">
        <v>391.5</v>
      </c>
      <c r="E188" s="128">
        <v>2447.04</v>
      </c>
      <c r="F188" s="126"/>
      <c r="G188" s="125">
        <f t="shared" si="25"/>
        <v>2447.04</v>
      </c>
      <c r="H188" s="125"/>
      <c r="I188" s="282"/>
      <c r="J188" s="1584">
        <v>43931</v>
      </c>
      <c r="K188" s="240"/>
      <c r="L188" s="344" t="str">
        <f t="shared" si="21"/>
        <v/>
      </c>
      <c r="P188" s="14" t="str">
        <f t="shared" si="23"/>
        <v>FP-319102</v>
      </c>
      <c r="Q188" s="240">
        <v>2447.04</v>
      </c>
      <c r="R188" s="240">
        <f t="shared" si="24"/>
        <v>2447.04</v>
      </c>
      <c r="V188" s="240">
        <v>0</v>
      </c>
      <c r="W188" s="240">
        <f t="shared" si="22"/>
        <v>0</v>
      </c>
      <c r="X188" s="240"/>
    </row>
    <row r="189" spans="1:24">
      <c r="A189" s="15">
        <v>183</v>
      </c>
      <c r="B189" s="126" t="s">
        <v>762</v>
      </c>
      <c r="C189" s="126" t="s">
        <v>2251</v>
      </c>
      <c r="D189" s="124">
        <v>390.1</v>
      </c>
      <c r="E189" s="128">
        <v>2039.2</v>
      </c>
      <c r="F189" s="126"/>
      <c r="G189" s="125">
        <f t="shared" si="25"/>
        <v>2039.2</v>
      </c>
      <c r="H189" s="125"/>
      <c r="I189" s="282"/>
      <c r="J189" s="1584">
        <v>44155</v>
      </c>
      <c r="K189" s="240"/>
      <c r="L189" s="344" t="str">
        <f t="shared" si="21"/>
        <v/>
      </c>
      <c r="P189" s="14" t="str">
        <f t="shared" si="23"/>
        <v>FP-319120</v>
      </c>
      <c r="Q189" s="240">
        <v>2039.2</v>
      </c>
      <c r="R189" s="240">
        <f t="shared" si="24"/>
        <v>2039.2</v>
      </c>
      <c r="V189" s="240">
        <v>0</v>
      </c>
      <c r="W189" s="240">
        <f t="shared" si="22"/>
        <v>0</v>
      </c>
      <c r="X189" s="240"/>
    </row>
    <row r="190" spans="1:24">
      <c r="A190" s="15">
        <v>184</v>
      </c>
      <c r="B190" s="126" t="s">
        <v>762</v>
      </c>
      <c r="C190" s="126" t="s">
        <v>2281</v>
      </c>
      <c r="D190" s="124">
        <v>398</v>
      </c>
      <c r="E190" s="128">
        <v>2039.2</v>
      </c>
      <c r="F190" s="126"/>
      <c r="G190" s="125">
        <f t="shared" si="25"/>
        <v>2039.2</v>
      </c>
      <c r="H190" s="125"/>
      <c r="I190" s="282"/>
      <c r="J190" s="1584">
        <v>43997</v>
      </c>
      <c r="K190" s="240"/>
      <c r="L190" s="344" t="str">
        <f t="shared" si="21"/>
        <v/>
      </c>
      <c r="P190" s="14" t="str">
        <f t="shared" si="23"/>
        <v>FP-319132</v>
      </c>
      <c r="Q190" s="240">
        <v>2039.2</v>
      </c>
      <c r="R190" s="240">
        <f t="shared" si="24"/>
        <v>2039.2</v>
      </c>
      <c r="V190" s="240">
        <v>0</v>
      </c>
      <c r="W190" s="240">
        <f t="shared" si="22"/>
        <v>0</v>
      </c>
      <c r="X190" s="240"/>
    </row>
    <row r="191" spans="1:24">
      <c r="A191" s="15">
        <v>185</v>
      </c>
      <c r="B191" s="126" t="s">
        <v>762</v>
      </c>
      <c r="C191" s="126" t="s">
        <v>2282</v>
      </c>
      <c r="D191" s="124">
        <v>394.1</v>
      </c>
      <c r="E191" s="128">
        <v>15905.76</v>
      </c>
      <c r="F191" s="126"/>
      <c r="G191" s="125">
        <f t="shared" si="25"/>
        <v>15905.76</v>
      </c>
      <c r="H191" s="125"/>
      <c r="I191" s="282"/>
      <c r="J191" s="1584">
        <v>44140</v>
      </c>
      <c r="K191" s="240"/>
      <c r="L191" s="344" t="str">
        <f t="shared" si="21"/>
        <v/>
      </c>
      <c r="P191" s="14" t="str">
        <f t="shared" si="23"/>
        <v>FP-319143</v>
      </c>
      <c r="Q191" s="240">
        <v>15905.76</v>
      </c>
      <c r="R191" s="240">
        <f t="shared" si="24"/>
        <v>15905.76</v>
      </c>
      <c r="V191" s="240">
        <v>0</v>
      </c>
      <c r="W191" s="240">
        <f t="shared" si="22"/>
        <v>0</v>
      </c>
      <c r="X191" s="240"/>
    </row>
    <row r="192" spans="1:24">
      <c r="A192" s="15">
        <v>186</v>
      </c>
      <c r="B192" s="126" t="s">
        <v>762</v>
      </c>
      <c r="C192" s="126" t="s">
        <v>2252</v>
      </c>
      <c r="D192" s="124">
        <v>390.1</v>
      </c>
      <c r="E192" s="128">
        <v>100372.18</v>
      </c>
      <c r="F192" s="345"/>
      <c r="G192" s="125">
        <f t="shared" si="25"/>
        <v>100372.18</v>
      </c>
      <c r="H192" s="125"/>
      <c r="I192" s="282"/>
      <c r="J192" s="1584">
        <v>43879</v>
      </c>
      <c r="K192" s="240"/>
      <c r="L192" s="344" t="str">
        <f t="shared" si="21"/>
        <v/>
      </c>
      <c r="P192" s="14" t="str">
        <f t="shared" si="23"/>
        <v>FP-319146</v>
      </c>
      <c r="Q192" s="240">
        <v>100372.18</v>
      </c>
      <c r="R192" s="240">
        <f t="shared" si="24"/>
        <v>100372.18</v>
      </c>
      <c r="V192" s="240">
        <v>0</v>
      </c>
      <c r="W192" s="240">
        <f t="shared" si="22"/>
        <v>0</v>
      </c>
      <c r="X192" s="240"/>
    </row>
    <row r="193" spans="1:24">
      <c r="A193" s="15">
        <v>187</v>
      </c>
      <c r="B193" s="126" t="s">
        <v>762</v>
      </c>
      <c r="C193" s="126" t="s">
        <v>2283</v>
      </c>
      <c r="D193" s="124">
        <v>394.1</v>
      </c>
      <c r="E193" s="128">
        <v>2039.2</v>
      </c>
      <c r="F193" s="345"/>
      <c r="G193" s="125">
        <f t="shared" si="25"/>
        <v>2039.2</v>
      </c>
      <c r="H193" s="125"/>
      <c r="I193" s="282"/>
      <c r="J193" s="1584">
        <v>43966</v>
      </c>
      <c r="K193" s="240"/>
      <c r="L193" s="344" t="str">
        <f t="shared" si="21"/>
        <v/>
      </c>
      <c r="P193" s="14" t="str">
        <f t="shared" si="23"/>
        <v>FP-319147</v>
      </c>
      <c r="Q193" s="240">
        <v>2039.2</v>
      </c>
      <c r="R193" s="240">
        <f t="shared" si="24"/>
        <v>2039.2</v>
      </c>
      <c r="V193" s="240">
        <v>0</v>
      </c>
      <c r="W193" s="240">
        <f t="shared" si="22"/>
        <v>0</v>
      </c>
      <c r="X193" s="240"/>
    </row>
    <row r="194" spans="1:24">
      <c r="A194" s="15">
        <v>188</v>
      </c>
      <c r="B194" s="126" t="s">
        <v>762</v>
      </c>
      <c r="C194" s="126" t="s">
        <v>2253</v>
      </c>
      <c r="D194" s="124">
        <v>394.1</v>
      </c>
      <c r="E194" s="128">
        <v>5534.02</v>
      </c>
      <c r="F194" s="345">
        <f>+'State Allocation Formulas'!C21</f>
        <v>0.75170000000000003</v>
      </c>
      <c r="G194" s="125">
        <f t="shared" si="25"/>
        <v>5534.02</v>
      </c>
      <c r="H194" s="125"/>
      <c r="I194" s="282"/>
      <c r="J194" s="1584">
        <v>43845</v>
      </c>
      <c r="K194" s="240"/>
      <c r="L194" s="344" t="str">
        <f t="shared" si="21"/>
        <v/>
      </c>
      <c r="P194" s="14" t="str">
        <f t="shared" si="23"/>
        <v>FP-319284</v>
      </c>
      <c r="Q194" s="240">
        <v>5534.02</v>
      </c>
      <c r="R194" s="240">
        <f t="shared" si="24"/>
        <v>5534.02</v>
      </c>
      <c r="V194" s="240">
        <v>0</v>
      </c>
      <c r="W194" s="240">
        <f t="shared" si="22"/>
        <v>0</v>
      </c>
      <c r="X194" s="240"/>
    </row>
    <row r="195" spans="1:24">
      <c r="A195" s="15">
        <v>189</v>
      </c>
      <c r="B195" s="126" t="s">
        <v>762</v>
      </c>
      <c r="C195" s="126" t="s">
        <v>2254</v>
      </c>
      <c r="D195" s="124">
        <v>394.1</v>
      </c>
      <c r="E195" s="128">
        <v>6159.1</v>
      </c>
      <c r="F195" s="126"/>
      <c r="G195" s="125">
        <f>IF($T$8=$Q$7, Q195, R195)</f>
        <v>6159.1</v>
      </c>
      <c r="H195" s="125"/>
      <c r="I195" s="282"/>
      <c r="J195" s="1584">
        <v>43890</v>
      </c>
      <c r="K195" s="240"/>
      <c r="L195" s="344" t="str">
        <f t="shared" si="21"/>
        <v/>
      </c>
      <c r="P195" s="14" t="str">
        <f t="shared" si="23"/>
        <v>FP-319289</v>
      </c>
      <c r="Q195" s="240">
        <v>6159.1</v>
      </c>
      <c r="R195" s="240">
        <f t="shared" si="24"/>
        <v>6159.1</v>
      </c>
      <c r="V195" s="240">
        <v>0</v>
      </c>
      <c r="W195" s="240">
        <f t="shared" si="22"/>
        <v>0</v>
      </c>
      <c r="X195" s="240"/>
    </row>
    <row r="196" spans="1:24">
      <c r="A196" s="15">
        <v>190</v>
      </c>
      <c r="B196" s="346"/>
      <c r="C196" s="347" t="s">
        <v>761</v>
      </c>
      <c r="D196" s="129"/>
      <c r="E196" s="348">
        <f>SUM(E148:E195)</f>
        <v>4122994.1699999995</v>
      </c>
      <c r="F196" s="346"/>
      <c r="G196" s="349">
        <f>SUM(G148:G195)</f>
        <v>4122994.1699999995</v>
      </c>
      <c r="H196" s="349">
        <f>SUM(H148:H195)</f>
        <v>0</v>
      </c>
      <c r="I196" s="350"/>
      <c r="J196" s="766"/>
      <c r="K196" s="240">
        <f>SUM(K10:K195)</f>
        <v>43377454.640000008</v>
      </c>
    </row>
    <row r="197" spans="1:24">
      <c r="B197" s="346"/>
      <c r="C197" s="346"/>
      <c r="D197" s="127"/>
      <c r="E197" s="128"/>
      <c r="F197" s="346"/>
      <c r="G197" s="353"/>
      <c r="H197" s="353"/>
      <c r="I197" s="350"/>
      <c r="J197" s="766"/>
      <c r="Q197" s="240">
        <f>SUM(Q8:Q195)</f>
        <v>105799114.32584302</v>
      </c>
      <c r="R197" s="240">
        <f>SUM(R8:R195)</f>
        <v>83070931.680866972</v>
      </c>
      <c r="V197" s="240">
        <f>SUM(V8:V195)</f>
        <v>66105637.284975998</v>
      </c>
      <c r="W197" s="240">
        <f>SUM(W8:W195)</f>
        <v>36315009.184975997</v>
      </c>
      <c r="X197" s="240"/>
    </row>
    <row r="198" spans="1:24">
      <c r="B198" s="346"/>
      <c r="C198" s="347"/>
      <c r="D198" s="127"/>
      <c r="E198" s="128"/>
      <c r="F198" s="346"/>
      <c r="G198" s="353"/>
      <c r="H198" s="353"/>
      <c r="I198" s="350"/>
      <c r="J198" s="766"/>
    </row>
    <row r="199" spans="1:24">
      <c r="B199" s="346"/>
      <c r="C199" s="346"/>
      <c r="D199" s="127"/>
      <c r="E199" s="128"/>
      <c r="F199" s="346"/>
      <c r="G199" s="353"/>
      <c r="H199" s="353"/>
      <c r="I199" s="346"/>
      <c r="J199" s="766"/>
      <c r="R199" s="240">
        <f>Q197-R197</f>
        <v>22728182.64497605</v>
      </c>
      <c r="W199" s="240">
        <f>V197-W197</f>
        <v>29790628.100000001</v>
      </c>
    </row>
    <row r="200" spans="1:24" ht="16.2" thickBot="1">
      <c r="A200" s="15">
        <v>191</v>
      </c>
      <c r="B200" s="346"/>
      <c r="C200" s="347" t="s">
        <v>51</v>
      </c>
      <c r="D200" s="129"/>
      <c r="E200" s="348">
        <f>E30+E146+E196</f>
        <v>107587702.26999998</v>
      </c>
      <c r="F200" s="346"/>
      <c r="G200" s="354">
        <f>G30+G146+G196</f>
        <v>83070931.680867001</v>
      </c>
      <c r="H200" s="355">
        <f>H30+H146+H196</f>
        <v>13586826.540000001</v>
      </c>
      <c r="I200" s="346"/>
      <c r="J200" s="1748"/>
      <c r="K200" s="1788">
        <f>SUMIF(J8:J195, "&lt;10/1/20", G8:G195)</f>
        <v>17599266.379716005</v>
      </c>
    </row>
    <row r="201" spans="1:24" ht="16.2" thickTop="1">
      <c r="B201" s="346"/>
      <c r="C201" s="346"/>
      <c r="D201" s="127"/>
      <c r="E201" s="128"/>
      <c r="F201" s="346"/>
      <c r="G201" s="353"/>
      <c r="H201" s="346"/>
      <c r="I201" s="346"/>
      <c r="J201" s="767"/>
    </row>
    <row r="202" spans="1:24">
      <c r="B202" s="346"/>
      <c r="C202" s="347"/>
      <c r="D202" s="127"/>
      <c r="E202" s="128"/>
      <c r="F202" s="346"/>
      <c r="G202" s="353"/>
      <c r="H202" s="346"/>
      <c r="I202" s="346"/>
      <c r="J202" s="768"/>
    </row>
    <row r="203" spans="1:24">
      <c r="B203" s="126"/>
      <c r="C203" s="126"/>
      <c r="D203" s="124"/>
      <c r="E203" s="124"/>
      <c r="F203" s="126"/>
      <c r="G203" s="126"/>
      <c r="H203" s="125"/>
      <c r="I203" s="126"/>
      <c r="J203" s="769"/>
    </row>
    <row r="204" spans="1:24">
      <c r="A204" s="15">
        <v>192</v>
      </c>
      <c r="B204" s="126" t="s">
        <v>764</v>
      </c>
      <c r="C204" s="126"/>
      <c r="D204" s="124"/>
      <c r="E204" s="124"/>
      <c r="F204" s="126"/>
      <c r="G204" s="352"/>
      <c r="H204" s="126"/>
      <c r="I204" s="126"/>
      <c r="J204" s="769"/>
    </row>
    <row r="205" spans="1:24">
      <c r="A205" s="15">
        <v>193</v>
      </c>
      <c r="B205" s="356"/>
      <c r="C205" s="126"/>
      <c r="D205" s="124"/>
      <c r="E205" s="124"/>
      <c r="F205" s="126"/>
      <c r="G205" s="282" t="s">
        <v>767</v>
      </c>
      <c r="H205" s="282" t="s">
        <v>2434</v>
      </c>
      <c r="I205" s="282" t="s">
        <v>1068</v>
      </c>
      <c r="J205" s="770" t="s">
        <v>765</v>
      </c>
    </row>
    <row r="206" spans="1:24">
      <c r="A206" s="15">
        <v>194</v>
      </c>
      <c r="B206" s="282" t="s">
        <v>777</v>
      </c>
      <c r="C206" s="126" t="s">
        <v>733</v>
      </c>
      <c r="D206" s="124">
        <f>SUMIF(I8:I195,B206,G8:G195)</f>
        <v>12762873.219999999</v>
      </c>
      <c r="F206" s="126"/>
      <c r="G206" s="282" t="s">
        <v>768</v>
      </c>
      <c r="H206" s="282" t="s">
        <v>367</v>
      </c>
      <c r="I206" s="15" t="s">
        <v>2435</v>
      </c>
      <c r="J206" s="770" t="s">
        <v>766</v>
      </c>
      <c r="M206" s="14" t="s">
        <v>367</v>
      </c>
      <c r="N206" s="14" t="s">
        <v>3213</v>
      </c>
      <c r="P206" s="14" t="s">
        <v>70</v>
      </c>
    </row>
    <row r="207" spans="1:24">
      <c r="A207" s="15">
        <v>195</v>
      </c>
      <c r="B207" s="282"/>
      <c r="C207" s="356"/>
      <c r="D207" s="124"/>
      <c r="E207" s="124"/>
      <c r="F207" s="126"/>
      <c r="G207" s="126">
        <v>303</v>
      </c>
      <c r="H207" s="125">
        <f>+H30</f>
        <v>5701787.3200000003</v>
      </c>
      <c r="I207" s="773">
        <v>0.12809999999999999</v>
      </c>
      <c r="J207" s="775">
        <f>+H207*I207</f>
        <v>730398.95569199999</v>
      </c>
      <c r="M207" s="125">
        <f>+SUMIF($D$8:$D$195,G207,$G$8:$G$195)-H207</f>
        <v>8822689.8803309985</v>
      </c>
      <c r="N207" s="125">
        <f>M207*I207</f>
        <v>1130186.5736704008</v>
      </c>
      <c r="P207" s="14">
        <v>10</v>
      </c>
    </row>
    <row r="208" spans="1:24">
      <c r="A208" s="15">
        <v>196</v>
      </c>
      <c r="B208" s="356"/>
      <c r="F208" s="126"/>
      <c r="G208" s="126">
        <v>367.1</v>
      </c>
      <c r="H208" s="125">
        <f>+SUMIF($D$34:$D$195,G208,$H$34:$H$195)</f>
        <v>0</v>
      </c>
      <c r="I208" s="773">
        <f>+'EOP Depreciation Expense Adj'!E17</f>
        <v>1.4999999999999999E-2</v>
      </c>
      <c r="J208" s="775">
        <f t="shared" ref="J208:J222" si="26">+H208*I208</f>
        <v>0</v>
      </c>
      <c r="L208" s="809"/>
      <c r="M208" s="125">
        <f t="shared" ref="M208:M222" si="27">+SUMIF($D$8:$D$195,G208,$G$8:$G$195)-H208</f>
        <v>4809811.12</v>
      </c>
      <c r="N208" s="125">
        <f t="shared" ref="N208:N223" si="28">M208*I208</f>
        <v>72147.166799999992</v>
      </c>
    </row>
    <row r="209" spans="1:17">
      <c r="A209" s="15">
        <v>197</v>
      </c>
      <c r="B209" s="356"/>
      <c r="C209" s="356"/>
      <c r="D209" s="124"/>
      <c r="E209" s="124"/>
      <c r="F209" s="126"/>
      <c r="G209" s="126">
        <v>374.2</v>
      </c>
      <c r="H209" s="125">
        <f t="shared" ref="H209:H222" si="29">+SUMIF($D$34:$D$195,G209,$H$34:$H$195)</f>
        <v>0</v>
      </c>
      <c r="I209" s="773">
        <f>+'EOP Depreciation Expense Adj'!E20</f>
        <v>1.6399999999999998E-2</v>
      </c>
      <c r="J209" s="775">
        <f t="shared" si="26"/>
        <v>0</v>
      </c>
      <c r="L209" s="809"/>
      <c r="M209" s="125">
        <f t="shared" si="27"/>
        <v>0</v>
      </c>
      <c r="N209" s="125">
        <f t="shared" si="28"/>
        <v>0</v>
      </c>
    </row>
    <row r="210" spans="1:17">
      <c r="A210" s="15">
        <v>198</v>
      </c>
      <c r="B210" s="356"/>
      <c r="C210" s="126"/>
      <c r="D210" s="124"/>
      <c r="E210" s="124"/>
      <c r="F210" s="126"/>
      <c r="G210" s="126">
        <v>376.1</v>
      </c>
      <c r="H210" s="125">
        <f t="shared" si="29"/>
        <v>402968.57</v>
      </c>
      <c r="I210" s="773">
        <f>+'EOP Depreciation Expense Adj'!E24</f>
        <v>3.56E-2</v>
      </c>
      <c r="J210" s="775">
        <f t="shared" si="26"/>
        <v>14345.681092000001</v>
      </c>
      <c r="L210" s="809"/>
      <c r="M210" s="125">
        <f t="shared" si="27"/>
        <v>1175692.8</v>
      </c>
      <c r="N210" s="125">
        <f t="shared" si="28"/>
        <v>41854.663679999998</v>
      </c>
    </row>
    <row r="211" spans="1:17">
      <c r="A211" s="15">
        <v>199</v>
      </c>
      <c r="B211" s="356"/>
      <c r="C211" s="126"/>
      <c r="D211" s="124"/>
      <c r="E211" s="124"/>
      <c r="F211" s="126"/>
      <c r="G211" s="126">
        <v>376.2</v>
      </c>
      <c r="H211" s="125">
        <f t="shared" si="29"/>
        <v>5715924.2199999997</v>
      </c>
      <c r="I211" s="773">
        <f>+'EOP Depreciation Expense Adj'!E22</f>
        <v>1.52E-2</v>
      </c>
      <c r="J211" s="775">
        <f t="shared" si="26"/>
        <v>86882.048144</v>
      </c>
      <c r="L211" s="809"/>
      <c r="M211" s="125">
        <f t="shared" si="27"/>
        <v>28143841.160000004</v>
      </c>
      <c r="N211" s="125">
        <f t="shared" si="28"/>
        <v>427786.38563200005</v>
      </c>
    </row>
    <row r="212" spans="1:17">
      <c r="A212" s="15">
        <v>200</v>
      </c>
      <c r="B212" s="356"/>
      <c r="C212" s="126"/>
      <c r="D212" s="124"/>
      <c r="E212" s="124"/>
      <c r="F212" s="126"/>
      <c r="G212" s="126">
        <v>376.3</v>
      </c>
      <c r="H212" s="125">
        <f t="shared" si="29"/>
        <v>213957.59</v>
      </c>
      <c r="I212" s="773">
        <f>+'EOP Depreciation Expense Adj'!E23</f>
        <v>2.81E-2</v>
      </c>
      <c r="J212" s="775">
        <f t="shared" si="26"/>
        <v>6012.2082789999995</v>
      </c>
      <c r="L212" s="809"/>
      <c r="M212" s="125">
        <f t="shared" si="27"/>
        <v>6076946.3400000017</v>
      </c>
      <c r="N212" s="125">
        <f t="shared" si="28"/>
        <v>170762.19215400005</v>
      </c>
    </row>
    <row r="213" spans="1:17">
      <c r="A213" s="15">
        <v>201</v>
      </c>
      <c r="B213" s="356"/>
      <c r="C213" s="126"/>
      <c r="D213" s="124"/>
      <c r="E213" s="124"/>
      <c r="F213" s="126"/>
      <c r="G213" s="126">
        <v>378</v>
      </c>
      <c r="H213" s="125">
        <f t="shared" si="29"/>
        <v>1552188.84</v>
      </c>
      <c r="I213" s="773">
        <f>+'EOP Depreciation Expense Adj'!E26</f>
        <v>1.9699999999999999E-2</v>
      </c>
      <c r="J213" s="775">
        <f t="shared" si="26"/>
        <v>30578.120147999998</v>
      </c>
      <c r="L213" s="809"/>
      <c r="M213" s="125">
        <f t="shared" si="27"/>
        <v>4456070.97</v>
      </c>
      <c r="N213" s="125">
        <f t="shared" si="28"/>
        <v>87784.598108999984</v>
      </c>
    </row>
    <row r="214" spans="1:17">
      <c r="A214" s="15">
        <v>202</v>
      </c>
      <c r="B214" s="356"/>
      <c r="C214" s="126"/>
      <c r="D214" s="124"/>
      <c r="E214" s="124"/>
      <c r="F214" s="126"/>
      <c r="G214" s="126">
        <v>380.1</v>
      </c>
      <c r="H214" s="125">
        <f t="shared" si="29"/>
        <v>0</v>
      </c>
      <c r="I214" s="773">
        <f>+'EOP Depreciation Expense Adj'!E28</f>
        <v>3.4700000000000002E-2</v>
      </c>
      <c r="J214" s="775">
        <f t="shared" si="26"/>
        <v>0</v>
      </c>
      <c r="L214" s="809"/>
      <c r="M214" s="125">
        <f t="shared" si="27"/>
        <v>0</v>
      </c>
      <c r="N214" s="125">
        <f t="shared" si="28"/>
        <v>0</v>
      </c>
    </row>
    <row r="215" spans="1:17">
      <c r="A215" s="15">
        <v>203</v>
      </c>
      <c r="B215" s="126"/>
      <c r="C215" s="126"/>
      <c r="D215" s="124"/>
      <c r="E215" s="124"/>
      <c r="F215" s="126"/>
      <c r="G215" s="14">
        <v>380.3</v>
      </c>
      <c r="H215" s="125">
        <f t="shared" si="29"/>
        <v>0</v>
      </c>
      <c r="I215" s="809">
        <f>+'EOP Depreciation Expense Adj'!E27</f>
        <v>3.3599999999999998E-2</v>
      </c>
      <c r="J215" s="775">
        <f t="shared" si="26"/>
        <v>0</v>
      </c>
      <c r="L215" s="809"/>
      <c r="M215" s="125">
        <f t="shared" si="27"/>
        <v>150546.29</v>
      </c>
      <c r="N215" s="125">
        <f t="shared" si="28"/>
        <v>5058.3553439999996</v>
      </c>
    </row>
    <row r="216" spans="1:17">
      <c r="A216" s="15">
        <v>204</v>
      </c>
      <c r="B216" s="126"/>
      <c r="C216" s="126"/>
      <c r="D216" s="124"/>
      <c r="E216" s="124"/>
      <c r="F216" s="126"/>
      <c r="G216" s="126">
        <v>381</v>
      </c>
      <c r="H216" s="125">
        <f t="shared" si="29"/>
        <v>0</v>
      </c>
      <c r="I216" s="773">
        <f>+'EOP Depreciation Expense Adj'!E30</f>
        <v>2.6099999999999998E-2</v>
      </c>
      <c r="J216" s="775">
        <f t="shared" si="26"/>
        <v>0</v>
      </c>
      <c r="L216" s="809"/>
      <c r="M216" s="125">
        <f t="shared" si="27"/>
        <v>273217.99356000003</v>
      </c>
      <c r="N216" s="125">
        <f t="shared" si="28"/>
        <v>7130.9896319160007</v>
      </c>
    </row>
    <row r="217" spans="1:17">
      <c r="A217" s="15">
        <v>205</v>
      </c>
      <c r="B217" s="126"/>
      <c r="C217" s="126"/>
      <c r="D217" s="124"/>
      <c r="E217" s="124"/>
      <c r="F217" s="126"/>
      <c r="G217" s="126">
        <v>383</v>
      </c>
      <c r="H217" s="125">
        <f t="shared" si="29"/>
        <v>0</v>
      </c>
      <c r="I217" s="773">
        <f>+'EOP Depreciation Expense Adj'!E32</f>
        <v>2.1600000000000001E-2</v>
      </c>
      <c r="J217" s="775">
        <f t="shared" si="26"/>
        <v>0</v>
      </c>
      <c r="L217" s="809"/>
      <c r="M217" s="125">
        <f t="shared" si="27"/>
        <v>992351.85391599999</v>
      </c>
      <c r="N217" s="125">
        <f t="shared" si="28"/>
        <v>21434.800044585601</v>
      </c>
    </row>
    <row r="218" spans="1:17">
      <c r="A218" s="15">
        <v>206</v>
      </c>
      <c r="B218" s="126"/>
      <c r="C218" s="126"/>
      <c r="D218" s="124"/>
      <c r="E218" s="124"/>
      <c r="F218" s="126"/>
      <c r="G218" s="126">
        <v>385</v>
      </c>
      <c r="H218" s="125">
        <f t="shared" si="29"/>
        <v>0</v>
      </c>
      <c r="I218" s="773">
        <f>+'EOP Depreciation Expense Adj'!E33</f>
        <v>1.7000000000000001E-2</v>
      </c>
      <c r="J218" s="775">
        <f t="shared" si="26"/>
        <v>0</v>
      </c>
      <c r="L218" s="809"/>
      <c r="M218" s="125">
        <f t="shared" si="27"/>
        <v>119929.53</v>
      </c>
      <c r="N218" s="125">
        <f t="shared" si="28"/>
        <v>2038.8020100000001</v>
      </c>
    </row>
    <row r="219" spans="1:17">
      <c r="A219" s="15">
        <v>207</v>
      </c>
      <c r="B219" s="126"/>
      <c r="C219" s="126"/>
      <c r="D219" s="124"/>
      <c r="E219" s="124"/>
      <c r="F219" s="126"/>
      <c r="G219" s="126">
        <v>390.1</v>
      </c>
      <c r="H219" s="125">
        <f t="shared" si="29"/>
        <v>0</v>
      </c>
      <c r="I219" s="773">
        <f>+'EOP Depreciation Expense Adj'!E36</f>
        <v>1.44E-2</v>
      </c>
      <c r="J219" s="775">
        <f t="shared" si="26"/>
        <v>0</v>
      </c>
      <c r="L219" s="809"/>
      <c r="M219" s="125">
        <f t="shared" si="27"/>
        <v>2538357.87</v>
      </c>
      <c r="N219" s="125">
        <f t="shared" si="28"/>
        <v>36552.353327999997</v>
      </c>
      <c r="Q219" s="240"/>
    </row>
    <row r="220" spans="1:17">
      <c r="A220" s="15">
        <v>208</v>
      </c>
      <c r="B220" s="126"/>
      <c r="C220" s="126"/>
      <c r="D220" s="124"/>
      <c r="E220" s="124"/>
      <c r="F220" s="126"/>
      <c r="G220" s="126">
        <v>394.1</v>
      </c>
      <c r="H220" s="125">
        <f t="shared" si="29"/>
        <v>0</v>
      </c>
      <c r="I220" s="773">
        <f>+'EOP Depreciation Expense Adj'!E44</f>
        <v>0.1066</v>
      </c>
      <c r="J220" s="775">
        <f t="shared" si="26"/>
        <v>0</v>
      </c>
      <c r="L220" s="809"/>
      <c r="M220" s="125">
        <f t="shared" si="27"/>
        <v>228699.08000000005</v>
      </c>
      <c r="N220" s="125">
        <f t="shared" si="28"/>
        <v>24379.321928000005</v>
      </c>
      <c r="Q220" s="240"/>
    </row>
    <row r="221" spans="1:17">
      <c r="A221" s="15">
        <v>209</v>
      </c>
      <c r="B221" s="126"/>
      <c r="C221" s="126"/>
      <c r="D221" s="124"/>
      <c r="E221" s="124"/>
      <c r="F221" s="126"/>
      <c r="G221" s="126">
        <v>396.2</v>
      </c>
      <c r="H221" s="125">
        <f t="shared" si="29"/>
        <v>0</v>
      </c>
      <c r="I221" s="773">
        <f>+'EOP Depreciation Expense Adj'!E47</f>
        <v>9.6300000000000011E-2</v>
      </c>
      <c r="J221" s="775">
        <f t="shared" si="26"/>
        <v>0</v>
      </c>
      <c r="L221" s="809"/>
      <c r="M221" s="125">
        <f t="shared" si="27"/>
        <v>361633.27830800001</v>
      </c>
      <c r="N221" s="125">
        <f t="shared" si="28"/>
        <v>34825.284701060402</v>
      </c>
    </row>
    <row r="222" spans="1:17">
      <c r="A222" s="15">
        <v>210</v>
      </c>
      <c r="B222" s="126"/>
      <c r="C222" s="126"/>
      <c r="D222" s="124"/>
      <c r="E222" s="124"/>
      <c r="F222" s="126"/>
      <c r="G222" s="126">
        <v>397.2</v>
      </c>
      <c r="H222" s="125">
        <f t="shared" si="29"/>
        <v>0</v>
      </c>
      <c r="I222" s="773">
        <f>+'EOP Depreciation Expense Adj'!E51</f>
        <v>5.5300000000000002E-2</v>
      </c>
      <c r="J222" s="775">
        <f t="shared" si="26"/>
        <v>0</v>
      </c>
      <c r="L222" s="809"/>
      <c r="M222" s="125">
        <f t="shared" si="27"/>
        <v>218433.52626799999</v>
      </c>
      <c r="N222" s="125">
        <f t="shared" si="28"/>
        <v>12079.3740026204</v>
      </c>
    </row>
    <row r="223" spans="1:17">
      <c r="A223" s="15">
        <v>211</v>
      </c>
      <c r="B223" s="126"/>
      <c r="C223" s="126"/>
      <c r="D223" s="124"/>
      <c r="E223" s="124"/>
      <c r="F223" s="126" t="s">
        <v>647</v>
      </c>
      <c r="G223" s="126"/>
      <c r="H223" s="125">
        <f>SUM(H207:H222)</f>
        <v>13586826.539999999</v>
      </c>
      <c r="I223" s="345">
        <f>AVERAGE(I208:I222)</f>
        <v>3.5706666666666664E-2</v>
      </c>
      <c r="J223" s="775">
        <f>SUM(J207:J222)</f>
        <v>868217.01335499994</v>
      </c>
      <c r="K223" s="14">
        <f>+J223/H223</f>
        <v>6.3901383505481926E-2</v>
      </c>
      <c r="M223" s="240">
        <f>G200-H223-SUM(M207:M222)</f>
        <v>11115883.448483996</v>
      </c>
      <c r="N223" s="125">
        <f t="shared" si="28"/>
        <v>396911.14500053518</v>
      </c>
      <c r="P223" s="240"/>
      <c r="Q223" s="240">
        <f>H223+M224</f>
        <v>83070931.680866987</v>
      </c>
    </row>
    <row r="224" spans="1:17">
      <c r="A224" s="15">
        <v>212</v>
      </c>
      <c r="B224" s="126"/>
      <c r="C224" s="126"/>
      <c r="D224" s="124"/>
      <c r="E224" s="124"/>
      <c r="F224" s="126"/>
      <c r="G224" s="126"/>
      <c r="H224" s="126"/>
      <c r="I224" s="126"/>
      <c r="J224" s="769"/>
      <c r="M224" s="240">
        <f>SUM(M207:M223)</f>
        <v>69484105.140866995</v>
      </c>
      <c r="N224" s="240">
        <f>SUM(N207:N223)</f>
        <v>2470932.0060361186</v>
      </c>
      <c r="Q224" s="240">
        <f>Q223-G200</f>
        <v>0</v>
      </c>
    </row>
    <row r="225" spans="1:10">
      <c r="A225" s="15">
        <v>213</v>
      </c>
      <c r="B225" s="126"/>
      <c r="C225" s="126"/>
      <c r="D225" s="124"/>
      <c r="E225" s="124"/>
      <c r="F225" s="126"/>
      <c r="G225" s="126"/>
      <c r="H225" s="125">
        <f>+H200-H223</f>
        <v>0</v>
      </c>
      <c r="I225" s="126"/>
      <c r="J225" s="769"/>
    </row>
  </sheetData>
  <sortState xmlns:xlrd2="http://schemas.microsoft.com/office/spreadsheetml/2017/richdata2" ref="AJ8:AJ27">
    <sortCondition ref="AJ8"/>
  </sortState>
  <mergeCells count="4">
    <mergeCell ref="C1:I1"/>
    <mergeCell ref="C2:I2"/>
    <mergeCell ref="C3:I3"/>
    <mergeCell ref="C4:I4"/>
  </mergeCells>
  <dataValidations count="1">
    <dataValidation type="list" allowBlank="1" showInputMessage="1" showErrorMessage="1" sqref="T8 T12" xr:uid="{36EECD96-5483-4AFC-B18B-8269868E9C75}">
      <formula1>$Q$7:$R$7</formula1>
    </dataValidation>
  </dataValidations>
  <pageMargins left="0.7" right="0.7" top="0.75" bottom="0.75" header="0.3" footer="0.3"/>
  <pageSetup scale="43" fitToHeight="0" orientation="portrait" useFirstPageNumber="1" r:id="rId1"/>
  <headerFooter scaleWithDoc="0" alignWithMargins="0">
    <oddHeader>&amp;RDocket No. UG-20___
Exhibit _____ (MCP-6)
Page &amp;P of 5</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7"/>
  </sheetPr>
  <dimension ref="A1:E105"/>
  <sheetViews>
    <sheetView topLeftCell="A18" zoomScale="80" zoomScaleNormal="80" zoomScaleSheetLayoutView="90" workbookViewId="0">
      <selection activeCell="E29" sqref="E29"/>
    </sheetView>
  </sheetViews>
  <sheetFormatPr defaultColWidth="9.109375" defaultRowHeight="15.6"/>
  <cols>
    <col min="1" max="1" width="5.88671875" style="5" bestFit="1" customWidth="1"/>
    <col min="2" max="2" width="17.33203125" style="5" bestFit="1" customWidth="1"/>
    <col min="3" max="3" width="99" style="3" customWidth="1"/>
    <col min="4" max="16384" width="9.109375" style="3"/>
  </cols>
  <sheetData>
    <row r="1" spans="1:5">
      <c r="A1" s="1892" t="s">
        <v>770</v>
      </c>
      <c r="B1" s="1892"/>
      <c r="C1" s="1892"/>
      <c r="D1" s="2"/>
      <c r="E1" s="2"/>
    </row>
    <row r="2" spans="1:5">
      <c r="A2" s="1892" t="s">
        <v>774</v>
      </c>
      <c r="B2" s="1892"/>
      <c r="C2" s="1892"/>
      <c r="D2" s="2"/>
      <c r="E2" s="2"/>
    </row>
    <row r="3" spans="1:5">
      <c r="A3" s="1892" t="s">
        <v>1942</v>
      </c>
      <c r="B3" s="1892"/>
      <c r="C3" s="1892"/>
      <c r="D3" s="2"/>
      <c r="E3" s="2"/>
    </row>
    <row r="4" spans="1:5">
      <c r="A4" s="11"/>
      <c r="B4" s="11"/>
      <c r="C4" s="4"/>
      <c r="D4" s="4"/>
      <c r="E4" s="4"/>
    </row>
    <row r="5" spans="1:5">
      <c r="A5" s="12"/>
      <c r="B5" s="12"/>
      <c r="C5" s="13"/>
    </row>
    <row r="6" spans="1:5">
      <c r="A6" s="9" t="s">
        <v>769</v>
      </c>
      <c r="B6" s="9" t="s">
        <v>1791</v>
      </c>
      <c r="C6" s="9" t="s">
        <v>2403</v>
      </c>
    </row>
    <row r="8" spans="1:5" s="14" customFormat="1" ht="46.8">
      <c r="A8" s="759">
        <v>1</v>
      </c>
      <c r="B8" s="759">
        <v>300233</v>
      </c>
      <c r="C8" s="776" t="s">
        <v>2417</v>
      </c>
    </row>
    <row r="9" spans="1:5" s="14" customFormat="1">
      <c r="A9" s="759"/>
      <c r="B9" s="759"/>
    </row>
    <row r="10" spans="1:5" s="14" customFormat="1" ht="62.4">
      <c r="A10" s="759">
        <v>2</v>
      </c>
      <c r="B10" s="759">
        <v>302596</v>
      </c>
      <c r="C10" s="776" t="s">
        <v>2413</v>
      </c>
    </row>
    <row r="11" spans="1:5" s="14" customFormat="1">
      <c r="A11" s="759"/>
      <c r="B11" s="759"/>
      <c r="C11" s="8"/>
    </row>
    <row r="12" spans="1:5" s="14" customFormat="1">
      <c r="A12" s="759">
        <v>3</v>
      </c>
      <c r="B12" s="759">
        <v>306988</v>
      </c>
      <c r="C12" s="14" t="s">
        <v>2412</v>
      </c>
    </row>
    <row r="13" spans="1:5" s="14" customFormat="1">
      <c r="A13" s="759"/>
      <c r="B13" s="759"/>
    </row>
    <row r="14" spans="1:5" s="14" customFormat="1" ht="62.4">
      <c r="A14" s="759">
        <v>4</v>
      </c>
      <c r="B14" s="759">
        <v>306998</v>
      </c>
      <c r="C14" s="762" t="s">
        <v>2405</v>
      </c>
    </row>
    <row r="15" spans="1:5" s="14" customFormat="1">
      <c r="A15" s="759"/>
      <c r="B15" s="759"/>
      <c r="C15" s="762"/>
    </row>
    <row r="16" spans="1:5" s="14" customFormat="1" ht="46.8">
      <c r="A16" s="759">
        <v>5</v>
      </c>
      <c r="B16" s="759">
        <v>316429</v>
      </c>
      <c r="C16" s="776" t="s">
        <v>2419</v>
      </c>
    </row>
    <row r="17" spans="1:3" s="14" customFormat="1">
      <c r="A17" s="759"/>
      <c r="B17" s="759"/>
      <c r="C17" s="396"/>
    </row>
    <row r="18" spans="1:3" s="14" customFormat="1">
      <c r="A18" s="759">
        <v>6</v>
      </c>
      <c r="B18" s="759">
        <v>316586</v>
      </c>
      <c r="C18" s="8" t="s">
        <v>2418</v>
      </c>
    </row>
    <row r="19" spans="1:3" s="14" customFormat="1">
      <c r="A19" s="759"/>
      <c r="B19" s="759"/>
      <c r="C19" s="8"/>
    </row>
    <row r="20" spans="1:3" s="14" customFormat="1">
      <c r="A20" s="759">
        <v>7</v>
      </c>
      <c r="B20" s="759">
        <v>316587</v>
      </c>
      <c r="C20" s="776" t="s">
        <v>2414</v>
      </c>
    </row>
    <row r="21" spans="1:3" s="14" customFormat="1">
      <c r="A21" s="759"/>
      <c r="B21" s="759"/>
      <c r="C21" s="396"/>
    </row>
    <row r="22" spans="1:3" s="14" customFormat="1">
      <c r="A22" s="759">
        <v>8</v>
      </c>
      <c r="B22" s="759">
        <v>316589</v>
      </c>
      <c r="C22" s="428" t="s">
        <v>2412</v>
      </c>
    </row>
    <row r="23" spans="1:3" s="14" customFormat="1">
      <c r="A23" s="759"/>
      <c r="B23" s="759"/>
      <c r="C23" s="428"/>
    </row>
    <row r="24" spans="1:3" s="14" customFormat="1">
      <c r="A24" s="759">
        <v>9</v>
      </c>
      <c r="B24" s="759">
        <v>316670</v>
      </c>
      <c r="C24" s="776" t="s">
        <v>2414</v>
      </c>
    </row>
    <row r="25" spans="1:3" s="14" customFormat="1">
      <c r="A25" s="759"/>
      <c r="B25" s="759"/>
    </row>
    <row r="26" spans="1:3" s="14" customFormat="1" ht="46.8">
      <c r="A26" s="759">
        <v>10</v>
      </c>
      <c r="B26" s="759">
        <v>317060</v>
      </c>
      <c r="C26" s="776" t="s">
        <v>2411</v>
      </c>
    </row>
    <row r="27" spans="1:3">
      <c r="A27" s="10"/>
      <c r="B27" s="759"/>
      <c r="C27" s="396"/>
    </row>
    <row r="28" spans="1:3" s="14" customFormat="1">
      <c r="A28" s="759">
        <v>11</v>
      </c>
      <c r="B28" s="759">
        <v>317322</v>
      </c>
      <c r="C28" s="776" t="s">
        <v>2418</v>
      </c>
    </row>
    <row r="29" spans="1:3" s="14" customFormat="1">
      <c r="A29" s="759"/>
      <c r="B29" s="759"/>
    </row>
    <row r="30" spans="1:3" s="14" customFormat="1">
      <c r="A30" s="759">
        <v>12</v>
      </c>
      <c r="B30" s="759">
        <v>317535</v>
      </c>
      <c r="C30" s="776" t="s">
        <v>2414</v>
      </c>
    </row>
    <row r="31" spans="1:3" s="14" customFormat="1">
      <c r="A31" s="759"/>
      <c r="B31" s="759"/>
      <c r="C31" s="396"/>
    </row>
    <row r="32" spans="1:3" s="14" customFormat="1" ht="46.8">
      <c r="A32" s="759">
        <v>13</v>
      </c>
      <c r="B32" s="759">
        <v>318352</v>
      </c>
      <c r="C32" s="8" t="s">
        <v>2407</v>
      </c>
    </row>
    <row r="33" spans="1:3" s="14" customFormat="1">
      <c r="A33" s="759"/>
      <c r="B33" s="759"/>
      <c r="C33" s="8"/>
    </row>
    <row r="34" spans="1:3" s="14" customFormat="1" ht="62.4">
      <c r="A34" s="759">
        <v>14</v>
      </c>
      <c r="B34" s="759">
        <v>318482</v>
      </c>
      <c r="C34" s="776" t="s">
        <v>2410</v>
      </c>
    </row>
    <row r="35" spans="1:3" s="14" customFormat="1">
      <c r="A35" s="759"/>
      <c r="B35" s="759"/>
      <c r="C35" s="396"/>
    </row>
    <row r="36" spans="1:3" s="14" customFormat="1" ht="31.2">
      <c r="A36" s="759">
        <v>15</v>
      </c>
      <c r="B36" s="759">
        <v>318566</v>
      </c>
      <c r="C36" s="776" t="s">
        <v>2408</v>
      </c>
    </row>
    <row r="37" spans="1:3" s="14" customFormat="1">
      <c r="A37" s="759"/>
      <c r="B37" s="759"/>
    </row>
    <row r="38" spans="1:3" s="14" customFormat="1" ht="46.8">
      <c r="A38" s="759">
        <v>16</v>
      </c>
      <c r="B38" s="759">
        <v>318588</v>
      </c>
      <c r="C38" s="776" t="s">
        <v>2420</v>
      </c>
    </row>
    <row r="39" spans="1:3" s="14" customFormat="1">
      <c r="A39" s="759"/>
      <c r="B39" s="759"/>
      <c r="C39" s="396"/>
    </row>
    <row r="40" spans="1:3" s="14" customFormat="1" ht="46.8">
      <c r="A40" s="759">
        <v>17</v>
      </c>
      <c r="B40" s="759">
        <v>318690</v>
      </c>
      <c r="C40" s="776" t="s">
        <v>2406</v>
      </c>
    </row>
    <row r="41" spans="1:3" s="14" customFormat="1">
      <c r="A41" s="759"/>
      <c r="B41" s="759"/>
      <c r="C41" s="396"/>
    </row>
    <row r="42" spans="1:3" s="14" customFormat="1" ht="62.4">
      <c r="A42" s="759">
        <v>18</v>
      </c>
      <c r="B42" s="759">
        <v>318742</v>
      </c>
      <c r="C42" s="776" t="s">
        <v>2409</v>
      </c>
    </row>
    <row r="43" spans="1:3" s="14" customFormat="1">
      <c r="A43" s="759"/>
      <c r="B43" s="759"/>
      <c r="C43" s="396"/>
    </row>
    <row r="44" spans="1:3" s="14" customFormat="1">
      <c r="A44" s="759">
        <v>19</v>
      </c>
      <c r="B44" s="759">
        <v>318746</v>
      </c>
      <c r="C44" s="14" t="s">
        <v>2412</v>
      </c>
    </row>
    <row r="45" spans="1:3" s="14" customFormat="1">
      <c r="A45" s="759"/>
      <c r="B45" s="759"/>
    </row>
    <row r="46" spans="1:3" s="14" customFormat="1">
      <c r="A46" s="759">
        <v>20</v>
      </c>
      <c r="B46" s="759">
        <v>318747</v>
      </c>
      <c r="C46" s="14" t="s">
        <v>2412</v>
      </c>
    </row>
    <row r="47" spans="1:3" s="14" customFormat="1">
      <c r="A47" s="759"/>
      <c r="B47" s="759"/>
    </row>
    <row r="48" spans="1:3" s="14" customFormat="1">
      <c r="A48" s="759">
        <v>21</v>
      </c>
      <c r="B48" s="759">
        <v>318808</v>
      </c>
      <c r="C48" s="776" t="s">
        <v>2416</v>
      </c>
    </row>
    <row r="49" spans="1:3" s="14" customFormat="1">
      <c r="A49" s="759"/>
      <c r="B49" s="759"/>
      <c r="C49" s="7"/>
    </row>
    <row r="50" spans="1:3" s="14" customFormat="1">
      <c r="A50" s="759">
        <v>22</v>
      </c>
      <c r="B50" s="759">
        <v>318829</v>
      </c>
      <c r="C50" s="776" t="s">
        <v>2416</v>
      </c>
    </row>
    <row r="51" spans="1:3">
      <c r="A51" s="10"/>
      <c r="B51" s="10"/>
      <c r="C51" s="7"/>
    </row>
    <row r="52" spans="1:3" s="14" customFormat="1" ht="46.8">
      <c r="A52" s="759">
        <v>23</v>
      </c>
      <c r="B52" s="759">
        <v>318987</v>
      </c>
      <c r="C52" s="776" t="s">
        <v>2415</v>
      </c>
    </row>
    <row r="53" spans="1:3">
      <c r="A53" s="10"/>
      <c r="B53" s="15"/>
      <c r="C53" s="396"/>
    </row>
    <row r="54" spans="1:3" s="14" customFormat="1" ht="31.2">
      <c r="A54" s="759">
        <v>24</v>
      </c>
      <c r="B54" s="759">
        <v>319056</v>
      </c>
      <c r="C54" s="776" t="s">
        <v>2422</v>
      </c>
    </row>
    <row r="55" spans="1:3" s="14" customFormat="1">
      <c r="A55" s="759"/>
      <c r="B55" s="759"/>
      <c r="C55" s="396"/>
    </row>
    <row r="56" spans="1:3" s="14" customFormat="1" ht="31.2">
      <c r="A56" s="759">
        <v>25</v>
      </c>
      <c r="B56" s="759">
        <v>319063</v>
      </c>
      <c r="C56" s="776" t="s">
        <v>2421</v>
      </c>
    </row>
    <row r="57" spans="1:3">
      <c r="A57" s="10"/>
      <c r="B57" s="759"/>
      <c r="C57" s="8"/>
    </row>
    <row r="58" spans="1:3" s="14" customFormat="1" ht="62.4">
      <c r="A58" s="759">
        <v>26</v>
      </c>
      <c r="B58" s="759">
        <v>319072</v>
      </c>
      <c r="C58" s="8" t="s">
        <v>2404</v>
      </c>
    </row>
    <row r="59" spans="1:3" s="14" customFormat="1">
      <c r="A59" s="759"/>
      <c r="B59" s="759"/>
      <c r="C59" s="8"/>
    </row>
    <row r="60" spans="1:3" s="14" customFormat="1" ht="46.8">
      <c r="A60" s="759">
        <v>27</v>
      </c>
      <c r="B60" s="760" t="s">
        <v>2396</v>
      </c>
      <c r="C60" s="776" t="s">
        <v>2399</v>
      </c>
    </row>
    <row r="61" spans="1:3" s="14" customFormat="1">
      <c r="A61" s="759"/>
    </row>
    <row r="62" spans="1:3" s="14" customFormat="1" ht="46.8">
      <c r="A62" s="759">
        <v>28</v>
      </c>
      <c r="B62" s="10" t="s">
        <v>2397</v>
      </c>
      <c r="C62" s="776" t="s">
        <v>2398</v>
      </c>
    </row>
    <row r="63" spans="1:3" s="14" customFormat="1">
      <c r="A63" s="759"/>
    </row>
    <row r="64" spans="1:3" s="14" customFormat="1">
      <c r="A64" s="759"/>
    </row>
    <row r="65" spans="1:3" s="14" customFormat="1">
      <c r="A65" s="759"/>
      <c r="B65" s="759"/>
      <c r="C65" s="8"/>
    </row>
    <row r="66" spans="1:3" s="14" customFormat="1">
      <c r="A66" s="759"/>
      <c r="B66" s="759"/>
      <c r="C66" s="396"/>
    </row>
    <row r="67" spans="1:3" s="14" customFormat="1">
      <c r="A67" s="759"/>
      <c r="B67" s="759"/>
      <c r="C67" s="396"/>
    </row>
    <row r="68" spans="1:3" s="14" customFormat="1">
      <c r="A68" s="759"/>
      <c r="B68" s="759"/>
      <c r="C68" s="396"/>
    </row>
    <row r="69" spans="1:3" s="14" customFormat="1">
      <c r="A69" s="759"/>
      <c r="B69" s="759"/>
      <c r="C69" s="396"/>
    </row>
    <row r="70" spans="1:3" s="14" customFormat="1">
      <c r="A70" s="759"/>
      <c r="B70" s="10"/>
      <c r="C70" s="6"/>
    </row>
    <row r="71" spans="1:3" s="14" customFormat="1">
      <c r="A71" s="759"/>
      <c r="B71" s="759"/>
      <c r="C71" s="761"/>
    </row>
    <row r="72" spans="1:3" s="14" customFormat="1">
      <c r="A72" s="759"/>
      <c r="B72" s="759"/>
      <c r="C72" s="428"/>
    </row>
    <row r="73" spans="1:3" s="14" customFormat="1">
      <c r="A73" s="759"/>
      <c r="B73" s="759"/>
      <c r="C73" s="396"/>
    </row>
    <row r="74" spans="1:3" s="14" customFormat="1">
      <c r="A74" s="759"/>
      <c r="B74" s="759"/>
      <c r="C74" s="396"/>
    </row>
    <row r="75" spans="1:3" s="14" customFormat="1">
      <c r="A75" s="759"/>
      <c r="B75" s="759"/>
      <c r="C75" s="396"/>
    </row>
    <row r="76" spans="1:3" s="14" customFormat="1">
      <c r="A76" s="759"/>
      <c r="B76" s="759"/>
      <c r="C76" s="396"/>
    </row>
    <row r="77" spans="1:3" s="14" customFormat="1">
      <c r="A77" s="759"/>
      <c r="B77" s="10"/>
      <c r="C77" s="7"/>
    </row>
    <row r="78" spans="1:3" s="14" customFormat="1">
      <c r="A78" s="759"/>
      <c r="B78" s="10"/>
      <c r="C78" s="7"/>
    </row>
    <row r="79" spans="1:3" s="14" customFormat="1">
      <c r="A79" s="759"/>
      <c r="B79" s="759"/>
      <c r="C79" s="396"/>
    </row>
    <row r="80" spans="1:3" s="14" customFormat="1">
      <c r="A80" s="759"/>
      <c r="B80" s="759"/>
      <c r="C80" s="396"/>
    </row>
    <row r="81" spans="1:3" s="14" customFormat="1">
      <c r="A81" s="759"/>
      <c r="B81" s="759"/>
      <c r="C81" s="396"/>
    </row>
    <row r="82" spans="1:3" s="14" customFormat="1">
      <c r="A82" s="759"/>
      <c r="B82" s="759"/>
      <c r="C82" s="396"/>
    </row>
    <row r="83" spans="1:3" s="14" customFormat="1">
      <c r="A83" s="759"/>
      <c r="B83" s="759"/>
      <c r="C83" s="396"/>
    </row>
    <row r="84" spans="1:3" s="14" customFormat="1">
      <c r="A84" s="759"/>
      <c r="B84" s="759"/>
      <c r="C84" s="396"/>
    </row>
    <row r="85" spans="1:3" s="14" customFormat="1">
      <c r="A85" s="759"/>
      <c r="B85" s="759"/>
      <c r="C85" s="396"/>
    </row>
    <row r="86" spans="1:3">
      <c r="A86" s="10"/>
      <c r="B86" s="759"/>
      <c r="C86" s="396"/>
    </row>
    <row r="87" spans="1:3">
      <c r="A87" s="10"/>
      <c r="B87" s="759"/>
      <c r="C87" s="396"/>
    </row>
    <row r="88" spans="1:3">
      <c r="A88" s="10"/>
      <c r="B88" s="759"/>
      <c r="C88" s="396"/>
    </row>
    <row r="89" spans="1:3">
      <c r="A89" s="10"/>
      <c r="B89" s="759"/>
      <c r="C89" s="760"/>
    </row>
    <row r="90" spans="1:3">
      <c r="A90" s="10"/>
      <c r="B90" s="15"/>
      <c r="C90" s="396"/>
    </row>
    <row r="91" spans="1:3">
      <c r="A91" s="10"/>
      <c r="B91" s="15"/>
      <c r="C91" s="396"/>
    </row>
    <row r="92" spans="1:3">
      <c r="A92" s="10"/>
      <c r="B92" s="759"/>
      <c r="C92" s="396"/>
    </row>
    <row r="93" spans="1:3">
      <c r="A93" s="10"/>
      <c r="B93" s="10"/>
      <c r="C93" s="7"/>
    </row>
    <row r="94" spans="1:3">
      <c r="A94" s="10"/>
      <c r="B94" s="10"/>
      <c r="C94" s="7"/>
    </row>
    <row r="95" spans="1:3">
      <c r="A95" s="10"/>
      <c r="B95" s="10"/>
      <c r="C95" s="7"/>
    </row>
    <row r="96" spans="1:3">
      <c r="A96" s="10"/>
      <c r="B96" s="10"/>
    </row>
    <row r="97" spans="1:3">
      <c r="A97" s="10"/>
      <c r="B97" s="10"/>
    </row>
    <row r="98" spans="1:3">
      <c r="A98" s="10"/>
      <c r="B98" s="10"/>
    </row>
    <row r="99" spans="1:3">
      <c r="A99" s="10"/>
    </row>
    <row r="100" spans="1:3">
      <c r="A100" s="10"/>
    </row>
    <row r="101" spans="1:3">
      <c r="A101" s="10"/>
    </row>
    <row r="102" spans="1:3">
      <c r="A102" s="10"/>
      <c r="C102" s="384"/>
    </row>
    <row r="103" spans="1:3">
      <c r="A103" s="10"/>
    </row>
    <row r="104" spans="1:3">
      <c r="A104" s="10"/>
      <c r="C104" s="14"/>
    </row>
    <row r="105" spans="1:3">
      <c r="A105" s="10"/>
    </row>
  </sheetData>
  <sortState xmlns:xlrd2="http://schemas.microsoft.com/office/spreadsheetml/2017/richdata2" ref="B8:C64">
    <sortCondition ref="B8:B64"/>
  </sortState>
  <mergeCells count="3">
    <mergeCell ref="A1:C1"/>
    <mergeCell ref="A2:C2"/>
    <mergeCell ref="A3:C3"/>
  </mergeCells>
  <printOptions horizontalCentered="1"/>
  <pageMargins left="0.7" right="0.7" top="1" bottom="1" header="0.3" footer="0.3"/>
  <pageSetup scale="70" firstPageNumber="4" fitToHeight="0" orientation="portrait" useFirstPageNumber="1" r:id="rId1"/>
  <headerFooter scaleWithDoc="0" alignWithMargins="0">
    <oddHeader>&amp;RDocket No. UG-20___
Exhibit _____ (MCP-6)
Page &amp;P of 5</oddHeader>
  </headerFooter>
  <rowBreaks count="2" manualBreakCount="2">
    <brk id="37" max="2" man="1"/>
    <brk id="64" max="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E826C-87B0-47BF-9AFA-27FE57931F2A}">
  <sheetPr codeName="Sheet60">
    <tabColor theme="7" tint="0.79998168889431442"/>
  </sheetPr>
  <dimension ref="A1:M18"/>
  <sheetViews>
    <sheetView showGridLines="0" zoomScale="80" zoomScaleNormal="80" workbookViewId="0">
      <selection activeCell="F27" sqref="F27"/>
    </sheetView>
  </sheetViews>
  <sheetFormatPr defaultColWidth="8.88671875" defaultRowHeight="14.4"/>
  <cols>
    <col min="1" max="16384" width="8.88671875" style="613"/>
  </cols>
  <sheetData>
    <row r="1" spans="1:13">
      <c r="A1" s="873" t="str">
        <f ca="1">MID(CELL("filename",A1),FIND("]",CELL("filename",A1))+1,255)</f>
        <v>RR WPs ---&gt;</v>
      </c>
    </row>
    <row r="2" spans="1:13">
      <c r="B2" s="1834" t="s">
        <v>2597</v>
      </c>
      <c r="C2" s="1834"/>
      <c r="D2" s="1834"/>
      <c r="E2" s="1834"/>
      <c r="F2" s="1834"/>
      <c r="G2" s="1834"/>
      <c r="H2" s="1834"/>
      <c r="I2" s="1834"/>
      <c r="J2" s="1834"/>
      <c r="K2" s="1834"/>
      <c r="L2" s="1834"/>
      <c r="M2" s="1834"/>
    </row>
    <row r="3" spans="1:13">
      <c r="B3" s="1834"/>
      <c r="C3" s="1834"/>
      <c r="D3" s="1834"/>
      <c r="E3" s="1834"/>
      <c r="F3" s="1834"/>
      <c r="G3" s="1834"/>
      <c r="H3" s="1834"/>
      <c r="I3" s="1834"/>
      <c r="J3" s="1834"/>
      <c r="K3" s="1834"/>
      <c r="L3" s="1834"/>
      <c r="M3" s="1834"/>
    </row>
    <row r="4" spans="1:13">
      <c r="B4" s="1834"/>
      <c r="C4" s="1834"/>
      <c r="D4" s="1834"/>
      <c r="E4" s="1834"/>
      <c r="F4" s="1834"/>
      <c r="G4" s="1834"/>
      <c r="H4" s="1834"/>
      <c r="I4" s="1834"/>
      <c r="J4" s="1834"/>
      <c r="K4" s="1834"/>
      <c r="L4" s="1834"/>
      <c r="M4" s="1834"/>
    </row>
    <row r="5" spans="1:13">
      <c r="B5" s="1834"/>
      <c r="C5" s="1834"/>
      <c r="D5" s="1834"/>
      <c r="E5" s="1834"/>
      <c r="F5" s="1834"/>
      <c r="G5" s="1834"/>
      <c r="H5" s="1834"/>
      <c r="I5" s="1834"/>
      <c r="J5" s="1834"/>
      <c r="K5" s="1834"/>
      <c r="L5" s="1834"/>
      <c r="M5" s="1834"/>
    </row>
    <row r="6" spans="1:13">
      <c r="B6" s="1834"/>
      <c r="C6" s="1834"/>
      <c r="D6" s="1834"/>
      <c r="E6" s="1834"/>
      <c r="F6" s="1834"/>
      <c r="G6" s="1834"/>
      <c r="H6" s="1834"/>
      <c r="I6" s="1834"/>
      <c r="J6" s="1834"/>
      <c r="K6" s="1834"/>
      <c r="L6" s="1834"/>
      <c r="M6" s="1834"/>
    </row>
    <row r="7" spans="1:13">
      <c r="B7" s="1834"/>
      <c r="C7" s="1834"/>
      <c r="D7" s="1834"/>
      <c r="E7" s="1834"/>
      <c r="F7" s="1834"/>
      <c r="G7" s="1834"/>
      <c r="H7" s="1834"/>
      <c r="I7" s="1834"/>
      <c r="J7" s="1834"/>
      <c r="K7" s="1834"/>
      <c r="L7" s="1834"/>
      <c r="M7" s="1834"/>
    </row>
    <row r="8" spans="1:13">
      <c r="B8" s="1834"/>
      <c r="C8" s="1834"/>
      <c r="D8" s="1834"/>
      <c r="E8" s="1834"/>
      <c r="F8" s="1834"/>
      <c r="G8" s="1834"/>
      <c r="H8" s="1834"/>
      <c r="I8" s="1834"/>
      <c r="J8" s="1834"/>
      <c r="K8" s="1834"/>
      <c r="L8" s="1834"/>
      <c r="M8" s="1834"/>
    </row>
    <row r="9" spans="1:13">
      <c r="B9" s="1834"/>
      <c r="C9" s="1834"/>
      <c r="D9" s="1834"/>
      <c r="E9" s="1834"/>
      <c r="F9" s="1834"/>
      <c r="G9" s="1834"/>
      <c r="H9" s="1834"/>
      <c r="I9" s="1834"/>
      <c r="J9" s="1834"/>
      <c r="K9" s="1834"/>
      <c r="L9" s="1834"/>
      <c r="M9" s="1834"/>
    </row>
    <row r="10" spans="1:13">
      <c r="B10" s="1834"/>
      <c r="C10" s="1834"/>
      <c r="D10" s="1834"/>
      <c r="E10" s="1834"/>
      <c r="F10" s="1834"/>
      <c r="G10" s="1834"/>
      <c r="H10" s="1834"/>
      <c r="I10" s="1834"/>
      <c r="J10" s="1834"/>
      <c r="K10" s="1834"/>
      <c r="L10" s="1834"/>
      <c r="M10" s="1834"/>
    </row>
    <row r="11" spans="1:13">
      <c r="B11" s="1834"/>
      <c r="C11" s="1834"/>
      <c r="D11" s="1834"/>
      <c r="E11" s="1834"/>
      <c r="F11" s="1834"/>
      <c r="G11" s="1834"/>
      <c r="H11" s="1834"/>
      <c r="I11" s="1834"/>
      <c r="J11" s="1834"/>
      <c r="K11" s="1834"/>
      <c r="L11" s="1834"/>
      <c r="M11" s="1834"/>
    </row>
    <row r="12" spans="1:13">
      <c r="B12" s="1834"/>
      <c r="C12" s="1834"/>
      <c r="D12" s="1834"/>
      <c r="E12" s="1834"/>
      <c r="F12" s="1834"/>
      <c r="G12" s="1834"/>
      <c r="H12" s="1834"/>
      <c r="I12" s="1834"/>
      <c r="J12" s="1834"/>
      <c r="K12" s="1834"/>
      <c r="L12" s="1834"/>
      <c r="M12" s="1834"/>
    </row>
    <row r="13" spans="1:13">
      <c r="B13" s="1834"/>
      <c r="C13" s="1834"/>
      <c r="D13" s="1834"/>
      <c r="E13" s="1834"/>
      <c r="F13" s="1834"/>
      <c r="G13" s="1834"/>
      <c r="H13" s="1834"/>
      <c r="I13" s="1834"/>
      <c r="J13" s="1834"/>
      <c r="K13" s="1834"/>
      <c r="L13" s="1834"/>
      <c r="M13" s="1834"/>
    </row>
    <row r="14" spans="1:13">
      <c r="B14" s="1834"/>
      <c r="C14" s="1834"/>
      <c r="D14" s="1834"/>
      <c r="E14" s="1834"/>
      <c r="F14" s="1834"/>
      <c r="G14" s="1834"/>
      <c r="H14" s="1834"/>
      <c r="I14" s="1834"/>
      <c r="J14" s="1834"/>
      <c r="K14" s="1834"/>
      <c r="L14" s="1834"/>
      <c r="M14" s="1834"/>
    </row>
    <row r="15" spans="1:13">
      <c r="B15" s="1834"/>
      <c r="C15" s="1834"/>
      <c r="D15" s="1834"/>
      <c r="E15" s="1834"/>
      <c r="F15" s="1834"/>
      <c r="G15" s="1834"/>
      <c r="H15" s="1834"/>
      <c r="I15" s="1834"/>
      <c r="J15" s="1834"/>
      <c r="K15" s="1834"/>
      <c r="L15" s="1834"/>
      <c r="M15" s="1834"/>
    </row>
    <row r="16" spans="1:13">
      <c r="B16" s="1834"/>
      <c r="C16" s="1834"/>
      <c r="D16" s="1834"/>
      <c r="E16" s="1834"/>
      <c r="F16" s="1834"/>
      <c r="G16" s="1834"/>
      <c r="H16" s="1834"/>
      <c r="I16" s="1834"/>
      <c r="J16" s="1834"/>
      <c r="K16" s="1834"/>
      <c r="L16" s="1834"/>
      <c r="M16" s="1834"/>
    </row>
    <row r="17" spans="2:13">
      <c r="B17" s="1834"/>
      <c r="C17" s="1834"/>
      <c r="D17" s="1834"/>
      <c r="E17" s="1834"/>
      <c r="F17" s="1834"/>
      <c r="G17" s="1834"/>
      <c r="H17" s="1834"/>
      <c r="I17" s="1834"/>
      <c r="J17" s="1834"/>
      <c r="K17" s="1834"/>
      <c r="L17" s="1834"/>
      <c r="M17" s="1834"/>
    </row>
    <row r="18" spans="2:13">
      <c r="B18" s="1834"/>
      <c r="C18" s="1834"/>
      <c r="D18" s="1834"/>
      <c r="E18" s="1834"/>
      <c r="F18" s="1834"/>
      <c r="G18" s="1834"/>
      <c r="H18" s="1834"/>
      <c r="I18" s="1834"/>
      <c r="J18" s="1834"/>
      <c r="K18" s="1834"/>
      <c r="L18" s="1834"/>
      <c r="M18" s="1834"/>
    </row>
  </sheetData>
  <mergeCells count="1">
    <mergeCell ref="B2:M18"/>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B99EC-1A1C-4393-B936-E5E165ACF363}">
  <sheetPr>
    <tabColor theme="7" tint="0.79998168889431442"/>
  </sheetPr>
  <dimension ref="A1:G35"/>
  <sheetViews>
    <sheetView topLeftCell="A2" zoomScale="80" zoomScaleNormal="80" workbookViewId="0">
      <selection activeCell="H20" sqref="H20"/>
    </sheetView>
  </sheetViews>
  <sheetFormatPr defaultColWidth="8.88671875" defaultRowHeight="14.4"/>
  <cols>
    <col min="1" max="1" width="5" style="1622" bestFit="1" customWidth="1"/>
    <col min="2" max="2" width="39" style="1622" customWidth="1"/>
    <col min="3" max="3" width="15.109375" style="1622" customWidth="1"/>
    <col min="4" max="4" width="11.6640625" style="1622" bestFit="1" customWidth="1"/>
    <col min="5" max="5" width="8.88671875" style="1622"/>
    <col min="6" max="6" width="15.88671875" style="1622" customWidth="1"/>
    <col min="7" max="7" width="12.5546875" style="1622" bestFit="1" customWidth="1"/>
    <col min="8" max="16384" width="8.88671875" style="1622"/>
  </cols>
  <sheetData>
    <row r="1" spans="1:7" ht="15.6">
      <c r="A1" s="1893" t="s">
        <v>100</v>
      </c>
      <c r="B1" s="1893"/>
      <c r="C1" s="1893"/>
      <c r="D1" s="1893"/>
    </row>
    <row r="2" spans="1:7" ht="15.6">
      <c r="A2" s="1894" t="s">
        <v>3273</v>
      </c>
      <c r="B2" s="1894"/>
      <c r="C2" s="1894"/>
      <c r="D2" s="1894"/>
    </row>
    <row r="4" spans="1:7" ht="30" customHeight="1">
      <c r="A4" s="1709" t="s">
        <v>649</v>
      </c>
      <c r="B4" s="1709" t="s">
        <v>3274</v>
      </c>
      <c r="C4" s="1709" t="s">
        <v>3193</v>
      </c>
      <c r="D4" s="1709" t="s">
        <v>3194</v>
      </c>
    </row>
    <row r="5" spans="1:7">
      <c r="A5" s="1711"/>
      <c r="B5" s="1711" t="s">
        <v>778</v>
      </c>
      <c r="C5" s="1711" t="s">
        <v>776</v>
      </c>
      <c r="D5" s="1711" t="s">
        <v>777</v>
      </c>
    </row>
    <row r="6" spans="1:7">
      <c r="A6" s="1623">
        <v>1</v>
      </c>
      <c r="B6" s="1682" t="s">
        <v>3281</v>
      </c>
    </row>
    <row r="7" spans="1:7">
      <c r="A7" s="1623">
        <v>2</v>
      </c>
      <c r="B7" s="1712" t="s">
        <v>3327</v>
      </c>
      <c r="C7" s="1681">
        <f>'Exhibit PCD-4'!J7</f>
        <v>17005803.02</v>
      </c>
      <c r="D7" s="1713">
        <f>'Exhibit PCD-4'!E7</f>
        <v>44194</v>
      </c>
    </row>
    <row r="8" spans="1:7">
      <c r="A8" s="1623">
        <v>3</v>
      </c>
      <c r="B8" s="1712" t="str">
        <f>'Exhibit PCD-4'!B11</f>
        <v>Othello Gate Project</v>
      </c>
      <c r="C8" s="1681">
        <f>'Exhibit PCD-4'!J11</f>
        <v>5318050.0600000005</v>
      </c>
      <c r="D8" s="1713">
        <f>'Exhibit PCD-4'!E11</f>
        <v>44102</v>
      </c>
      <c r="F8" s="1683">
        <f>C8+C10+C11+C12+C13</f>
        <v>13586826.540000001</v>
      </c>
      <c r="G8" s="1622" t="s">
        <v>3330</v>
      </c>
    </row>
    <row r="9" spans="1:7">
      <c r="A9" s="1623">
        <v>4</v>
      </c>
      <c r="B9" s="1712" t="str">
        <f>'Exhibit PCD-4'!B14</f>
        <v>Walla Walla Gate Project</v>
      </c>
      <c r="C9" s="1681">
        <f>'Exhibit PCD-4'!J14</f>
        <v>7551515.8500000006</v>
      </c>
      <c r="D9" s="1713">
        <f>'Exhibit PCD-4'!E14</f>
        <v>44175</v>
      </c>
      <c r="F9" s="1691">
        <v>14610234.18</v>
      </c>
      <c r="G9" s="1679" t="s">
        <v>3329</v>
      </c>
    </row>
    <row r="10" spans="1:7">
      <c r="A10" s="1623">
        <v>5</v>
      </c>
      <c r="B10" s="1712" t="str">
        <f>'Exhibit PCD-4'!B19</f>
        <v>Arlington Gate Project</v>
      </c>
      <c r="C10" s="1681">
        <f>'Exhibit PCD-4'!J19</f>
        <v>6067500.4199999999</v>
      </c>
      <c r="D10" s="1713">
        <f>'Exhibit PCD-4'!E21</f>
        <v>44077</v>
      </c>
      <c r="F10" s="1683">
        <f>SUM(F8:F9)</f>
        <v>28197060.719999999</v>
      </c>
      <c r="G10" s="1622" t="s">
        <v>3331</v>
      </c>
    </row>
    <row r="11" spans="1:7">
      <c r="A11" s="1623">
        <v>6</v>
      </c>
      <c r="B11" s="1712" t="str">
        <f>'Exhibit PCD-4'!B24</f>
        <v>Bellingham 8" HP Project</v>
      </c>
      <c r="C11" s="1681">
        <f>'Exhibit PCD-4'!K24</f>
        <v>1584349.9</v>
      </c>
      <c r="D11" s="1713">
        <f>'Exhibit PCD-4'!E24</f>
        <v>43853</v>
      </c>
    </row>
    <row r="12" spans="1:7">
      <c r="A12" s="1623">
        <v>7</v>
      </c>
      <c r="B12" s="1712" t="str">
        <f>'Exhibit PCD-4'!B25</f>
        <v>Moses Lake 4" PE Project</v>
      </c>
      <c r="C12" s="1681">
        <f>'Exhibit PCD-4'!K25</f>
        <v>213957.59</v>
      </c>
      <c r="D12" s="1713">
        <f>'Exhibit PCD-4'!E25</f>
        <v>43944</v>
      </c>
    </row>
    <row r="13" spans="1:7">
      <c r="A13" s="1623">
        <v>8</v>
      </c>
      <c r="B13" s="1712" t="str">
        <f>'Exhibit PCD-4'!B27</f>
        <v>Walla Walla 6" Distribution Project</v>
      </c>
      <c r="C13" s="1681">
        <f>'Exhibit PCD-4'!K27</f>
        <v>402968.57</v>
      </c>
      <c r="D13" s="1713">
        <f>'Exhibit PCD-4'!E27</f>
        <v>44130</v>
      </c>
    </row>
    <row r="14" spans="1:7">
      <c r="A14" s="1623">
        <v>9</v>
      </c>
      <c r="B14" s="1712" t="str">
        <f>'Exhibit PCD-4'!B28</f>
        <v>Bremerton Reg Station Project</v>
      </c>
      <c r="C14" s="1681">
        <f>'Exhibit PCD-4'!K28</f>
        <v>153797.42000000001</v>
      </c>
      <c r="D14" s="1713">
        <f>'Exhibit PCD-4'!E28</f>
        <v>44147</v>
      </c>
    </row>
    <row r="15" spans="1:7">
      <c r="A15" s="1623">
        <v>10</v>
      </c>
      <c r="B15" s="1712" t="str">
        <f>'Exhibit PCD-4'!B29</f>
        <v>Kennewick Odorizer Project</v>
      </c>
      <c r="C15" s="1681">
        <f>'Exhibit PCD-4'!K29</f>
        <v>167647.38</v>
      </c>
      <c r="D15" s="1713">
        <f>'Exhibit PCD-4'!E29</f>
        <v>44155</v>
      </c>
    </row>
    <row r="16" spans="1:7">
      <c r="A16" s="1623">
        <v>11</v>
      </c>
      <c r="B16" s="1714" t="str">
        <f>'Exhibit PCD-4'!B32</f>
        <v>Bremerton Office Project</v>
      </c>
      <c r="C16" s="1716">
        <f>'Exhibit PCD-4'!K32</f>
        <v>863148.28</v>
      </c>
      <c r="D16" s="1715">
        <f>'Exhibit PCD-4'!E32</f>
        <v>44186</v>
      </c>
    </row>
    <row r="17" spans="1:7">
      <c r="A17" s="1623">
        <v>12</v>
      </c>
      <c r="B17" s="1712" t="s">
        <v>3280</v>
      </c>
      <c r="C17" s="1681">
        <f>SUM(C7:C16)</f>
        <v>39328738.49000001</v>
      </c>
      <c r="D17" s="1708"/>
      <c r="F17" s="1683">
        <f>C17-'Exh 10, Plant Additions'!AA35</f>
        <v>25741911.95000001</v>
      </c>
    </row>
    <row r="18" spans="1:7">
      <c r="A18" s="1623">
        <v>13</v>
      </c>
      <c r="C18" s="1681"/>
      <c r="D18" s="1708"/>
    </row>
    <row r="19" spans="1:7">
      <c r="A19" s="1623">
        <v>14</v>
      </c>
      <c r="B19" s="1682" t="s">
        <v>3283</v>
      </c>
      <c r="C19" s="1681"/>
      <c r="D19" s="1708"/>
    </row>
    <row r="20" spans="1:7">
      <c r="A20" s="1623">
        <v>15</v>
      </c>
      <c r="B20" s="1712" t="s">
        <v>3278</v>
      </c>
      <c r="C20" s="1681">
        <v>5238344.629999999</v>
      </c>
      <c r="D20" s="1713">
        <v>44196</v>
      </c>
    </row>
    <row r="21" spans="1:7">
      <c r="A21" s="1623">
        <v>16</v>
      </c>
      <c r="B21" s="1712" t="s">
        <v>3279</v>
      </c>
      <c r="C21" s="1681">
        <v>10049382.49</v>
      </c>
      <c r="D21" s="1713">
        <f>D20</f>
        <v>44196</v>
      </c>
    </row>
    <row r="22" spans="1:7">
      <c r="A22" s="1623">
        <v>17</v>
      </c>
      <c r="B22" s="1714" t="s">
        <v>3277</v>
      </c>
      <c r="C22" s="1716">
        <v>2637277.88</v>
      </c>
      <c r="D22" s="1715">
        <f>D21</f>
        <v>44196</v>
      </c>
    </row>
    <row r="23" spans="1:7">
      <c r="A23" s="1623">
        <v>18</v>
      </c>
      <c r="B23" s="1712" t="s">
        <v>3275</v>
      </c>
      <c r="C23" s="1681">
        <f>SUM(C20:C22)</f>
        <v>17925005</v>
      </c>
      <c r="F23" s="1683">
        <f>C23-'Exh 10, Plant Additions'!N29</f>
        <v>17925005</v>
      </c>
    </row>
    <row r="24" spans="1:7">
      <c r="A24" s="1623">
        <v>19</v>
      </c>
      <c r="C24" s="1681"/>
    </row>
    <row r="25" spans="1:7" ht="15" thickBot="1">
      <c r="A25" s="1623">
        <v>20</v>
      </c>
      <c r="B25" s="1710" t="s">
        <v>3276</v>
      </c>
      <c r="C25" s="1717">
        <f>C23+C17</f>
        <v>57253743.49000001</v>
      </c>
      <c r="D25" s="1710"/>
      <c r="F25" s="1683">
        <f>C25-'Exh 10, Plant Additions'!H200</f>
        <v>43666916.95000001</v>
      </c>
      <c r="G25" s="1622" t="s">
        <v>2437</v>
      </c>
    </row>
    <row r="26" spans="1:7">
      <c r="A26" s="1623">
        <v>21</v>
      </c>
      <c r="C26" s="1683"/>
    </row>
    <row r="27" spans="1:7">
      <c r="A27" s="1623">
        <v>22</v>
      </c>
      <c r="C27" s="1683"/>
    </row>
    <row r="28" spans="1:7">
      <c r="A28" s="1623">
        <v>23</v>
      </c>
      <c r="B28" s="891" t="s">
        <v>3300</v>
      </c>
      <c r="C28" s="1683"/>
    </row>
    <row r="29" spans="1:7">
      <c r="A29" s="1623">
        <v>24</v>
      </c>
      <c r="B29" s="1712" t="s">
        <v>3328</v>
      </c>
      <c r="C29" s="1681">
        <v>35000</v>
      </c>
      <c r="D29" s="1713">
        <f>'Exhibit PCD-4'!E31</f>
        <v>44196</v>
      </c>
      <c r="F29" s="1783">
        <f>'Exhibit PCD-4'!H34+22700000</f>
        <v>66077454.639999993</v>
      </c>
    </row>
    <row r="30" spans="1:7">
      <c r="A30" s="1623">
        <v>25</v>
      </c>
      <c r="B30" s="1712" t="str">
        <f>'Exhibit PCD-4'!B22</f>
        <v>Aberdeen 6" HP Project</v>
      </c>
      <c r="C30" s="1681">
        <f>'Exhibit PCD-4'!H22</f>
        <v>4257740</v>
      </c>
      <c r="D30" s="1622">
        <v>2021</v>
      </c>
      <c r="F30" s="1683">
        <f>F29-C25</f>
        <v>8823711.1499999836</v>
      </c>
    </row>
    <row r="31" spans="1:7">
      <c r="A31" s="1623">
        <v>26</v>
      </c>
      <c r="B31" s="1712" t="str">
        <f>'Exhibit PCD-4'!B23</f>
        <v>Richland Keene Rd Project</v>
      </c>
      <c r="C31" s="1681">
        <f>'Exhibit PCD-4'!H23</f>
        <v>1725636</v>
      </c>
      <c r="D31" s="1622">
        <v>2021</v>
      </c>
    </row>
    <row r="32" spans="1:7">
      <c r="A32" s="1623">
        <v>27</v>
      </c>
      <c r="B32" s="1712" t="str">
        <f>'Exhibit PCD-4'!B26</f>
        <v>Mount Vernon Reg Station Project</v>
      </c>
      <c r="C32" s="1681">
        <f>'Exhibit PCD-4'!H26</f>
        <v>352513.6</v>
      </c>
      <c r="D32" s="1622">
        <v>2021</v>
      </c>
    </row>
    <row r="33" spans="1:4">
      <c r="A33" s="1623">
        <v>28</v>
      </c>
      <c r="B33" s="1714" t="str">
        <f>'Exhibit PCD-4'!B30</f>
        <v>Richland Odorizer Project</v>
      </c>
      <c r="C33" s="1716">
        <f>'Exhibit PCD-4'!H30</f>
        <v>143033.60000000001</v>
      </c>
      <c r="D33" s="1679">
        <v>2021</v>
      </c>
    </row>
    <row r="34" spans="1:4">
      <c r="A34" s="1623">
        <v>29</v>
      </c>
      <c r="B34" s="1712" t="s">
        <v>3282</v>
      </c>
      <c r="C34" s="1681">
        <f>SUM(C29:C33)</f>
        <v>6513923.1999999993</v>
      </c>
    </row>
    <row r="35" spans="1:4">
      <c r="A35" s="1623">
        <v>30</v>
      </c>
    </row>
  </sheetData>
  <mergeCells count="2">
    <mergeCell ref="A1:D1"/>
    <mergeCell ref="A2:D2"/>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29E88-9D91-4146-8277-F11B2EEFF8F0}">
  <sheetPr codeName="Sheet62">
    <tabColor theme="7" tint="0.79998168889431442"/>
    <pageSetUpPr fitToPage="1"/>
  </sheetPr>
  <dimension ref="A1:AH75"/>
  <sheetViews>
    <sheetView topLeftCell="B1" zoomScale="80" zoomScaleNormal="80" zoomScaleSheetLayoutView="90" workbookViewId="0">
      <pane xSplit="1" ySplit="6" topLeftCell="F7" activePane="bottomRight" state="frozen"/>
      <selection activeCell="B1" sqref="B1"/>
      <selection pane="topRight" activeCell="C1" sqref="C1"/>
      <selection pane="bottomLeft" activeCell="B7" sqref="B7"/>
      <selection pane="bottomRight" activeCell="Q2" sqref="Q2"/>
    </sheetView>
  </sheetViews>
  <sheetFormatPr defaultColWidth="9.109375" defaultRowHeight="14.4"/>
  <cols>
    <col min="1" max="1" width="6.33203125" style="1623" customWidth="1"/>
    <col min="2" max="2" width="31.33203125" style="1623" customWidth="1"/>
    <col min="3" max="3" width="1.44140625" style="1623" customWidth="1"/>
    <col min="4" max="4" width="16.33203125" style="1623" customWidth="1"/>
    <col min="5" max="5" width="13.33203125" style="1623" customWidth="1"/>
    <col min="6" max="6" width="1.44140625" style="1623" customWidth="1"/>
    <col min="7" max="7" width="14.88671875" style="1623" bestFit="1" customWidth="1"/>
    <col min="8" max="8" width="16.88671875" style="1623" customWidth="1"/>
    <col min="9" max="9" width="1.44140625" style="1623" customWidth="1"/>
    <col min="10" max="10" width="15.109375" style="1623" customWidth="1"/>
    <col min="11" max="11" width="17.5546875" style="1623" customWidth="1"/>
    <col min="12" max="12" width="1.44140625" style="1623" customWidth="1"/>
    <col min="13" max="13" width="43.6640625" style="1734" bestFit="1" customWidth="1"/>
    <col min="14" max="14" width="9.109375" style="1622"/>
    <col min="15" max="15" width="11.88671875" style="1622" customWidth="1"/>
    <col min="16" max="16" width="16.6640625" style="1622" bestFit="1" customWidth="1"/>
    <col min="17" max="17" width="11.6640625" style="1622" bestFit="1" customWidth="1"/>
    <col min="18" max="19" width="9.109375" style="1622"/>
    <col min="20" max="20" width="12.44140625" style="1622" customWidth="1"/>
    <col min="21" max="21" width="15.5546875" style="1622" bestFit="1" customWidth="1"/>
    <col min="22" max="22" width="11.6640625" style="1622" bestFit="1" customWidth="1"/>
    <col min="23" max="27" width="9.109375" style="1622"/>
    <col min="28" max="28" width="13.88671875" style="1622" bestFit="1" customWidth="1"/>
    <col min="29" max="29" width="9.109375" style="1622"/>
    <col min="30" max="30" width="12.44140625" style="1622" customWidth="1"/>
    <col min="31" max="31" width="13.88671875" style="1622" bestFit="1" customWidth="1"/>
    <col min="32" max="32" width="9.109375" style="1622"/>
    <col min="33" max="33" width="10.5546875" style="1622" bestFit="1" customWidth="1"/>
    <col min="34" max="34" width="13.88671875" style="1622" bestFit="1" customWidth="1"/>
    <col min="35" max="16384" width="9.109375" style="1622"/>
  </cols>
  <sheetData>
    <row r="1" spans="1:34">
      <c r="A1" s="1895" t="s">
        <v>100</v>
      </c>
      <c r="B1" s="1895"/>
      <c r="C1" s="1895"/>
      <c r="D1" s="1895"/>
      <c r="E1" s="1895"/>
      <c r="F1" s="1895"/>
      <c r="G1" s="1895"/>
      <c r="H1" s="1895"/>
      <c r="I1" s="1895"/>
      <c r="J1" s="1895"/>
      <c r="K1" s="1895"/>
      <c r="L1" s="1895"/>
      <c r="M1" s="1895"/>
      <c r="N1" s="1737"/>
      <c r="O1" s="1737"/>
      <c r="P1" s="1738"/>
    </row>
    <row r="2" spans="1:34">
      <c r="A2" s="1895" t="s">
        <v>3304</v>
      </c>
      <c r="B2" s="1895"/>
      <c r="C2" s="1895"/>
      <c r="D2" s="1895"/>
      <c r="E2" s="1895"/>
      <c r="F2" s="1895"/>
      <c r="G2" s="1895"/>
      <c r="H2" s="1895"/>
      <c r="I2" s="1895"/>
      <c r="J2" s="1895"/>
      <c r="K2" s="1895"/>
      <c r="L2" s="1895"/>
      <c r="M2" s="1895"/>
      <c r="N2" s="1737"/>
      <c r="O2" s="1737" t="s">
        <v>3359</v>
      </c>
      <c r="P2" s="1738">
        <v>13190383</v>
      </c>
    </row>
    <row r="3" spans="1:34">
      <c r="A3" s="1896" t="s">
        <v>3269</v>
      </c>
      <c r="B3" s="1896"/>
      <c r="C3" s="1896"/>
      <c r="D3" s="1896"/>
      <c r="E3" s="1896"/>
      <c r="F3" s="1896"/>
      <c r="G3" s="1896"/>
      <c r="H3" s="1896"/>
      <c r="I3" s="1896"/>
      <c r="J3" s="1896"/>
      <c r="K3" s="1896"/>
      <c r="L3" s="1896"/>
      <c r="M3" s="1896"/>
      <c r="N3" s="1737"/>
      <c r="O3" s="1737" t="s">
        <v>3358</v>
      </c>
      <c r="P3" s="1738">
        <f>SUM(P11:P13,P19:P21,P24,P25, P27)</f>
        <v>13586826.540000001</v>
      </c>
    </row>
    <row r="4" spans="1:34">
      <c r="A4" s="1622"/>
      <c r="B4" s="1622"/>
      <c r="C4" s="1622"/>
      <c r="D4" s="1736"/>
      <c r="E4" s="1736"/>
      <c r="F4" s="1736"/>
      <c r="G4" s="1736"/>
      <c r="H4" s="1736"/>
      <c r="I4" s="1736"/>
      <c r="J4" s="1736"/>
      <c r="K4" s="1736"/>
      <c r="L4" s="1736"/>
      <c r="M4" s="1736"/>
      <c r="N4" s="1737"/>
      <c r="O4" s="1737"/>
      <c r="P4" s="1738">
        <f>P3-P2</f>
        <v>396443.54000000097</v>
      </c>
    </row>
    <row r="5" spans="1:34" ht="28.8">
      <c r="A5" s="1735" t="s">
        <v>649</v>
      </c>
      <c r="B5" s="1735" t="s">
        <v>3192</v>
      </c>
      <c r="C5" s="1766"/>
      <c r="D5" s="1735" t="s">
        <v>1429</v>
      </c>
      <c r="E5" s="1735" t="s">
        <v>3303</v>
      </c>
      <c r="F5" s="1766"/>
      <c r="G5" s="1735" t="s">
        <v>3306</v>
      </c>
      <c r="H5" s="1735" t="s">
        <v>3310</v>
      </c>
      <c r="I5" s="1766"/>
      <c r="J5" s="1735" t="s">
        <v>3309</v>
      </c>
      <c r="K5" s="1735" t="s">
        <v>3311</v>
      </c>
      <c r="L5" s="1766"/>
      <c r="M5" s="1735" t="s">
        <v>3305</v>
      </c>
      <c r="P5" s="1622" t="s">
        <v>3325</v>
      </c>
    </row>
    <row r="6" spans="1:34">
      <c r="A6" s="1711"/>
      <c r="B6" s="1711" t="s">
        <v>778</v>
      </c>
      <c r="C6" s="1711"/>
      <c r="D6" s="1711" t="s">
        <v>776</v>
      </c>
      <c r="E6" s="1711" t="s">
        <v>777</v>
      </c>
      <c r="F6" s="1711"/>
      <c r="G6" s="1711" t="s">
        <v>780</v>
      </c>
      <c r="H6" s="1711" t="s">
        <v>781</v>
      </c>
      <c r="I6" s="1711"/>
      <c r="J6" s="1711" t="s">
        <v>782</v>
      </c>
      <c r="K6" s="1711" t="s">
        <v>783</v>
      </c>
      <c r="L6" s="1711"/>
      <c r="M6" s="1711" t="s">
        <v>784</v>
      </c>
    </row>
    <row r="7" spans="1:34" ht="15.75" customHeight="1">
      <c r="A7" s="1623">
        <v>1</v>
      </c>
      <c r="B7" s="1734" t="s">
        <v>3322</v>
      </c>
      <c r="C7" s="1765"/>
      <c r="D7" s="1740">
        <v>44074</v>
      </c>
      <c r="E7" s="1740">
        <v>44194</v>
      </c>
      <c r="F7" s="1740"/>
      <c r="G7" s="1741">
        <f>SUM(H7:H10)</f>
        <v>16888815.439999998</v>
      </c>
      <c r="H7" s="1741">
        <v>5648475</v>
      </c>
      <c r="I7" s="1741"/>
      <c r="J7" s="1741">
        <f>SUM(K7:K10)</f>
        <v>17005803.02</v>
      </c>
      <c r="K7" s="1741">
        <v>5749367.2800000003</v>
      </c>
      <c r="L7" s="1741"/>
      <c r="M7" s="1622" t="s">
        <v>1945</v>
      </c>
      <c r="O7" s="1622" t="str">
        <f>LEFT('Exhibit PCD-4'!$M7, 9)</f>
        <v>FP-302596</v>
      </c>
      <c r="P7" s="1739">
        <v>0</v>
      </c>
      <c r="Q7" s="1740">
        <f>'Exhibit PCD-4'!$E7</f>
        <v>44194</v>
      </c>
      <c r="T7" s="1622" t="s">
        <v>3165</v>
      </c>
      <c r="U7" s="1741">
        <f>VLOOKUP($T7, $O$7:$Q$32, 2, FALSE)</f>
        <v>4131574.32</v>
      </c>
      <c r="V7" s="1713">
        <f>VLOOKUP($T7, $O$7:$Q$32, 3, FALSE)</f>
        <v>43857</v>
      </c>
      <c r="AB7" s="1783"/>
      <c r="AC7" s="1622" t="s">
        <v>3184</v>
      </c>
      <c r="AD7" s="1782">
        <v>44074</v>
      </c>
      <c r="AE7" s="1783">
        <v>5749367.2800000003</v>
      </c>
      <c r="AG7" s="1782">
        <f>VLOOKUP($O7, $AC$7:$AE$32, 2, FALSE)</f>
        <v>44074</v>
      </c>
      <c r="AH7" s="1783">
        <f>VLOOKUP($O7, $AC$7:$AE$32, 3, FALSE)</f>
        <v>5749367.2800000003</v>
      </c>
    </row>
    <row r="8" spans="1:34" ht="15.75" customHeight="1">
      <c r="A8" s="1623">
        <v>2</v>
      </c>
      <c r="B8" s="1734"/>
      <c r="C8" s="1765"/>
      <c r="D8" s="1740">
        <v>44074</v>
      </c>
      <c r="E8" s="1740">
        <v>44194</v>
      </c>
      <c r="F8" s="1740"/>
      <c r="G8" s="1741"/>
      <c r="H8" s="1741">
        <v>1308260.44</v>
      </c>
      <c r="I8" s="1741"/>
      <c r="J8" s="1741"/>
      <c r="K8" s="1741">
        <v>1484844.57</v>
      </c>
      <c r="L8" s="1741"/>
      <c r="M8" s="1622" t="s">
        <v>1966</v>
      </c>
      <c r="O8" s="1622" t="str">
        <f>LEFT('Exhibit PCD-4'!$M8, 9)</f>
        <v>FP-316587</v>
      </c>
      <c r="P8" s="1739">
        <v>0</v>
      </c>
      <c r="Q8" s="1740">
        <f>'Exhibit PCD-4'!$E8</f>
        <v>44194</v>
      </c>
      <c r="T8" s="1622" t="s">
        <v>3184</v>
      </c>
      <c r="U8" s="1741">
        <f t="shared" ref="U8:U32" si="0">VLOOKUP($T8, $O$7:$Q$32, 2, FALSE)</f>
        <v>0</v>
      </c>
      <c r="V8" s="1713">
        <f t="shared" ref="V8:V32" si="1">VLOOKUP($T8, $O$7:$Q$32, 3, FALSE)</f>
        <v>44194</v>
      </c>
      <c r="AB8" s="1783"/>
      <c r="AC8" s="1781" t="s">
        <v>3165</v>
      </c>
      <c r="AD8" s="1782">
        <v>44074</v>
      </c>
      <c r="AE8" s="1783">
        <v>4131574.32</v>
      </c>
      <c r="AG8" s="1782">
        <f t="shared" ref="AG8:AG32" si="2">VLOOKUP($O8, $AC$7:$AE$32, 2, FALSE)</f>
        <v>44155</v>
      </c>
      <c r="AH8" s="1783">
        <f>VLOOKUP($O8, $AC$7:$AE$32, 3, FALSE)</f>
        <v>1484844.57</v>
      </c>
    </row>
    <row r="9" spans="1:34" ht="15.75" customHeight="1">
      <c r="A9" s="1623">
        <v>3</v>
      </c>
      <c r="B9" s="1734"/>
      <c r="C9" s="1765"/>
      <c r="D9" s="1740">
        <v>44074</v>
      </c>
      <c r="E9" s="1740">
        <v>44194</v>
      </c>
      <c r="F9" s="1740"/>
      <c r="G9" s="1741"/>
      <c r="H9" s="1741">
        <v>9795152</v>
      </c>
      <c r="I9" s="1741"/>
      <c r="J9" s="1741"/>
      <c r="K9" s="1741">
        <v>9771591.1699999999</v>
      </c>
      <c r="L9" s="1741"/>
      <c r="M9" s="1622" t="s">
        <v>1264</v>
      </c>
      <c r="O9" s="1622" t="str">
        <f>LEFT('Exhibit PCD-4'!$M9, 9)</f>
        <v>FP-316670</v>
      </c>
      <c r="P9" s="1739">
        <v>0</v>
      </c>
      <c r="Q9" s="1740">
        <f>'Exhibit PCD-4'!$E9</f>
        <v>44194</v>
      </c>
      <c r="T9" s="1622" t="s">
        <v>3175</v>
      </c>
      <c r="U9" s="1741">
        <f t="shared" si="0"/>
        <v>0</v>
      </c>
      <c r="V9" s="1713">
        <f t="shared" si="1"/>
        <v>44175</v>
      </c>
      <c r="AB9" s="1783"/>
      <c r="AC9" s="1781" t="s">
        <v>3167</v>
      </c>
      <c r="AD9" s="1782">
        <v>44074</v>
      </c>
      <c r="AE9" s="1783">
        <v>892536.09</v>
      </c>
      <c r="AG9" s="1782">
        <f t="shared" si="2"/>
        <v>44165</v>
      </c>
      <c r="AH9" s="1783">
        <f>VLOOKUP($O9, $AC$7:$AE$32, 3, FALSE)</f>
        <v>9771591.1699999999</v>
      </c>
    </row>
    <row r="10" spans="1:34" ht="15.75" customHeight="1">
      <c r="A10" s="1623">
        <v>4</v>
      </c>
      <c r="B10" s="1751"/>
      <c r="C10" s="1751"/>
      <c r="D10" s="1752">
        <v>44074</v>
      </c>
      <c r="E10" s="1715" t="s">
        <v>2335</v>
      </c>
      <c r="F10" s="1752"/>
      <c r="G10" s="1753"/>
      <c r="H10" s="1753">
        <v>136928</v>
      </c>
      <c r="I10" s="1753"/>
      <c r="J10" s="1753"/>
      <c r="K10" s="1753">
        <v>0</v>
      </c>
      <c r="L10" s="1753"/>
      <c r="M10" s="1679" t="s">
        <v>3207</v>
      </c>
      <c r="O10" s="1622" t="str">
        <f>LEFT('Exhibit PCD-4'!$M10, 9)</f>
        <v>FP-317535</v>
      </c>
      <c r="P10" s="1739">
        <v>0</v>
      </c>
      <c r="Q10" s="1743" t="str">
        <f>'Exhibit PCD-4'!$E10</f>
        <v>N/A</v>
      </c>
      <c r="T10" s="1622" t="s">
        <v>3174</v>
      </c>
      <c r="U10" s="1741">
        <f t="shared" si="0"/>
        <v>0</v>
      </c>
      <c r="V10" s="1713">
        <f t="shared" si="1"/>
        <v>44175</v>
      </c>
      <c r="AB10" s="1783"/>
      <c r="AC10" s="1781" t="s">
        <v>3175</v>
      </c>
      <c r="AD10" s="1782">
        <v>44074</v>
      </c>
      <c r="AE10" s="1783">
        <v>4898744.95</v>
      </c>
      <c r="AG10" s="1782">
        <f t="shared" si="2"/>
        <v>44165</v>
      </c>
      <c r="AH10" s="1783">
        <f t="shared" ref="AH10:AH32" si="3">VLOOKUP($O10, $AC$7:$AE$32, 3, FALSE)</f>
        <v>116370.93</v>
      </c>
    </row>
    <row r="11" spans="1:34" ht="15.75" customHeight="1">
      <c r="A11" s="1623">
        <v>5</v>
      </c>
      <c r="B11" s="1734" t="s">
        <v>3198</v>
      </c>
      <c r="C11" s="1765"/>
      <c r="D11" s="1740">
        <v>44165</v>
      </c>
      <c r="E11" s="1740">
        <v>44102</v>
      </c>
      <c r="F11" s="1740"/>
      <c r="G11" s="1785">
        <f>SUM(H11:H13)</f>
        <v>6054000</v>
      </c>
      <c r="H11" s="1785">
        <v>858122</v>
      </c>
      <c r="I11" s="1741"/>
      <c r="J11" s="1741">
        <f>SUM(K11:K13)</f>
        <v>5318050.0600000005</v>
      </c>
      <c r="K11" s="1741">
        <v>1392314.26</v>
      </c>
      <c r="L11" s="1741"/>
      <c r="M11" s="1622" t="s">
        <v>1957</v>
      </c>
      <c r="O11" s="825" t="str">
        <f>LEFT('Exhibit PCD-4'!$M11, 9)</f>
        <v>FP-318808</v>
      </c>
      <c r="P11" s="1739">
        <f>'Exhibit PCD-4'!$K11</f>
        <v>1392314.26</v>
      </c>
      <c r="Q11" s="1740">
        <f>'Exhibit PCD-4'!$E11</f>
        <v>44102</v>
      </c>
      <c r="T11" s="1622" t="s">
        <v>3168</v>
      </c>
      <c r="U11" s="1741">
        <f t="shared" si="0"/>
        <v>0</v>
      </c>
      <c r="V11" s="1713" t="str">
        <f t="shared" si="1"/>
        <v>N/A</v>
      </c>
      <c r="AB11" s="1783"/>
      <c r="AC11" s="1781" t="s">
        <v>3187</v>
      </c>
      <c r="AD11" s="1782">
        <v>44165</v>
      </c>
      <c r="AE11" s="1783">
        <v>9771591.1699999999</v>
      </c>
      <c r="AG11" s="1782">
        <f t="shared" si="2"/>
        <v>44155</v>
      </c>
      <c r="AH11" s="1783">
        <f t="shared" si="3"/>
        <v>1392314.26</v>
      </c>
    </row>
    <row r="12" spans="1:34" ht="15.75" customHeight="1">
      <c r="A12" s="1623">
        <v>6</v>
      </c>
      <c r="B12" s="1734"/>
      <c r="C12" s="1765"/>
      <c r="D12" s="1740">
        <v>44165</v>
      </c>
      <c r="E12" s="1740">
        <v>44102</v>
      </c>
      <c r="F12" s="1740"/>
      <c r="G12" s="1785"/>
      <c r="H12" s="1785">
        <v>4731395</v>
      </c>
      <c r="I12" s="1741"/>
      <c r="J12" s="1741"/>
      <c r="K12" s="1741">
        <v>3416936.97</v>
      </c>
      <c r="L12" s="1741"/>
      <c r="M12" s="1622" t="s">
        <v>1959</v>
      </c>
      <c r="O12" s="825" t="str">
        <f>LEFT('Exhibit PCD-4'!$M12, 9)</f>
        <v>FP-318987</v>
      </c>
      <c r="P12" s="1739">
        <f>'Exhibit PCD-4'!$K12</f>
        <v>3416936.97</v>
      </c>
      <c r="Q12" s="1740">
        <f>'Exhibit PCD-4'!$E12</f>
        <v>44102</v>
      </c>
      <c r="T12" s="1622" t="s">
        <v>3166</v>
      </c>
      <c r="U12" s="1741">
        <f t="shared" si="0"/>
        <v>1043390.01</v>
      </c>
      <c r="V12" s="1713">
        <f t="shared" si="1"/>
        <v>44043</v>
      </c>
      <c r="AB12" s="1783"/>
      <c r="AC12" s="1781" t="s">
        <v>3181</v>
      </c>
      <c r="AD12" s="1782">
        <v>44165</v>
      </c>
      <c r="AE12" s="1783">
        <v>1584349.9</v>
      </c>
      <c r="AG12" s="1782">
        <f t="shared" si="2"/>
        <v>44155</v>
      </c>
      <c r="AH12" s="1783">
        <f t="shared" si="3"/>
        <v>3416936.97</v>
      </c>
    </row>
    <row r="13" spans="1:34" ht="15.75" customHeight="1">
      <c r="A13" s="1623">
        <v>7</v>
      </c>
      <c r="B13" s="1751"/>
      <c r="C13" s="1751"/>
      <c r="D13" s="1752">
        <v>44165</v>
      </c>
      <c r="E13" s="1752">
        <v>44102</v>
      </c>
      <c r="F13" s="1752"/>
      <c r="G13" s="1786"/>
      <c r="H13" s="1786">
        <v>464483</v>
      </c>
      <c r="I13" s="1753"/>
      <c r="J13" s="1753"/>
      <c r="K13" s="1753">
        <v>508798.83</v>
      </c>
      <c r="L13" s="1753"/>
      <c r="M13" s="1679" t="s">
        <v>2300</v>
      </c>
      <c r="O13" s="825" t="str">
        <f>LEFT('Exhibit PCD-4'!$M13, 9)</f>
        <v>FP-318829</v>
      </c>
      <c r="P13" s="1739">
        <f>'Exhibit PCD-4'!$K13</f>
        <v>508798.83</v>
      </c>
      <c r="Q13" s="1740">
        <f>'Exhibit PCD-4'!$E13</f>
        <v>44102</v>
      </c>
      <c r="T13" s="1622" t="s">
        <v>3185</v>
      </c>
      <c r="U13" s="1741">
        <f t="shared" si="0"/>
        <v>0</v>
      </c>
      <c r="V13" s="1713">
        <f t="shared" si="1"/>
        <v>44194</v>
      </c>
      <c r="AB13" s="1783"/>
      <c r="AC13" s="1781" t="s">
        <v>3186</v>
      </c>
      <c r="AD13" s="1782">
        <v>44165</v>
      </c>
      <c r="AE13" s="1783">
        <v>116370.93</v>
      </c>
      <c r="AG13" s="1782">
        <f t="shared" si="2"/>
        <v>44042</v>
      </c>
      <c r="AH13" s="1783">
        <f t="shared" si="3"/>
        <v>508798.83</v>
      </c>
    </row>
    <row r="14" spans="1:34" ht="15.75" customHeight="1">
      <c r="A14" s="1623">
        <v>8</v>
      </c>
      <c r="B14" s="1734" t="s">
        <v>3201</v>
      </c>
      <c r="C14" s="1765"/>
      <c r="D14" s="1740">
        <v>44155</v>
      </c>
      <c r="E14" s="1740">
        <v>44175</v>
      </c>
      <c r="F14" s="1740"/>
      <c r="G14" s="1785">
        <f>SUM(H14:H18)</f>
        <v>5516328.8900000006</v>
      </c>
      <c r="H14" s="1785">
        <v>746233</v>
      </c>
      <c r="I14" s="1741"/>
      <c r="J14" s="1741">
        <f>SUM(K14:K18)</f>
        <v>7551515.8500000006</v>
      </c>
      <c r="K14" s="1741">
        <v>1215221.07</v>
      </c>
      <c r="L14" s="1741"/>
      <c r="M14" s="1622" t="s">
        <v>3202</v>
      </c>
      <c r="O14" s="1622" t="str">
        <f>LEFT('Exhibit PCD-4'!$M14, 9)</f>
        <v>FP-306998</v>
      </c>
      <c r="P14" s="1739">
        <v>0</v>
      </c>
      <c r="Q14" s="1740">
        <f>'Exhibit PCD-4'!$E14</f>
        <v>44175</v>
      </c>
      <c r="T14" s="1622" t="s">
        <v>3176</v>
      </c>
      <c r="U14" s="1741">
        <f t="shared" si="0"/>
        <v>0</v>
      </c>
      <c r="V14" s="1713">
        <f t="shared" si="1"/>
        <v>44175</v>
      </c>
      <c r="AB14" s="1783"/>
      <c r="AC14" s="1781" t="s">
        <v>3166</v>
      </c>
      <c r="AD14" s="1782">
        <v>44155</v>
      </c>
      <c r="AE14" s="1783">
        <v>1043390.01</v>
      </c>
      <c r="AG14" s="1782">
        <f t="shared" si="2"/>
        <v>44155</v>
      </c>
      <c r="AH14" s="1783">
        <f t="shared" si="3"/>
        <v>1215221.07</v>
      </c>
    </row>
    <row r="15" spans="1:34" ht="15.75" customHeight="1">
      <c r="A15" s="1623">
        <v>9</v>
      </c>
      <c r="B15" s="1734"/>
      <c r="C15" s="1765"/>
      <c r="D15" s="1740">
        <v>44155</v>
      </c>
      <c r="E15" s="1740">
        <v>44175</v>
      </c>
      <c r="F15" s="1740"/>
      <c r="G15" s="1785"/>
      <c r="H15" s="1785">
        <v>3360413</v>
      </c>
      <c r="I15" s="1741"/>
      <c r="J15" s="1741"/>
      <c r="K15" s="1741">
        <v>4898744.95</v>
      </c>
      <c r="L15" s="1741"/>
      <c r="M15" s="1622" t="s">
        <v>2341</v>
      </c>
      <c r="O15" s="1622" t="str">
        <f>LEFT('Exhibit PCD-4'!$M15, 9)</f>
        <v>FP-306988</v>
      </c>
      <c r="P15" s="1739">
        <v>0</v>
      </c>
      <c r="Q15" s="1740">
        <f>'Exhibit PCD-4'!$E15</f>
        <v>44175</v>
      </c>
      <c r="T15" s="1622" t="s">
        <v>3187</v>
      </c>
      <c r="U15" s="1741">
        <f t="shared" si="0"/>
        <v>0</v>
      </c>
      <c r="V15" s="1713">
        <f t="shared" si="1"/>
        <v>44194</v>
      </c>
      <c r="AB15" s="1783"/>
      <c r="AC15" s="1781" t="s">
        <v>3185</v>
      </c>
      <c r="AD15" s="1782">
        <v>44155</v>
      </c>
      <c r="AE15" s="1783">
        <v>1484844.57</v>
      </c>
      <c r="AG15" s="1782">
        <f t="shared" si="2"/>
        <v>44074</v>
      </c>
      <c r="AH15" s="1783">
        <f t="shared" si="3"/>
        <v>4898744.95</v>
      </c>
    </row>
    <row r="16" spans="1:34" ht="15.75" customHeight="1">
      <c r="A16" s="1623">
        <v>10</v>
      </c>
      <c r="B16" s="1734"/>
      <c r="C16" s="1765"/>
      <c r="D16" s="1740">
        <v>44155</v>
      </c>
      <c r="E16" s="1740">
        <v>44175</v>
      </c>
      <c r="F16" s="1740"/>
      <c r="G16" s="1785"/>
      <c r="H16" s="1785">
        <v>1160244.8900000001</v>
      </c>
      <c r="I16" s="1741"/>
      <c r="J16" s="1741"/>
      <c r="K16" s="1741">
        <v>1174322.96</v>
      </c>
      <c r="L16" s="1741"/>
      <c r="M16" s="1622" t="s">
        <v>1973</v>
      </c>
      <c r="O16" s="1622" t="str">
        <f>LEFT('Exhibit PCD-4'!$M16, 9)</f>
        <v>FP-316589</v>
      </c>
      <c r="P16" s="1739">
        <v>0</v>
      </c>
      <c r="Q16" s="1740">
        <f>'Exhibit PCD-4'!$E16</f>
        <v>44175</v>
      </c>
      <c r="T16" s="1622" t="s">
        <v>3181</v>
      </c>
      <c r="U16" s="1741">
        <f t="shared" si="0"/>
        <v>1584349.9</v>
      </c>
      <c r="V16" s="1713">
        <f t="shared" si="1"/>
        <v>43853</v>
      </c>
      <c r="AB16" s="1783"/>
      <c r="AC16" s="1781" t="s">
        <v>3174</v>
      </c>
      <c r="AD16" s="1782">
        <v>44155</v>
      </c>
      <c r="AE16" s="1783">
        <v>1215221.07</v>
      </c>
      <c r="AG16" s="1782">
        <f t="shared" si="2"/>
        <v>44012</v>
      </c>
      <c r="AH16" s="1783">
        <f t="shared" si="3"/>
        <v>1174322.96</v>
      </c>
    </row>
    <row r="17" spans="1:34" ht="15.75" customHeight="1">
      <c r="A17" s="1623">
        <v>11</v>
      </c>
      <c r="B17" s="1734"/>
      <c r="C17" s="1765"/>
      <c r="D17" s="1740">
        <v>44155</v>
      </c>
      <c r="E17" s="1740">
        <v>44175</v>
      </c>
      <c r="F17" s="1740"/>
      <c r="G17" s="1785"/>
      <c r="H17" s="1785">
        <v>124719</v>
      </c>
      <c r="I17" s="1741"/>
      <c r="J17" s="1741"/>
      <c r="K17" s="1741">
        <v>139247.74</v>
      </c>
      <c r="L17" s="1741"/>
      <c r="M17" s="1622" t="s">
        <v>2298</v>
      </c>
      <c r="O17" s="1622" t="str">
        <f>LEFT('Exhibit PCD-4'!$M17, 9)</f>
        <v>FP-318746</v>
      </c>
      <c r="P17" s="1739">
        <v>0</v>
      </c>
      <c r="Q17" s="1740">
        <f>'Exhibit PCD-4'!$E17</f>
        <v>44175</v>
      </c>
      <c r="T17" s="1622" t="s">
        <v>3167</v>
      </c>
      <c r="U17" s="1741">
        <f t="shared" si="0"/>
        <v>892536.09</v>
      </c>
      <c r="V17" s="1713">
        <f t="shared" si="1"/>
        <v>44077</v>
      </c>
      <c r="AB17" s="1783"/>
      <c r="AC17" s="1781" t="s">
        <v>3169</v>
      </c>
      <c r="AD17" s="1782">
        <v>44155</v>
      </c>
      <c r="AE17" s="1783">
        <v>3416936.97</v>
      </c>
      <c r="AG17" s="1782">
        <f t="shared" si="2"/>
        <v>43850</v>
      </c>
      <c r="AH17" s="1783">
        <f t="shared" si="3"/>
        <v>139247.74</v>
      </c>
    </row>
    <row r="18" spans="1:34" ht="15.75" customHeight="1">
      <c r="A18" s="1623">
        <v>12</v>
      </c>
      <c r="B18" s="1751"/>
      <c r="C18" s="1751"/>
      <c r="D18" s="1752">
        <v>44155</v>
      </c>
      <c r="E18" s="1752">
        <v>44175</v>
      </c>
      <c r="F18" s="1752"/>
      <c r="G18" s="1786"/>
      <c r="H18" s="1786">
        <v>124719</v>
      </c>
      <c r="I18" s="1753"/>
      <c r="J18" s="1753"/>
      <c r="K18" s="1753">
        <v>123979.13</v>
      </c>
      <c r="L18" s="1753"/>
      <c r="M18" s="1679" t="s">
        <v>2299</v>
      </c>
      <c r="O18" s="1622" t="str">
        <f>LEFT('Exhibit PCD-4'!$M18, 9)</f>
        <v>FP-318747</v>
      </c>
      <c r="P18" s="1739">
        <v>0</v>
      </c>
      <c r="Q18" s="1740">
        <f>'Exhibit PCD-4'!$E18</f>
        <v>44175</v>
      </c>
      <c r="T18" s="1622" t="s">
        <v>3186</v>
      </c>
      <c r="U18" s="1741">
        <f t="shared" si="0"/>
        <v>0</v>
      </c>
      <c r="V18" s="1713" t="str">
        <f t="shared" si="1"/>
        <v>N/A</v>
      </c>
      <c r="AB18" s="1783"/>
      <c r="AC18" s="1781" t="s">
        <v>3170</v>
      </c>
      <c r="AD18" s="1782">
        <v>44155</v>
      </c>
      <c r="AE18" s="1783">
        <v>1392314.26</v>
      </c>
      <c r="AG18" s="1782">
        <f t="shared" si="2"/>
        <v>44042</v>
      </c>
      <c r="AH18" s="1783">
        <f t="shared" si="3"/>
        <v>123979.13</v>
      </c>
    </row>
    <row r="19" spans="1:34" ht="15.75" customHeight="1">
      <c r="A19" s="1623">
        <v>13</v>
      </c>
      <c r="B19" s="1734" t="s">
        <v>3195</v>
      </c>
      <c r="C19" s="1765"/>
      <c r="D19" s="1740">
        <v>44012</v>
      </c>
      <c r="E19" s="1740">
        <v>43857</v>
      </c>
      <c r="F19" s="1740"/>
      <c r="G19" s="1785">
        <f>SUM(H19:H21)</f>
        <v>4655298.18</v>
      </c>
      <c r="H19" s="1785">
        <v>2757265.26</v>
      </c>
      <c r="I19" s="1741"/>
      <c r="J19" s="1741">
        <f>SUM(K19:K21)</f>
        <v>6067500.4199999999</v>
      </c>
      <c r="K19" s="1741">
        <v>4131574.32</v>
      </c>
      <c r="L19" s="1741"/>
      <c r="M19" s="1622" t="s">
        <v>1262</v>
      </c>
      <c r="O19" s="825" t="str">
        <f>LEFT('Exhibit PCD-4'!$M19, 9)</f>
        <v>FP-300233</v>
      </c>
      <c r="P19" s="1739">
        <f>'Exhibit PCD-4'!$K19</f>
        <v>4131574.32</v>
      </c>
      <c r="Q19" s="1740">
        <f>'Exhibit PCD-4'!$E19</f>
        <v>43857</v>
      </c>
      <c r="T19" s="1622" t="s">
        <v>3172</v>
      </c>
      <c r="U19" s="1741">
        <f t="shared" si="0"/>
        <v>0</v>
      </c>
      <c r="V19" s="1713">
        <f t="shared" si="1"/>
        <v>44186</v>
      </c>
      <c r="AB19" s="1783"/>
      <c r="AC19" s="1781" t="s">
        <v>3176</v>
      </c>
      <c r="AD19" s="1782">
        <v>44012</v>
      </c>
      <c r="AE19" s="1783">
        <v>1174322.96</v>
      </c>
      <c r="AG19" s="1782">
        <f t="shared" si="2"/>
        <v>44074</v>
      </c>
      <c r="AH19" s="1783">
        <f t="shared" si="3"/>
        <v>4131574.32</v>
      </c>
    </row>
    <row r="20" spans="1:34" ht="15.75" customHeight="1">
      <c r="A20" s="1623">
        <v>14</v>
      </c>
      <c r="B20" s="1734"/>
      <c r="C20" s="1765"/>
      <c r="D20" s="1740">
        <v>44012</v>
      </c>
      <c r="E20" s="1740">
        <v>44043</v>
      </c>
      <c r="F20" s="1740"/>
      <c r="G20" s="1785"/>
      <c r="H20" s="1785">
        <v>1015615.47</v>
      </c>
      <c r="I20" s="1741"/>
      <c r="J20" s="1741"/>
      <c r="K20" s="1741">
        <v>1043390.01</v>
      </c>
      <c r="L20" s="1741"/>
      <c r="M20" s="1622" t="s">
        <v>1967</v>
      </c>
      <c r="O20" s="825" t="str">
        <f>LEFT('Exhibit PCD-4'!$M20, 9)</f>
        <v>FP-316586</v>
      </c>
      <c r="P20" s="1739">
        <f>'Exhibit PCD-4'!$K20</f>
        <v>1043390.01</v>
      </c>
      <c r="Q20" s="1740">
        <f>'Exhibit PCD-4'!$E20</f>
        <v>44043</v>
      </c>
      <c r="T20" s="1622" t="s">
        <v>3180</v>
      </c>
      <c r="U20" s="1741">
        <f t="shared" si="0"/>
        <v>213957.59</v>
      </c>
      <c r="V20" s="1713">
        <f t="shared" si="1"/>
        <v>43944</v>
      </c>
      <c r="AB20" s="1783"/>
      <c r="AC20" s="1781" t="s">
        <v>3172</v>
      </c>
      <c r="AD20" s="1782">
        <v>44012</v>
      </c>
      <c r="AE20" s="1783">
        <v>863148.28</v>
      </c>
      <c r="AG20" s="1782">
        <f t="shared" si="2"/>
        <v>44155</v>
      </c>
      <c r="AH20" s="1783">
        <f t="shared" si="3"/>
        <v>1043390.01</v>
      </c>
    </row>
    <row r="21" spans="1:34" ht="15.75" customHeight="1">
      <c r="A21" s="1623">
        <v>15</v>
      </c>
      <c r="B21" s="1751"/>
      <c r="C21" s="1751"/>
      <c r="D21" s="1752">
        <v>44012</v>
      </c>
      <c r="E21" s="1752">
        <v>44077</v>
      </c>
      <c r="F21" s="1752"/>
      <c r="G21" s="1786"/>
      <c r="H21" s="1786">
        <v>882417.45</v>
      </c>
      <c r="I21" s="1753"/>
      <c r="J21" s="1753"/>
      <c r="K21" s="1753">
        <v>892536.09</v>
      </c>
      <c r="L21" s="1753"/>
      <c r="M21" s="1679" t="s">
        <v>3196</v>
      </c>
      <c r="O21" s="825" t="str">
        <f>LEFT('Exhibit PCD-4'!$M21, 9)</f>
        <v>FP-317322</v>
      </c>
      <c r="P21" s="1739">
        <f>'Exhibit PCD-4'!$K21</f>
        <v>892536.09</v>
      </c>
      <c r="Q21" s="1740">
        <f>'Exhibit PCD-4'!$E21</f>
        <v>44077</v>
      </c>
      <c r="T21" s="1622" t="s">
        <v>3179</v>
      </c>
      <c r="U21" s="1741">
        <f t="shared" si="0"/>
        <v>0</v>
      </c>
      <c r="V21" s="1713">
        <f t="shared" si="1"/>
        <v>44147</v>
      </c>
      <c r="AB21" s="1783"/>
      <c r="AC21" s="1781" t="s">
        <v>3183</v>
      </c>
      <c r="AD21" s="1782">
        <v>44012</v>
      </c>
      <c r="AE21" s="1783">
        <v>118814.28</v>
      </c>
      <c r="AG21" s="1782">
        <f t="shared" si="2"/>
        <v>44074</v>
      </c>
      <c r="AH21" s="1783">
        <f t="shared" si="3"/>
        <v>892536.09</v>
      </c>
    </row>
    <row r="22" spans="1:34" ht="15.75" customHeight="1">
      <c r="A22" s="1623">
        <v>16</v>
      </c>
      <c r="B22" s="1754" t="s">
        <v>3197</v>
      </c>
      <c r="C22" s="1754"/>
      <c r="D22" s="1755">
        <v>44042</v>
      </c>
      <c r="E22" s="1756" t="s">
        <v>2335</v>
      </c>
      <c r="F22" s="1756"/>
      <c r="G22" s="1787">
        <f>H22</f>
        <v>4257740</v>
      </c>
      <c r="H22" s="1787">
        <v>4257740</v>
      </c>
      <c r="I22" s="1757"/>
      <c r="J22" s="1757">
        <f>K22</f>
        <v>0</v>
      </c>
      <c r="K22" s="1757">
        <v>0</v>
      </c>
      <c r="L22" s="1757"/>
      <c r="M22" s="1758" t="s">
        <v>1263</v>
      </c>
      <c r="O22" s="1622" t="str">
        <f>LEFT('Exhibit PCD-4'!$M22, 9)</f>
        <v>FP-316429</v>
      </c>
      <c r="P22" s="1739">
        <v>0</v>
      </c>
      <c r="Q22" s="1743" t="str">
        <f>'Exhibit PCD-4'!$E22</f>
        <v>N/A</v>
      </c>
      <c r="T22" s="1622" t="s">
        <v>3183</v>
      </c>
      <c r="U22" s="1741">
        <f t="shared" si="0"/>
        <v>0</v>
      </c>
      <c r="V22" s="1713">
        <f t="shared" si="1"/>
        <v>44196</v>
      </c>
      <c r="AB22" s="1783"/>
      <c r="AC22" s="1781" t="s">
        <v>3180</v>
      </c>
      <c r="AD22" s="1782">
        <v>44042</v>
      </c>
      <c r="AE22" s="1783">
        <v>213957.59</v>
      </c>
      <c r="AG22" s="1782" t="e">
        <f>VLOOKUP($O22, $AC$7:$AE$32, 2, FALSE)</f>
        <v>#N/A</v>
      </c>
      <c r="AH22" s="1783" t="e">
        <f t="shared" si="3"/>
        <v>#N/A</v>
      </c>
    </row>
    <row r="23" spans="1:34" ht="15.75" customHeight="1">
      <c r="A23" s="1623">
        <v>17</v>
      </c>
      <c r="B23" s="1754" t="s">
        <v>3208</v>
      </c>
      <c r="C23" s="1754"/>
      <c r="D23" s="1755">
        <v>44042</v>
      </c>
      <c r="E23" s="1756" t="s">
        <v>2335</v>
      </c>
      <c r="F23" s="1756"/>
      <c r="G23" s="1787">
        <f>H23</f>
        <v>1725636</v>
      </c>
      <c r="H23" s="1787">
        <v>1725636</v>
      </c>
      <c r="I23" s="1757"/>
      <c r="J23" s="1757">
        <f>K23</f>
        <v>0</v>
      </c>
      <c r="K23" s="1757">
        <v>0</v>
      </c>
      <c r="L23" s="1757"/>
      <c r="M23" s="1758" t="s">
        <v>2304</v>
      </c>
      <c r="O23" s="1622" t="str">
        <f>LEFT('Exhibit PCD-4'!$M23, 9)</f>
        <v>FP-319072</v>
      </c>
      <c r="P23" s="1739">
        <v>0</v>
      </c>
      <c r="Q23" s="1743" t="str">
        <f>'Exhibit PCD-4'!$E23</f>
        <v>N/A</v>
      </c>
      <c r="T23" s="1622" t="s">
        <v>3173</v>
      </c>
      <c r="U23" s="1741">
        <f t="shared" si="0"/>
        <v>402968.57</v>
      </c>
      <c r="V23" s="1713">
        <f t="shared" si="1"/>
        <v>44130</v>
      </c>
      <c r="AB23" s="1783"/>
      <c r="AC23" s="1781" t="s">
        <v>3171</v>
      </c>
      <c r="AD23" s="1782">
        <v>44042</v>
      </c>
      <c r="AE23" s="1783">
        <v>508798.83</v>
      </c>
      <c r="AG23" s="1782" t="e">
        <f t="shared" si="2"/>
        <v>#N/A</v>
      </c>
      <c r="AH23" s="1783" t="e">
        <f t="shared" si="3"/>
        <v>#N/A</v>
      </c>
    </row>
    <row r="24" spans="1:34" ht="15.75" customHeight="1">
      <c r="A24" s="1623">
        <v>18</v>
      </c>
      <c r="B24" s="1754" t="s">
        <v>3205</v>
      </c>
      <c r="C24" s="1754"/>
      <c r="D24" s="1755">
        <v>43850</v>
      </c>
      <c r="E24" s="1756">
        <v>43853</v>
      </c>
      <c r="F24" s="1756"/>
      <c r="G24" s="1787">
        <f t="shared" ref="G24:J32" si="4">H24</f>
        <v>1526471.05</v>
      </c>
      <c r="H24" s="1787">
        <v>1526471.05</v>
      </c>
      <c r="I24" s="1757"/>
      <c r="J24" s="1757">
        <f t="shared" si="4"/>
        <v>1584349.9</v>
      </c>
      <c r="K24" s="1757">
        <v>1584349.9</v>
      </c>
      <c r="L24" s="1757"/>
      <c r="M24" s="1758" t="s">
        <v>1963</v>
      </c>
      <c r="O24" s="825" t="str">
        <f>LEFT('Exhibit PCD-4'!$M24, 9)</f>
        <v>FP-317060</v>
      </c>
      <c r="P24" s="1739">
        <f>'Exhibit PCD-4'!$K24</f>
        <v>1584349.9</v>
      </c>
      <c r="Q24" s="1743">
        <f>'Exhibit PCD-4'!$E24</f>
        <v>43853</v>
      </c>
      <c r="T24" s="1622" t="s">
        <v>3182</v>
      </c>
      <c r="U24" s="1741">
        <f t="shared" si="0"/>
        <v>0</v>
      </c>
      <c r="V24" s="1713" t="str">
        <f t="shared" si="1"/>
        <v>N/A</v>
      </c>
      <c r="AB24" s="1783"/>
      <c r="AC24" s="1781" t="s">
        <v>3177</v>
      </c>
      <c r="AD24" s="1782">
        <v>43850</v>
      </c>
      <c r="AE24" s="1783">
        <v>139247.74</v>
      </c>
      <c r="AG24" s="1782">
        <f t="shared" si="2"/>
        <v>44165</v>
      </c>
      <c r="AH24" s="1783">
        <f t="shared" si="3"/>
        <v>1584349.9</v>
      </c>
    </row>
    <row r="25" spans="1:34" ht="15.75" customHeight="1">
      <c r="A25" s="1623">
        <v>19</v>
      </c>
      <c r="B25" s="1754" t="s">
        <v>3204</v>
      </c>
      <c r="C25" s="1754"/>
      <c r="D25" s="1755">
        <v>44042</v>
      </c>
      <c r="E25" s="1756">
        <v>43944</v>
      </c>
      <c r="F25" s="1756"/>
      <c r="G25" s="1787">
        <f t="shared" si="4"/>
        <v>433146.02</v>
      </c>
      <c r="H25" s="1787">
        <v>433146.02</v>
      </c>
      <c r="I25" s="1757"/>
      <c r="J25" s="1757">
        <f t="shared" si="4"/>
        <v>213957.59</v>
      </c>
      <c r="K25" s="1757">
        <v>213957.59</v>
      </c>
      <c r="L25" s="1757"/>
      <c r="M25" s="1758" t="s">
        <v>2293</v>
      </c>
      <c r="O25" s="825" t="str">
        <f>LEFT('Exhibit PCD-4'!$M25, 9)</f>
        <v>FP-318482</v>
      </c>
      <c r="P25" s="1739">
        <f>'Exhibit PCD-4'!$K25</f>
        <v>213957.59</v>
      </c>
      <c r="Q25" s="1740">
        <f>'Exhibit PCD-4'!$E25</f>
        <v>43944</v>
      </c>
      <c r="T25" s="1622" t="s">
        <v>3177</v>
      </c>
      <c r="U25" s="1741">
        <f t="shared" si="0"/>
        <v>0</v>
      </c>
      <c r="V25" s="1713">
        <f t="shared" si="1"/>
        <v>44175</v>
      </c>
      <c r="AB25" s="1783"/>
      <c r="AC25" s="1781" t="s">
        <v>3178</v>
      </c>
      <c r="AD25" s="1782">
        <v>44042</v>
      </c>
      <c r="AE25" s="1783">
        <v>123979.13</v>
      </c>
      <c r="AG25" s="1782">
        <f t="shared" si="2"/>
        <v>44042</v>
      </c>
      <c r="AH25" s="1783">
        <f t="shared" si="3"/>
        <v>213957.59</v>
      </c>
    </row>
    <row r="26" spans="1:34" ht="15.75" customHeight="1">
      <c r="A26" s="1623">
        <v>20</v>
      </c>
      <c r="B26" s="1754" t="s">
        <v>3206</v>
      </c>
      <c r="C26" s="1754"/>
      <c r="D26" s="1755">
        <v>44135</v>
      </c>
      <c r="E26" s="1756" t="s">
        <v>2335</v>
      </c>
      <c r="F26" s="1756"/>
      <c r="G26" s="1787">
        <f t="shared" si="4"/>
        <v>352513.6</v>
      </c>
      <c r="H26" s="1787">
        <v>352513.6</v>
      </c>
      <c r="I26" s="1757"/>
      <c r="J26" s="1757">
        <f t="shared" si="4"/>
        <v>0</v>
      </c>
      <c r="K26" s="1757">
        <v>0</v>
      </c>
      <c r="L26" s="1757"/>
      <c r="M26" s="1758" t="s">
        <v>2297</v>
      </c>
      <c r="O26" s="1622" t="str">
        <f>LEFT('Exhibit PCD-4'!$M26, 9)</f>
        <v>FP-318742</v>
      </c>
      <c r="P26" s="1739">
        <v>0</v>
      </c>
      <c r="Q26" s="1743" t="str">
        <f>'Exhibit PCD-4'!$E26</f>
        <v>N/A</v>
      </c>
      <c r="T26" s="1622" t="s">
        <v>3178</v>
      </c>
      <c r="U26" s="1741">
        <f t="shared" si="0"/>
        <v>0</v>
      </c>
      <c r="V26" s="1713">
        <f t="shared" si="1"/>
        <v>44175</v>
      </c>
      <c r="AB26" s="1783"/>
      <c r="AC26" s="1781" t="s">
        <v>3179</v>
      </c>
      <c r="AD26" s="1782">
        <v>44135</v>
      </c>
      <c r="AE26" s="1783">
        <v>153797.42000000001</v>
      </c>
      <c r="AG26" s="1782" t="e">
        <f t="shared" si="2"/>
        <v>#N/A</v>
      </c>
      <c r="AH26" s="1783" t="e">
        <f t="shared" si="3"/>
        <v>#N/A</v>
      </c>
    </row>
    <row r="27" spans="1:34" ht="15.75" customHeight="1">
      <c r="A27" s="1623">
        <v>21</v>
      </c>
      <c r="B27" s="1754" t="s">
        <v>3200</v>
      </c>
      <c r="C27" s="1754"/>
      <c r="D27" s="1755">
        <v>44165</v>
      </c>
      <c r="E27" s="1756">
        <v>44130</v>
      </c>
      <c r="F27" s="1756"/>
      <c r="G27" s="1787">
        <f t="shared" si="4"/>
        <v>312625</v>
      </c>
      <c r="H27" s="1787">
        <v>312625</v>
      </c>
      <c r="I27" s="1757"/>
      <c r="J27" s="1757">
        <f t="shared" si="4"/>
        <v>402968.57</v>
      </c>
      <c r="K27" s="1757">
        <v>402968.57</v>
      </c>
      <c r="L27" s="1757"/>
      <c r="M27" s="1758" t="s">
        <v>2296</v>
      </c>
      <c r="O27" s="825" t="str">
        <f>LEFT('Exhibit PCD-4'!$M27, 9)</f>
        <v>FP-318690</v>
      </c>
      <c r="P27" s="1739">
        <f>'Exhibit PCD-4'!$K27</f>
        <v>402968.57</v>
      </c>
      <c r="Q27" s="1740">
        <f>'Exhibit PCD-4'!$E27</f>
        <v>44130</v>
      </c>
      <c r="T27" s="1622" t="s">
        <v>3170</v>
      </c>
      <c r="U27" s="1741">
        <f t="shared" si="0"/>
        <v>1392314.26</v>
      </c>
      <c r="V27" s="1713">
        <f t="shared" si="1"/>
        <v>44102</v>
      </c>
      <c r="AB27" s="1783"/>
      <c r="AC27" s="1781" t="s">
        <v>3173</v>
      </c>
      <c r="AD27" s="1782">
        <v>44165</v>
      </c>
      <c r="AE27" s="1783">
        <v>402968.57</v>
      </c>
      <c r="AG27" s="1782">
        <f t="shared" si="2"/>
        <v>44165</v>
      </c>
      <c r="AH27" s="1783">
        <f t="shared" si="3"/>
        <v>402968.57</v>
      </c>
    </row>
    <row r="28" spans="1:34" ht="15.75" customHeight="1">
      <c r="A28" s="1623">
        <v>22</v>
      </c>
      <c r="B28" s="1754" t="s">
        <v>3203</v>
      </c>
      <c r="C28" s="1754"/>
      <c r="D28" s="1755">
        <v>44104</v>
      </c>
      <c r="E28" s="1756">
        <v>44147</v>
      </c>
      <c r="F28" s="1756"/>
      <c r="G28" s="1757">
        <f t="shared" si="4"/>
        <v>177166.29</v>
      </c>
      <c r="H28" s="1757">
        <v>177166.29</v>
      </c>
      <c r="I28" s="1757"/>
      <c r="J28" s="1757">
        <f t="shared" si="4"/>
        <v>153797.42000000001</v>
      </c>
      <c r="K28" s="1757">
        <v>153797.42000000001</v>
      </c>
      <c r="L28" s="1757"/>
      <c r="M28" s="1758" t="s">
        <v>2294</v>
      </c>
      <c r="O28" s="1622" t="str">
        <f>LEFT('Exhibit PCD-4'!$M28, 9)</f>
        <v>FP-318566</v>
      </c>
      <c r="P28" s="1739">
        <v>0</v>
      </c>
      <c r="Q28" s="1740">
        <f>'Exhibit PCD-4'!$E28</f>
        <v>44147</v>
      </c>
      <c r="T28" s="1622" t="s">
        <v>3171</v>
      </c>
      <c r="U28" s="1741">
        <f t="shared" si="0"/>
        <v>508798.83</v>
      </c>
      <c r="V28" s="1713">
        <f t="shared" si="1"/>
        <v>44102</v>
      </c>
      <c r="AB28" s="1783"/>
      <c r="AC28" s="1781" t="s">
        <v>3189</v>
      </c>
      <c r="AD28" s="1782">
        <v>44104</v>
      </c>
      <c r="AE28" s="1783">
        <v>167647.38</v>
      </c>
      <c r="AG28" s="1782">
        <f t="shared" si="2"/>
        <v>44135</v>
      </c>
      <c r="AH28" s="1783">
        <f t="shared" si="3"/>
        <v>153797.42000000001</v>
      </c>
    </row>
    <row r="29" spans="1:34" ht="15.75" customHeight="1">
      <c r="A29" s="1623">
        <v>23</v>
      </c>
      <c r="B29" s="1754" t="s">
        <v>3209</v>
      </c>
      <c r="C29" s="1754"/>
      <c r="D29" s="1755">
        <v>44073</v>
      </c>
      <c r="E29" s="1756">
        <v>44155</v>
      </c>
      <c r="F29" s="1756"/>
      <c r="G29" s="1757">
        <f t="shared" si="4"/>
        <v>144470.20000000001</v>
      </c>
      <c r="H29" s="1757">
        <v>144470.20000000001</v>
      </c>
      <c r="I29" s="1757"/>
      <c r="J29" s="1757">
        <f t="shared" si="4"/>
        <v>167647.38</v>
      </c>
      <c r="K29" s="1757">
        <v>167647.38</v>
      </c>
      <c r="L29" s="1757"/>
      <c r="M29" s="1758" t="s">
        <v>2303</v>
      </c>
      <c r="O29" s="1622" t="str">
        <f>LEFT('Exhibit PCD-4'!$M29, 9)</f>
        <v>FP-319063</v>
      </c>
      <c r="P29" s="1739">
        <v>0</v>
      </c>
      <c r="Q29" s="1740">
        <f>'Exhibit PCD-4'!$E29</f>
        <v>44155</v>
      </c>
      <c r="T29" s="1622" t="s">
        <v>3169</v>
      </c>
      <c r="U29" s="1741">
        <f t="shared" si="0"/>
        <v>3416936.97</v>
      </c>
      <c r="V29" s="1713">
        <f t="shared" si="1"/>
        <v>44102</v>
      </c>
      <c r="AB29" s="1783"/>
      <c r="AC29" s="1781"/>
      <c r="AD29" s="1782"/>
      <c r="AE29" s="1783"/>
      <c r="AG29" s="1782">
        <f t="shared" si="2"/>
        <v>44104</v>
      </c>
      <c r="AH29" s="1783">
        <f t="shared" si="3"/>
        <v>167647.38</v>
      </c>
    </row>
    <row r="30" spans="1:34" ht="15.75" customHeight="1">
      <c r="A30" s="1623">
        <v>24</v>
      </c>
      <c r="B30" s="1754" t="s">
        <v>3210</v>
      </c>
      <c r="C30" s="1754"/>
      <c r="D30" s="1755">
        <v>44073</v>
      </c>
      <c r="E30" s="1756" t="s">
        <v>2335</v>
      </c>
      <c r="F30" s="1756"/>
      <c r="G30" s="1757">
        <f t="shared" si="4"/>
        <v>143033.60000000001</v>
      </c>
      <c r="H30" s="1757">
        <v>143033.60000000001</v>
      </c>
      <c r="I30" s="1757"/>
      <c r="J30" s="1757">
        <f t="shared" si="4"/>
        <v>0</v>
      </c>
      <c r="K30" s="1757">
        <v>0</v>
      </c>
      <c r="L30" s="1757"/>
      <c r="M30" s="1758" t="s">
        <v>2302</v>
      </c>
      <c r="O30" s="1622" t="str">
        <f>LEFT('Exhibit PCD-4'!$M30, 9)</f>
        <v>FP-319056</v>
      </c>
      <c r="P30" s="1739">
        <v>0</v>
      </c>
      <c r="Q30" s="1743" t="str">
        <f>'Exhibit PCD-4'!$E30</f>
        <v>N/A</v>
      </c>
      <c r="T30" s="1622" t="s">
        <v>3190</v>
      </c>
      <c r="U30" s="1741">
        <f t="shared" si="0"/>
        <v>0</v>
      </c>
      <c r="V30" s="1713" t="str">
        <f t="shared" si="1"/>
        <v>N/A</v>
      </c>
      <c r="AB30" s="1783"/>
      <c r="AC30" s="1781"/>
      <c r="AD30" s="1782"/>
      <c r="AE30" s="1783"/>
      <c r="AG30" s="1782" t="e">
        <f t="shared" si="2"/>
        <v>#N/A</v>
      </c>
      <c r="AH30" s="1783" t="e">
        <f t="shared" si="3"/>
        <v>#N/A</v>
      </c>
    </row>
    <row r="31" spans="1:34" ht="15.75" customHeight="1">
      <c r="A31" s="1623">
        <v>25</v>
      </c>
      <c r="B31" s="1754" t="s">
        <v>3318</v>
      </c>
      <c r="C31" s="1754"/>
      <c r="D31" s="1755">
        <v>44043</v>
      </c>
      <c r="E31" s="1756">
        <v>44196</v>
      </c>
      <c r="F31" s="1756"/>
      <c r="G31" s="1757">
        <f t="shared" si="4"/>
        <v>125671.29</v>
      </c>
      <c r="H31" s="1757">
        <v>125671.29</v>
      </c>
      <c r="I31" s="1757"/>
      <c r="J31" s="1757">
        <f t="shared" si="4"/>
        <v>0</v>
      </c>
      <c r="K31" s="1757">
        <v>0</v>
      </c>
      <c r="L31" s="1757"/>
      <c r="M31" s="1758" t="s">
        <v>2295</v>
      </c>
      <c r="O31" s="1622" t="str">
        <f>LEFT('Exhibit PCD-4'!$M31, 9)</f>
        <v>FP-318588</v>
      </c>
      <c r="P31" s="1739">
        <v>0</v>
      </c>
      <c r="Q31" s="1740">
        <f>'Exhibit PCD-4'!$E31</f>
        <v>44196</v>
      </c>
      <c r="T31" s="1622" t="s">
        <v>3189</v>
      </c>
      <c r="U31" s="1741">
        <f t="shared" si="0"/>
        <v>0</v>
      </c>
      <c r="V31" s="1713">
        <f t="shared" si="1"/>
        <v>44155</v>
      </c>
      <c r="AB31" s="1783"/>
      <c r="AC31" s="1781"/>
      <c r="AD31" s="1782"/>
      <c r="AE31" s="1783"/>
      <c r="AG31" s="1782">
        <f t="shared" si="2"/>
        <v>44012</v>
      </c>
      <c r="AH31" s="1783">
        <f t="shared" si="3"/>
        <v>118814.28</v>
      </c>
    </row>
    <row r="32" spans="1:34" ht="15.75" customHeight="1">
      <c r="A32" s="1623">
        <v>26</v>
      </c>
      <c r="B32" s="1754" t="s">
        <v>3199</v>
      </c>
      <c r="C32" s="1754"/>
      <c r="D32" s="1755">
        <v>44134</v>
      </c>
      <c r="E32" s="1756">
        <v>44186</v>
      </c>
      <c r="F32" s="1756"/>
      <c r="G32" s="1757">
        <f t="shared" si="4"/>
        <v>1064539.08</v>
      </c>
      <c r="H32" s="1757">
        <v>1064539.08</v>
      </c>
      <c r="I32" s="1757"/>
      <c r="J32" s="1757">
        <f t="shared" si="4"/>
        <v>863148.28</v>
      </c>
      <c r="K32" s="1757">
        <v>863148.28</v>
      </c>
      <c r="L32" s="1757"/>
      <c r="M32" s="1758" t="s">
        <v>2240</v>
      </c>
      <c r="O32" s="1622" t="str">
        <f>LEFT('Exhibit PCD-4'!$M32, 9)</f>
        <v>FP-318352</v>
      </c>
      <c r="P32" s="1739">
        <v>0</v>
      </c>
      <c r="Q32" s="1740">
        <f>'Exhibit PCD-4'!$E32</f>
        <v>44186</v>
      </c>
      <c r="T32" s="1622" t="s">
        <v>3188</v>
      </c>
      <c r="U32" s="1741">
        <f t="shared" si="0"/>
        <v>0</v>
      </c>
      <c r="V32" s="1713" t="str">
        <f t="shared" si="1"/>
        <v>N/A</v>
      </c>
      <c r="AB32" s="1783"/>
      <c r="AC32" s="1781"/>
      <c r="AD32" s="1782"/>
      <c r="AE32" s="1783"/>
      <c r="AG32" s="1782">
        <f t="shared" si="2"/>
        <v>44012</v>
      </c>
      <c r="AH32" s="1783">
        <f t="shared" si="3"/>
        <v>863148.28</v>
      </c>
    </row>
    <row r="33" spans="1:21">
      <c r="A33" s="1623">
        <v>27</v>
      </c>
      <c r="B33" s="1747"/>
      <c r="C33" s="1747"/>
      <c r="D33" s="1744"/>
      <c r="E33" s="1744"/>
      <c r="F33" s="1744"/>
      <c r="G33" s="1750"/>
      <c r="H33" s="1750"/>
      <c r="I33" s="1750"/>
      <c r="J33" s="1750"/>
      <c r="K33" s="1750"/>
      <c r="L33" s="1750"/>
      <c r="P33" s="1745"/>
    </row>
    <row r="34" spans="1:21" ht="15" thickBot="1">
      <c r="A34" s="1623">
        <v>28</v>
      </c>
      <c r="B34" s="1759" t="s">
        <v>3280</v>
      </c>
      <c r="C34" s="1759"/>
      <c r="D34" s="1760"/>
      <c r="E34" s="1760"/>
      <c r="F34" s="1760"/>
      <c r="G34" s="1761"/>
      <c r="H34" s="1761">
        <f>SUM(H7:H32)</f>
        <v>43377454.639999993</v>
      </c>
      <c r="I34" s="1761"/>
      <c r="J34" s="1761"/>
      <c r="K34" s="1761">
        <f>SUM(K7:K32)</f>
        <v>39328738.490000002</v>
      </c>
      <c r="L34" s="1767"/>
      <c r="P34" s="1739">
        <f>SUM(P7:P33)</f>
        <v>13586826.540000001</v>
      </c>
      <c r="U34" s="1742">
        <f>SUM(U7:U31)</f>
        <v>13586826.540000001</v>
      </c>
    </row>
    <row r="35" spans="1:21" ht="15" thickTop="1">
      <c r="A35" s="1623">
        <v>29</v>
      </c>
      <c r="B35" s="1744"/>
      <c r="C35" s="1744"/>
      <c r="D35" s="1744"/>
      <c r="E35" s="1744"/>
      <c r="F35" s="1744"/>
      <c r="G35" s="1744"/>
      <c r="H35" s="1744"/>
      <c r="I35" s="1744"/>
      <c r="J35" s="1744"/>
      <c r="K35" s="1744"/>
      <c r="L35" s="1744"/>
      <c r="M35" s="1747"/>
    </row>
    <row r="36" spans="1:21">
      <c r="A36" s="1623">
        <v>30</v>
      </c>
      <c r="B36" s="1784" t="s">
        <v>3323</v>
      </c>
      <c r="C36" s="1747"/>
      <c r="D36" s="1744"/>
      <c r="E36" s="1744"/>
      <c r="F36" s="1744"/>
      <c r="G36" s="1744"/>
      <c r="H36" s="1746"/>
      <c r="I36" s="1746"/>
      <c r="J36" s="1746"/>
      <c r="K36" s="1746"/>
      <c r="L36" s="1746"/>
      <c r="M36" s="1747"/>
    </row>
    <row r="37" spans="1:21">
      <c r="A37" s="1623">
        <v>31</v>
      </c>
      <c r="B37" s="1784" t="s">
        <v>3321</v>
      </c>
      <c r="C37" s="1744"/>
      <c r="D37" s="1744"/>
      <c r="E37" s="1744"/>
      <c r="F37" s="1744"/>
      <c r="G37" s="1744"/>
      <c r="H37" s="1744"/>
      <c r="I37" s="1744"/>
      <c r="J37" s="1744"/>
      <c r="K37" s="1744"/>
      <c r="L37" s="1744"/>
      <c r="M37" s="1747"/>
    </row>
    <row r="38" spans="1:21">
      <c r="A38" s="1623">
        <v>32</v>
      </c>
      <c r="B38" s="1744"/>
      <c r="C38" s="1744"/>
      <c r="D38" s="1744"/>
      <c r="E38" s="1744"/>
      <c r="F38" s="1744"/>
      <c r="G38" s="1744"/>
      <c r="H38" s="1744"/>
      <c r="I38" s="1744"/>
      <c r="J38" s="1744"/>
      <c r="K38" s="1744"/>
      <c r="L38" s="1744"/>
    </row>
    <row r="39" spans="1:21">
      <c r="A39" s="1744"/>
      <c r="B39" s="1744"/>
      <c r="C39" s="1744"/>
      <c r="D39" s="1744"/>
      <c r="E39" s="1744"/>
      <c r="F39" s="1744"/>
      <c r="G39" s="1744"/>
      <c r="H39" s="1744"/>
      <c r="I39" s="1744"/>
      <c r="J39" s="1744"/>
      <c r="K39" s="1744"/>
      <c r="L39" s="1744"/>
      <c r="M39" s="1747"/>
    </row>
    <row r="40" spans="1:21">
      <c r="A40" s="1744"/>
      <c r="B40" s="1744"/>
      <c r="C40" s="1744"/>
      <c r="D40" s="1744"/>
      <c r="E40" s="1744"/>
      <c r="F40" s="1744"/>
      <c r="G40" s="1744"/>
      <c r="H40" s="1744"/>
      <c r="I40" s="1744"/>
      <c r="J40" s="1744"/>
      <c r="K40" s="1744"/>
      <c r="L40" s="1744"/>
      <c r="M40" s="1747"/>
    </row>
    <row r="41" spans="1:21">
      <c r="A41" s="1744"/>
      <c r="B41" s="1744"/>
      <c r="C41" s="1744"/>
      <c r="D41" s="1744"/>
      <c r="E41" s="1744"/>
      <c r="F41" s="1744"/>
      <c r="G41" s="1744"/>
      <c r="H41" s="1744"/>
      <c r="I41" s="1744"/>
      <c r="J41" s="1744"/>
      <c r="K41" s="1744"/>
      <c r="L41" s="1744"/>
      <c r="M41" s="1747"/>
    </row>
    <row r="42" spans="1:21">
      <c r="A42" s="1744"/>
      <c r="B42" s="1744"/>
      <c r="C42" s="1744"/>
      <c r="D42" s="1744"/>
      <c r="E42" s="1744"/>
      <c r="F42" s="1744"/>
      <c r="G42" s="1744"/>
      <c r="H42" s="1744"/>
      <c r="I42" s="1744"/>
      <c r="J42" s="1744"/>
      <c r="K42" s="1744"/>
      <c r="L42" s="1744"/>
      <c r="M42" s="1747"/>
    </row>
    <row r="43" spans="1:21">
      <c r="A43" s="1744"/>
      <c r="B43" s="1744"/>
      <c r="C43" s="1744"/>
      <c r="D43" s="1744"/>
      <c r="E43" s="1744"/>
      <c r="F43" s="1744"/>
      <c r="G43" s="1744"/>
      <c r="H43" s="1744"/>
      <c r="I43" s="1744"/>
      <c r="J43" s="1744"/>
      <c r="K43" s="1744"/>
      <c r="L43" s="1744"/>
      <c r="M43" s="1747"/>
    </row>
    <row r="44" spans="1:21">
      <c r="A44" s="1744"/>
      <c r="B44" s="1744"/>
      <c r="C44" s="1744"/>
      <c r="D44" s="1744"/>
      <c r="E44" s="1744"/>
      <c r="F44" s="1744"/>
      <c r="G44" s="1744"/>
      <c r="H44" s="1744"/>
      <c r="I44" s="1744"/>
      <c r="J44" s="1744"/>
      <c r="K44" s="1744"/>
      <c r="L44" s="1744"/>
      <c r="M44" s="1747"/>
    </row>
    <row r="45" spans="1:21">
      <c r="A45" s="1744"/>
      <c r="B45" s="1744"/>
      <c r="C45" s="1744"/>
      <c r="D45" s="1744"/>
      <c r="E45" s="1744"/>
      <c r="F45" s="1744"/>
      <c r="G45" s="1744"/>
      <c r="H45" s="1744"/>
      <c r="I45" s="1744"/>
      <c r="J45" s="1744"/>
      <c r="K45" s="1744"/>
      <c r="L45" s="1744"/>
      <c r="M45" s="1747"/>
    </row>
    <row r="46" spans="1:21">
      <c r="A46" s="1744"/>
      <c r="B46" s="1744"/>
      <c r="C46" s="1744"/>
      <c r="D46" s="1744"/>
      <c r="E46" s="1744"/>
      <c r="F46" s="1744"/>
      <c r="G46" s="1744"/>
      <c r="H46" s="1744"/>
      <c r="I46" s="1744"/>
      <c r="J46" s="1744"/>
      <c r="K46" s="1744"/>
      <c r="L46" s="1744"/>
      <c r="M46" s="1747"/>
    </row>
    <row r="47" spans="1:21">
      <c r="A47" s="1744"/>
      <c r="B47" s="1744"/>
      <c r="C47" s="1744"/>
      <c r="D47" s="1744"/>
      <c r="E47" s="1744"/>
      <c r="F47" s="1744"/>
      <c r="G47" s="1744"/>
      <c r="H47" s="1744"/>
      <c r="I47" s="1744"/>
      <c r="J47" s="1744"/>
      <c r="K47" s="1744"/>
      <c r="L47" s="1744"/>
      <c r="M47" s="1747"/>
    </row>
    <row r="48" spans="1:21">
      <c r="A48" s="1744"/>
      <c r="B48" s="1744"/>
      <c r="C48" s="1744"/>
      <c r="D48" s="1744"/>
      <c r="E48" s="1744"/>
      <c r="F48" s="1744"/>
      <c r="G48" s="1744"/>
      <c r="H48" s="1744"/>
      <c r="I48" s="1744"/>
      <c r="J48" s="1744"/>
      <c r="K48" s="1744"/>
      <c r="L48" s="1744"/>
      <c r="M48" s="1747"/>
    </row>
    <row r="49" spans="1:13">
      <c r="A49" s="1744"/>
      <c r="B49" s="1744"/>
      <c r="C49" s="1744"/>
      <c r="D49" s="1744"/>
      <c r="E49" s="1744"/>
      <c r="F49" s="1744"/>
      <c r="G49" s="1744"/>
      <c r="H49" s="1744"/>
      <c r="I49" s="1744"/>
      <c r="J49" s="1744"/>
      <c r="K49" s="1744"/>
      <c r="L49" s="1744"/>
      <c r="M49" s="1747"/>
    </row>
    <row r="50" spans="1:13">
      <c r="A50" s="1744"/>
      <c r="B50" s="1744"/>
      <c r="C50" s="1744"/>
      <c r="D50" s="1744"/>
      <c r="E50" s="1744"/>
      <c r="F50" s="1744"/>
      <c r="G50" s="1744"/>
      <c r="H50" s="1744"/>
      <c r="I50" s="1744"/>
      <c r="J50" s="1744"/>
      <c r="K50" s="1744"/>
      <c r="L50" s="1744"/>
      <c r="M50" s="1747"/>
    </row>
    <row r="51" spans="1:13">
      <c r="A51" s="1744"/>
      <c r="B51" s="1744"/>
      <c r="C51" s="1744"/>
      <c r="D51" s="1744"/>
      <c r="E51" s="1744"/>
      <c r="F51" s="1744"/>
      <c r="G51" s="1744"/>
      <c r="H51" s="1744"/>
      <c r="I51" s="1744"/>
      <c r="J51" s="1744"/>
      <c r="K51" s="1744"/>
      <c r="L51" s="1744"/>
      <c r="M51" s="1747"/>
    </row>
    <row r="52" spans="1:13">
      <c r="A52" s="1744"/>
      <c r="B52" s="1744"/>
      <c r="C52" s="1744"/>
      <c r="D52" s="1744"/>
      <c r="E52" s="1744"/>
      <c r="F52" s="1744"/>
      <c r="G52" s="1744"/>
      <c r="H52" s="1744"/>
      <c r="I52" s="1744"/>
      <c r="J52" s="1744"/>
      <c r="K52" s="1744"/>
      <c r="L52" s="1744"/>
      <c r="M52" s="1747"/>
    </row>
    <row r="53" spans="1:13">
      <c r="A53" s="1744"/>
      <c r="B53" s="1744"/>
      <c r="C53" s="1744"/>
      <c r="D53" s="1744"/>
      <c r="E53" s="1744"/>
      <c r="F53" s="1744"/>
      <c r="G53" s="1744"/>
      <c r="H53" s="1744"/>
      <c r="I53" s="1744"/>
      <c r="J53" s="1744"/>
      <c r="K53" s="1744"/>
      <c r="L53" s="1744"/>
      <c r="M53" s="1747"/>
    </row>
    <row r="54" spans="1:13">
      <c r="A54" s="1744"/>
      <c r="B54" s="1744"/>
      <c r="C54" s="1744"/>
      <c r="D54" s="1744"/>
      <c r="E54" s="1744"/>
      <c r="F54" s="1744"/>
      <c r="G54" s="1744"/>
      <c r="H54" s="1744"/>
      <c r="I54" s="1744"/>
      <c r="J54" s="1744"/>
      <c r="K54" s="1744"/>
      <c r="L54" s="1744"/>
      <c r="M54" s="1747"/>
    </row>
    <row r="55" spans="1:13">
      <c r="A55" s="1744"/>
      <c r="B55" s="1744"/>
      <c r="C55" s="1744"/>
      <c r="D55" s="1744"/>
      <c r="E55" s="1744"/>
      <c r="F55" s="1744"/>
      <c r="G55" s="1744"/>
      <c r="H55" s="1744"/>
      <c r="I55" s="1744"/>
      <c r="J55" s="1744"/>
      <c r="K55" s="1744"/>
      <c r="L55" s="1744"/>
      <c r="M55" s="1747"/>
    </row>
    <row r="56" spans="1:13">
      <c r="A56" s="1744"/>
      <c r="B56" s="1744"/>
      <c r="C56" s="1744"/>
      <c r="D56" s="1744"/>
      <c r="E56" s="1744"/>
      <c r="F56" s="1744"/>
      <c r="G56" s="1744"/>
      <c r="H56" s="1744"/>
      <c r="I56" s="1744"/>
      <c r="J56" s="1744"/>
      <c r="K56" s="1744"/>
      <c r="L56" s="1744"/>
      <c r="M56" s="1747"/>
    </row>
    <row r="57" spans="1:13">
      <c r="A57" s="1744"/>
      <c r="B57" s="1744"/>
      <c r="C57" s="1744"/>
      <c r="D57" s="1744"/>
      <c r="E57" s="1744"/>
      <c r="F57" s="1744"/>
      <c r="G57" s="1744"/>
      <c r="H57" s="1744"/>
      <c r="I57" s="1744"/>
      <c r="J57" s="1744"/>
      <c r="K57" s="1744"/>
      <c r="L57" s="1744"/>
      <c r="M57" s="1747"/>
    </row>
    <row r="58" spans="1:13">
      <c r="A58" s="1744"/>
      <c r="B58" s="1744"/>
      <c r="C58" s="1744"/>
      <c r="D58" s="1744"/>
      <c r="E58" s="1744"/>
      <c r="F58" s="1744"/>
      <c r="G58" s="1744"/>
      <c r="H58" s="1744"/>
      <c r="I58" s="1744"/>
      <c r="J58" s="1744"/>
      <c r="K58" s="1744"/>
      <c r="L58" s="1744"/>
      <c r="M58" s="1747"/>
    </row>
    <row r="59" spans="1:13">
      <c r="A59" s="1744"/>
      <c r="B59" s="1744"/>
      <c r="C59" s="1744"/>
      <c r="D59" s="1744"/>
      <c r="E59" s="1744"/>
      <c r="F59" s="1744"/>
      <c r="G59" s="1744"/>
      <c r="H59" s="1744"/>
      <c r="I59" s="1744"/>
      <c r="J59" s="1744"/>
      <c r="K59" s="1744"/>
      <c r="L59" s="1744"/>
      <c r="M59" s="1747"/>
    </row>
    <row r="60" spans="1:13">
      <c r="A60" s="1744"/>
      <c r="B60" s="1744"/>
      <c r="C60" s="1744"/>
      <c r="D60" s="1744"/>
      <c r="E60" s="1744"/>
      <c r="F60" s="1744"/>
      <c r="G60" s="1744"/>
      <c r="H60" s="1744"/>
      <c r="I60" s="1744"/>
      <c r="J60" s="1744"/>
      <c r="K60" s="1744"/>
      <c r="L60" s="1744"/>
    </row>
    <row r="61" spans="1:13">
      <c r="A61" s="1744"/>
      <c r="B61" s="1744"/>
      <c r="C61" s="1744"/>
      <c r="D61" s="1744"/>
      <c r="E61" s="1744"/>
      <c r="F61" s="1744"/>
      <c r="G61" s="1744"/>
      <c r="H61" s="1744"/>
      <c r="I61" s="1744"/>
      <c r="J61" s="1744"/>
      <c r="K61" s="1744"/>
      <c r="L61" s="1744"/>
    </row>
    <row r="62" spans="1:13">
      <c r="A62" s="1744"/>
      <c r="B62" s="1744"/>
      <c r="C62" s="1744"/>
      <c r="D62" s="1744"/>
      <c r="E62" s="1744"/>
      <c r="F62" s="1744"/>
      <c r="G62" s="1744"/>
      <c r="H62" s="1744"/>
      <c r="I62" s="1744"/>
      <c r="J62" s="1744"/>
      <c r="K62" s="1744"/>
      <c r="L62" s="1744"/>
      <c r="M62" s="1747"/>
    </row>
    <row r="63" spans="1:13">
      <c r="A63" s="1744"/>
      <c r="B63" s="1744"/>
      <c r="C63" s="1744"/>
      <c r="D63" s="1744"/>
      <c r="E63" s="1744"/>
      <c r="F63" s="1744"/>
      <c r="G63" s="1744"/>
      <c r="H63" s="1744"/>
      <c r="I63" s="1744"/>
      <c r="J63" s="1744"/>
      <c r="K63" s="1744"/>
      <c r="L63" s="1744"/>
      <c r="M63" s="1747"/>
    </row>
    <row r="64" spans="1:13">
      <c r="A64" s="1744"/>
      <c r="B64" s="1744"/>
      <c r="C64" s="1744"/>
      <c r="D64" s="1744"/>
      <c r="E64" s="1744"/>
      <c r="F64" s="1744"/>
      <c r="G64" s="1744"/>
      <c r="H64" s="1744"/>
      <c r="I64" s="1744"/>
      <c r="J64" s="1744"/>
      <c r="K64" s="1744"/>
      <c r="L64" s="1744"/>
      <c r="M64" s="1747"/>
    </row>
    <row r="65" spans="1:13">
      <c r="A65" s="1744"/>
      <c r="B65" s="1744"/>
      <c r="C65" s="1744"/>
      <c r="D65" s="1744"/>
      <c r="E65" s="1744"/>
      <c r="F65" s="1744"/>
      <c r="G65" s="1744"/>
      <c r="H65" s="1744"/>
      <c r="I65" s="1744"/>
      <c r="J65" s="1744"/>
      <c r="K65" s="1744"/>
      <c r="L65" s="1744"/>
      <c r="M65" s="1747"/>
    </row>
    <row r="66" spans="1:13">
      <c r="A66" s="1744"/>
      <c r="B66" s="1744"/>
      <c r="C66" s="1744"/>
      <c r="D66" s="1744"/>
      <c r="E66" s="1744"/>
      <c r="F66" s="1744"/>
      <c r="G66" s="1744"/>
      <c r="H66" s="1744"/>
      <c r="I66" s="1744"/>
      <c r="J66" s="1744"/>
      <c r="K66" s="1744"/>
      <c r="L66" s="1744"/>
      <c r="M66" s="1747"/>
    </row>
    <row r="67" spans="1:13">
      <c r="A67" s="1744"/>
      <c r="B67" s="1744"/>
      <c r="C67" s="1744"/>
      <c r="D67" s="1744"/>
      <c r="E67" s="1744"/>
      <c r="F67" s="1744"/>
      <c r="G67" s="1744"/>
      <c r="H67" s="1744"/>
      <c r="I67" s="1744"/>
      <c r="J67" s="1744"/>
      <c r="K67" s="1744"/>
      <c r="L67" s="1744"/>
      <c r="M67" s="1747"/>
    </row>
    <row r="68" spans="1:13">
      <c r="A68" s="1744"/>
      <c r="B68" s="1744"/>
      <c r="C68" s="1744"/>
      <c r="D68" s="1744"/>
      <c r="E68" s="1744"/>
      <c r="F68" s="1744"/>
      <c r="G68" s="1744"/>
      <c r="H68" s="1744"/>
      <c r="I68" s="1744"/>
      <c r="J68" s="1744"/>
      <c r="K68" s="1744"/>
      <c r="L68" s="1744"/>
      <c r="M68" s="1747"/>
    </row>
    <row r="69" spans="1:13">
      <c r="A69" s="1744"/>
      <c r="B69" s="1744"/>
      <c r="C69" s="1744"/>
      <c r="D69" s="1744"/>
      <c r="E69" s="1744"/>
      <c r="F69" s="1744"/>
      <c r="G69" s="1744"/>
      <c r="H69" s="1744"/>
      <c r="I69" s="1744"/>
      <c r="J69" s="1744"/>
      <c r="K69" s="1744"/>
      <c r="L69" s="1744"/>
    </row>
    <row r="70" spans="1:13">
      <c r="A70" s="1744"/>
      <c r="B70" s="1744"/>
      <c r="C70" s="1744"/>
      <c r="D70" s="1744"/>
      <c r="E70" s="1744"/>
      <c r="F70" s="1744"/>
      <c r="G70" s="1744"/>
      <c r="H70" s="1744"/>
      <c r="I70" s="1744"/>
      <c r="J70" s="1744"/>
      <c r="K70" s="1744"/>
      <c r="L70" s="1744"/>
    </row>
    <row r="71" spans="1:13">
      <c r="A71" s="1744"/>
      <c r="B71" s="1744"/>
      <c r="C71" s="1744"/>
      <c r="D71" s="1744"/>
      <c r="E71" s="1744"/>
      <c r="F71" s="1744"/>
      <c r="G71" s="1744"/>
      <c r="H71" s="1744"/>
      <c r="I71" s="1744"/>
      <c r="J71" s="1744"/>
      <c r="K71" s="1744"/>
      <c r="L71" s="1744"/>
    </row>
    <row r="72" spans="1:13">
      <c r="A72" s="1744"/>
      <c r="B72" s="1744"/>
      <c r="C72" s="1744"/>
      <c r="D72" s="1744"/>
      <c r="E72" s="1744"/>
      <c r="F72" s="1744"/>
      <c r="G72" s="1744"/>
      <c r="H72" s="1744"/>
      <c r="I72" s="1744"/>
      <c r="J72" s="1744"/>
      <c r="K72" s="1744"/>
      <c r="L72" s="1744"/>
    </row>
    <row r="73" spans="1:13">
      <c r="A73" s="1744"/>
      <c r="B73" s="1744"/>
      <c r="C73" s="1744"/>
      <c r="D73" s="1744"/>
      <c r="E73" s="1744"/>
      <c r="F73" s="1744"/>
      <c r="G73" s="1744"/>
      <c r="H73" s="1744"/>
      <c r="I73" s="1744"/>
      <c r="J73" s="1744"/>
      <c r="K73" s="1744"/>
      <c r="L73" s="1744"/>
    </row>
    <row r="74" spans="1:13">
      <c r="A74" s="1744"/>
      <c r="B74" s="1744"/>
      <c r="C74" s="1744"/>
      <c r="D74" s="1744"/>
      <c r="E74" s="1744"/>
      <c r="F74" s="1744"/>
      <c r="G74" s="1744"/>
      <c r="H74" s="1744"/>
      <c r="I74" s="1744"/>
      <c r="J74" s="1744"/>
      <c r="K74" s="1744"/>
      <c r="L74" s="1744"/>
    </row>
    <row r="75" spans="1:13">
      <c r="A75" s="1744"/>
      <c r="B75" s="1744"/>
      <c r="C75" s="1744"/>
      <c r="D75" s="1744"/>
      <c r="E75" s="1744"/>
      <c r="F75" s="1744"/>
      <c r="G75" s="1744"/>
      <c r="H75" s="1744"/>
      <c r="I75" s="1744"/>
      <c r="J75" s="1744"/>
      <c r="K75" s="1744"/>
      <c r="L75" s="1744"/>
    </row>
  </sheetData>
  <sortState xmlns:xlrd2="http://schemas.microsoft.com/office/spreadsheetml/2017/richdata2" ref="T7:T32">
    <sortCondition ref="T7"/>
  </sortState>
  <mergeCells count="3">
    <mergeCell ref="A1:M1"/>
    <mergeCell ref="A2:M2"/>
    <mergeCell ref="A3:M3"/>
  </mergeCells>
  <printOptions horizontalCentered="1" gridLines="1"/>
  <pageMargins left="0.7" right="0.7" top="1" bottom="1" header="0.3" footer="0.3"/>
  <pageSetup scale="67" fitToWidth="0" orientation="landscape" useFirstPageNumber="1" r:id="rId1"/>
  <headerFooter scaleWithDoc="0" alignWithMargins="0">
    <oddHeader>&amp;RDocket No. UG-20___
Exhibit _____ (PCD-2)
Page 1 of 1</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63CFD-0D59-4A3E-967C-93B637303902}">
  <sheetPr>
    <tabColor theme="7" tint="0.79998168889431442"/>
  </sheetPr>
  <dimension ref="A1:E41"/>
  <sheetViews>
    <sheetView topLeftCell="A6" zoomScale="80" zoomScaleNormal="80" workbookViewId="0">
      <selection activeCell="F30" sqref="F30"/>
    </sheetView>
  </sheetViews>
  <sheetFormatPr defaultRowHeight="14.4"/>
  <cols>
    <col min="1" max="1" width="8.33203125" bestFit="1" customWidth="1"/>
    <col min="2" max="2" width="51.33203125" bestFit="1" customWidth="1"/>
    <col min="3" max="3" width="14.109375" bestFit="1" customWidth="1"/>
    <col min="4" max="4" width="14.44140625" customWidth="1"/>
    <col min="5" max="5" width="12.33203125" bestFit="1" customWidth="1"/>
  </cols>
  <sheetData>
    <row r="1" spans="1:5" ht="15.6">
      <c r="A1" s="1893" t="s">
        <v>100</v>
      </c>
      <c r="B1" s="1893"/>
      <c r="C1" s="1893"/>
    </row>
    <row r="2" spans="1:5" ht="15.6">
      <c r="A2" s="1893" t="s">
        <v>3308</v>
      </c>
      <c r="B2" s="1893"/>
      <c r="C2" s="1893"/>
    </row>
    <row r="3" spans="1:5" ht="15.6">
      <c r="A3" s="1894" t="s">
        <v>3257</v>
      </c>
      <c r="B3" s="1894"/>
      <c r="C3" s="1894"/>
    </row>
    <row r="4" spans="1:5">
      <c r="A4" s="1622"/>
      <c r="B4" s="1622"/>
      <c r="C4" s="1622"/>
    </row>
    <row r="5" spans="1:5">
      <c r="A5" s="1726" t="s">
        <v>649</v>
      </c>
      <c r="B5" s="1726" t="s">
        <v>2448</v>
      </c>
      <c r="C5" s="1726" t="s">
        <v>3296</v>
      </c>
    </row>
    <row r="6" spans="1:5">
      <c r="A6" s="1711"/>
      <c r="B6" s="1711" t="s">
        <v>778</v>
      </c>
      <c r="C6" s="1711" t="s">
        <v>776</v>
      </c>
    </row>
    <row r="7" spans="1:5">
      <c r="A7" s="1623">
        <v>1</v>
      </c>
      <c r="B7" s="1682" t="s">
        <v>3258</v>
      </c>
      <c r="C7" s="1622"/>
    </row>
    <row r="8" spans="1:5">
      <c r="A8" s="1623">
        <v>2</v>
      </c>
      <c r="B8" s="1727">
        <v>2020</v>
      </c>
      <c r="C8" s="1681">
        <v>2268558.5099999998</v>
      </c>
      <c r="E8" s="613"/>
    </row>
    <row r="9" spans="1:5">
      <c r="A9" s="1623">
        <v>3</v>
      </c>
      <c r="B9" s="1712" t="s">
        <v>3326</v>
      </c>
      <c r="C9" s="1802">
        <v>3554682.52</v>
      </c>
    </row>
    <row r="10" spans="1:5">
      <c r="A10" s="1623">
        <v>4</v>
      </c>
      <c r="B10" s="1712">
        <v>2018</v>
      </c>
      <c r="C10" s="1681">
        <v>1772194.64</v>
      </c>
    </row>
    <row r="11" spans="1:5">
      <c r="A11" s="1623">
        <v>5</v>
      </c>
      <c r="B11" s="1712">
        <v>2017</v>
      </c>
      <c r="C11" s="1681">
        <v>2149453.5499999998</v>
      </c>
    </row>
    <row r="12" spans="1:5">
      <c r="A12" s="1623">
        <v>6</v>
      </c>
      <c r="B12" s="1712">
        <v>2016</v>
      </c>
      <c r="C12" s="1681">
        <v>1272647.06</v>
      </c>
    </row>
    <row r="13" spans="1:5">
      <c r="A13" s="1623">
        <v>7</v>
      </c>
      <c r="B13" s="1727">
        <v>2015</v>
      </c>
      <c r="C13" s="1681">
        <v>1318757.74</v>
      </c>
    </row>
    <row r="14" spans="1:5">
      <c r="A14" s="1623">
        <v>8</v>
      </c>
      <c r="D14" s="824" t="s">
        <v>3214</v>
      </c>
    </row>
    <row r="15" spans="1:5">
      <c r="A15" s="1623">
        <v>9</v>
      </c>
      <c r="B15" s="613" t="s">
        <v>3307</v>
      </c>
      <c r="C15" s="1728">
        <f>C8</f>
        <v>2268558.5099999998</v>
      </c>
      <c r="D15" s="1728">
        <f>C9</f>
        <v>3554682.52</v>
      </c>
    </row>
    <row r="16" spans="1:5">
      <c r="A16" s="1623">
        <v>10</v>
      </c>
      <c r="B16" s="1729" t="s">
        <v>3298</v>
      </c>
      <c r="C16" s="1733">
        <v>3.0599999999999999E-2</v>
      </c>
      <c r="D16" s="1733"/>
    </row>
    <row r="17" spans="1:4">
      <c r="A17" s="1623">
        <v>11</v>
      </c>
      <c r="B17" s="1008" t="s">
        <v>3295</v>
      </c>
      <c r="C17" s="1732">
        <f>C15*C16</f>
        <v>69417.890405999991</v>
      </c>
      <c r="D17" s="1732">
        <f>C16*D15</f>
        <v>108773.285112</v>
      </c>
    </row>
    <row r="18" spans="1:4">
      <c r="A18" s="1623">
        <v>12</v>
      </c>
    </row>
    <row r="19" spans="1:4">
      <c r="A19" s="1623">
        <v>13</v>
      </c>
      <c r="B19" s="1682" t="s">
        <v>2322</v>
      </c>
      <c r="C19" s="1622"/>
    </row>
    <row r="20" spans="1:4">
      <c r="A20" s="1623">
        <v>14</v>
      </c>
      <c r="B20" s="1727">
        <v>2020</v>
      </c>
      <c r="C20" s="1681">
        <v>6341244.1399999997</v>
      </c>
    </row>
    <row r="21" spans="1:4">
      <c r="A21" s="1623">
        <v>15</v>
      </c>
      <c r="B21" s="1712" t="s">
        <v>3326</v>
      </c>
      <c r="C21" s="1802">
        <v>11449588.119999999</v>
      </c>
    </row>
    <row r="22" spans="1:4">
      <c r="A22" s="1623">
        <v>16</v>
      </c>
      <c r="B22" s="1712" t="s">
        <v>3299</v>
      </c>
      <c r="C22" s="1681">
        <v>13110950.58</v>
      </c>
    </row>
    <row r="23" spans="1:4">
      <c r="A23" s="1623">
        <v>17</v>
      </c>
      <c r="B23" s="1712">
        <v>2017</v>
      </c>
      <c r="C23" s="1681">
        <v>2932218.21</v>
      </c>
    </row>
    <row r="24" spans="1:4">
      <c r="A24" s="1623">
        <v>18</v>
      </c>
      <c r="B24" s="1712">
        <v>2016</v>
      </c>
      <c r="C24" s="1681">
        <v>4074762.29</v>
      </c>
    </row>
    <row r="25" spans="1:4">
      <c r="A25" s="1623">
        <v>19</v>
      </c>
      <c r="B25" s="1727">
        <v>2015</v>
      </c>
      <c r="C25" s="1681">
        <v>4304992.4800000004</v>
      </c>
    </row>
    <row r="26" spans="1:4">
      <c r="A26" s="1623">
        <v>20</v>
      </c>
      <c r="B26" s="613"/>
      <c r="C26" s="613"/>
    </row>
    <row r="27" spans="1:4">
      <c r="A27" s="1623">
        <v>21</v>
      </c>
      <c r="B27" s="613" t="s">
        <v>3307</v>
      </c>
      <c r="C27" s="1728">
        <f>C20</f>
        <v>6341244.1399999997</v>
      </c>
      <c r="D27" s="1728">
        <f>C21</f>
        <v>11449588.119999999</v>
      </c>
    </row>
    <row r="28" spans="1:4">
      <c r="A28" s="1623">
        <v>22</v>
      </c>
      <c r="B28" s="1729" t="s">
        <v>3298</v>
      </c>
      <c r="C28" s="1733">
        <f>C16</f>
        <v>3.0599999999999999E-2</v>
      </c>
      <c r="D28" s="1733"/>
    </row>
    <row r="29" spans="1:4">
      <c r="A29" s="1623">
        <v>23</v>
      </c>
      <c r="B29" s="1008" t="s">
        <v>3297</v>
      </c>
      <c r="C29" s="1732">
        <f>C27*C28</f>
        <v>194042.07068399998</v>
      </c>
      <c r="D29" s="1732">
        <f>C28*D27</f>
        <v>350357.39647199993</v>
      </c>
    </row>
    <row r="30" spans="1:4" s="613" customFormat="1">
      <c r="A30" s="1623">
        <v>24</v>
      </c>
      <c r="B30" s="1008"/>
      <c r="C30" s="1732"/>
    </row>
    <row r="31" spans="1:4" s="613" customFormat="1">
      <c r="A31" s="1623">
        <v>25</v>
      </c>
      <c r="B31" s="1763" t="s">
        <v>3316</v>
      </c>
      <c r="C31" s="1764">
        <f>C29+C17</f>
        <v>263459.96109</v>
      </c>
      <c r="D31" s="1764">
        <f>D29+D17</f>
        <v>459130.68158399995</v>
      </c>
    </row>
    <row r="32" spans="1:4" s="613" customFormat="1">
      <c r="A32" s="1623">
        <v>26</v>
      </c>
      <c r="B32" s="1008"/>
      <c r="C32" s="1732"/>
    </row>
    <row r="33" spans="1:5" s="613" customFormat="1">
      <c r="A33" s="1623">
        <v>27</v>
      </c>
      <c r="B33" s="1008"/>
      <c r="C33" s="1732"/>
    </row>
    <row r="34" spans="1:5">
      <c r="A34" s="1623">
        <v>28</v>
      </c>
      <c r="B34" s="1682" t="s">
        <v>3315</v>
      </c>
    </row>
    <row r="35" spans="1:5" s="613" customFormat="1">
      <c r="A35" s="1623">
        <v>29</v>
      </c>
      <c r="B35" s="613" t="s">
        <v>3313</v>
      </c>
      <c r="C35" s="1728">
        <f>'Exh 10, Plant Additions'!H200</f>
        <v>13586826.540000001</v>
      </c>
    </row>
    <row r="36" spans="1:5" s="613" customFormat="1">
      <c r="A36" s="1623">
        <v>30</v>
      </c>
      <c r="B36" s="1729" t="s">
        <v>3312</v>
      </c>
      <c r="C36" s="1762">
        <v>96234058.909999996</v>
      </c>
    </row>
    <row r="37" spans="1:5" s="613" customFormat="1">
      <c r="A37" s="1623">
        <v>31</v>
      </c>
      <c r="B37" s="613" t="s">
        <v>3314</v>
      </c>
      <c r="C37" s="1749">
        <f>C35/C36</f>
        <v>0.14118521751957558</v>
      </c>
    </row>
    <row r="38" spans="1:5">
      <c r="A38" s="1623">
        <v>32</v>
      </c>
    </row>
    <row r="39" spans="1:5" ht="15" thickBot="1">
      <c r="A39" s="1623">
        <v>33</v>
      </c>
      <c r="B39" s="1730" t="s">
        <v>3317</v>
      </c>
      <c r="C39" s="1731">
        <f>C37*C31</f>
        <v>37196.651914190566</v>
      </c>
      <c r="E39" s="404"/>
    </row>
    <row r="40" spans="1:5" ht="15" thickTop="1">
      <c r="A40" s="1623">
        <v>34</v>
      </c>
    </row>
    <row r="41" spans="1:5">
      <c r="C41" s="404"/>
      <c r="E41" s="404"/>
    </row>
  </sheetData>
  <mergeCells count="3">
    <mergeCell ref="A1:C1"/>
    <mergeCell ref="A2:C2"/>
    <mergeCell ref="A3:C3"/>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7" tint="0.79998168889431442"/>
  </sheetPr>
  <dimension ref="A1:AD188"/>
  <sheetViews>
    <sheetView view="pageBreakPreview" zoomScale="80" zoomScaleNormal="100" zoomScaleSheetLayoutView="80" workbookViewId="0">
      <pane xSplit="3" ySplit="13" topLeftCell="I110" activePane="bottomRight" state="frozen"/>
      <selection activeCell="F27" sqref="F27"/>
      <selection pane="topRight" activeCell="F27" sqref="F27"/>
      <selection pane="bottomLeft" activeCell="F27" sqref="F27"/>
      <selection pane="bottomRight" activeCell="N116" sqref="N116"/>
    </sheetView>
  </sheetViews>
  <sheetFormatPr defaultColWidth="9.109375" defaultRowHeight="15.6"/>
  <cols>
    <col min="1" max="1" width="9.33203125" style="380" bestFit="1" customWidth="1"/>
    <col min="2" max="2" width="10.44140625" style="14" bestFit="1" customWidth="1"/>
    <col min="3" max="3" width="44.33203125" style="14" customWidth="1"/>
    <col min="4" max="4" width="2.6640625" style="14" customWidth="1"/>
    <col min="5" max="5" width="20.5546875" style="14" bestFit="1" customWidth="1"/>
    <col min="6" max="6" width="25.44140625" style="14" bestFit="1" customWidth="1"/>
    <col min="7" max="7" width="26.33203125" style="14" bestFit="1" customWidth="1"/>
    <col min="8" max="8" width="14.109375" style="14" customWidth="1"/>
    <col min="9" max="9" width="18.6640625" style="365" bestFit="1" customWidth="1"/>
    <col min="10" max="10" width="16.44140625" style="365" bestFit="1" customWidth="1"/>
    <col min="11" max="11" width="22.33203125" style="240" customWidth="1"/>
    <col min="12" max="12" width="17.6640625" style="365" bestFit="1" customWidth="1"/>
    <col min="13" max="14" width="18.44140625" style="365" bestFit="1" customWidth="1"/>
    <col min="15" max="19" width="18.44140625" style="365" customWidth="1"/>
    <col min="20" max="20" width="17.33203125" style="365" bestFit="1" customWidth="1"/>
    <col min="21" max="22" width="18.44140625" style="365" bestFit="1" customWidth="1"/>
    <col min="23" max="23" width="16.88671875" style="534" bestFit="1" customWidth="1"/>
    <col min="24" max="25" width="2.109375" style="14" customWidth="1"/>
    <col min="26" max="26" width="19.109375" style="14" bestFit="1" customWidth="1"/>
    <col min="27" max="27" width="24.109375" style="14" bestFit="1" customWidth="1"/>
    <col min="28" max="28" width="9.109375" style="14"/>
    <col min="29" max="29" width="14.33203125" style="14" bestFit="1" customWidth="1"/>
    <col min="30" max="30" width="17.44140625" style="14" bestFit="1" customWidth="1"/>
    <col min="31" max="16384" width="9.109375" style="14"/>
  </cols>
  <sheetData>
    <row r="1" spans="1:29">
      <c r="C1" s="1910" t="s">
        <v>52</v>
      </c>
      <c r="D1" s="1910"/>
      <c r="E1" s="1910"/>
      <c r="F1" s="1910"/>
      <c r="G1" s="1910"/>
      <c r="K1" s="1910" t="s">
        <v>52</v>
      </c>
      <c r="L1" s="1910"/>
      <c r="M1" s="1910"/>
      <c r="N1" s="1910"/>
      <c r="O1" s="1910"/>
      <c r="P1" s="1910"/>
      <c r="Q1" s="1910"/>
      <c r="R1" s="1910"/>
      <c r="S1" s="1910"/>
      <c r="T1" s="1910"/>
      <c r="U1" s="1910"/>
      <c r="V1" s="1910"/>
      <c r="X1" s="1910"/>
      <c r="Y1" s="1910"/>
    </row>
    <row r="2" spans="1:29">
      <c r="C2" s="1910" t="s">
        <v>1824</v>
      </c>
      <c r="D2" s="1910"/>
      <c r="E2" s="1910"/>
      <c r="F2" s="1910"/>
      <c r="G2" s="1910"/>
      <c r="K2" s="1910" t="s">
        <v>1824</v>
      </c>
      <c r="L2" s="1910"/>
      <c r="M2" s="1910"/>
      <c r="N2" s="1910"/>
      <c r="O2" s="1910"/>
      <c r="P2" s="1910"/>
      <c r="Q2" s="1910"/>
      <c r="R2" s="1910"/>
      <c r="S2" s="1910"/>
      <c r="T2" s="1910"/>
      <c r="U2" s="1910"/>
      <c r="V2" s="1910"/>
      <c r="X2" s="1910"/>
      <c r="Y2" s="1910"/>
    </row>
    <row r="3" spans="1:29">
      <c r="C3" s="1910" t="s">
        <v>1259</v>
      </c>
      <c r="D3" s="1910"/>
      <c r="E3" s="1910"/>
      <c r="F3" s="1910"/>
      <c r="G3" s="1910"/>
      <c r="K3" s="1910" t="s">
        <v>1259</v>
      </c>
      <c r="L3" s="1910"/>
      <c r="M3" s="1910"/>
      <c r="N3" s="1910"/>
      <c r="O3" s="1910"/>
      <c r="P3" s="1910"/>
      <c r="Q3" s="1910"/>
      <c r="R3" s="1910"/>
      <c r="S3" s="1910"/>
      <c r="T3" s="1910"/>
      <c r="U3" s="1910"/>
      <c r="V3" s="1910"/>
      <c r="X3" s="1910"/>
      <c r="Y3" s="1910"/>
    </row>
    <row r="4" spans="1:29">
      <c r="C4" s="1910" t="s">
        <v>1069</v>
      </c>
      <c r="D4" s="1910"/>
      <c r="E4" s="1910"/>
      <c r="F4" s="1910"/>
      <c r="G4" s="1910"/>
      <c r="K4" s="1910" t="s">
        <v>743</v>
      </c>
      <c r="L4" s="1910"/>
      <c r="M4" s="1910"/>
      <c r="N4" s="1910"/>
      <c r="O4" s="1910"/>
      <c r="P4" s="1910"/>
      <c r="Q4" s="1910"/>
      <c r="R4" s="1910"/>
      <c r="S4" s="1910"/>
      <c r="T4" s="1910"/>
      <c r="U4" s="1910"/>
      <c r="V4" s="1910"/>
      <c r="X4" s="1910"/>
      <c r="Y4" s="1910"/>
    </row>
    <row r="5" spans="1:29">
      <c r="C5" s="1910" t="s">
        <v>1823</v>
      </c>
      <c r="D5" s="1910"/>
      <c r="E5" s="1910"/>
      <c r="F5" s="1910"/>
      <c r="G5" s="1910"/>
      <c r="K5" s="1910" t="s">
        <v>1823</v>
      </c>
      <c r="L5" s="1910"/>
      <c r="M5" s="1910"/>
      <c r="N5" s="1910"/>
      <c r="O5" s="1910"/>
      <c r="P5" s="1910"/>
      <c r="Q5" s="1910"/>
      <c r="R5" s="1910"/>
      <c r="S5" s="1910"/>
      <c r="T5" s="1910"/>
      <c r="U5" s="1910"/>
      <c r="V5" s="1910"/>
      <c r="X5" s="1910"/>
      <c r="Y5" s="1910"/>
    </row>
    <row r="7" spans="1:29" s="380" customFormat="1">
      <c r="A7" s="380" t="s">
        <v>994</v>
      </c>
      <c r="B7" s="380" t="s">
        <v>778</v>
      </c>
      <c r="C7" s="380" t="s">
        <v>776</v>
      </c>
      <c r="E7" s="380" t="s">
        <v>777</v>
      </c>
      <c r="F7" s="380" t="s">
        <v>780</v>
      </c>
      <c r="G7" s="380" t="s">
        <v>781</v>
      </c>
      <c r="H7" s="380" t="s">
        <v>782</v>
      </c>
      <c r="I7" s="634" t="s">
        <v>783</v>
      </c>
      <c r="J7" s="634" t="s">
        <v>784</v>
      </c>
      <c r="K7" s="635" t="s">
        <v>785</v>
      </c>
      <c r="L7" s="634" t="s">
        <v>786</v>
      </c>
      <c r="M7" s="634" t="s">
        <v>787</v>
      </c>
      <c r="N7" s="634" t="s">
        <v>788</v>
      </c>
      <c r="O7" s="634" t="s">
        <v>789</v>
      </c>
      <c r="P7" s="634" t="s">
        <v>789</v>
      </c>
      <c r="Q7" s="634" t="s">
        <v>789</v>
      </c>
      <c r="R7" s="634" t="s">
        <v>789</v>
      </c>
      <c r="S7" s="634" t="s">
        <v>789</v>
      </c>
      <c r="T7" s="634" t="s">
        <v>790</v>
      </c>
      <c r="U7" s="634" t="s">
        <v>791</v>
      </c>
      <c r="V7" s="634" t="s">
        <v>1814</v>
      </c>
      <c r="W7" s="634" t="s">
        <v>996</v>
      </c>
      <c r="X7" s="636"/>
      <c r="Y7" s="636"/>
      <c r="Z7" s="634" t="s">
        <v>997</v>
      </c>
      <c r="AA7" s="634" t="s">
        <v>998</v>
      </c>
    </row>
    <row r="8" spans="1:29" ht="31.2">
      <c r="A8" s="380">
        <v>1</v>
      </c>
      <c r="B8" s="535" t="s">
        <v>743</v>
      </c>
      <c r="C8" s="536"/>
      <c r="D8" s="216"/>
      <c r="E8" s="537"/>
      <c r="F8" s="538" t="s">
        <v>102</v>
      </c>
      <c r="G8" s="538" t="s">
        <v>103</v>
      </c>
      <c r="H8" s="538" t="s">
        <v>104</v>
      </c>
    </row>
    <row r="9" spans="1:29">
      <c r="A9" s="380">
        <v>2</v>
      </c>
      <c r="B9" s="539" t="s">
        <v>1825</v>
      </c>
      <c r="C9" s="341"/>
      <c r="D9" s="216"/>
      <c r="E9" s="749" t="s">
        <v>105</v>
      </c>
      <c r="F9" s="750">
        <f>+'State Allocation Formulas'!C21</f>
        <v>0.75170000000000003</v>
      </c>
      <c r="G9" s="751">
        <f>+'State Allocation Formulas'!C16</f>
        <v>0.74299999999999999</v>
      </c>
      <c r="H9" s="751">
        <f>+'State Allocation Formulas'!T21</f>
        <v>0.75539999999999996</v>
      </c>
    </row>
    <row r="10" spans="1:29">
      <c r="A10" s="380">
        <v>3</v>
      </c>
      <c r="B10" s="539"/>
      <c r="C10" s="341"/>
      <c r="D10" s="216"/>
      <c r="E10" s="749" t="s">
        <v>106</v>
      </c>
      <c r="F10" s="750">
        <f>+'State Allocation Formulas'!D21</f>
        <v>0.24829999999999999</v>
      </c>
      <c r="G10" s="751">
        <f>+'State Allocation Formulas'!D16</f>
        <v>0.25700000000000001</v>
      </c>
      <c r="H10" s="751">
        <f>+'State Allocation Formulas'!T22</f>
        <v>0.24460000000000004</v>
      </c>
      <c r="I10" s="130" t="s">
        <v>1808</v>
      </c>
      <c r="J10" s="130" t="s">
        <v>53</v>
      </c>
      <c r="K10" s="616" t="s">
        <v>707</v>
      </c>
      <c r="L10" s="617" t="s">
        <v>707</v>
      </c>
      <c r="M10" s="342" t="s">
        <v>1363</v>
      </c>
      <c r="N10" s="450" t="s">
        <v>707</v>
      </c>
      <c r="O10" s="1692" t="s">
        <v>3261</v>
      </c>
      <c r="P10" s="1692" t="s">
        <v>3261</v>
      </c>
      <c r="Q10" s="1692" t="s">
        <v>707</v>
      </c>
      <c r="R10" s="1692" t="s">
        <v>707</v>
      </c>
      <c r="S10" s="1692" t="s">
        <v>3261</v>
      </c>
      <c r="T10" s="130" t="s">
        <v>55</v>
      </c>
      <c r="U10" s="130" t="s">
        <v>668</v>
      </c>
      <c r="V10" s="130" t="s">
        <v>708</v>
      </c>
      <c r="W10" s="131" t="s">
        <v>723</v>
      </c>
      <c r="X10" s="82"/>
      <c r="Z10" s="132" t="s">
        <v>51</v>
      </c>
      <c r="AA10" s="132" t="s">
        <v>668</v>
      </c>
    </row>
    <row r="11" spans="1:29">
      <c r="A11" s="683">
        <v>4</v>
      </c>
      <c r="B11" s="1901" t="s">
        <v>107</v>
      </c>
      <c r="C11" s="1902"/>
      <c r="D11" s="216"/>
      <c r="E11" s="1905" t="s">
        <v>108</v>
      </c>
      <c r="F11" s="1906"/>
      <c r="G11" s="1906"/>
      <c r="I11" s="134" t="s">
        <v>733</v>
      </c>
      <c r="J11" s="134" t="s">
        <v>50</v>
      </c>
      <c r="K11" s="618" t="s">
        <v>67</v>
      </c>
      <c r="L11" s="134" t="s">
        <v>1360</v>
      </c>
      <c r="M11" s="86" t="s">
        <v>95</v>
      </c>
      <c r="N11" s="85" t="s">
        <v>1081</v>
      </c>
      <c r="O11" s="85" t="s">
        <v>3287</v>
      </c>
      <c r="P11" s="1723">
        <v>0.5</v>
      </c>
      <c r="Q11" s="85" t="s">
        <v>3253</v>
      </c>
      <c r="R11" s="85" t="s">
        <v>3294</v>
      </c>
      <c r="S11" s="85" t="s">
        <v>3262</v>
      </c>
      <c r="T11" s="134" t="s">
        <v>56</v>
      </c>
      <c r="U11" s="134" t="s">
        <v>672</v>
      </c>
      <c r="V11" s="134" t="s">
        <v>57</v>
      </c>
      <c r="W11" s="135" t="s">
        <v>724</v>
      </c>
      <c r="X11" s="86"/>
      <c r="Z11" s="132" t="s">
        <v>0</v>
      </c>
      <c r="AA11" s="132" t="s">
        <v>669</v>
      </c>
    </row>
    <row r="12" spans="1:29">
      <c r="A12" s="380">
        <v>5</v>
      </c>
      <c r="B12" s="1903"/>
      <c r="C12" s="1904"/>
      <c r="D12" s="726"/>
      <c r="E12" s="1907" t="s">
        <v>109</v>
      </c>
      <c r="F12" s="1908"/>
      <c r="G12" s="1909"/>
      <c r="I12" s="614" t="s">
        <v>54</v>
      </c>
      <c r="J12" s="614" t="s">
        <v>54</v>
      </c>
      <c r="K12" s="619"/>
      <c r="L12" s="614" t="s">
        <v>54</v>
      </c>
      <c r="M12" s="620"/>
      <c r="N12" s="621" t="s">
        <v>1082</v>
      </c>
      <c r="O12" s="1698" t="s">
        <v>3288</v>
      </c>
      <c r="P12" s="1698" t="s">
        <v>3252</v>
      </c>
      <c r="Q12" s="1698" t="s">
        <v>3291</v>
      </c>
      <c r="R12" s="1698" t="s">
        <v>3259</v>
      </c>
      <c r="S12" s="1698" t="s">
        <v>3263</v>
      </c>
      <c r="T12" s="614" t="s">
        <v>54</v>
      </c>
      <c r="U12" s="614" t="s">
        <v>54</v>
      </c>
      <c r="V12" s="614"/>
      <c r="W12" s="615" t="s">
        <v>725</v>
      </c>
      <c r="X12" s="86"/>
      <c r="AA12" s="15" t="s">
        <v>670</v>
      </c>
    </row>
    <row r="13" spans="1:29">
      <c r="A13" s="380">
        <v>6</v>
      </c>
      <c r="B13" s="1897" t="s">
        <v>110</v>
      </c>
      <c r="C13" s="1898"/>
      <c r="D13" s="540"/>
      <c r="E13" s="541" t="s">
        <v>111</v>
      </c>
      <c r="F13" s="540" t="s">
        <v>112</v>
      </c>
      <c r="G13" s="542" t="s">
        <v>113</v>
      </c>
      <c r="I13" s="543" t="s">
        <v>663</v>
      </c>
      <c r="J13" s="543" t="s">
        <v>664</v>
      </c>
      <c r="K13" s="622" t="s">
        <v>706</v>
      </c>
      <c r="L13" s="543" t="s">
        <v>732</v>
      </c>
      <c r="M13" s="543" t="s">
        <v>1361</v>
      </c>
      <c r="N13" s="543" t="s">
        <v>1362</v>
      </c>
      <c r="O13" s="543" t="s">
        <v>3260</v>
      </c>
      <c r="P13" s="543" t="s">
        <v>3286</v>
      </c>
      <c r="Q13" s="543" t="s">
        <v>3289</v>
      </c>
      <c r="R13" s="543" t="s">
        <v>3292</v>
      </c>
      <c r="S13" s="543" t="s">
        <v>3293</v>
      </c>
      <c r="T13" s="543" t="s">
        <v>665</v>
      </c>
      <c r="U13" s="543" t="s">
        <v>666</v>
      </c>
      <c r="V13" s="543" t="s">
        <v>734</v>
      </c>
      <c r="W13" s="544" t="s">
        <v>667</v>
      </c>
      <c r="X13" s="545"/>
      <c r="Y13" s="545"/>
    </row>
    <row r="14" spans="1:29">
      <c r="A14" s="683">
        <v>7</v>
      </c>
      <c r="B14" s="142" t="s">
        <v>114</v>
      </c>
      <c r="C14" s="139"/>
      <c r="D14" s="341"/>
      <c r="E14" s="539"/>
      <c r="F14" s="341"/>
      <c r="G14" s="67"/>
    </row>
    <row r="15" spans="1:29">
      <c r="A15" s="380">
        <v>8</v>
      </c>
      <c r="B15" s="140" t="s">
        <v>115</v>
      </c>
      <c r="C15" s="141" t="s">
        <v>116</v>
      </c>
      <c r="D15" s="546"/>
      <c r="E15" s="547">
        <v>120476426.38</v>
      </c>
      <c r="F15" s="548">
        <v>0</v>
      </c>
      <c r="G15" s="549">
        <f>SUM(E15:F15)</f>
        <v>120476426.38</v>
      </c>
      <c r="I15" s="240">
        <f>ROUND('Annualize CRM Adjustment'!D11, 0)</f>
        <v>-2915655</v>
      </c>
      <c r="K15" s="240">
        <f>+'Restate Revenues Adjustment'!H27</f>
        <v>14922776.155102273</v>
      </c>
      <c r="L15" s="365">
        <f>+'EOP Revenue Adjustment'!F11</f>
        <v>923295.27470448066</v>
      </c>
      <c r="V15" s="365">
        <f>+'Pro Forma Plant Additions'!E27</f>
        <v>2.5465851649641991E-10</v>
      </c>
      <c r="Z15" s="370">
        <f>SUM(I15:Y15)</f>
        <v>12930416.429806754</v>
      </c>
      <c r="AA15" s="370">
        <f>+G15+Z15</f>
        <v>133406842.80980675</v>
      </c>
    </row>
    <row r="16" spans="1:29">
      <c r="A16" s="380">
        <v>9</v>
      </c>
      <c r="B16" s="140" t="s">
        <v>117</v>
      </c>
      <c r="C16" s="141" t="s">
        <v>118</v>
      </c>
      <c r="D16" s="546"/>
      <c r="E16" s="547">
        <v>101005173.58</v>
      </c>
      <c r="F16" s="548">
        <v>0</v>
      </c>
      <c r="G16" s="549">
        <f>SUM(E16:F16)</f>
        <v>101005173.58</v>
      </c>
      <c r="Z16" s="370">
        <f>SUM(I16:Y16)</f>
        <v>0</v>
      </c>
      <c r="AA16" s="370">
        <f>+G16+Z16</f>
        <v>101005173.58</v>
      </c>
      <c r="AC16" s="14" t="s">
        <v>2437</v>
      </c>
    </row>
    <row r="17" spans="1:30">
      <c r="A17" s="683">
        <v>10</v>
      </c>
      <c r="B17" s="142" t="s">
        <v>119</v>
      </c>
      <c r="C17" s="139"/>
      <c r="D17" s="550"/>
      <c r="E17" s="752">
        <f t="shared" ref="E17:W17" si="0">SUM(E15:E16)</f>
        <v>221481599.95999998</v>
      </c>
      <c r="F17" s="551">
        <f t="shared" si="0"/>
        <v>0</v>
      </c>
      <c r="G17" s="552">
        <f t="shared" si="0"/>
        <v>221481599.95999998</v>
      </c>
      <c r="I17" s="552">
        <f t="shared" si="0"/>
        <v>-2915655</v>
      </c>
      <c r="J17" s="552">
        <f t="shared" si="0"/>
        <v>0</v>
      </c>
      <c r="K17" s="241">
        <f>SUM(K15:K16)</f>
        <v>14922776.155102273</v>
      </c>
      <c r="L17" s="552">
        <f t="shared" si="0"/>
        <v>923295.27470448066</v>
      </c>
      <c r="M17" s="552">
        <f t="shared" ref="M17:S17" si="1">SUM(M15:M16)</f>
        <v>0</v>
      </c>
      <c r="N17" s="552">
        <f t="shared" si="1"/>
        <v>0</v>
      </c>
      <c r="O17" s="552">
        <f t="shared" si="1"/>
        <v>0</v>
      </c>
      <c r="P17" s="552">
        <f t="shared" si="1"/>
        <v>0</v>
      </c>
      <c r="Q17" s="552">
        <f t="shared" si="1"/>
        <v>0</v>
      </c>
      <c r="R17" s="552">
        <f t="shared" si="1"/>
        <v>0</v>
      </c>
      <c r="S17" s="552">
        <f t="shared" si="1"/>
        <v>0</v>
      </c>
      <c r="T17" s="552">
        <f t="shared" si="0"/>
        <v>0</v>
      </c>
      <c r="U17" s="552">
        <f t="shared" si="0"/>
        <v>0</v>
      </c>
      <c r="V17" s="552">
        <f t="shared" si="0"/>
        <v>2.5465851649641991E-10</v>
      </c>
      <c r="W17" s="553">
        <f t="shared" si="0"/>
        <v>0</v>
      </c>
      <c r="X17" s="552">
        <f>SUM(X15:X16)</f>
        <v>0</v>
      </c>
      <c r="Y17" s="552">
        <f>SUM(Y15:Y16)</f>
        <v>0</v>
      </c>
      <c r="Z17" s="552">
        <f>SUM(Z15:Z16)</f>
        <v>12930416.429806754</v>
      </c>
      <c r="AA17" s="552">
        <f>SUM(AA15:AA16)</f>
        <v>234412016.38980675</v>
      </c>
      <c r="AC17" s="365">
        <f>AA17-'Exh 6, ROO Summary'!Q11</f>
        <v>0</v>
      </c>
    </row>
    <row r="18" spans="1:30">
      <c r="A18" s="380">
        <v>11</v>
      </c>
      <c r="B18" s="554"/>
      <c r="C18" s="139"/>
      <c r="D18" s="546"/>
      <c r="E18" s="547"/>
      <c r="F18" s="546"/>
      <c r="G18" s="549"/>
    </row>
    <row r="19" spans="1:30">
      <c r="A19" s="683">
        <v>12</v>
      </c>
      <c r="B19" s="142" t="s">
        <v>120</v>
      </c>
      <c r="C19" s="139"/>
      <c r="D19" s="546"/>
      <c r="E19" s="547"/>
      <c r="F19" s="546"/>
      <c r="G19" s="549"/>
    </row>
    <row r="20" spans="1:30">
      <c r="A20" s="380">
        <v>13</v>
      </c>
      <c r="B20" s="140" t="s">
        <v>121</v>
      </c>
      <c r="C20" s="141" t="s">
        <v>122</v>
      </c>
      <c r="D20" s="546"/>
      <c r="E20" s="547">
        <v>527669.76000000001</v>
      </c>
      <c r="F20" s="546">
        <v>0</v>
      </c>
      <c r="G20" s="549">
        <f t="shared" ref="G20:G26" si="2">SUM(E20:F20)</f>
        <v>527669.76000000001</v>
      </c>
      <c r="Z20" s="370">
        <f t="shared" ref="Z20:Z25" si="3">SUM(I20:Y20)</f>
        <v>0</v>
      </c>
      <c r="AA20" s="631">
        <f t="shared" ref="AA20:AA25" si="4">+G20+Z20</f>
        <v>527669.76000000001</v>
      </c>
    </row>
    <row r="21" spans="1:30">
      <c r="A21" s="683">
        <v>14</v>
      </c>
      <c r="B21" s="555" t="s">
        <v>123</v>
      </c>
      <c r="C21" s="141" t="s">
        <v>124</v>
      </c>
      <c r="D21" s="546"/>
      <c r="E21" s="547">
        <v>24094627.940000001</v>
      </c>
      <c r="F21" s="548">
        <v>0</v>
      </c>
      <c r="G21" s="549">
        <f t="shared" si="2"/>
        <v>24094627.940000001</v>
      </c>
      <c r="V21" s="365">
        <f>+'Pro Forma Plant Additions'!E14</f>
        <v>0</v>
      </c>
      <c r="Z21" s="370">
        <f t="shared" si="3"/>
        <v>0</v>
      </c>
      <c r="AA21" s="370">
        <f t="shared" si="4"/>
        <v>24094627.940000001</v>
      </c>
      <c r="AC21" s="370">
        <f>AA21-'Exh 6, ROO Summary'!Q12</f>
        <v>0</v>
      </c>
    </row>
    <row r="22" spans="1:30">
      <c r="A22" s="380">
        <v>15</v>
      </c>
      <c r="B22" s="555" t="s">
        <v>125</v>
      </c>
      <c r="C22" s="141" t="s">
        <v>126</v>
      </c>
      <c r="D22" s="546"/>
      <c r="E22" s="556">
        <v>0</v>
      </c>
      <c r="F22" s="546">
        <v>0</v>
      </c>
      <c r="G22" s="549">
        <f t="shared" si="2"/>
        <v>0</v>
      </c>
      <c r="Z22" s="370">
        <f t="shared" si="3"/>
        <v>0</v>
      </c>
      <c r="AA22" s="370">
        <f t="shared" si="4"/>
        <v>0</v>
      </c>
    </row>
    <row r="23" spans="1:30">
      <c r="A23" s="683">
        <v>16</v>
      </c>
      <c r="B23" s="555" t="s">
        <v>127</v>
      </c>
      <c r="C23" s="141" t="s">
        <v>128</v>
      </c>
      <c r="D23" s="546"/>
      <c r="E23" s="556">
        <v>0</v>
      </c>
      <c r="F23" s="546">
        <v>127945.33</v>
      </c>
      <c r="G23" s="549">
        <f t="shared" si="2"/>
        <v>127945.33</v>
      </c>
      <c r="Z23" s="370">
        <f t="shared" si="3"/>
        <v>0</v>
      </c>
      <c r="AA23" s="370">
        <f t="shared" si="4"/>
        <v>127945.33</v>
      </c>
    </row>
    <row r="24" spans="1:30">
      <c r="A24" s="380">
        <v>17</v>
      </c>
      <c r="B24" s="555" t="s">
        <v>129</v>
      </c>
      <c r="C24" s="141" t="s">
        <v>130</v>
      </c>
      <c r="D24" s="546"/>
      <c r="E24" s="547">
        <v>91288.83</v>
      </c>
      <c r="F24" s="546">
        <v>168.61</v>
      </c>
      <c r="G24" s="549">
        <f t="shared" si="2"/>
        <v>91457.44</v>
      </c>
      <c r="Z24" s="370">
        <f t="shared" si="3"/>
        <v>0</v>
      </c>
      <c r="AA24" s="370">
        <f t="shared" si="4"/>
        <v>91457.44</v>
      </c>
    </row>
    <row r="25" spans="1:30">
      <c r="A25" s="683">
        <v>18</v>
      </c>
      <c r="B25" s="140" t="s">
        <v>131</v>
      </c>
      <c r="C25" s="141" t="s">
        <v>132</v>
      </c>
      <c r="D25" s="548"/>
      <c r="E25" s="556">
        <v>0</v>
      </c>
      <c r="F25" s="548">
        <v>0</v>
      </c>
      <c r="G25" s="557">
        <f t="shared" si="2"/>
        <v>0</v>
      </c>
      <c r="Z25" s="370">
        <f t="shared" si="3"/>
        <v>0</v>
      </c>
      <c r="AA25" s="370">
        <f t="shared" si="4"/>
        <v>0</v>
      </c>
    </row>
    <row r="26" spans="1:30">
      <c r="A26" s="380">
        <v>19</v>
      </c>
      <c r="B26" s="558">
        <v>4962</v>
      </c>
      <c r="C26" s="141" t="s">
        <v>1261</v>
      </c>
      <c r="D26" s="548"/>
      <c r="E26" s="753">
        <v>1001689</v>
      </c>
      <c r="F26" s="548">
        <v>0</v>
      </c>
      <c r="G26" s="557">
        <f t="shared" si="2"/>
        <v>1001689</v>
      </c>
      <c r="O26" s="365">
        <f>'Exh 3, Revenue Adjustments'!D53</f>
        <v>406245</v>
      </c>
      <c r="Z26" s="370">
        <f>SUM(I26:Y26)</f>
        <v>406245</v>
      </c>
      <c r="AA26" s="370">
        <f>+G26+Z26</f>
        <v>1407934</v>
      </c>
    </row>
    <row r="27" spans="1:30">
      <c r="A27" s="683">
        <v>20</v>
      </c>
      <c r="B27" s="142" t="s">
        <v>133</v>
      </c>
      <c r="C27" s="139"/>
      <c r="D27" s="550"/>
      <c r="E27" s="752">
        <f>SUM(E20:E26)</f>
        <v>25715275.530000001</v>
      </c>
      <c r="F27" s="550">
        <f>SUM(F20:F26)</f>
        <v>128113.94</v>
      </c>
      <c r="G27" s="550">
        <f>SUM(G20:G26)</f>
        <v>25843389.470000003</v>
      </c>
      <c r="I27" s="552">
        <f>SUM(I20:I26)</f>
        <v>0</v>
      </c>
      <c r="J27" s="552">
        <f t="shared" ref="J27:W27" si="5">SUM(J20:J26)</f>
        <v>0</v>
      </c>
      <c r="K27" s="552">
        <f t="shared" si="5"/>
        <v>0</v>
      </c>
      <c r="L27" s="552">
        <f t="shared" si="5"/>
        <v>0</v>
      </c>
      <c r="M27" s="552">
        <f t="shared" si="5"/>
        <v>0</v>
      </c>
      <c r="N27" s="552">
        <f t="shared" si="5"/>
        <v>0</v>
      </c>
      <c r="O27" s="552">
        <f t="shared" si="5"/>
        <v>406245</v>
      </c>
      <c r="P27" s="552">
        <f t="shared" si="5"/>
        <v>0</v>
      </c>
      <c r="Q27" s="552">
        <f t="shared" si="5"/>
        <v>0</v>
      </c>
      <c r="R27" s="552">
        <f t="shared" si="5"/>
        <v>0</v>
      </c>
      <c r="S27" s="552">
        <f t="shared" si="5"/>
        <v>0</v>
      </c>
      <c r="T27" s="552">
        <f t="shared" si="5"/>
        <v>0</v>
      </c>
      <c r="U27" s="552">
        <f t="shared" si="5"/>
        <v>0</v>
      </c>
      <c r="V27" s="552">
        <f t="shared" si="5"/>
        <v>0</v>
      </c>
      <c r="W27" s="552">
        <f t="shared" si="5"/>
        <v>0</v>
      </c>
      <c r="X27" s="552">
        <f>SUM(X20:X25)</f>
        <v>0</v>
      </c>
      <c r="Y27" s="552">
        <f>SUM(Y20:Y25)</f>
        <v>0</v>
      </c>
      <c r="Z27" s="552">
        <f>SUM(Z20:Z26)</f>
        <v>406245</v>
      </c>
      <c r="AA27" s="552">
        <f>SUM(AA20:AA26)</f>
        <v>26249634.470000003</v>
      </c>
      <c r="AC27" s="365">
        <f>AA27-AA21</f>
        <v>2155006.5300000012</v>
      </c>
      <c r="AD27" s="365">
        <f>AC27-'Exh 6, ROO Summary'!Q13</f>
        <v>0</v>
      </c>
    </row>
    <row r="28" spans="1:30" ht="16.2" thickBot="1">
      <c r="A28" s="380">
        <v>21</v>
      </c>
      <c r="B28" s="142" t="s">
        <v>134</v>
      </c>
      <c r="C28" s="139"/>
      <c r="D28" s="559"/>
      <c r="E28" s="754">
        <f>E17+E27</f>
        <v>247196875.48999998</v>
      </c>
      <c r="F28" s="559">
        <f>F17+F27</f>
        <v>128113.94</v>
      </c>
      <c r="G28" s="560">
        <f>G17+G27</f>
        <v>247324989.42999998</v>
      </c>
      <c r="I28" s="560">
        <f t="shared" ref="I28:AA28" si="6">I17+I27</f>
        <v>-2915655</v>
      </c>
      <c r="J28" s="560">
        <f t="shared" si="6"/>
        <v>0</v>
      </c>
      <c r="K28" s="623">
        <f t="shared" si="6"/>
        <v>14922776.155102273</v>
      </c>
      <c r="L28" s="560">
        <f t="shared" si="6"/>
        <v>923295.27470448066</v>
      </c>
      <c r="M28" s="560">
        <f t="shared" si="6"/>
        <v>0</v>
      </c>
      <c r="N28" s="560">
        <f t="shared" si="6"/>
        <v>0</v>
      </c>
      <c r="O28" s="560">
        <f t="shared" si="6"/>
        <v>406245</v>
      </c>
      <c r="P28" s="560">
        <f t="shared" si="6"/>
        <v>0</v>
      </c>
      <c r="Q28" s="560">
        <f t="shared" si="6"/>
        <v>0</v>
      </c>
      <c r="R28" s="560">
        <f t="shared" si="6"/>
        <v>0</v>
      </c>
      <c r="S28" s="560">
        <f t="shared" si="6"/>
        <v>0</v>
      </c>
      <c r="T28" s="560">
        <f t="shared" si="6"/>
        <v>0</v>
      </c>
      <c r="U28" s="560">
        <f t="shared" si="6"/>
        <v>0</v>
      </c>
      <c r="V28" s="560">
        <f t="shared" si="6"/>
        <v>2.5465851649641991E-10</v>
      </c>
      <c r="W28" s="561">
        <f t="shared" si="6"/>
        <v>0</v>
      </c>
      <c r="X28" s="560">
        <f t="shared" si="6"/>
        <v>0</v>
      </c>
      <c r="Y28" s="560">
        <f t="shared" si="6"/>
        <v>0</v>
      </c>
      <c r="Z28" s="560">
        <f t="shared" si="6"/>
        <v>13336661.429806754</v>
      </c>
      <c r="AA28" s="560">
        <f t="shared" si="6"/>
        <v>260661650.85980675</v>
      </c>
      <c r="AC28" s="365">
        <f>AA28-'Exh 6, ROO Summary'!Q14</f>
        <v>0</v>
      </c>
    </row>
    <row r="29" spans="1:30" ht="16.2" thickTop="1">
      <c r="A29" s="683">
        <v>22</v>
      </c>
      <c r="B29" s="138" t="s">
        <v>49</v>
      </c>
      <c r="C29" s="139" t="s">
        <v>49</v>
      </c>
      <c r="D29" s="546"/>
      <c r="E29" s="547"/>
      <c r="F29" s="546"/>
      <c r="G29" s="549"/>
    </row>
    <row r="30" spans="1:30">
      <c r="A30" s="380">
        <v>23</v>
      </c>
      <c r="B30" s="142" t="s">
        <v>135</v>
      </c>
      <c r="C30" s="139"/>
      <c r="D30" s="546"/>
      <c r="E30" s="547"/>
      <c r="F30" s="546"/>
      <c r="G30" s="549"/>
    </row>
    <row r="31" spans="1:30">
      <c r="A31" s="683">
        <v>24</v>
      </c>
      <c r="B31" s="140" t="s">
        <v>136</v>
      </c>
      <c r="C31" s="141" t="s">
        <v>137</v>
      </c>
      <c r="D31" s="546"/>
      <c r="E31" s="547">
        <v>183154598.38</v>
      </c>
      <c r="F31" s="548">
        <v>0</v>
      </c>
      <c r="G31" s="549">
        <f t="shared" ref="G31:G36" si="7">SUM(E31:F31)</f>
        <v>183154598.38</v>
      </c>
      <c r="Z31" s="370">
        <f t="shared" ref="Z31:Z36" si="8">SUM(I31:Y31)</f>
        <v>0</v>
      </c>
      <c r="AA31" s="370">
        <f t="shared" ref="AA31:AA36" si="9">+G31+Z31</f>
        <v>183154598.38</v>
      </c>
    </row>
    <row r="32" spans="1:30">
      <c r="A32" s="380">
        <v>25</v>
      </c>
      <c r="B32" s="140" t="s">
        <v>138</v>
      </c>
      <c r="C32" s="141" t="s">
        <v>139</v>
      </c>
      <c r="D32" s="548"/>
      <c r="E32" s="556">
        <v>0</v>
      </c>
      <c r="F32" s="548">
        <v>0</v>
      </c>
      <c r="G32" s="557">
        <f t="shared" si="7"/>
        <v>0</v>
      </c>
      <c r="Z32" s="370">
        <f t="shared" si="8"/>
        <v>0</v>
      </c>
      <c r="AA32" s="370">
        <f t="shared" si="9"/>
        <v>0</v>
      </c>
    </row>
    <row r="33" spans="1:29">
      <c r="A33" s="683">
        <v>26</v>
      </c>
      <c r="B33" s="140" t="s">
        <v>140</v>
      </c>
      <c r="C33" s="141" t="s">
        <v>141</v>
      </c>
      <c r="D33" s="546"/>
      <c r="E33" s="547">
        <v>-56334340.969999999</v>
      </c>
      <c r="F33" s="548">
        <v>0</v>
      </c>
      <c r="G33" s="549">
        <f t="shared" si="7"/>
        <v>-56334340.969999999</v>
      </c>
      <c r="Z33" s="370">
        <f t="shared" si="8"/>
        <v>0</v>
      </c>
      <c r="AA33" s="370">
        <f t="shared" si="9"/>
        <v>-56334340.969999999</v>
      </c>
    </row>
    <row r="34" spans="1:29">
      <c r="A34" s="380">
        <v>27</v>
      </c>
      <c r="B34" s="140" t="s">
        <v>142</v>
      </c>
      <c r="C34" s="141" t="s">
        <v>143</v>
      </c>
      <c r="D34" s="546"/>
      <c r="E34" s="547">
        <v>6419366.4000000004</v>
      </c>
      <c r="F34" s="548">
        <v>0</v>
      </c>
      <c r="G34" s="549">
        <f t="shared" si="7"/>
        <v>6419366.4000000004</v>
      </c>
      <c r="Z34" s="370">
        <f t="shared" si="8"/>
        <v>0</v>
      </c>
      <c r="AA34" s="370">
        <f t="shared" si="9"/>
        <v>6419366.4000000004</v>
      </c>
    </row>
    <row r="35" spans="1:29">
      <c r="A35" s="683">
        <v>28</v>
      </c>
      <c r="B35" s="140" t="s">
        <v>144</v>
      </c>
      <c r="C35" s="141" t="s">
        <v>145</v>
      </c>
      <c r="D35" s="546"/>
      <c r="E35" s="547">
        <v>-8003476.1100000003</v>
      </c>
      <c r="F35" s="548">
        <v>0</v>
      </c>
      <c r="G35" s="549">
        <f t="shared" si="7"/>
        <v>-8003476.1100000003</v>
      </c>
      <c r="Z35" s="370">
        <f t="shared" si="8"/>
        <v>0</v>
      </c>
      <c r="AA35" s="370">
        <f t="shared" si="9"/>
        <v>-8003476.1100000003</v>
      </c>
    </row>
    <row r="36" spans="1:29">
      <c r="A36" s="380">
        <v>29</v>
      </c>
      <c r="B36" s="140" t="s">
        <v>146</v>
      </c>
      <c r="C36" s="141" t="s">
        <v>147</v>
      </c>
      <c r="D36" s="546"/>
      <c r="E36" s="547">
        <v>-70308.52</v>
      </c>
      <c r="F36" s="548">
        <v>0</v>
      </c>
      <c r="G36" s="549">
        <f t="shared" si="7"/>
        <v>-70308.52</v>
      </c>
      <c r="Z36" s="370">
        <f t="shared" si="8"/>
        <v>0</v>
      </c>
      <c r="AA36" s="370">
        <f t="shared" si="9"/>
        <v>-70308.52</v>
      </c>
    </row>
    <row r="37" spans="1:29">
      <c r="A37" s="683">
        <v>30</v>
      </c>
      <c r="B37" s="142" t="s">
        <v>148</v>
      </c>
      <c r="C37" s="139"/>
      <c r="D37" s="550"/>
      <c r="E37" s="752">
        <f t="shared" ref="E37:W37" si="10">SUM(E31:E36)</f>
        <v>125165839.18000001</v>
      </c>
      <c r="F37" s="551">
        <f t="shared" si="10"/>
        <v>0</v>
      </c>
      <c r="G37" s="552">
        <f t="shared" si="10"/>
        <v>125165839.18000001</v>
      </c>
      <c r="I37" s="552">
        <f t="shared" si="10"/>
        <v>0</v>
      </c>
      <c r="J37" s="552">
        <f t="shared" si="10"/>
        <v>0</v>
      </c>
      <c r="K37" s="241">
        <f>SUM(K31:K36)</f>
        <v>0</v>
      </c>
      <c r="L37" s="552">
        <f t="shared" si="10"/>
        <v>0</v>
      </c>
      <c r="M37" s="552">
        <f t="shared" ref="M37:S37" si="11">SUM(M31:M36)</f>
        <v>0</v>
      </c>
      <c r="N37" s="552">
        <f t="shared" si="11"/>
        <v>0</v>
      </c>
      <c r="O37" s="552">
        <f t="shared" si="11"/>
        <v>0</v>
      </c>
      <c r="P37" s="552">
        <f t="shared" si="11"/>
        <v>0</v>
      </c>
      <c r="Q37" s="552">
        <f t="shared" si="11"/>
        <v>0</v>
      </c>
      <c r="R37" s="552">
        <f t="shared" si="11"/>
        <v>0</v>
      </c>
      <c r="S37" s="552">
        <f t="shared" si="11"/>
        <v>0</v>
      </c>
      <c r="T37" s="552">
        <f t="shared" si="10"/>
        <v>0</v>
      </c>
      <c r="U37" s="552">
        <f t="shared" si="10"/>
        <v>0</v>
      </c>
      <c r="V37" s="552">
        <f t="shared" si="10"/>
        <v>0</v>
      </c>
      <c r="W37" s="553">
        <f t="shared" si="10"/>
        <v>0</v>
      </c>
      <c r="X37" s="552">
        <f>SUM(X31:X36)</f>
        <v>0</v>
      </c>
      <c r="Y37" s="552">
        <f>SUM(Y31:Y36)</f>
        <v>0</v>
      </c>
      <c r="Z37" s="552">
        <f>SUM(Z31:Z36)</f>
        <v>0</v>
      </c>
      <c r="AA37" s="552">
        <f>SUM(AA31:AA36)</f>
        <v>125165839.18000001</v>
      </c>
      <c r="AC37" s="365">
        <f>AA37-'Exh 6, ROO Summary'!Q17</f>
        <v>0</v>
      </c>
    </row>
    <row r="38" spans="1:29">
      <c r="A38" s="380">
        <v>31</v>
      </c>
      <c r="B38" s="138"/>
      <c r="C38" s="139"/>
      <c r="D38" s="546"/>
      <c r="E38" s="547"/>
      <c r="F38" s="546"/>
      <c r="G38" s="549"/>
    </row>
    <row r="39" spans="1:29">
      <c r="A39" s="683">
        <v>32</v>
      </c>
      <c r="B39" s="142" t="s">
        <v>149</v>
      </c>
      <c r="C39" s="139"/>
      <c r="D39" s="546"/>
      <c r="E39" s="547"/>
      <c r="F39" s="546"/>
      <c r="G39" s="549"/>
    </row>
    <row r="40" spans="1:29">
      <c r="A40" s="380">
        <v>33</v>
      </c>
      <c r="B40" s="140" t="s">
        <v>150</v>
      </c>
      <c r="C40" s="141" t="s">
        <v>151</v>
      </c>
      <c r="D40" s="548"/>
      <c r="E40" s="556">
        <v>0</v>
      </c>
      <c r="F40" s="548">
        <v>0</v>
      </c>
      <c r="G40" s="557">
        <v>0</v>
      </c>
      <c r="Z40" s="370">
        <f t="shared" ref="Z40:Z50" si="12">SUM(I40:Y40)</f>
        <v>0</v>
      </c>
      <c r="AA40" s="370">
        <f t="shared" ref="AA40:AA50" si="13">+G40+Z40</f>
        <v>0</v>
      </c>
    </row>
    <row r="41" spans="1:29">
      <c r="A41" s="683">
        <v>34</v>
      </c>
      <c r="B41" s="140" t="s">
        <v>152</v>
      </c>
      <c r="C41" s="141" t="s">
        <v>153</v>
      </c>
      <c r="D41" s="548"/>
      <c r="E41" s="556">
        <v>0</v>
      </c>
      <c r="F41" s="548">
        <v>0</v>
      </c>
      <c r="G41" s="557">
        <v>0</v>
      </c>
      <c r="Z41" s="370">
        <f t="shared" si="12"/>
        <v>0</v>
      </c>
      <c r="AA41" s="370">
        <f t="shared" si="13"/>
        <v>0</v>
      </c>
    </row>
    <row r="42" spans="1:29">
      <c r="A42" s="380">
        <v>35</v>
      </c>
      <c r="B42" s="140" t="s">
        <v>154</v>
      </c>
      <c r="C42" s="141" t="s">
        <v>155</v>
      </c>
      <c r="D42" s="548"/>
      <c r="E42" s="556">
        <v>0</v>
      </c>
      <c r="F42" s="548">
        <v>0</v>
      </c>
      <c r="G42" s="557">
        <v>0</v>
      </c>
      <c r="Z42" s="370">
        <f t="shared" si="12"/>
        <v>0</v>
      </c>
      <c r="AA42" s="370">
        <f t="shared" si="13"/>
        <v>0</v>
      </c>
    </row>
    <row r="43" spans="1:29">
      <c r="A43" s="683">
        <v>36</v>
      </c>
      <c r="B43" s="140" t="s">
        <v>156</v>
      </c>
      <c r="C43" s="141" t="s">
        <v>157</v>
      </c>
      <c r="D43" s="548"/>
      <c r="E43" s="556">
        <v>0</v>
      </c>
      <c r="F43" s="548">
        <v>0</v>
      </c>
      <c r="G43" s="557">
        <v>0</v>
      </c>
      <c r="Z43" s="370">
        <f t="shared" si="12"/>
        <v>0</v>
      </c>
      <c r="AA43" s="370">
        <f t="shared" si="13"/>
        <v>0</v>
      </c>
    </row>
    <row r="44" spans="1:29">
      <c r="A44" s="380">
        <v>37</v>
      </c>
      <c r="B44" s="140" t="s">
        <v>158</v>
      </c>
      <c r="C44" s="141" t="s">
        <v>159</v>
      </c>
      <c r="D44" s="548"/>
      <c r="E44" s="556">
        <v>0</v>
      </c>
      <c r="F44" s="548">
        <v>0</v>
      </c>
      <c r="G44" s="557">
        <v>0</v>
      </c>
      <c r="Z44" s="370">
        <f t="shared" si="12"/>
        <v>0</v>
      </c>
      <c r="AA44" s="370">
        <f t="shared" si="13"/>
        <v>0</v>
      </c>
    </row>
    <row r="45" spans="1:29">
      <c r="A45" s="683">
        <v>38</v>
      </c>
      <c r="B45" s="140" t="s">
        <v>160</v>
      </c>
      <c r="C45" s="141" t="s">
        <v>161</v>
      </c>
      <c r="D45" s="548"/>
      <c r="E45" s="556">
        <v>0</v>
      </c>
      <c r="F45" s="548">
        <v>0</v>
      </c>
      <c r="G45" s="557">
        <v>0</v>
      </c>
      <c r="Z45" s="370">
        <f t="shared" si="12"/>
        <v>0</v>
      </c>
      <c r="AA45" s="370">
        <f t="shared" si="13"/>
        <v>0</v>
      </c>
    </row>
    <row r="46" spans="1:29">
      <c r="A46" s="380">
        <v>39</v>
      </c>
      <c r="B46" s="140" t="s">
        <v>162</v>
      </c>
      <c r="C46" s="141" t="s">
        <v>163</v>
      </c>
      <c r="D46" s="548"/>
      <c r="E46" s="562">
        <v>0</v>
      </c>
      <c r="F46" s="548">
        <v>0</v>
      </c>
      <c r="G46" s="557">
        <v>0</v>
      </c>
      <c r="Z46" s="370">
        <f t="shared" si="12"/>
        <v>0</v>
      </c>
      <c r="AA46" s="370">
        <f t="shared" si="13"/>
        <v>0</v>
      </c>
    </row>
    <row r="47" spans="1:29">
      <c r="A47" s="683">
        <v>40</v>
      </c>
      <c r="B47" s="140" t="s">
        <v>164</v>
      </c>
      <c r="C47" s="141" t="s">
        <v>165</v>
      </c>
      <c r="D47" s="548"/>
      <c r="E47" s="556">
        <v>0</v>
      </c>
      <c r="F47" s="548">
        <v>0</v>
      </c>
      <c r="G47" s="557">
        <v>0</v>
      </c>
      <c r="Z47" s="370">
        <f t="shared" si="12"/>
        <v>0</v>
      </c>
      <c r="AA47" s="370">
        <f t="shared" si="13"/>
        <v>0</v>
      </c>
    </row>
    <row r="48" spans="1:29">
      <c r="A48" s="380">
        <v>41</v>
      </c>
      <c r="B48" s="140" t="s">
        <v>166</v>
      </c>
      <c r="C48" s="141" t="s">
        <v>167</v>
      </c>
      <c r="D48" s="548"/>
      <c r="E48" s="556">
        <v>0</v>
      </c>
      <c r="F48" s="548">
        <v>0</v>
      </c>
      <c r="G48" s="557">
        <v>0</v>
      </c>
      <c r="Z48" s="370">
        <f t="shared" si="12"/>
        <v>0</v>
      </c>
      <c r="AA48" s="370">
        <f t="shared" si="13"/>
        <v>0</v>
      </c>
    </row>
    <row r="49" spans="1:29">
      <c r="A49" s="683">
        <v>42</v>
      </c>
      <c r="B49" s="140" t="s">
        <v>168</v>
      </c>
      <c r="C49" s="141" t="s">
        <v>169</v>
      </c>
      <c r="D49" s="548"/>
      <c r="E49" s="556">
        <v>0</v>
      </c>
      <c r="F49" s="548">
        <v>0</v>
      </c>
      <c r="G49" s="557">
        <v>0</v>
      </c>
      <c r="Z49" s="370">
        <f t="shared" si="12"/>
        <v>0</v>
      </c>
      <c r="AA49" s="370">
        <f t="shared" si="13"/>
        <v>0</v>
      </c>
    </row>
    <row r="50" spans="1:29">
      <c r="A50" s="380">
        <v>43</v>
      </c>
      <c r="B50" s="140" t="s">
        <v>170</v>
      </c>
      <c r="C50" s="141" t="s">
        <v>171</v>
      </c>
      <c r="D50" s="548"/>
      <c r="E50" s="556">
        <v>0</v>
      </c>
      <c r="F50" s="548">
        <v>0</v>
      </c>
      <c r="G50" s="557">
        <v>0</v>
      </c>
      <c r="Z50" s="370">
        <f t="shared" si="12"/>
        <v>0</v>
      </c>
      <c r="AA50" s="370">
        <f t="shared" si="13"/>
        <v>0</v>
      </c>
    </row>
    <row r="51" spans="1:29">
      <c r="A51" s="683">
        <v>44</v>
      </c>
      <c r="B51" s="142" t="s">
        <v>172</v>
      </c>
      <c r="C51" s="563"/>
      <c r="D51" s="551"/>
      <c r="E51" s="564">
        <f>SUM(E40:E50)</f>
        <v>0</v>
      </c>
      <c r="F51" s="551">
        <f>SUM(F40:F50)</f>
        <v>0</v>
      </c>
      <c r="G51" s="241">
        <f>SUM(G40:G50)</f>
        <v>0</v>
      </c>
      <c r="I51" s="552">
        <f t="shared" ref="I51:W51" si="14">SUM(I40:I50)</f>
        <v>0</v>
      </c>
      <c r="J51" s="552">
        <f t="shared" si="14"/>
        <v>0</v>
      </c>
      <c r="K51" s="241">
        <f>SUM(K40:K50)</f>
        <v>0</v>
      </c>
      <c r="L51" s="552">
        <f t="shared" si="14"/>
        <v>0</v>
      </c>
      <c r="M51" s="552">
        <f t="shared" ref="M51:S51" si="15">SUM(M40:M50)</f>
        <v>0</v>
      </c>
      <c r="N51" s="552">
        <f t="shared" si="15"/>
        <v>0</v>
      </c>
      <c r="O51" s="552">
        <f t="shared" si="15"/>
        <v>0</v>
      </c>
      <c r="P51" s="552">
        <f t="shared" si="15"/>
        <v>0</v>
      </c>
      <c r="Q51" s="552">
        <f t="shared" si="15"/>
        <v>0</v>
      </c>
      <c r="R51" s="552">
        <f t="shared" si="15"/>
        <v>0</v>
      </c>
      <c r="S51" s="552">
        <f t="shared" si="15"/>
        <v>0</v>
      </c>
      <c r="T51" s="552">
        <f t="shared" si="14"/>
        <v>0</v>
      </c>
      <c r="U51" s="552">
        <f t="shared" si="14"/>
        <v>0</v>
      </c>
      <c r="V51" s="552">
        <f t="shared" si="14"/>
        <v>0</v>
      </c>
      <c r="W51" s="553">
        <f t="shared" si="14"/>
        <v>0</v>
      </c>
      <c r="X51" s="241"/>
      <c r="Y51" s="241"/>
      <c r="Z51" s="241">
        <f>SUM(Z40:Z50)</f>
        <v>0</v>
      </c>
      <c r="AA51" s="241">
        <f>SUM(AA40:AA50)</f>
        <v>0</v>
      </c>
    </row>
    <row r="52" spans="1:29">
      <c r="A52" s="380">
        <v>45</v>
      </c>
      <c r="B52" s="138"/>
      <c r="C52" s="139"/>
      <c r="D52" s="546"/>
      <c r="E52" s="547"/>
      <c r="F52" s="546"/>
      <c r="G52" s="549"/>
      <c r="I52" s="549"/>
      <c r="J52" s="549"/>
      <c r="K52" s="557"/>
      <c r="L52" s="549"/>
      <c r="M52" s="549"/>
      <c r="N52" s="549"/>
      <c r="O52" s="549"/>
      <c r="P52" s="549"/>
      <c r="Q52" s="549"/>
      <c r="R52" s="549"/>
      <c r="S52" s="549"/>
      <c r="T52" s="549"/>
      <c r="U52" s="549"/>
      <c r="V52" s="549"/>
      <c r="W52" s="565"/>
      <c r="X52" s="549"/>
      <c r="Y52" s="549"/>
      <c r="Z52" s="549"/>
      <c r="AA52" s="549"/>
    </row>
    <row r="53" spans="1:29">
      <c r="A53" s="683">
        <v>46</v>
      </c>
      <c r="B53" s="140" t="s">
        <v>173</v>
      </c>
      <c r="C53" s="141" t="s">
        <v>26</v>
      </c>
      <c r="D53" s="367"/>
      <c r="E53" s="755">
        <v>20632282.93</v>
      </c>
      <c r="F53" s="756">
        <v>0</v>
      </c>
      <c r="G53" s="566">
        <f>SUM(E53:F53)</f>
        <v>20632282.93</v>
      </c>
      <c r="I53" s="624">
        <f>+I28*(+'Exh 8, Conversion Factor'!C9+'Exh 8, Conversion Factor'!C10)</f>
        <v>-118142.3406</v>
      </c>
      <c r="J53" s="624">
        <f>+J28*(+'Exh 8, Conversion Factor'!B9+'Exh 8, Conversion Factor'!B10)</f>
        <v>0</v>
      </c>
      <c r="K53" s="624">
        <f>+K28*(+'Exh 8, Conversion Factor'!C9+'Exh 8, Conversion Factor'!C10)</f>
        <v>604670.88980474416</v>
      </c>
      <c r="L53" s="624">
        <f>+L28*(+'Exh 8, Conversion Factor'!$C$9+'Exh 8, Conversion Factor'!$C$10)</f>
        <v>37411.924531025557</v>
      </c>
      <c r="M53" s="624">
        <f>+M28*(+'Exh 8, Conversion Factor'!$C$9+'Exh 8, Conversion Factor'!$C$10)</f>
        <v>0</v>
      </c>
      <c r="N53" s="624">
        <f>+N28*(+'Exh 8, Conversion Factor'!$C$9+'Exh 8, Conversion Factor'!$C$10)</f>
        <v>0</v>
      </c>
      <c r="O53" s="624">
        <f>+O28*(+'Exh 8, Conversion Factor'!$C$9+'Exh 8, Conversion Factor'!$C$10)</f>
        <v>16461.047399999999</v>
      </c>
      <c r="P53" s="624">
        <f>+P28*(+'Exh 8, Conversion Factor'!$C$9+'Exh 8, Conversion Factor'!$C$10)</f>
        <v>0</v>
      </c>
      <c r="Q53" s="624">
        <f>+Q28*(+'Exh 8, Conversion Factor'!$C$9+'Exh 8, Conversion Factor'!$C$10)</f>
        <v>0</v>
      </c>
      <c r="R53" s="624">
        <f>+R28*(+'Exh 8, Conversion Factor'!$C$9+'Exh 8, Conversion Factor'!$C$10)</f>
        <v>0</v>
      </c>
      <c r="S53" s="624">
        <f>+S28*(+'Exh 8, Conversion Factor'!$C$9+'Exh 8, Conversion Factor'!$C$10)</f>
        <v>0</v>
      </c>
      <c r="T53" s="624">
        <f>+T28*(+'Exh 8, Conversion Factor'!$C$9+'Exh 8, Conversion Factor'!$C$10)</f>
        <v>0</v>
      </c>
      <c r="U53" s="624">
        <f>+U28*(+'Exh 8, Conversion Factor'!$C$9+'Exh 8, Conversion Factor'!$C$10)</f>
        <v>0</v>
      </c>
      <c r="V53" s="624">
        <f>+V28*(+'Exh 8, Conversion Factor'!$C$9+'Exh 8, Conversion Factor'!$C$10)</f>
        <v>1.0318763088434936E-11</v>
      </c>
      <c r="W53" s="567">
        <v>0</v>
      </c>
      <c r="X53" s="566"/>
      <c r="Y53" s="566"/>
      <c r="Z53" s="629">
        <f>SUM(I53:Y53)</f>
        <v>540401.52113576978</v>
      </c>
      <c r="AA53" s="630">
        <f>+G53+Z53</f>
        <v>21172684.451135769</v>
      </c>
      <c r="AC53" s="370">
        <f>AA53-'Exh 6, ROO Summary'!Q18</f>
        <v>0</v>
      </c>
    </row>
    <row r="54" spans="1:29" ht="16.2" thickBot="1">
      <c r="A54" s="380">
        <v>47</v>
      </c>
      <c r="B54" s="142" t="s">
        <v>174</v>
      </c>
      <c r="C54" s="139"/>
      <c r="D54" s="559"/>
      <c r="E54" s="754">
        <f>E28-E37-E53</f>
        <v>101398753.37999997</v>
      </c>
      <c r="F54" s="757">
        <f>F28-F37-F53</f>
        <v>128113.94</v>
      </c>
      <c r="G54" s="560">
        <f>G28-G37-G53</f>
        <v>101526867.31999996</v>
      </c>
      <c r="I54" s="560">
        <f t="shared" ref="I54:AA54" si="16">I28-I37-I53</f>
        <v>-2797512.6594000002</v>
      </c>
      <c r="J54" s="560">
        <f t="shared" si="16"/>
        <v>0</v>
      </c>
      <c r="K54" s="623">
        <f t="shared" si="16"/>
        <v>14318105.265297528</v>
      </c>
      <c r="L54" s="560">
        <f t="shared" si="16"/>
        <v>885883.35017345508</v>
      </c>
      <c r="M54" s="560">
        <f t="shared" si="16"/>
        <v>0</v>
      </c>
      <c r="N54" s="560">
        <f t="shared" si="16"/>
        <v>0</v>
      </c>
      <c r="O54" s="560">
        <f t="shared" si="16"/>
        <v>389783.95260000002</v>
      </c>
      <c r="P54" s="560">
        <f t="shared" si="16"/>
        <v>0</v>
      </c>
      <c r="Q54" s="560">
        <f t="shared" si="16"/>
        <v>0</v>
      </c>
      <c r="R54" s="560">
        <f t="shared" si="16"/>
        <v>0</v>
      </c>
      <c r="S54" s="560">
        <f t="shared" si="16"/>
        <v>0</v>
      </c>
      <c r="T54" s="560">
        <f t="shared" si="16"/>
        <v>0</v>
      </c>
      <c r="U54" s="560">
        <f t="shared" si="16"/>
        <v>0</v>
      </c>
      <c r="V54" s="560">
        <f t="shared" si="16"/>
        <v>2.4433975340798498E-10</v>
      </c>
      <c r="W54" s="561">
        <f t="shared" si="16"/>
        <v>0</v>
      </c>
      <c r="X54" s="560">
        <f t="shared" si="16"/>
        <v>0</v>
      </c>
      <c r="Y54" s="560">
        <f t="shared" si="16"/>
        <v>0</v>
      </c>
      <c r="Z54" s="560">
        <f t="shared" si="16"/>
        <v>12796259.908670984</v>
      </c>
      <c r="AA54" s="560">
        <f t="shared" si="16"/>
        <v>114323127.22867097</v>
      </c>
    </row>
    <row r="55" spans="1:29" ht="16.2" thickTop="1">
      <c r="A55" s="683">
        <v>48</v>
      </c>
      <c r="B55" s="138"/>
      <c r="C55" s="139"/>
      <c r="D55" s="546"/>
      <c r="E55" s="547"/>
      <c r="F55" s="546"/>
      <c r="G55" s="549"/>
    </row>
    <row r="56" spans="1:29">
      <c r="A56" s="380">
        <v>49</v>
      </c>
      <c r="B56" s="142" t="s">
        <v>175</v>
      </c>
      <c r="C56" s="139"/>
      <c r="D56" s="546"/>
      <c r="E56" s="547"/>
      <c r="F56" s="546"/>
      <c r="G56" s="549"/>
    </row>
    <row r="57" spans="1:29">
      <c r="A57" s="683">
        <v>50</v>
      </c>
      <c r="B57" s="568">
        <v>813</v>
      </c>
      <c r="C57" s="141" t="s">
        <v>176</v>
      </c>
      <c r="D57" s="546"/>
      <c r="E57" s="556">
        <v>3448.67</v>
      </c>
      <c r="F57" s="548">
        <v>316579.44</v>
      </c>
      <c r="G57" s="549">
        <f>SUM(E57:F57)</f>
        <v>320028.11</v>
      </c>
      <c r="M57" s="357"/>
      <c r="U57" s="357">
        <f>+'Restate &amp; Pro Forma Wage Adjust'!Q20+'Restate &amp; Pro Forma Wage Adjust'!Q21</f>
        <v>5778.6633749999992</v>
      </c>
      <c r="Z57" s="370">
        <f>SUM(I57:Y57)</f>
        <v>5778.6633749999992</v>
      </c>
      <c r="AA57" s="370">
        <f>+G57+Z57</f>
        <v>325806.77337499999</v>
      </c>
      <c r="AC57" s="370">
        <f>AA57-'Exh 6, ROO Summary'!Q19</f>
        <v>0</v>
      </c>
    </row>
    <row r="58" spans="1:29">
      <c r="A58" s="380">
        <v>51</v>
      </c>
      <c r="B58" s="568"/>
      <c r="C58" s="141"/>
      <c r="D58" s="546"/>
      <c r="E58" s="556"/>
      <c r="F58" s="548"/>
      <c r="G58" s="549"/>
    </row>
    <row r="59" spans="1:29">
      <c r="A59" s="683">
        <v>52</v>
      </c>
      <c r="B59" s="142" t="s">
        <v>177</v>
      </c>
      <c r="C59" s="139"/>
      <c r="D59" s="546"/>
      <c r="E59" s="547"/>
      <c r="F59" s="546"/>
      <c r="G59" s="549"/>
    </row>
    <row r="60" spans="1:29">
      <c r="A60" s="380">
        <v>53</v>
      </c>
      <c r="B60" s="142" t="s">
        <v>178</v>
      </c>
      <c r="C60" s="139"/>
      <c r="D60" s="546"/>
      <c r="E60" s="547"/>
      <c r="F60" s="546"/>
      <c r="G60" s="549"/>
    </row>
    <row r="61" spans="1:29">
      <c r="A61" s="683">
        <v>54</v>
      </c>
      <c r="B61" s="140" t="s">
        <v>179</v>
      </c>
      <c r="C61" s="141" t="s">
        <v>180</v>
      </c>
      <c r="D61" s="546"/>
      <c r="E61" s="556">
        <v>1157305.51</v>
      </c>
      <c r="F61" s="548">
        <v>907290.82</v>
      </c>
      <c r="G61" s="549">
        <f t="shared" ref="G61:G71" si="17">SUM(E61:F61)</f>
        <v>2064596.33</v>
      </c>
      <c r="M61" s="357">
        <f>+'Restate &amp; Pro Forma Wage Adjust'!P44</f>
        <v>0</v>
      </c>
      <c r="U61" s="357">
        <f>+'Restate &amp; Pro Forma Wage Adjust'!Q22+'Restate &amp; Pro Forma Wage Adjust'!Q44</f>
        <v>59711.780679999996</v>
      </c>
      <c r="W61" s="534">
        <f>'MAOP UG-160787 Deferral'!F16</f>
        <v>800404.5149999999</v>
      </c>
      <c r="Z61" s="370">
        <f>SUM(I61:Y61)</f>
        <v>860116.29567999986</v>
      </c>
      <c r="AA61" s="370">
        <f>+G61+Z61</f>
        <v>2924712.6256800001</v>
      </c>
    </row>
    <row r="62" spans="1:29">
      <c r="A62" s="380">
        <v>55</v>
      </c>
      <c r="B62" s="140" t="s">
        <v>181</v>
      </c>
      <c r="C62" s="141" t="s">
        <v>182</v>
      </c>
      <c r="D62" s="546"/>
      <c r="E62" s="556">
        <v>65379.199999999997</v>
      </c>
      <c r="F62" s="548">
        <v>238694.68</v>
      </c>
      <c r="G62" s="549">
        <f t="shared" si="17"/>
        <v>304073.88</v>
      </c>
      <c r="M62" s="357">
        <f>+'Restate &amp; Pro Forma Wage Adjust'!P23+'Restate &amp; Pro Forma Wage Adjust'!P45</f>
        <v>581.33039999999994</v>
      </c>
      <c r="U62" s="357">
        <f>+'Restate &amp; Pro Forma Wage Adjust'!Q23+'Restate &amp; Pro Forma Wage Adjust'!Q45</f>
        <v>8805.5314920000001</v>
      </c>
      <c r="Z62" s="370">
        <f t="shared" ref="Z62:Z71" si="18">SUM(I62:Y62)</f>
        <v>9386.8618920000008</v>
      </c>
      <c r="AA62" s="370">
        <f t="shared" ref="AA62:AA71" si="19">+G62+Z62</f>
        <v>313460.74189200002</v>
      </c>
    </row>
    <row r="63" spans="1:29">
      <c r="A63" s="683">
        <v>56</v>
      </c>
      <c r="B63" s="555" t="s">
        <v>183</v>
      </c>
      <c r="C63" s="141" t="s">
        <v>184</v>
      </c>
      <c r="D63" s="548"/>
      <c r="E63" s="556">
        <v>37041.43</v>
      </c>
      <c r="F63" s="548">
        <v>0</v>
      </c>
      <c r="G63" s="549">
        <f t="shared" si="17"/>
        <v>37041.43</v>
      </c>
      <c r="M63" s="357">
        <f>+'Restate &amp; Pro Forma Wage Adjust'!P46</f>
        <v>143.70779999999999</v>
      </c>
      <c r="U63" s="357">
        <f>+'Restate &amp; Pro Forma Wage Adjust'!Q46</f>
        <v>658.44473400000004</v>
      </c>
      <c r="Z63" s="370">
        <f t="shared" si="18"/>
        <v>802.15253400000006</v>
      </c>
      <c r="AA63" s="370">
        <f t="shared" si="19"/>
        <v>37843.582534000001</v>
      </c>
    </row>
    <row r="64" spans="1:29">
      <c r="A64" s="380">
        <v>57</v>
      </c>
      <c r="B64" s="555" t="s">
        <v>185</v>
      </c>
      <c r="C64" s="141" t="s">
        <v>186</v>
      </c>
      <c r="D64" s="546"/>
      <c r="E64" s="556">
        <v>3541583.32</v>
      </c>
      <c r="F64" s="548">
        <v>539375.5</v>
      </c>
      <c r="G64" s="549">
        <f t="shared" si="17"/>
        <v>4080958.82</v>
      </c>
      <c r="M64" s="357">
        <f>+'Restate &amp; Pro Forma Wage Adjust'!P47</f>
        <v>15578.269799999998</v>
      </c>
      <c r="U64" s="357">
        <f>+'Restate &amp; Pro Forma Wage Adjust'!Q24+'Restate &amp; Pro Forma Wage Adjust'!Q47</f>
        <v>76276.004338999992</v>
      </c>
      <c r="X64" s="357"/>
      <c r="Z64" s="370">
        <f t="shared" si="18"/>
        <v>91854.274138999986</v>
      </c>
      <c r="AA64" s="370">
        <f t="shared" si="19"/>
        <v>4172813.0941389999</v>
      </c>
    </row>
    <row r="65" spans="1:29">
      <c r="A65" s="683">
        <v>58</v>
      </c>
      <c r="B65" s="140" t="s">
        <v>187</v>
      </c>
      <c r="C65" s="141" t="s">
        <v>188</v>
      </c>
      <c r="D65" s="546"/>
      <c r="E65" s="556">
        <v>315954.13</v>
      </c>
      <c r="F65" s="548">
        <v>88265.32</v>
      </c>
      <c r="G65" s="549">
        <f t="shared" si="17"/>
        <v>404219.45</v>
      </c>
      <c r="M65" s="357">
        <f>+'Restate &amp; Pro Forma Wage Adjust'!P48</f>
        <v>1505.0943</v>
      </c>
      <c r="U65" s="357">
        <f>+'Restate &amp; Pro Forma Wage Adjust'!Q48+'Restate &amp; Pro Forma Wage Adjust'!Q25</f>
        <v>5044.1779289999995</v>
      </c>
      <c r="Z65" s="370">
        <f t="shared" si="18"/>
        <v>6549.2722289999992</v>
      </c>
      <c r="AA65" s="370">
        <f t="shared" si="19"/>
        <v>410768.72222900001</v>
      </c>
    </row>
    <row r="66" spans="1:29">
      <c r="A66" s="380">
        <v>59</v>
      </c>
      <c r="B66" s="140" t="s">
        <v>189</v>
      </c>
      <c r="C66" s="141" t="s">
        <v>190</v>
      </c>
      <c r="D66" s="546"/>
      <c r="E66" s="556">
        <v>123534.78</v>
      </c>
      <c r="F66" s="548">
        <v>3380.28</v>
      </c>
      <c r="G66" s="549">
        <f t="shared" si="17"/>
        <v>126915.06</v>
      </c>
      <c r="M66" s="357">
        <f>+'Restate &amp; Pro Forma Wage Adjust'!P49</f>
        <v>704.02289999999994</v>
      </c>
      <c r="U66" s="357">
        <f>+'Restate &amp; Pro Forma Wage Adjust'!Q49</f>
        <v>2639.4168869999994</v>
      </c>
      <c r="Z66" s="370">
        <f t="shared" si="18"/>
        <v>3343.4397869999993</v>
      </c>
      <c r="AA66" s="370">
        <f t="shared" si="19"/>
        <v>130258.49978699999</v>
      </c>
    </row>
    <row r="67" spans="1:29">
      <c r="A67" s="683">
        <v>60</v>
      </c>
      <c r="B67" s="140" t="s">
        <v>191</v>
      </c>
      <c r="C67" s="141" t="s">
        <v>192</v>
      </c>
      <c r="D67" s="546"/>
      <c r="E67" s="556">
        <v>1097839.44</v>
      </c>
      <c r="F67" s="548">
        <v>0</v>
      </c>
      <c r="G67" s="549">
        <f t="shared" si="17"/>
        <v>1097839.44</v>
      </c>
      <c r="M67" s="357">
        <f>+'Restate &amp; Pro Forma Wage Adjust'!P50</f>
        <v>6893.2955999999995</v>
      </c>
      <c r="U67" s="357">
        <f>+'Restate &amp; Pro Forma Wage Adjust'!Q50</f>
        <v>27665.593667999998</v>
      </c>
      <c r="Z67" s="370">
        <f t="shared" si="18"/>
        <v>34558.889267999999</v>
      </c>
      <c r="AA67" s="370">
        <f t="shared" si="19"/>
        <v>1132398.3292679999</v>
      </c>
    </row>
    <row r="68" spans="1:29">
      <c r="A68" s="380">
        <v>61</v>
      </c>
      <c r="B68" s="140" t="s">
        <v>193</v>
      </c>
      <c r="C68" s="141" t="s">
        <v>194</v>
      </c>
      <c r="D68" s="546"/>
      <c r="E68" s="556">
        <v>674150</v>
      </c>
      <c r="F68" s="548">
        <v>0</v>
      </c>
      <c r="G68" s="549">
        <f t="shared" si="17"/>
        <v>674150</v>
      </c>
      <c r="M68" s="357">
        <f>+'Restate &amp; Pro Forma Wage Adjust'!P51</f>
        <v>5388.3848999999991</v>
      </c>
      <c r="U68" s="357">
        <f>+'Restate &amp; Pro Forma Wage Adjust'!Q51</f>
        <v>18622.761746999997</v>
      </c>
      <c r="Z68" s="370">
        <f t="shared" si="18"/>
        <v>24011.146646999994</v>
      </c>
      <c r="AA68" s="370">
        <f t="shared" si="19"/>
        <v>698161.14664699999</v>
      </c>
    </row>
    <row r="69" spans="1:29">
      <c r="A69" s="683">
        <v>62</v>
      </c>
      <c r="B69" s="140" t="s">
        <v>195</v>
      </c>
      <c r="C69" s="141" t="s">
        <v>196</v>
      </c>
      <c r="D69" s="546"/>
      <c r="E69" s="556">
        <v>3966282.22</v>
      </c>
      <c r="F69" s="548">
        <v>830916.13</v>
      </c>
      <c r="G69" s="549">
        <f t="shared" si="17"/>
        <v>4797198.3500000006</v>
      </c>
      <c r="M69" s="357">
        <f>+'Restate &amp; Pro Forma Wage Adjust'!P52</f>
        <v>21196.826700000001</v>
      </c>
      <c r="U69" s="357">
        <f>+'Restate &amp; Pro Forma Wage Adjust'!Q26+'Restate &amp; Pro Forma Wage Adjust'!Q52</f>
        <v>91463.986665999997</v>
      </c>
      <c r="Z69" s="370">
        <f t="shared" si="18"/>
        <v>112660.813366</v>
      </c>
      <c r="AA69" s="370">
        <f t="shared" si="19"/>
        <v>4909859.1633660002</v>
      </c>
    </row>
    <row r="70" spans="1:29">
      <c r="A70" s="380">
        <v>63</v>
      </c>
      <c r="B70" s="140" t="s">
        <v>197</v>
      </c>
      <c r="C70" s="141" t="s">
        <v>198</v>
      </c>
      <c r="D70" s="546"/>
      <c r="E70" s="556">
        <v>101842.75</v>
      </c>
      <c r="F70" s="548">
        <v>3782.4</v>
      </c>
      <c r="G70" s="549">
        <f t="shared" si="17"/>
        <v>105625.15</v>
      </c>
      <c r="Z70" s="370">
        <f t="shared" si="18"/>
        <v>0</v>
      </c>
      <c r="AA70" s="370">
        <f>+G70+Z70</f>
        <v>105625.15</v>
      </c>
    </row>
    <row r="71" spans="1:29">
      <c r="A71" s="683">
        <v>64</v>
      </c>
      <c r="B71" s="140" t="s">
        <v>199</v>
      </c>
      <c r="C71" s="141" t="s">
        <v>200</v>
      </c>
      <c r="D71" s="548"/>
      <c r="E71" s="556">
        <v>0</v>
      </c>
      <c r="F71" s="548">
        <v>0</v>
      </c>
      <c r="G71" s="549">
        <f t="shared" si="17"/>
        <v>0</v>
      </c>
      <c r="Z71" s="370">
        <f t="shared" si="18"/>
        <v>0</v>
      </c>
      <c r="AA71" s="370">
        <f t="shared" si="19"/>
        <v>0</v>
      </c>
    </row>
    <row r="72" spans="1:29">
      <c r="A72" s="380">
        <v>65</v>
      </c>
      <c r="B72" s="138"/>
      <c r="C72" s="569" t="s">
        <v>201</v>
      </c>
      <c r="D72" s="550"/>
      <c r="E72" s="752">
        <f>SUM(E61:E71)</f>
        <v>11080912.780000001</v>
      </c>
      <c r="F72" s="550">
        <f>SUM(F61:F71)</f>
        <v>2611705.13</v>
      </c>
      <c r="G72" s="552">
        <f>SUM(G61:G71)</f>
        <v>13692617.910000002</v>
      </c>
      <c r="I72" s="552">
        <f>SUM(I61:I71)</f>
        <v>0</v>
      </c>
      <c r="J72" s="552">
        <f>SUM(J61:J71)</f>
        <v>0</v>
      </c>
      <c r="K72" s="241">
        <f>SUM(K61:K71)</f>
        <v>0</v>
      </c>
      <c r="L72" s="552">
        <f>SUM(L61:L71)</f>
        <v>0</v>
      </c>
      <c r="M72" s="719">
        <f>SUM(M61:M71)</f>
        <v>51990.932399999991</v>
      </c>
      <c r="N72" s="552">
        <f t="shared" ref="N72:T72" si="20">SUM(N61:N71)</f>
        <v>0</v>
      </c>
      <c r="O72" s="552">
        <f t="shared" si="20"/>
        <v>0</v>
      </c>
      <c r="P72" s="552">
        <f t="shared" si="20"/>
        <v>0</v>
      </c>
      <c r="Q72" s="552">
        <f t="shared" si="20"/>
        <v>0</v>
      </c>
      <c r="R72" s="552">
        <f t="shared" si="20"/>
        <v>0</v>
      </c>
      <c r="S72" s="552">
        <f t="shared" si="20"/>
        <v>0</v>
      </c>
      <c r="T72" s="552">
        <f t="shared" si="20"/>
        <v>0</v>
      </c>
      <c r="U72" s="719">
        <f t="shared" ref="U72:AA72" si="21">SUM(U61:U71)</f>
        <v>290887.69814199995</v>
      </c>
      <c r="V72" s="552">
        <f t="shared" si="21"/>
        <v>0</v>
      </c>
      <c r="W72" s="553">
        <f t="shared" si="21"/>
        <v>800404.5149999999</v>
      </c>
      <c r="X72" s="552">
        <f t="shared" si="21"/>
        <v>0</v>
      </c>
      <c r="Y72" s="552">
        <f t="shared" si="21"/>
        <v>0</v>
      </c>
      <c r="Z72" s="552">
        <f t="shared" si="21"/>
        <v>1143283.1455419997</v>
      </c>
      <c r="AA72" s="552">
        <f t="shared" si="21"/>
        <v>14835901.055542002</v>
      </c>
      <c r="AC72" s="365"/>
    </row>
    <row r="73" spans="1:29">
      <c r="A73" s="683">
        <v>66</v>
      </c>
      <c r="B73" s="138"/>
      <c r="C73" s="139"/>
      <c r="D73" s="546"/>
      <c r="E73" s="547"/>
      <c r="F73" s="546"/>
      <c r="G73" s="549"/>
      <c r="AC73" s="365"/>
    </row>
    <row r="74" spans="1:29">
      <c r="A74" s="380">
        <v>67</v>
      </c>
      <c r="B74" s="142" t="s">
        <v>202</v>
      </c>
      <c r="C74" s="139"/>
      <c r="D74" s="546"/>
      <c r="E74" s="547"/>
      <c r="F74" s="546"/>
      <c r="G74" s="549"/>
      <c r="AC74" s="365"/>
    </row>
    <row r="75" spans="1:29">
      <c r="A75" s="683">
        <v>68</v>
      </c>
      <c r="B75" s="140" t="s">
        <v>203</v>
      </c>
      <c r="C75" s="141" t="s">
        <v>204</v>
      </c>
      <c r="D75" s="548"/>
      <c r="E75" s="556">
        <v>892055.92999999993</v>
      </c>
      <c r="F75" s="548">
        <v>208638.59</v>
      </c>
      <c r="G75" s="557">
        <f t="shared" ref="G75:G83" si="22">SUM(E75:F75)</f>
        <v>1100694.52</v>
      </c>
      <c r="M75" s="357"/>
      <c r="U75" s="357">
        <f>+'Restate &amp; Pro Forma Wage Adjust'!Q27</f>
        <v>31932.312479999997</v>
      </c>
      <c r="Z75" s="370">
        <f>SUM(I75:Y75)</f>
        <v>31932.312479999997</v>
      </c>
      <c r="AA75" s="370">
        <f t="shared" ref="AA75:AA82" si="23">+G75+Z75</f>
        <v>1132626.8324800001</v>
      </c>
    </row>
    <row r="76" spans="1:29">
      <c r="A76" s="380">
        <v>69</v>
      </c>
      <c r="B76" s="140" t="s">
        <v>205</v>
      </c>
      <c r="C76" s="141" t="s">
        <v>206</v>
      </c>
      <c r="D76" s="546"/>
      <c r="E76" s="556">
        <v>1106.0299999999988</v>
      </c>
      <c r="F76" s="548">
        <v>0</v>
      </c>
      <c r="G76" s="549">
        <f t="shared" si="22"/>
        <v>1106.0299999999988</v>
      </c>
      <c r="M76" s="357"/>
      <c r="Z76" s="370">
        <f t="shared" ref="Z76:Z83" si="24">SUM(I76:Y76)</f>
        <v>0</v>
      </c>
      <c r="AA76" s="370">
        <f t="shared" si="23"/>
        <v>1106.0299999999988</v>
      </c>
    </row>
    <row r="77" spans="1:29">
      <c r="A77" s="683">
        <v>70</v>
      </c>
      <c r="B77" s="140" t="s">
        <v>207</v>
      </c>
      <c r="C77" s="141" t="s">
        <v>208</v>
      </c>
      <c r="D77" s="546"/>
      <c r="E77" s="556">
        <v>1610202.8900000001</v>
      </c>
      <c r="F77" s="548">
        <v>67297.100000000006</v>
      </c>
      <c r="G77" s="549">
        <f t="shared" si="22"/>
        <v>1677499.9900000002</v>
      </c>
      <c r="M77" s="357">
        <f>+'Restate &amp; Pro Forma Wage Adjust'!P53</f>
        <v>3799.8284999999996</v>
      </c>
      <c r="U77" s="357">
        <f>+'Restate &amp; Pro Forma Wage Adjust'!Q28+'Restate &amp; Pro Forma Wage Adjust'!Q53+'Restate &amp; Pro Forma Wage Adjust'!Q29</f>
        <v>16155.966664999996</v>
      </c>
      <c r="Z77" s="370">
        <f t="shared" si="24"/>
        <v>19955.795164999996</v>
      </c>
      <c r="AA77" s="370">
        <f t="shared" si="23"/>
        <v>1697455.7851650002</v>
      </c>
    </row>
    <row r="78" spans="1:29">
      <c r="A78" s="380">
        <v>71</v>
      </c>
      <c r="B78" s="555" t="s">
        <v>209</v>
      </c>
      <c r="C78" s="141" t="s">
        <v>184</v>
      </c>
      <c r="D78" s="548"/>
      <c r="E78" s="556">
        <v>73744.02</v>
      </c>
      <c r="F78" s="548">
        <v>0</v>
      </c>
      <c r="G78" s="557">
        <f t="shared" si="22"/>
        <v>73744.02</v>
      </c>
      <c r="M78" s="357">
        <f>+'Restate &amp; Pro Forma Wage Adjust'!P54</f>
        <v>409.60559999999998</v>
      </c>
      <c r="U78" s="357">
        <f>+'Restate &amp; Pro Forma Wage Adjust'!Q54</f>
        <v>1716.7645679999998</v>
      </c>
      <c r="Z78" s="370">
        <f t="shared" si="24"/>
        <v>2126.3701679999999</v>
      </c>
      <c r="AA78" s="370">
        <f t="shared" si="23"/>
        <v>75870.390167999998</v>
      </c>
    </row>
    <row r="79" spans="1:29">
      <c r="A79" s="683">
        <v>72</v>
      </c>
      <c r="B79" s="140" t="s">
        <v>210</v>
      </c>
      <c r="C79" s="141" t="s">
        <v>211</v>
      </c>
      <c r="D79" s="546"/>
      <c r="E79" s="556">
        <v>391998.68</v>
      </c>
      <c r="F79" s="546">
        <v>1029.1999999999971</v>
      </c>
      <c r="G79" s="549">
        <f t="shared" si="22"/>
        <v>393027.88</v>
      </c>
      <c r="M79" s="357">
        <f>+'Restate &amp; Pro Forma Wage Adjust'!P55</f>
        <v>2142.0381000000002</v>
      </c>
      <c r="U79" s="357">
        <f>+'Restate &amp; Pro Forma Wage Adjust'!Q30+'Restate &amp; Pro Forma Wage Adjust'!Q55</f>
        <v>7188.1861579999995</v>
      </c>
      <c r="Z79" s="370">
        <f t="shared" si="24"/>
        <v>9330.2242580000002</v>
      </c>
      <c r="AA79" s="370">
        <f t="shared" si="23"/>
        <v>402358.10425799998</v>
      </c>
    </row>
    <row r="80" spans="1:29">
      <c r="A80" s="380">
        <v>73</v>
      </c>
      <c r="B80" s="140" t="s">
        <v>212</v>
      </c>
      <c r="C80" s="141" t="s">
        <v>213</v>
      </c>
      <c r="D80" s="546"/>
      <c r="E80" s="556">
        <v>41236.550000000003</v>
      </c>
      <c r="F80" s="546">
        <v>5965.46</v>
      </c>
      <c r="G80" s="549">
        <f t="shared" si="22"/>
        <v>47202.01</v>
      </c>
      <c r="M80" s="357">
        <f>+'Restate &amp; Pro Forma Wage Adjust'!P56</f>
        <v>90.617699999999999</v>
      </c>
      <c r="U80" s="357">
        <f>+'Restate &amp; Pro Forma Wage Adjust'!Q56</f>
        <v>771.93893099999991</v>
      </c>
      <c r="Z80" s="370">
        <f t="shared" si="24"/>
        <v>862.55663099999992</v>
      </c>
      <c r="AA80" s="370">
        <f t="shared" si="23"/>
        <v>48064.566631000002</v>
      </c>
    </row>
    <row r="81" spans="1:29">
      <c r="A81" s="683">
        <v>74</v>
      </c>
      <c r="B81" s="140" t="s">
        <v>214</v>
      </c>
      <c r="C81" s="141" t="s">
        <v>94</v>
      </c>
      <c r="D81" s="546"/>
      <c r="E81" s="556">
        <v>1334268.1200000001</v>
      </c>
      <c r="F81" s="546">
        <v>194.89</v>
      </c>
      <c r="G81" s="549">
        <f t="shared" si="22"/>
        <v>1334463.01</v>
      </c>
      <c r="M81" s="357">
        <f>+'Restate &amp; Pro Forma Wage Adjust'!P31+'Restate &amp; Pro Forma Wage Adjust'!P57</f>
        <v>6120.2408999999998</v>
      </c>
      <c r="U81" s="357">
        <f>+'Restate &amp; Pro Forma Wage Adjust'!Q31+'Restate &amp; Pro Forma Wage Adjust'!Q57</f>
        <v>25798.291362</v>
      </c>
      <c r="Z81" s="370">
        <f t="shared" si="24"/>
        <v>31918.532262000001</v>
      </c>
      <c r="AA81" s="370">
        <f t="shared" si="23"/>
        <v>1366381.542262</v>
      </c>
    </row>
    <row r="82" spans="1:29">
      <c r="A82" s="380">
        <v>75</v>
      </c>
      <c r="B82" s="140" t="s">
        <v>215</v>
      </c>
      <c r="C82" s="141" t="s">
        <v>216</v>
      </c>
      <c r="D82" s="546"/>
      <c r="E82" s="556">
        <v>648444.97</v>
      </c>
      <c r="F82" s="546">
        <v>343720.76</v>
      </c>
      <c r="G82" s="549">
        <f t="shared" si="22"/>
        <v>992165.73</v>
      </c>
      <c r="M82" s="357">
        <f>+'Restate &amp; Pro Forma Wage Adjust'!P58</f>
        <v>5123.9760000000006</v>
      </c>
      <c r="U82" s="357">
        <f>+'Restate &amp; Pro Forma Wage Adjust'!Q58</f>
        <v>20849.390579999999</v>
      </c>
      <c r="Z82" s="370">
        <f t="shared" si="24"/>
        <v>25973.366580000002</v>
      </c>
      <c r="AA82" s="370">
        <f t="shared" si="23"/>
        <v>1018139.09658</v>
      </c>
      <c r="AC82" s="365"/>
    </row>
    <row r="83" spans="1:29">
      <c r="A83" s="683">
        <v>76</v>
      </c>
      <c r="B83" s="140" t="s">
        <v>217</v>
      </c>
      <c r="C83" s="141" t="s">
        <v>218</v>
      </c>
      <c r="D83" s="546"/>
      <c r="E83" s="556">
        <v>1036148.03</v>
      </c>
      <c r="F83" s="546">
        <v>65610.59</v>
      </c>
      <c r="G83" s="549">
        <f t="shared" si="22"/>
        <v>1101758.6200000001</v>
      </c>
      <c r="M83" s="357">
        <f>+'Restate &amp; Pro Forma Wage Adjust'!P59</f>
        <v>7487.6003999999994</v>
      </c>
      <c r="U83" s="357">
        <f>+'Restate &amp; Pro Forma Wage Adjust'!Q32+'Restate &amp; Pro Forma Wage Adjust'!Q59</f>
        <v>26619.554331999996</v>
      </c>
      <c r="Z83" s="370">
        <f t="shared" si="24"/>
        <v>34107.154731999995</v>
      </c>
      <c r="AA83" s="718">
        <f>+G83+Z83</f>
        <v>1135865.7747320002</v>
      </c>
    </row>
    <row r="84" spans="1:29">
      <c r="A84" s="380">
        <v>77</v>
      </c>
      <c r="B84" s="138"/>
      <c r="C84" s="569" t="s">
        <v>219</v>
      </c>
      <c r="D84" s="550"/>
      <c r="E84" s="752">
        <f>SUM(E75:E83)</f>
        <v>6029205.2200000007</v>
      </c>
      <c r="F84" s="550">
        <f>SUM(F75:F83)</f>
        <v>692456.59</v>
      </c>
      <c r="G84" s="552">
        <f>SUM(G75:G83)</f>
        <v>6721661.8099999996</v>
      </c>
      <c r="I84" s="552">
        <f t="shared" ref="I84:T84" si="25">SUM(I75:I83)</f>
        <v>0</v>
      </c>
      <c r="J84" s="552">
        <f t="shared" si="25"/>
        <v>0</v>
      </c>
      <c r="K84" s="241">
        <f t="shared" si="25"/>
        <v>0</v>
      </c>
      <c r="L84" s="552">
        <f t="shared" si="25"/>
        <v>0</v>
      </c>
      <c r="M84" s="719">
        <f>SUM(M75:M83)</f>
        <v>25173.907199999998</v>
      </c>
      <c r="N84" s="552">
        <f t="shared" si="25"/>
        <v>0</v>
      </c>
      <c r="O84" s="552">
        <f t="shared" si="25"/>
        <v>0</v>
      </c>
      <c r="P84" s="552">
        <f t="shared" si="25"/>
        <v>0</v>
      </c>
      <c r="Q84" s="552">
        <f t="shared" si="25"/>
        <v>0</v>
      </c>
      <c r="R84" s="552">
        <f t="shared" si="25"/>
        <v>0</v>
      </c>
      <c r="S84" s="552">
        <f t="shared" si="25"/>
        <v>0</v>
      </c>
      <c r="T84" s="552">
        <f t="shared" si="25"/>
        <v>0</v>
      </c>
      <c r="U84" s="719">
        <f t="shared" ref="U84:AA84" si="26">SUM(U75:U83)</f>
        <v>131032.405076</v>
      </c>
      <c r="V84" s="552">
        <f t="shared" si="26"/>
        <v>0</v>
      </c>
      <c r="W84" s="553">
        <f t="shared" si="26"/>
        <v>0</v>
      </c>
      <c r="X84" s="552">
        <f t="shared" si="26"/>
        <v>0</v>
      </c>
      <c r="Y84" s="552">
        <f t="shared" si="26"/>
        <v>0</v>
      </c>
      <c r="Z84" s="552">
        <f t="shared" si="26"/>
        <v>156206.31227599998</v>
      </c>
      <c r="AA84" s="552">
        <f t="shared" si="26"/>
        <v>6877868.1222760007</v>
      </c>
      <c r="AC84" s="452"/>
    </row>
    <row r="85" spans="1:29">
      <c r="A85" s="683">
        <v>78</v>
      </c>
      <c r="B85" s="142" t="s">
        <v>220</v>
      </c>
      <c r="C85" s="139"/>
      <c r="D85" s="367"/>
      <c r="E85" s="755">
        <f>E72+E84</f>
        <v>17110118</v>
      </c>
      <c r="F85" s="367">
        <f>F72+F84</f>
        <v>3304161.7199999997</v>
      </c>
      <c r="G85" s="566">
        <f>G72+G84</f>
        <v>20414279.720000003</v>
      </c>
      <c r="I85" s="566">
        <f t="shared" ref="I85:T85" si="27">I72+I84</f>
        <v>0</v>
      </c>
      <c r="J85" s="566">
        <f t="shared" si="27"/>
        <v>0</v>
      </c>
      <c r="K85" s="624">
        <f t="shared" si="27"/>
        <v>0</v>
      </c>
      <c r="L85" s="566">
        <f t="shared" si="27"/>
        <v>0</v>
      </c>
      <c r="M85" s="1770">
        <f>M72+M84</f>
        <v>77164.839599999992</v>
      </c>
      <c r="N85" s="566">
        <f t="shared" si="27"/>
        <v>0</v>
      </c>
      <c r="O85" s="566">
        <f t="shared" si="27"/>
        <v>0</v>
      </c>
      <c r="P85" s="566">
        <f>P72+P84</f>
        <v>0</v>
      </c>
      <c r="Q85" s="566">
        <f>Q72+Q84</f>
        <v>0</v>
      </c>
      <c r="R85" s="566">
        <f>R72+R84</f>
        <v>0</v>
      </c>
      <c r="S85" s="566">
        <f>S72+S84</f>
        <v>0</v>
      </c>
      <c r="T85" s="566">
        <f t="shared" si="27"/>
        <v>0</v>
      </c>
      <c r="U85" s="1770">
        <f>U72+U84</f>
        <v>421920.10321799992</v>
      </c>
      <c r="V85" s="566">
        <f t="shared" ref="V85:AA85" si="28">V72+V84</f>
        <v>0</v>
      </c>
      <c r="W85" s="567">
        <f t="shared" si="28"/>
        <v>800404.5149999999</v>
      </c>
      <c r="X85" s="566">
        <f t="shared" si="28"/>
        <v>0</v>
      </c>
      <c r="Y85" s="566">
        <f t="shared" si="28"/>
        <v>0</v>
      </c>
      <c r="Z85" s="566">
        <f t="shared" si="28"/>
        <v>1299489.4578179996</v>
      </c>
      <c r="AA85" s="566">
        <f t="shared" si="28"/>
        <v>21713769.177818</v>
      </c>
      <c r="AC85" s="365">
        <f>AA85-'Exh 6, ROO Summary'!Q20</f>
        <v>0</v>
      </c>
    </row>
    <row r="86" spans="1:29">
      <c r="A86" s="380">
        <v>79</v>
      </c>
      <c r="B86" s="138"/>
      <c r="C86" s="139"/>
      <c r="D86" s="546"/>
      <c r="E86" s="547"/>
      <c r="F86" s="546"/>
      <c r="G86" s="549"/>
      <c r="AC86" s="365"/>
    </row>
    <row r="87" spans="1:29">
      <c r="A87" s="683">
        <v>80</v>
      </c>
      <c r="B87" s="142" t="s">
        <v>221</v>
      </c>
      <c r="C87" s="139"/>
      <c r="D87" s="546"/>
      <c r="E87" s="547"/>
      <c r="F87" s="546"/>
      <c r="G87" s="549"/>
    </row>
    <row r="88" spans="1:29">
      <c r="A88" s="380">
        <v>81</v>
      </c>
      <c r="B88" s="140" t="s">
        <v>222</v>
      </c>
      <c r="C88" s="141" t="s">
        <v>223</v>
      </c>
      <c r="D88" s="546"/>
      <c r="E88" s="556">
        <v>996</v>
      </c>
      <c r="F88" s="546">
        <v>108519.03999999999</v>
      </c>
      <c r="G88" s="549">
        <f>SUM(E88:F88)</f>
        <v>109515.04</v>
      </c>
      <c r="U88" s="357">
        <f>+'Restate &amp; Pro Forma Wage Adjust'!Q33</f>
        <v>3335.3073599999998</v>
      </c>
      <c r="Z88" s="370">
        <f>SUM(I88:Y88)</f>
        <v>3335.3073599999998</v>
      </c>
      <c r="AA88" s="370">
        <f>+G88+Z88</f>
        <v>112850.34736</v>
      </c>
    </row>
    <row r="89" spans="1:29">
      <c r="A89" s="683">
        <v>82</v>
      </c>
      <c r="B89" s="140" t="s">
        <v>224</v>
      </c>
      <c r="C89" s="141" t="s">
        <v>225</v>
      </c>
      <c r="D89" s="546"/>
      <c r="E89" s="556">
        <v>413011.73</v>
      </c>
      <c r="F89" s="546">
        <v>157749.41</v>
      </c>
      <c r="G89" s="549">
        <f>SUM(E89:F89)</f>
        <v>570761.14</v>
      </c>
      <c r="M89" s="357">
        <f>+'Restate &amp; Pro Forma Wage Adjust'!P60</f>
        <v>2671.8998999999999</v>
      </c>
      <c r="U89" s="357">
        <f>+'Restate &amp; Pro Forma Wage Adjust'!Q34+'Restate &amp; Pro Forma Wage Adjust'!Q60</f>
        <v>13712.555661999999</v>
      </c>
      <c r="Z89" s="370">
        <f>SUM(I89:Y89)</f>
        <v>16384.455561999999</v>
      </c>
      <c r="AA89" s="370">
        <f>+G89+Z89</f>
        <v>587145.59556200006</v>
      </c>
    </row>
    <row r="90" spans="1:29">
      <c r="A90" s="380">
        <v>83</v>
      </c>
      <c r="B90" s="140" t="s">
        <v>226</v>
      </c>
      <c r="C90" s="141" t="s">
        <v>227</v>
      </c>
      <c r="D90" s="546"/>
      <c r="E90" s="556">
        <v>424249</v>
      </c>
      <c r="F90" s="546">
        <v>3656426.6</v>
      </c>
      <c r="G90" s="549">
        <f>SUM(E90:F90)</f>
        <v>4080675.6</v>
      </c>
      <c r="M90" s="357">
        <f>+'Restate &amp; Pro Forma Wage Adjust'!P61</f>
        <v>687.55470000000003</v>
      </c>
      <c r="U90" s="357">
        <f>+'Restate &amp; Pro Forma Wage Adjust'!Q35+'Restate &amp; Pro Forma Wage Adjust'!Q61</f>
        <v>85111.463990999997</v>
      </c>
      <c r="Z90" s="370">
        <f>SUM(I90:Y90)</f>
        <v>85799.01869099999</v>
      </c>
      <c r="AA90" s="370">
        <f>+G90+Z90</f>
        <v>4166474.6186910002</v>
      </c>
    </row>
    <row r="91" spans="1:29">
      <c r="A91" s="683">
        <v>84</v>
      </c>
      <c r="B91" s="140" t="s">
        <v>228</v>
      </c>
      <c r="C91" s="141" t="s">
        <v>16</v>
      </c>
      <c r="D91" s="546"/>
      <c r="E91" s="556">
        <v>964263.95</v>
      </c>
      <c r="F91" s="546">
        <v>29953.66</v>
      </c>
      <c r="G91" s="549">
        <f>SUM(E91:F91)</f>
        <v>994217.61</v>
      </c>
      <c r="I91" s="240">
        <f>+I28*'Exh 8, Conversion Factor'!$C$8</f>
        <v>-11720.593023637799</v>
      </c>
      <c r="J91" s="240">
        <f>+J28*'Exh 8, Conversion Factor'!$C$8</f>
        <v>0</v>
      </c>
      <c r="K91" s="240">
        <f>+K28*'Exh 8, Conversion Factor'!$C$8</f>
        <v>59987.819579751442</v>
      </c>
      <c r="L91" s="240">
        <f>+L28*'Exh 8, Conversion Factor'!$C$8</f>
        <v>3711.5393129362292</v>
      </c>
      <c r="M91" s="240">
        <f>+M28*'Exh 8, Conversion Factor'!$C$8</f>
        <v>0</v>
      </c>
      <c r="N91" s="240">
        <f>+N28*'Exh 8, Conversion Factor'!$C$8</f>
        <v>0</v>
      </c>
      <c r="O91" s="240">
        <f>+O28*'Exh 8, Conversion Factor'!$C$8</f>
        <v>1633.0575163686162</v>
      </c>
      <c r="P91" s="240">
        <f>+P28*'Exh 8, Conversion Factor'!$C$8</f>
        <v>0</v>
      </c>
      <c r="Q91" s="240">
        <f>+Q28*'Exh 8, Conversion Factor'!$C$8</f>
        <v>0</v>
      </c>
      <c r="R91" s="240">
        <f>+R28*'Exh 8, Conversion Factor'!$C$8</f>
        <v>0</v>
      </c>
      <c r="S91" s="240">
        <f>+S28*'Exh 8, Conversion Factor'!$C$8</f>
        <v>0</v>
      </c>
      <c r="T91" s="240">
        <f>+T28*'Exh 8, Conversion Factor'!$C$8</f>
        <v>0</v>
      </c>
      <c r="U91" s="240">
        <f>+U28*'Exh 8, Conversion Factor'!$C$8</f>
        <v>0</v>
      </c>
      <c r="V91" s="240">
        <f>+V28*'Exh 8, Conversion Factor'!$C$8</f>
        <v>1.0236975334385894E-12</v>
      </c>
      <c r="W91" s="240">
        <f>+W28*'Exh 8, Conversion Factor'!$C$8</f>
        <v>0</v>
      </c>
      <c r="Z91" s="370">
        <f>SUM(I91:Y91)</f>
        <v>53611.823385418487</v>
      </c>
      <c r="AA91" s="370">
        <f>+G91+Z91</f>
        <v>1047829.4333854185</v>
      </c>
    </row>
    <row r="92" spans="1:29">
      <c r="A92" s="380">
        <v>85</v>
      </c>
      <c r="B92" s="140" t="s">
        <v>229</v>
      </c>
      <c r="C92" s="141" t="s">
        <v>230</v>
      </c>
      <c r="D92" s="546"/>
      <c r="E92" s="556">
        <v>0</v>
      </c>
      <c r="F92" s="546">
        <v>99081.279999999999</v>
      </c>
      <c r="G92" s="549">
        <f>SUM(E92:F92)</f>
        <v>99081.279999999999</v>
      </c>
      <c r="Z92" s="370">
        <f>SUM(I92:Y92)</f>
        <v>0</v>
      </c>
      <c r="AA92" s="370">
        <f>+G92+Z92</f>
        <v>99081.279999999999</v>
      </c>
    </row>
    <row r="93" spans="1:29">
      <c r="A93" s="683">
        <v>86</v>
      </c>
      <c r="B93" s="142" t="s">
        <v>231</v>
      </c>
      <c r="C93" s="139"/>
      <c r="D93" s="550"/>
      <c r="E93" s="752">
        <f>SUM(E88:E92)</f>
        <v>1802520.68</v>
      </c>
      <c r="F93" s="550">
        <f>SUM(F88:F92)</f>
        <v>4051729.99</v>
      </c>
      <c r="G93" s="552">
        <f>SUM(G88:G92)</f>
        <v>5854250.6700000009</v>
      </c>
      <c r="I93" s="552">
        <f t="shared" ref="I93:AA93" si="29">SUM(I88:I92)</f>
        <v>-11720.593023637799</v>
      </c>
      <c r="J93" s="552">
        <f t="shared" si="29"/>
        <v>0</v>
      </c>
      <c r="K93" s="241">
        <f t="shared" si="29"/>
        <v>59987.819579751442</v>
      </c>
      <c r="L93" s="552">
        <f t="shared" si="29"/>
        <v>3711.5393129362292</v>
      </c>
      <c r="M93" s="552">
        <f t="shared" si="29"/>
        <v>3359.4546</v>
      </c>
      <c r="N93" s="552">
        <f t="shared" si="29"/>
        <v>0</v>
      </c>
      <c r="O93" s="552">
        <f t="shared" si="29"/>
        <v>1633.0575163686162</v>
      </c>
      <c r="P93" s="552">
        <f t="shared" si="29"/>
        <v>0</v>
      </c>
      <c r="Q93" s="552">
        <f t="shared" si="29"/>
        <v>0</v>
      </c>
      <c r="R93" s="552">
        <f t="shared" si="29"/>
        <v>0</v>
      </c>
      <c r="S93" s="552">
        <f t="shared" si="29"/>
        <v>0</v>
      </c>
      <c r="T93" s="552">
        <f t="shared" si="29"/>
        <v>0</v>
      </c>
      <c r="U93" s="719">
        <f t="shared" si="29"/>
        <v>102159.327013</v>
      </c>
      <c r="V93" s="552">
        <f t="shared" si="29"/>
        <v>1.0236975334385894E-12</v>
      </c>
      <c r="W93" s="553">
        <f t="shared" si="29"/>
        <v>0</v>
      </c>
      <c r="X93" s="552">
        <f t="shared" si="29"/>
        <v>0</v>
      </c>
      <c r="Y93" s="552">
        <f t="shared" si="29"/>
        <v>0</v>
      </c>
      <c r="Z93" s="552">
        <f t="shared" si="29"/>
        <v>159130.60499841848</v>
      </c>
      <c r="AA93" s="552">
        <f t="shared" si="29"/>
        <v>6013381.274998419</v>
      </c>
      <c r="AC93" s="365">
        <f>AA93-'Exh 6, ROO Summary'!Q21</f>
        <v>0</v>
      </c>
    </row>
    <row r="94" spans="1:29">
      <c r="A94" s="380">
        <v>87</v>
      </c>
      <c r="B94" s="138"/>
      <c r="C94" s="139"/>
      <c r="D94" s="546"/>
      <c r="E94" s="547"/>
      <c r="F94" s="546"/>
      <c r="G94" s="549"/>
    </row>
    <row r="95" spans="1:29">
      <c r="A95" s="683">
        <v>88</v>
      </c>
      <c r="B95" s="142" t="s">
        <v>232</v>
      </c>
      <c r="C95" s="139"/>
      <c r="D95" s="546"/>
      <c r="E95" s="547"/>
      <c r="F95" s="546"/>
      <c r="G95" s="549"/>
    </row>
    <row r="96" spans="1:29">
      <c r="A96" s="380">
        <v>89</v>
      </c>
      <c r="B96" s="140" t="s">
        <v>233</v>
      </c>
      <c r="C96" s="141" t="s">
        <v>223</v>
      </c>
      <c r="D96" s="546"/>
      <c r="E96" s="556">
        <v>0</v>
      </c>
      <c r="F96" s="546" t="s">
        <v>711</v>
      </c>
      <c r="G96" s="549">
        <f>SUM(E96:F96)</f>
        <v>0</v>
      </c>
      <c r="Z96" s="370">
        <f>SUM(I96:Y96)</f>
        <v>0</v>
      </c>
      <c r="AA96" s="370">
        <f>+G96+Z96</f>
        <v>0</v>
      </c>
    </row>
    <row r="97" spans="1:29">
      <c r="A97" s="683">
        <v>90</v>
      </c>
      <c r="B97" s="140" t="s">
        <v>234</v>
      </c>
      <c r="C97" s="141" t="s">
        <v>235</v>
      </c>
      <c r="D97" s="546"/>
      <c r="E97" s="556">
        <v>6755862.1899999995</v>
      </c>
      <c r="F97" s="546">
        <v>157320.38</v>
      </c>
      <c r="G97" s="549">
        <f>SUM(E97:F97)</f>
        <v>6913182.5699999994</v>
      </c>
      <c r="L97" s="625"/>
      <c r="M97" s="625"/>
      <c r="N97" s="625"/>
      <c r="O97" s="625"/>
      <c r="P97" s="625"/>
      <c r="Q97" s="240">
        <v>-4394</v>
      </c>
      <c r="R97" s="625"/>
      <c r="S97" s="625"/>
      <c r="U97" s="357">
        <f>+'Restate &amp; Pro Forma Wage Adjust'!Q36</f>
        <v>16395.509569999998</v>
      </c>
      <c r="Z97" s="370">
        <f>SUM(I97:Y97)</f>
        <v>12001.509569999998</v>
      </c>
      <c r="AA97" s="370">
        <f>+G97+Z97</f>
        <v>6925184.0795699991</v>
      </c>
    </row>
    <row r="98" spans="1:29">
      <c r="A98" s="380">
        <v>91</v>
      </c>
      <c r="B98" s="140" t="s">
        <v>236</v>
      </c>
      <c r="C98" s="141" t="s">
        <v>237</v>
      </c>
      <c r="D98" s="546"/>
      <c r="E98" s="556">
        <v>28538.39</v>
      </c>
      <c r="F98" s="546">
        <v>99786.85</v>
      </c>
      <c r="G98" s="549">
        <f>SUM(E98:F98)</f>
        <v>128325.24</v>
      </c>
      <c r="Z98" s="370">
        <f>SUM(I98:Y98)</f>
        <v>0</v>
      </c>
      <c r="AA98" s="370">
        <f>+G98+Z98</f>
        <v>128325.24</v>
      </c>
    </row>
    <row r="99" spans="1:29">
      <c r="A99" s="683">
        <v>92</v>
      </c>
      <c r="B99" s="570" t="s">
        <v>238</v>
      </c>
      <c r="C99" s="141" t="s">
        <v>239</v>
      </c>
      <c r="D99" s="548"/>
      <c r="E99" s="556">
        <v>0</v>
      </c>
      <c r="F99" s="546">
        <v>269961.65000000002</v>
      </c>
      <c r="G99" s="557">
        <f>SUM(E99:F99)</f>
        <v>269961.65000000002</v>
      </c>
      <c r="U99" s="357">
        <f>+'Restate &amp; Pro Forma Wage Adjust'!Q37</f>
        <v>8444.6924299999991</v>
      </c>
      <c r="Z99" s="370">
        <f>SUM(I99:Y99)</f>
        <v>8444.6924299999991</v>
      </c>
      <c r="AA99" s="370">
        <f>+G99+Z99</f>
        <v>278406.34243000002</v>
      </c>
    </row>
    <row r="100" spans="1:29">
      <c r="A100" s="380">
        <v>93</v>
      </c>
      <c r="B100" s="554" t="s">
        <v>240</v>
      </c>
      <c r="C100" s="139"/>
      <c r="D100" s="550"/>
      <c r="E100" s="752">
        <f>SUM(E96:E99)</f>
        <v>6784400.5799999991</v>
      </c>
      <c r="F100" s="550">
        <f>SUM(F96:F99)</f>
        <v>527068.88</v>
      </c>
      <c r="G100" s="552">
        <f>SUM(G96:G99)</f>
        <v>7311469.46</v>
      </c>
      <c r="I100" s="552">
        <f t="shared" ref="I100:AA100" si="30">SUM(I96:I99)</f>
        <v>0</v>
      </c>
      <c r="J100" s="552">
        <f t="shared" si="30"/>
        <v>0</v>
      </c>
      <c r="K100" s="241">
        <f t="shared" si="30"/>
        <v>0</v>
      </c>
      <c r="L100" s="552">
        <f t="shared" si="30"/>
        <v>0</v>
      </c>
      <c r="M100" s="552">
        <f t="shared" si="30"/>
        <v>0</v>
      </c>
      <c r="N100" s="552">
        <f t="shared" si="30"/>
        <v>0</v>
      </c>
      <c r="O100" s="552">
        <f t="shared" si="30"/>
        <v>0</v>
      </c>
      <c r="P100" s="552">
        <f t="shared" si="30"/>
        <v>0</v>
      </c>
      <c r="Q100" s="552">
        <f t="shared" si="30"/>
        <v>-4394</v>
      </c>
      <c r="R100" s="552">
        <f t="shared" si="30"/>
        <v>0</v>
      </c>
      <c r="S100" s="552">
        <f t="shared" si="30"/>
        <v>0</v>
      </c>
      <c r="T100" s="552">
        <f t="shared" si="30"/>
        <v>0</v>
      </c>
      <c r="U100" s="552">
        <f t="shared" si="30"/>
        <v>24840.201999999997</v>
      </c>
      <c r="V100" s="552">
        <f t="shared" si="30"/>
        <v>0</v>
      </c>
      <c r="W100" s="553">
        <f t="shared" si="30"/>
        <v>0</v>
      </c>
      <c r="X100" s="552">
        <f t="shared" si="30"/>
        <v>0</v>
      </c>
      <c r="Y100" s="552">
        <f t="shared" si="30"/>
        <v>0</v>
      </c>
      <c r="Z100" s="552">
        <f t="shared" si="30"/>
        <v>20446.201999999997</v>
      </c>
      <c r="AA100" s="552">
        <f t="shared" si="30"/>
        <v>7331915.6619999995</v>
      </c>
      <c r="AC100" s="365">
        <f>AA100-'Exh 6, ROO Summary'!Q22</f>
        <v>0</v>
      </c>
    </row>
    <row r="101" spans="1:29">
      <c r="A101" s="683">
        <v>94</v>
      </c>
      <c r="B101" s="138"/>
      <c r="C101" s="139"/>
      <c r="D101" s="546"/>
      <c r="E101" s="547"/>
      <c r="F101" s="546"/>
      <c r="G101" s="549"/>
    </row>
    <row r="102" spans="1:29">
      <c r="A102" s="380">
        <v>95</v>
      </c>
      <c r="B102" s="142" t="s">
        <v>241</v>
      </c>
      <c r="C102" s="139"/>
      <c r="D102" s="546"/>
      <c r="E102" s="547"/>
      <c r="F102" s="546"/>
      <c r="G102" s="549"/>
    </row>
    <row r="103" spans="1:29">
      <c r="A103" s="683">
        <v>96</v>
      </c>
      <c r="B103" s="140" t="s">
        <v>242</v>
      </c>
      <c r="C103" s="141" t="s">
        <v>223</v>
      </c>
      <c r="D103" s="548"/>
      <c r="E103" s="556">
        <v>0</v>
      </c>
      <c r="F103" s="548">
        <v>0</v>
      </c>
      <c r="G103" s="557">
        <f>SUM(E103:F103)</f>
        <v>0</v>
      </c>
      <c r="Z103" s="370">
        <f>SUM(I103:Y103)</f>
        <v>0</v>
      </c>
      <c r="AA103" s="370">
        <f>+G103+Z103</f>
        <v>0</v>
      </c>
    </row>
    <row r="104" spans="1:29">
      <c r="A104" s="380">
        <v>97</v>
      </c>
      <c r="B104" s="140" t="s">
        <v>243</v>
      </c>
      <c r="C104" s="141" t="s">
        <v>244</v>
      </c>
      <c r="D104" s="548"/>
      <c r="E104" s="556">
        <v>0</v>
      </c>
      <c r="F104" s="548">
        <v>3181.46</v>
      </c>
      <c r="G104" s="557">
        <f>SUM(E104:F104)</f>
        <v>3181.46</v>
      </c>
      <c r="U104" s="357">
        <f>+'Restate &amp; Pro Forma Wage Adjust'!Q38</f>
        <v>94.855999999999995</v>
      </c>
      <c r="Z104" s="370">
        <f>SUM(I104:Y104)</f>
        <v>94.855999999999995</v>
      </c>
      <c r="AA104" s="370">
        <f>+G104+Z104</f>
        <v>3276.3159999999998</v>
      </c>
    </row>
    <row r="105" spans="1:29">
      <c r="A105" s="683">
        <v>98</v>
      </c>
      <c r="B105" s="140" t="s">
        <v>245</v>
      </c>
      <c r="C105" s="141" t="s">
        <v>50</v>
      </c>
      <c r="D105" s="548"/>
      <c r="E105" s="556">
        <v>1795</v>
      </c>
      <c r="F105" s="548">
        <v>432.23</v>
      </c>
      <c r="G105" s="557">
        <f>SUM(E105:F105)</f>
        <v>2227.23</v>
      </c>
      <c r="J105" s="365">
        <f>-'Advertising Adj'!F23</f>
        <v>-1977.2275</v>
      </c>
      <c r="Z105" s="370">
        <f>SUM(I105:Y105)</f>
        <v>-1977.2275</v>
      </c>
      <c r="AA105" s="370">
        <f>+G105+Z105</f>
        <v>250.00250000000005</v>
      </c>
    </row>
    <row r="106" spans="1:29">
      <c r="A106" s="380">
        <v>99</v>
      </c>
      <c r="B106" s="140" t="s">
        <v>246</v>
      </c>
      <c r="C106" s="141" t="s">
        <v>247</v>
      </c>
      <c r="D106" s="548"/>
      <c r="E106" s="556">
        <v>0</v>
      </c>
      <c r="F106" s="548">
        <v>0</v>
      </c>
      <c r="G106" s="557">
        <f>SUM(E106:F106)</f>
        <v>0</v>
      </c>
      <c r="Z106" s="370">
        <f>SUM(I106:Y106)</f>
        <v>0</v>
      </c>
      <c r="AA106" s="370">
        <f>+G106+Z106</f>
        <v>0</v>
      </c>
    </row>
    <row r="107" spans="1:29">
      <c r="A107" s="683">
        <v>100</v>
      </c>
      <c r="B107" s="142" t="s">
        <v>248</v>
      </c>
      <c r="C107" s="139"/>
      <c r="D107" s="551"/>
      <c r="E107" s="564">
        <f t="shared" ref="E107:W107" si="31">SUM(E103:E106)</f>
        <v>1795</v>
      </c>
      <c r="F107" s="551">
        <f t="shared" si="31"/>
        <v>3613.69</v>
      </c>
      <c r="G107" s="241">
        <f t="shared" si="31"/>
        <v>5408.6900000000005</v>
      </c>
      <c r="I107" s="552">
        <f t="shared" si="31"/>
        <v>0</v>
      </c>
      <c r="J107" s="552">
        <f t="shared" si="31"/>
        <v>-1977.2275</v>
      </c>
      <c r="K107" s="241">
        <f>SUM(K103:K106)</f>
        <v>0</v>
      </c>
      <c r="L107" s="552">
        <f t="shared" si="31"/>
        <v>0</v>
      </c>
      <c r="M107" s="552">
        <f t="shared" ref="M107:S107" si="32">SUM(M103:M106)</f>
        <v>0</v>
      </c>
      <c r="N107" s="552">
        <f t="shared" si="32"/>
        <v>0</v>
      </c>
      <c r="O107" s="552">
        <f t="shared" si="32"/>
        <v>0</v>
      </c>
      <c r="P107" s="552">
        <f t="shared" si="32"/>
        <v>0</v>
      </c>
      <c r="Q107" s="552">
        <f t="shared" si="32"/>
        <v>0</v>
      </c>
      <c r="R107" s="552">
        <f t="shared" si="32"/>
        <v>0</v>
      </c>
      <c r="S107" s="552">
        <f t="shared" si="32"/>
        <v>0</v>
      </c>
      <c r="T107" s="552">
        <f t="shared" si="31"/>
        <v>0</v>
      </c>
      <c r="U107" s="552">
        <f t="shared" si="31"/>
        <v>94.855999999999995</v>
      </c>
      <c r="V107" s="552">
        <f>SUM(V103:V106)</f>
        <v>0</v>
      </c>
      <c r="W107" s="553">
        <f t="shared" si="31"/>
        <v>0</v>
      </c>
      <c r="X107" s="241"/>
      <c r="Y107" s="241"/>
      <c r="Z107" s="241">
        <f>SUM(Z103:Z106)</f>
        <v>-1882.3715</v>
      </c>
      <c r="AA107" s="241">
        <f>SUM(AA103:AA106)</f>
        <v>3526.3184999999999</v>
      </c>
      <c r="AC107" s="240">
        <f>AA107-'Exh 6, ROO Summary'!Q23</f>
        <v>0</v>
      </c>
    </row>
    <row r="108" spans="1:29">
      <c r="A108" s="380">
        <v>101</v>
      </c>
      <c r="B108" s="138"/>
      <c r="C108" s="139"/>
      <c r="D108" s="546"/>
      <c r="E108" s="547"/>
      <c r="F108" s="546"/>
      <c r="G108" s="549"/>
    </row>
    <row r="109" spans="1:29">
      <c r="A109" s="683">
        <v>102</v>
      </c>
      <c r="B109" s="142" t="s">
        <v>249</v>
      </c>
      <c r="C109" s="139"/>
      <c r="D109" s="546"/>
      <c r="E109" s="547"/>
      <c r="F109" s="546"/>
      <c r="G109" s="549"/>
    </row>
    <row r="110" spans="1:29">
      <c r="A110" s="380">
        <v>103</v>
      </c>
      <c r="B110" s="140" t="s">
        <v>250</v>
      </c>
      <c r="C110" s="141" t="s">
        <v>251</v>
      </c>
      <c r="D110" s="546"/>
      <c r="E110" s="547">
        <v>0</v>
      </c>
      <c r="F110" s="546">
        <v>6618215.96</v>
      </c>
      <c r="G110" s="549">
        <f t="shared" ref="G110:G120" si="33">SUM(E110:F110)</f>
        <v>6618215.96</v>
      </c>
      <c r="M110" s="357">
        <f>+'Restate &amp; Pro Forma Wage Adjust'!P62</f>
        <v>0</v>
      </c>
      <c r="U110" s="357">
        <f>+'Restate &amp; Pro Forma Wage Adjust'!Q39+'Restate &amp; Pro Forma Wage Adjust'!Q62+'Restate &amp; Pro Forma Wage Adjust'!Q111</f>
        <v>306159.14609149995</v>
      </c>
      <c r="Z110" s="370">
        <f t="shared" ref="Z110:Z120" si="34">SUM(I110:Y110)</f>
        <v>306159.14609149995</v>
      </c>
      <c r="AA110" s="370">
        <f t="shared" ref="AA110:AA120" si="35">+G110+Z110</f>
        <v>6924375.1060915003</v>
      </c>
    </row>
    <row r="111" spans="1:29">
      <c r="A111" s="683">
        <v>104</v>
      </c>
      <c r="B111" s="140" t="s">
        <v>252</v>
      </c>
      <c r="C111" s="141" t="s">
        <v>253</v>
      </c>
      <c r="D111" s="546"/>
      <c r="E111" s="547">
        <v>11772.37</v>
      </c>
      <c r="F111" s="546">
        <v>3386224.98</v>
      </c>
      <c r="G111" s="549">
        <f t="shared" si="33"/>
        <v>3397997.35</v>
      </c>
      <c r="M111" s="357"/>
      <c r="U111" s="357">
        <f>+'Restate &amp; Pro Forma Wage Adjust'!Q40+'Restate &amp; Pro Forma Wage Adjust'!Q63</f>
        <v>24.035974999999997</v>
      </c>
      <c r="Z111" s="370">
        <f t="shared" si="34"/>
        <v>24.035974999999997</v>
      </c>
      <c r="AA111" s="370">
        <f t="shared" si="35"/>
        <v>3398021.385975</v>
      </c>
    </row>
    <row r="112" spans="1:29">
      <c r="A112" s="380">
        <v>105</v>
      </c>
      <c r="B112" s="140" t="s">
        <v>254</v>
      </c>
      <c r="C112" s="141" t="s">
        <v>255</v>
      </c>
      <c r="D112" s="546"/>
      <c r="E112" s="547">
        <v>40984.11000000003</v>
      </c>
      <c r="F112" s="546">
        <v>554640.89</v>
      </c>
      <c r="G112" s="549">
        <f t="shared" si="33"/>
        <v>595625</v>
      </c>
      <c r="Z112" s="370">
        <f t="shared" si="34"/>
        <v>0</v>
      </c>
      <c r="AA112" s="370">
        <f t="shared" si="35"/>
        <v>595625</v>
      </c>
    </row>
    <row r="113" spans="1:29">
      <c r="A113" s="683">
        <v>106</v>
      </c>
      <c r="B113" s="140" t="s">
        <v>256</v>
      </c>
      <c r="C113" s="141" t="s">
        <v>257</v>
      </c>
      <c r="D113" s="546"/>
      <c r="E113" s="556">
        <v>0</v>
      </c>
      <c r="F113" s="546">
        <v>82965.17</v>
      </c>
      <c r="G113" s="549">
        <f t="shared" si="33"/>
        <v>82965.17</v>
      </c>
      <c r="Z113" s="370">
        <f t="shared" si="34"/>
        <v>0</v>
      </c>
      <c r="AA113" s="370">
        <f t="shared" si="35"/>
        <v>82965.17</v>
      </c>
    </row>
    <row r="114" spans="1:29">
      <c r="A114" s="380">
        <v>107</v>
      </c>
      <c r="B114" s="140" t="s">
        <v>258</v>
      </c>
      <c r="C114" s="141" t="s">
        <v>259</v>
      </c>
      <c r="D114" s="546"/>
      <c r="E114" s="547">
        <v>548561.33000000007</v>
      </c>
      <c r="F114" s="546">
        <v>778178.95</v>
      </c>
      <c r="G114" s="549">
        <f t="shared" si="33"/>
        <v>1326740.28</v>
      </c>
      <c r="P114" s="365">
        <f>-'Exh 9, Summary of Adj'!AD17</f>
        <v>-175185.21</v>
      </c>
      <c r="Z114" s="370">
        <f t="shared" si="34"/>
        <v>-175185.21</v>
      </c>
      <c r="AA114" s="370">
        <f t="shared" si="35"/>
        <v>1151555.07</v>
      </c>
    </row>
    <row r="115" spans="1:29">
      <c r="A115" s="683">
        <v>108</v>
      </c>
      <c r="B115" s="140" t="s">
        <v>260</v>
      </c>
      <c r="C115" s="141" t="s">
        <v>261</v>
      </c>
      <c r="D115" s="546"/>
      <c r="E115" s="547">
        <v>2943437.84</v>
      </c>
      <c r="F115" s="546">
        <v>2254570.4900000002</v>
      </c>
      <c r="G115" s="549">
        <f t="shared" si="33"/>
        <v>5198008.33</v>
      </c>
      <c r="M115" s="357">
        <f>+'Restate &amp; Pro Forma Wage Adjust'!P64</f>
        <v>0</v>
      </c>
      <c r="N115" s="365">
        <f>'Executive Incentives'!F42</f>
        <v>-1788652.3900000001</v>
      </c>
      <c r="U115" s="357">
        <f>+'Restate &amp; Pro Forma Wage Adjust'!Q41+'Restate &amp; Pro Forma Wage Adjust'!Q64</f>
        <v>840.52078499999993</v>
      </c>
      <c r="Z115" s="370">
        <f t="shared" si="34"/>
        <v>-1787811.8692150002</v>
      </c>
      <c r="AA115" s="370">
        <f t="shared" si="35"/>
        <v>3410196.4607849997</v>
      </c>
    </row>
    <row r="116" spans="1:29">
      <c r="A116" s="380">
        <v>109</v>
      </c>
      <c r="B116" s="140" t="s">
        <v>262</v>
      </c>
      <c r="C116" s="141" t="s">
        <v>263</v>
      </c>
      <c r="D116" s="548"/>
      <c r="E116" s="556">
        <v>113736.19</v>
      </c>
      <c r="F116" s="546">
        <v>0</v>
      </c>
      <c r="G116" s="557">
        <f t="shared" si="33"/>
        <v>113736.19</v>
      </c>
      <c r="Z116" s="370">
        <f t="shared" si="34"/>
        <v>0</v>
      </c>
      <c r="AA116" s="370">
        <f t="shared" si="35"/>
        <v>113736.19</v>
      </c>
    </row>
    <row r="117" spans="1:29">
      <c r="A117" s="683">
        <v>110</v>
      </c>
      <c r="B117" s="140" t="s">
        <v>264</v>
      </c>
      <c r="C117" s="141" t="s">
        <v>265</v>
      </c>
      <c r="D117" s="548"/>
      <c r="E117" s="547">
        <v>2440</v>
      </c>
      <c r="F117" s="546">
        <v>23295.65</v>
      </c>
      <c r="G117" s="557">
        <f t="shared" si="33"/>
        <v>25735.65</v>
      </c>
      <c r="J117" s="365">
        <f>-'Advertising Adj'!F160</f>
        <v>-25714.466148000007</v>
      </c>
      <c r="Z117" s="370">
        <f t="shared" si="34"/>
        <v>-25714.466148000007</v>
      </c>
      <c r="AA117" s="370">
        <f t="shared" si="35"/>
        <v>21.183851999994658</v>
      </c>
    </row>
    <row r="118" spans="1:29">
      <c r="A118" s="380">
        <v>111</v>
      </c>
      <c r="B118" s="140" t="s">
        <v>266</v>
      </c>
      <c r="C118" s="141" t="s">
        <v>267</v>
      </c>
      <c r="D118" s="546"/>
      <c r="E118" s="556">
        <v>206733.56999999998</v>
      </c>
      <c r="F118" s="546">
        <v>575154.72</v>
      </c>
      <c r="G118" s="549">
        <f t="shared" si="33"/>
        <v>781888.28999999992</v>
      </c>
      <c r="Q118" s="365">
        <v>-41431</v>
      </c>
      <c r="Z118" s="370">
        <f t="shared" si="34"/>
        <v>-41431</v>
      </c>
      <c r="AA118" s="370">
        <f t="shared" si="35"/>
        <v>740457.28999999992</v>
      </c>
    </row>
    <row r="119" spans="1:29">
      <c r="A119" s="683">
        <v>112</v>
      </c>
      <c r="B119" s="140" t="s">
        <v>268</v>
      </c>
      <c r="C119" s="141" t="s">
        <v>198</v>
      </c>
      <c r="D119" s="546"/>
      <c r="E119" s="547">
        <v>0</v>
      </c>
      <c r="F119" s="546">
        <v>1072996.2</v>
      </c>
      <c r="G119" s="549">
        <f t="shared" si="33"/>
        <v>1072996.2</v>
      </c>
      <c r="Z119" s="370">
        <f t="shared" si="34"/>
        <v>0</v>
      </c>
      <c r="AA119" s="370">
        <f t="shared" si="35"/>
        <v>1072996.2</v>
      </c>
    </row>
    <row r="120" spans="1:29">
      <c r="A120" s="380">
        <v>113</v>
      </c>
      <c r="B120" s="140" t="s">
        <v>269</v>
      </c>
      <c r="C120" s="141" t="s">
        <v>270</v>
      </c>
      <c r="D120" s="367"/>
      <c r="E120" s="755">
        <v>42192.83</v>
      </c>
      <c r="F120" s="367">
        <v>4794.2</v>
      </c>
      <c r="G120" s="566">
        <f t="shared" si="33"/>
        <v>46987.03</v>
      </c>
      <c r="M120" s="357">
        <f>+'Restate &amp; Pro Forma Wage Adjust'!P65</f>
        <v>39.050400000000003</v>
      </c>
      <c r="U120" s="357">
        <f>+'Restate &amp; Pro Forma Wage Adjust'!Q65</f>
        <v>77.868312000000003</v>
      </c>
      <c r="Z120" s="370">
        <f t="shared" si="34"/>
        <v>116.918712</v>
      </c>
      <c r="AA120" s="370">
        <f t="shared" si="35"/>
        <v>47103.948711999998</v>
      </c>
    </row>
    <row r="121" spans="1:29">
      <c r="A121" s="683">
        <v>114</v>
      </c>
      <c r="B121" s="138"/>
      <c r="C121" s="139"/>
      <c r="D121" s="546"/>
      <c r="E121" s="547">
        <f t="shared" ref="E121:U121" si="36">SUM(E110:E120)</f>
        <v>3909858.2399999998</v>
      </c>
      <c r="F121" s="546">
        <f t="shared" si="36"/>
        <v>15351037.209999999</v>
      </c>
      <c r="G121" s="549">
        <f t="shared" si="36"/>
        <v>19260895.449999999</v>
      </c>
      <c r="I121" s="549">
        <f t="shared" si="36"/>
        <v>0</v>
      </c>
      <c r="J121" s="549">
        <f t="shared" si="36"/>
        <v>-25714.466148000007</v>
      </c>
      <c r="K121" s="557">
        <f>SUM(K110:K120)</f>
        <v>0</v>
      </c>
      <c r="L121" s="549">
        <f t="shared" si="36"/>
        <v>0</v>
      </c>
      <c r="M121" s="626">
        <f t="shared" ref="M121:S121" si="37">SUM(M110:M120)</f>
        <v>39.050400000000003</v>
      </c>
      <c r="N121" s="549">
        <f t="shared" si="37"/>
        <v>-1788652.3900000001</v>
      </c>
      <c r="O121" s="549">
        <f t="shared" si="37"/>
        <v>0</v>
      </c>
      <c r="P121" s="549">
        <f t="shared" si="37"/>
        <v>-175185.21</v>
      </c>
      <c r="Q121" s="549">
        <f t="shared" si="37"/>
        <v>-41431</v>
      </c>
      <c r="R121" s="549">
        <f t="shared" si="37"/>
        <v>0</v>
      </c>
      <c r="S121" s="549">
        <f t="shared" si="37"/>
        <v>0</v>
      </c>
      <c r="T121" s="549">
        <f t="shared" si="36"/>
        <v>0</v>
      </c>
      <c r="U121" s="549">
        <f t="shared" si="36"/>
        <v>307101.57116349996</v>
      </c>
      <c r="V121" s="549">
        <f>SUM(V110:V120)</f>
        <v>0</v>
      </c>
      <c r="W121" s="565"/>
      <c r="X121" s="549">
        <f>SUM(X110:X120)</f>
        <v>0</v>
      </c>
      <c r="Y121" s="549">
        <f>SUM(Y110:Y120)</f>
        <v>0</v>
      </c>
      <c r="Z121" s="549">
        <f>SUM(Z110:Z120)</f>
        <v>-1723842.4445845003</v>
      </c>
      <c r="AA121" s="549">
        <f>SUM(AA110:AA120)</f>
        <v>17537053.005415499</v>
      </c>
    </row>
    <row r="122" spans="1:29">
      <c r="A122" s="380">
        <v>115</v>
      </c>
      <c r="B122" s="140" t="s">
        <v>271</v>
      </c>
      <c r="C122" s="141" t="s">
        <v>272</v>
      </c>
      <c r="D122" s="546"/>
      <c r="E122" s="547">
        <v>-91985.2</v>
      </c>
      <c r="F122" s="546">
        <v>-218797.07</v>
      </c>
      <c r="G122" s="549">
        <f>SUM(E122:F122)</f>
        <v>-310782.27</v>
      </c>
      <c r="Z122" s="370">
        <f>SUM(I122:Y122)</f>
        <v>0</v>
      </c>
      <c r="AA122" s="370">
        <f>+G122+Z122</f>
        <v>-310782.27</v>
      </c>
    </row>
    <row r="123" spans="1:29">
      <c r="A123" s="683">
        <v>116</v>
      </c>
      <c r="B123" s="142" t="s">
        <v>273</v>
      </c>
      <c r="C123" s="139"/>
      <c r="D123" s="550"/>
      <c r="E123" s="752">
        <f t="shared" ref="E123:U123" si="38">E121+E122</f>
        <v>3817873.0399999996</v>
      </c>
      <c r="F123" s="550">
        <f t="shared" si="38"/>
        <v>15132240.139999999</v>
      </c>
      <c r="G123" s="552">
        <f t="shared" si="38"/>
        <v>18950113.18</v>
      </c>
      <c r="I123" s="552">
        <f t="shared" si="38"/>
        <v>0</v>
      </c>
      <c r="J123" s="552">
        <f t="shared" si="38"/>
        <v>-25714.466148000007</v>
      </c>
      <c r="K123" s="241">
        <f>K121+K122</f>
        <v>0</v>
      </c>
      <c r="L123" s="552">
        <f t="shared" si="38"/>
        <v>0</v>
      </c>
      <c r="M123" s="552">
        <f t="shared" ref="M123:S123" si="39">M121+M122</f>
        <v>39.050400000000003</v>
      </c>
      <c r="N123" s="552">
        <f t="shared" si="39"/>
        <v>-1788652.3900000001</v>
      </c>
      <c r="O123" s="552">
        <f t="shared" si="39"/>
        <v>0</v>
      </c>
      <c r="P123" s="552">
        <f t="shared" si="39"/>
        <v>-175185.21</v>
      </c>
      <c r="Q123" s="552">
        <f t="shared" si="39"/>
        <v>-41431</v>
      </c>
      <c r="R123" s="552">
        <f t="shared" si="39"/>
        <v>0</v>
      </c>
      <c r="S123" s="552">
        <f t="shared" si="39"/>
        <v>0</v>
      </c>
      <c r="T123" s="552">
        <f t="shared" si="38"/>
        <v>0</v>
      </c>
      <c r="U123" s="552">
        <f t="shared" si="38"/>
        <v>307101.57116349996</v>
      </c>
      <c r="V123" s="552">
        <f>V121+V122</f>
        <v>0</v>
      </c>
      <c r="W123" s="553"/>
      <c r="X123" s="552">
        <f>X121+X122</f>
        <v>0</v>
      </c>
      <c r="Y123" s="552">
        <f>Y121+Y122</f>
        <v>0</v>
      </c>
      <c r="Z123" s="552">
        <f>Z121+Z122</f>
        <v>-1723842.4445845003</v>
      </c>
      <c r="AA123" s="552">
        <f>AA121+AA122</f>
        <v>17226270.7354155</v>
      </c>
      <c r="AC123" s="365">
        <f>AA123-'Exh 6, ROO Summary'!Q24</f>
        <v>0</v>
      </c>
    </row>
    <row r="124" spans="1:29">
      <c r="A124" s="380">
        <v>117</v>
      </c>
      <c r="B124" s="138"/>
      <c r="C124" s="139"/>
      <c r="D124" s="546"/>
      <c r="E124" s="547"/>
      <c r="F124" s="546"/>
      <c r="G124" s="549"/>
    </row>
    <row r="125" spans="1:29" ht="16.2" thickBot="1">
      <c r="A125" s="683">
        <v>118</v>
      </c>
      <c r="B125" s="1899" t="s">
        <v>274</v>
      </c>
      <c r="C125" s="1900"/>
      <c r="D125" s="559">
        <f t="shared" ref="D125:AA125" si="40">D85+D93+D100+D107+D123+D57</f>
        <v>0</v>
      </c>
      <c r="E125" s="754">
        <f>E85+E93+E100+E107+E123+E57</f>
        <v>29520155.969999999</v>
      </c>
      <c r="F125" s="559">
        <f t="shared" si="40"/>
        <v>23335393.859999999</v>
      </c>
      <c r="G125" s="560">
        <f t="shared" si="40"/>
        <v>52855549.829999998</v>
      </c>
      <c r="I125" s="560">
        <f>I85+I93+I100+I107+I123+I57</f>
        <v>-11720.593023637799</v>
      </c>
      <c r="J125" s="560">
        <f t="shared" si="40"/>
        <v>-27691.693648000008</v>
      </c>
      <c r="K125" s="560">
        <f t="shared" si="40"/>
        <v>59987.819579751442</v>
      </c>
      <c r="L125" s="560">
        <f t="shared" si="40"/>
        <v>3711.5393129362292</v>
      </c>
      <c r="M125" s="560">
        <f t="shared" si="40"/>
        <v>80563.344599999982</v>
      </c>
      <c r="N125" s="560">
        <f t="shared" si="40"/>
        <v>-1788652.3900000001</v>
      </c>
      <c r="O125" s="560">
        <f>O85+O93+O100+O107+O123+O57</f>
        <v>1633.0575163686162</v>
      </c>
      <c r="P125" s="560">
        <f>P85+P93+P100+P107+P123+P57</f>
        <v>-175185.21</v>
      </c>
      <c r="Q125" s="560">
        <f>Q85+Q93+Q100+Q107+Q123+Q57</f>
        <v>-45825</v>
      </c>
      <c r="R125" s="560">
        <f>R85+R93+R100+R107+R123+R57</f>
        <v>0</v>
      </c>
      <c r="S125" s="560">
        <f>S85+S93+S100+S107+S123+S57</f>
        <v>0</v>
      </c>
      <c r="T125" s="560">
        <f t="shared" si="40"/>
        <v>0</v>
      </c>
      <c r="U125" s="560">
        <f t="shared" si="40"/>
        <v>861894.72276949999</v>
      </c>
      <c r="V125" s="560">
        <f t="shared" si="40"/>
        <v>1.0236975334385894E-12</v>
      </c>
      <c r="W125" s="560">
        <f t="shared" si="40"/>
        <v>800404.5149999999</v>
      </c>
      <c r="X125" s="560">
        <f t="shared" si="40"/>
        <v>0</v>
      </c>
      <c r="Y125" s="560">
        <f t="shared" si="40"/>
        <v>0</v>
      </c>
      <c r="Z125" s="560">
        <f t="shared" si="40"/>
        <v>-240879.88789308188</v>
      </c>
      <c r="AA125" s="560">
        <f t="shared" si="40"/>
        <v>52614669.94210691</v>
      </c>
    </row>
    <row r="126" spans="1:29" ht="16.2" thickTop="1">
      <c r="A126" s="380">
        <v>119</v>
      </c>
      <c r="B126" s="138"/>
      <c r="C126" s="139"/>
      <c r="D126" s="546"/>
      <c r="E126" s="547"/>
      <c r="F126" s="546"/>
      <c r="G126" s="549"/>
    </row>
    <row r="127" spans="1:29">
      <c r="A127" s="683">
        <v>120</v>
      </c>
      <c r="B127" s="142" t="s">
        <v>275</v>
      </c>
      <c r="C127" s="139"/>
      <c r="D127" s="546"/>
      <c r="E127" s="547"/>
      <c r="F127" s="546"/>
      <c r="G127" s="549"/>
    </row>
    <row r="128" spans="1:29">
      <c r="A128" s="380">
        <v>121</v>
      </c>
      <c r="B128" s="140" t="s">
        <v>276</v>
      </c>
      <c r="C128" s="141" t="s">
        <v>277</v>
      </c>
      <c r="D128" s="546"/>
      <c r="E128" s="547">
        <v>0</v>
      </c>
      <c r="F128" s="546">
        <v>24915117.609999999</v>
      </c>
      <c r="G128" s="549">
        <f t="shared" ref="G128:G134" si="41">SUM(E128:F128)</f>
        <v>24915117.609999999</v>
      </c>
      <c r="L128" s="365">
        <f>+'EOP Depreciation Expense Adj'!E58</f>
        <v>1910511.9494739994</v>
      </c>
      <c r="R128" s="365">
        <f>-'R&amp;R Adjustment'!D31</f>
        <v>-459130.68158399995</v>
      </c>
      <c r="V128" s="365">
        <f>+'Pro Forma Plant Additions'!E18</f>
        <v>868217.01335499994</v>
      </c>
      <c r="Z128" s="370">
        <f t="shared" ref="Z128:Z134" si="42">SUM(I128:Y128)</f>
        <v>2319598.2812449997</v>
      </c>
      <c r="AA128" s="370">
        <f t="shared" ref="AA128:AA134" si="43">+G128+Z128</f>
        <v>27234715.891245</v>
      </c>
    </row>
    <row r="129" spans="1:29">
      <c r="A129" s="683">
        <v>122</v>
      </c>
      <c r="B129" s="138"/>
      <c r="C129" s="141" t="s">
        <v>278</v>
      </c>
      <c r="D129" s="548"/>
      <c r="E129" s="547">
        <v>0</v>
      </c>
      <c r="F129" s="546">
        <v>0</v>
      </c>
      <c r="G129" s="557">
        <f t="shared" si="41"/>
        <v>0</v>
      </c>
      <c r="Z129" s="370">
        <f t="shared" si="42"/>
        <v>0</v>
      </c>
      <c r="AA129" s="370">
        <f t="shared" si="43"/>
        <v>0</v>
      </c>
    </row>
    <row r="130" spans="1:29">
      <c r="A130" s="380">
        <v>123</v>
      </c>
      <c r="B130" s="138"/>
      <c r="C130" s="141" t="s">
        <v>279</v>
      </c>
      <c r="D130" s="548"/>
      <c r="E130" s="547">
        <v>0</v>
      </c>
      <c r="F130" s="546">
        <v>0</v>
      </c>
      <c r="G130" s="557">
        <f t="shared" si="41"/>
        <v>0</v>
      </c>
      <c r="Z130" s="370">
        <f t="shared" si="42"/>
        <v>0</v>
      </c>
      <c r="AA130" s="370">
        <f t="shared" si="43"/>
        <v>0</v>
      </c>
    </row>
    <row r="131" spans="1:29">
      <c r="A131" s="683">
        <v>124</v>
      </c>
      <c r="B131" s="138"/>
      <c r="C131" s="141" t="s">
        <v>280</v>
      </c>
      <c r="D131" s="546"/>
      <c r="E131" s="556">
        <v>0</v>
      </c>
      <c r="F131" s="546">
        <v>0</v>
      </c>
      <c r="G131" s="549">
        <f t="shared" si="41"/>
        <v>0</v>
      </c>
      <c r="Z131" s="370">
        <f t="shared" si="42"/>
        <v>0</v>
      </c>
      <c r="AA131" s="370">
        <f t="shared" si="43"/>
        <v>0</v>
      </c>
    </row>
    <row r="132" spans="1:29">
      <c r="A132" s="380">
        <v>125</v>
      </c>
      <c r="B132" s="138"/>
      <c r="C132" s="141" t="s">
        <v>281</v>
      </c>
      <c r="D132" s="548"/>
      <c r="E132" s="547">
        <v>0</v>
      </c>
      <c r="F132" s="546">
        <v>0</v>
      </c>
      <c r="G132" s="557">
        <f t="shared" si="41"/>
        <v>0</v>
      </c>
      <c r="Z132" s="370">
        <f t="shared" si="42"/>
        <v>0</v>
      </c>
      <c r="AA132" s="370">
        <f t="shared" si="43"/>
        <v>0</v>
      </c>
    </row>
    <row r="133" spans="1:29">
      <c r="A133" s="683">
        <v>126</v>
      </c>
      <c r="B133" s="138"/>
      <c r="C133" s="141" t="s">
        <v>282</v>
      </c>
      <c r="D133" s="548"/>
      <c r="E133" s="547">
        <v>0</v>
      </c>
      <c r="F133" s="546">
        <v>0</v>
      </c>
      <c r="G133" s="557">
        <f t="shared" si="41"/>
        <v>0</v>
      </c>
      <c r="Z133" s="370">
        <f t="shared" si="42"/>
        <v>0</v>
      </c>
      <c r="AA133" s="370">
        <f t="shared" si="43"/>
        <v>0</v>
      </c>
    </row>
    <row r="134" spans="1:29">
      <c r="A134" s="380">
        <v>127</v>
      </c>
      <c r="B134" s="140" t="s">
        <v>283</v>
      </c>
      <c r="C134" s="141" t="s">
        <v>284</v>
      </c>
      <c r="D134" s="548"/>
      <c r="E134" s="547">
        <v>0</v>
      </c>
      <c r="F134" s="546">
        <v>0</v>
      </c>
      <c r="G134" s="557">
        <f t="shared" si="41"/>
        <v>0</v>
      </c>
      <c r="Z134" s="370">
        <f t="shared" si="42"/>
        <v>0</v>
      </c>
      <c r="AA134" s="370">
        <f t="shared" si="43"/>
        <v>0</v>
      </c>
    </row>
    <row r="135" spans="1:29">
      <c r="A135" s="683">
        <v>128</v>
      </c>
      <c r="B135" s="142" t="s">
        <v>285</v>
      </c>
      <c r="C135" s="139"/>
      <c r="D135" s="550"/>
      <c r="E135" s="752">
        <f t="shared" ref="E135:W135" si="44">SUM(E128:E134)</f>
        <v>0</v>
      </c>
      <c r="F135" s="550">
        <f t="shared" si="44"/>
        <v>24915117.609999999</v>
      </c>
      <c r="G135" s="552">
        <f t="shared" si="44"/>
        <v>24915117.609999999</v>
      </c>
      <c r="I135" s="552">
        <f>SUM(I128:I134)</f>
        <v>0</v>
      </c>
      <c r="J135" s="552">
        <f t="shared" si="44"/>
        <v>0</v>
      </c>
      <c r="K135" s="241">
        <f>SUM(K128:K134)</f>
        <v>0</v>
      </c>
      <c r="L135" s="552">
        <f t="shared" si="44"/>
        <v>1910511.9494739994</v>
      </c>
      <c r="M135" s="552">
        <f t="shared" ref="M135:S135" si="45">SUM(M128:M134)</f>
        <v>0</v>
      </c>
      <c r="N135" s="552">
        <f t="shared" si="45"/>
        <v>0</v>
      </c>
      <c r="O135" s="552">
        <f t="shared" si="45"/>
        <v>0</v>
      </c>
      <c r="P135" s="552">
        <f t="shared" si="45"/>
        <v>0</v>
      </c>
      <c r="Q135" s="552">
        <f t="shared" si="45"/>
        <v>0</v>
      </c>
      <c r="R135" s="552">
        <f t="shared" si="45"/>
        <v>-459130.68158399995</v>
      </c>
      <c r="S135" s="552">
        <f t="shared" si="45"/>
        <v>0</v>
      </c>
      <c r="T135" s="552">
        <f t="shared" si="44"/>
        <v>0</v>
      </c>
      <c r="U135" s="552">
        <f t="shared" si="44"/>
        <v>0</v>
      </c>
      <c r="V135" s="552">
        <f t="shared" si="44"/>
        <v>868217.01335499994</v>
      </c>
      <c r="W135" s="553">
        <f t="shared" si="44"/>
        <v>0</v>
      </c>
      <c r="X135" s="552">
        <f>SUM(X128:X134)</f>
        <v>0</v>
      </c>
      <c r="Y135" s="552">
        <f>SUM(Y128:Y134)</f>
        <v>0</v>
      </c>
      <c r="Z135" s="552">
        <f>SUM(Z128:Z134)</f>
        <v>2319598.2812449997</v>
      </c>
      <c r="AA135" s="552">
        <f>SUM(AA128:AA134)</f>
        <v>27234715.891245</v>
      </c>
      <c r="AC135" s="365">
        <f>AA135-'Exh 6, ROO Summary'!Q25</f>
        <v>0</v>
      </c>
    </row>
    <row r="136" spans="1:29">
      <c r="A136" s="380">
        <v>129</v>
      </c>
      <c r="B136" s="138"/>
      <c r="C136" s="139"/>
      <c r="D136" s="546"/>
      <c r="E136" s="547"/>
      <c r="F136" s="546"/>
      <c r="G136" s="549"/>
    </row>
    <row r="137" spans="1:29">
      <c r="A137" s="683">
        <v>130</v>
      </c>
      <c r="B137" s="555" t="s">
        <v>286</v>
      </c>
      <c r="C137" s="139" t="s">
        <v>30</v>
      </c>
      <c r="D137" s="548"/>
      <c r="E137" s="556">
        <v>0</v>
      </c>
      <c r="F137" s="548">
        <v>0</v>
      </c>
      <c r="G137" s="557">
        <f>SUM(E137:F137)</f>
        <v>0</v>
      </c>
      <c r="Z137" s="370">
        <f>SUM(I137:Y137)</f>
        <v>0</v>
      </c>
      <c r="AA137" s="370">
        <f>+G137+Z137</f>
        <v>0</v>
      </c>
    </row>
    <row r="138" spans="1:29">
      <c r="A138" s="380">
        <v>131</v>
      </c>
      <c r="B138" s="138"/>
      <c r="C138" s="139"/>
      <c r="D138" s="546"/>
      <c r="E138" s="547"/>
      <c r="F138" s="546"/>
      <c r="G138" s="549"/>
      <c r="Z138" s="370"/>
      <c r="AA138" s="370"/>
    </row>
    <row r="139" spans="1:29">
      <c r="A139" s="683">
        <v>132</v>
      </c>
      <c r="B139" s="142" t="s">
        <v>287</v>
      </c>
      <c r="C139" s="139"/>
      <c r="D139" s="546"/>
      <c r="E139" s="547"/>
      <c r="F139" s="546"/>
      <c r="G139" s="549"/>
    </row>
    <row r="140" spans="1:29">
      <c r="A140" s="380">
        <v>133</v>
      </c>
      <c r="B140" s="140" t="s">
        <v>288</v>
      </c>
      <c r="C140" s="141" t="s">
        <v>289</v>
      </c>
      <c r="D140" s="367"/>
      <c r="E140" s="755">
        <v>3202159.25</v>
      </c>
      <c r="F140" s="367">
        <v>973855.27</v>
      </c>
      <c r="G140" s="566">
        <f>SUM(E140:F140)</f>
        <v>4176014.52</v>
      </c>
      <c r="M140" s="357">
        <f>+'Restate &amp; Pro Forma Wage Adjust'!P17</f>
        <v>6163.0958619000021</v>
      </c>
      <c r="U140" s="365">
        <f>+'Restate &amp; Pro Forma Wage Adjust'!Q17</f>
        <v>50096.159624661734</v>
      </c>
      <c r="V140" s="365">
        <f>+'Pro Forma Plant Additions'!E12</f>
        <v>157360.47984614564</v>
      </c>
      <c r="Z140" s="370">
        <f>SUM(I140:Y140)</f>
        <v>213619.73533270738</v>
      </c>
      <c r="AA140" s="370">
        <f>+G140+Z140</f>
        <v>4389634.2553327074</v>
      </c>
      <c r="AC140" s="370">
        <f>AA140-'Exh 6, ROO Summary'!Q27</f>
        <v>0</v>
      </c>
    </row>
    <row r="141" spans="1:29">
      <c r="A141" s="683">
        <v>134</v>
      </c>
      <c r="B141" s="138"/>
      <c r="C141" s="139"/>
      <c r="D141" s="546"/>
      <c r="E141" s="547"/>
      <c r="F141" s="546"/>
      <c r="G141" s="549"/>
    </row>
    <row r="142" spans="1:29">
      <c r="A142" s="380">
        <v>135</v>
      </c>
      <c r="B142" s="142" t="s">
        <v>290</v>
      </c>
      <c r="C142" s="139"/>
      <c r="D142" s="546"/>
      <c r="E142" s="547"/>
      <c r="F142" s="546"/>
      <c r="G142" s="549"/>
    </row>
    <row r="143" spans="1:29">
      <c r="A143" s="683">
        <v>136</v>
      </c>
      <c r="B143" s="140" t="s">
        <v>291</v>
      </c>
      <c r="C143" s="141" t="s">
        <v>292</v>
      </c>
      <c r="D143" s="548"/>
      <c r="E143" s="556">
        <v>-10887316.07</v>
      </c>
      <c r="F143" s="548">
        <v>0</v>
      </c>
      <c r="G143" s="557">
        <f>+E143</f>
        <v>-10887316.07</v>
      </c>
      <c r="I143" s="365">
        <f>(+I54-SUM(I125,I135,I140))*'Exh 8, Conversion Factor'!$C$33</f>
        <v>-585016.33393903612</v>
      </c>
      <c r="J143" s="365">
        <f>(+J54-SUM(J125,J135,J140))*'Exh 8, Conversion Factor'!$C$33</f>
        <v>5815.255666080001</v>
      </c>
      <c r="K143" s="365">
        <f>(+K54-SUM(K125,K135,K140))*'Exh 8, Conversion Factor'!$C$33</f>
        <v>2994204.663600733</v>
      </c>
      <c r="L143" s="365">
        <f>(+L54-SUM(L125,L135,L140))*'Exh 8, Conversion Factor'!$C$33</f>
        <v>-215951.4291088309</v>
      </c>
      <c r="M143" s="365">
        <f>(+M54-SUM(M125,M135,M140))*'Exh 8, Conversion Factor'!$C$33</f>
        <v>-18212.552496998997</v>
      </c>
      <c r="N143" s="365">
        <f>(+N54-SUM(N125,N135,N140))*'Exh 8, Conversion Factor'!$C$33</f>
        <v>375617.00190000003</v>
      </c>
      <c r="O143" s="365">
        <f>(+O54-SUM(O125,O135,O140))*'Exh 8, Conversion Factor'!$C$33</f>
        <v>81511.687967562582</v>
      </c>
      <c r="P143" s="365">
        <f>(+P54-SUM(P125,P135,P140))*'Exh 8, Conversion Factor'!$C$33</f>
        <v>36788.894099999998</v>
      </c>
      <c r="Q143" s="365">
        <f>(+Q54-SUM(Q125,Q135,Q140))*'Exh 8, Conversion Factor'!$C$33</f>
        <v>9623.25</v>
      </c>
      <c r="R143" s="365">
        <f>(+R54-SUM(R125,R135,R140))*'Exh 8, Conversion Factor'!$C$33</f>
        <v>96417.443132639979</v>
      </c>
      <c r="S143" s="365">
        <f>(+S54-SUM(S125,S135,S140))*'Exh 8, Conversion Factor'!$C$33</f>
        <v>0</v>
      </c>
      <c r="T143" s="365">
        <f>+'Interest Coord. Adj.'!H16</f>
        <v>360262.11107983382</v>
      </c>
      <c r="U143" s="365">
        <f>(+U54-SUM(U125,U135,U140))*'Exh 8, Conversion Factor'!$C$33</f>
        <v>-191518.08530277398</v>
      </c>
      <c r="V143" s="365">
        <f>(+V54-SUM(V125,V135,V140))*'Exh 8, Conversion Factor'!$C$33</f>
        <v>-215371.27357224052</v>
      </c>
      <c r="W143" s="365">
        <f>(+W54-SUM(W125,W135,W140))*'Exh 8, Conversion Factor'!$C$33</f>
        <v>-168084.94814999998</v>
      </c>
      <c r="X143" s="571"/>
      <c r="Z143" s="370">
        <f t="shared" ref="Z143:Z148" si="46">SUM(I143:Y143)</f>
        <v>2566085.6848769691</v>
      </c>
      <c r="AA143" s="370">
        <f t="shared" ref="AA143:AA148" si="47">+G143+Z143</f>
        <v>-8321230.3851230312</v>
      </c>
    </row>
    <row r="144" spans="1:29">
      <c r="A144" s="380">
        <v>137</v>
      </c>
      <c r="B144" s="140" t="s">
        <v>291</v>
      </c>
      <c r="C144" s="141" t="s">
        <v>293</v>
      </c>
      <c r="D144" s="548"/>
      <c r="E144" s="556">
        <v>0</v>
      </c>
      <c r="F144" s="548">
        <v>0</v>
      </c>
      <c r="G144" s="557">
        <f>SUM(E144:F144)</f>
        <v>0</v>
      </c>
      <c r="Z144" s="370">
        <f t="shared" si="46"/>
        <v>0</v>
      </c>
      <c r="AA144" s="370">
        <f t="shared" si="47"/>
        <v>0</v>
      </c>
    </row>
    <row r="145" spans="1:30">
      <c r="A145" s="683">
        <v>138</v>
      </c>
      <c r="B145" s="140" t="s">
        <v>294</v>
      </c>
      <c r="C145" s="141" t="s">
        <v>295</v>
      </c>
      <c r="D145" s="548"/>
      <c r="E145" s="556">
        <v>32227813.57</v>
      </c>
      <c r="F145" s="548">
        <v>0</v>
      </c>
      <c r="G145" s="557">
        <f>SUM(E145:F145)</f>
        <v>32227813.57</v>
      </c>
      <c r="Z145" s="370">
        <f t="shared" si="46"/>
        <v>0</v>
      </c>
      <c r="AA145" s="370">
        <f t="shared" si="47"/>
        <v>32227813.57</v>
      </c>
    </row>
    <row r="146" spans="1:30">
      <c r="A146" s="380">
        <v>139</v>
      </c>
      <c r="B146" s="140" t="s">
        <v>294</v>
      </c>
      <c r="C146" s="141" t="s">
        <v>296</v>
      </c>
      <c r="D146" s="548"/>
      <c r="E146" s="556">
        <v>0</v>
      </c>
      <c r="F146" s="548">
        <v>0</v>
      </c>
      <c r="G146" s="557">
        <f>SUM(E146:F146)</f>
        <v>0</v>
      </c>
      <c r="Z146" s="370">
        <f t="shared" si="46"/>
        <v>0</v>
      </c>
      <c r="AA146" s="370">
        <f t="shared" si="47"/>
        <v>0</v>
      </c>
    </row>
    <row r="147" spans="1:30">
      <c r="A147" s="683">
        <v>140</v>
      </c>
      <c r="B147" s="140" t="s">
        <v>297</v>
      </c>
      <c r="C147" s="141" t="s">
        <v>298</v>
      </c>
      <c r="D147" s="548"/>
      <c r="E147" s="556">
        <v>-22532955.920000002</v>
      </c>
      <c r="F147" s="548">
        <v>0</v>
      </c>
      <c r="G147" s="557">
        <f>SUM(E147:F147)</f>
        <v>-22532955.920000002</v>
      </c>
      <c r="Z147" s="370">
        <f t="shared" si="46"/>
        <v>0</v>
      </c>
      <c r="AA147" s="370">
        <f t="shared" si="47"/>
        <v>-22532955.920000002</v>
      </c>
    </row>
    <row r="148" spans="1:30">
      <c r="A148" s="380">
        <v>141</v>
      </c>
      <c r="B148" s="140" t="s">
        <v>299</v>
      </c>
      <c r="C148" s="141" t="s">
        <v>300</v>
      </c>
      <c r="D148" s="546"/>
      <c r="E148" s="556">
        <v>0</v>
      </c>
      <c r="F148" s="548">
        <v>-31741.09</v>
      </c>
      <c r="G148" s="557">
        <f>SUM(E148:F148)</f>
        <v>-31741.09</v>
      </c>
      <c r="Z148" s="370">
        <f t="shared" si="46"/>
        <v>0</v>
      </c>
      <c r="AA148" s="370">
        <f t="shared" si="47"/>
        <v>-31741.09</v>
      </c>
    </row>
    <row r="149" spans="1:30">
      <c r="A149" s="683">
        <v>142</v>
      </c>
      <c r="B149" s="142" t="s">
        <v>301</v>
      </c>
      <c r="C149" s="139"/>
      <c r="D149" s="550"/>
      <c r="E149" s="752">
        <f>SUM(E143:E148)</f>
        <v>-1192458.4200000018</v>
      </c>
      <c r="F149" s="550">
        <f>SUM(F143:F148)</f>
        <v>-31741.09</v>
      </c>
      <c r="G149" s="552">
        <f>SUM(G143:G148)</f>
        <v>-1224199.5100000019</v>
      </c>
      <c r="I149" s="552">
        <f t="shared" ref="I149:V149" si="48">SUM(I143:I148)</f>
        <v>-585016.33393903612</v>
      </c>
      <c r="J149" s="552">
        <f t="shared" si="48"/>
        <v>5815.255666080001</v>
      </c>
      <c r="K149" s="552">
        <f t="shared" si="48"/>
        <v>2994204.663600733</v>
      </c>
      <c r="L149" s="552">
        <f t="shared" si="48"/>
        <v>-215951.4291088309</v>
      </c>
      <c r="M149" s="552">
        <f t="shared" si="48"/>
        <v>-18212.552496998997</v>
      </c>
      <c r="N149" s="552">
        <f t="shared" si="48"/>
        <v>375617.00190000003</v>
      </c>
      <c r="O149" s="552">
        <f>SUM(O143:O148)</f>
        <v>81511.687967562582</v>
      </c>
      <c r="P149" s="552">
        <f>SUM(P143:P148)</f>
        <v>36788.894099999998</v>
      </c>
      <c r="Q149" s="552">
        <f>SUM(Q143:Q148)</f>
        <v>9623.25</v>
      </c>
      <c r="R149" s="552">
        <f>SUM(R143:R148)</f>
        <v>96417.443132639979</v>
      </c>
      <c r="S149" s="552">
        <f>SUM(S143:S148)</f>
        <v>0</v>
      </c>
      <c r="T149" s="552">
        <f t="shared" si="48"/>
        <v>360262.11107983382</v>
      </c>
      <c r="U149" s="552">
        <f>SUM(U143:U148)</f>
        <v>-191518.08530277398</v>
      </c>
      <c r="V149" s="552">
        <f t="shared" si="48"/>
        <v>-215371.27357224052</v>
      </c>
      <c r="W149" s="552">
        <f>SUM(W143:W148)</f>
        <v>-168084.94814999998</v>
      </c>
      <c r="X149" s="552">
        <f>SUM(X143:X148)</f>
        <v>0</v>
      </c>
      <c r="Y149" s="552">
        <f>SUM(Y143:Y148)</f>
        <v>0</v>
      </c>
      <c r="Z149" s="552">
        <f>SUM(Z143:Z148)</f>
        <v>2566085.6848769691</v>
      </c>
      <c r="AA149" s="552">
        <f>SUM(AA143:AA148)</f>
        <v>1341886.1748769691</v>
      </c>
      <c r="AC149" s="365">
        <f>AA149-'Exh 6, ROO Summary'!Q28</f>
        <v>1.862645149230957E-9</v>
      </c>
    </row>
    <row r="150" spans="1:30">
      <c r="A150" s="380">
        <v>143</v>
      </c>
      <c r="B150" s="142" t="s">
        <v>302</v>
      </c>
      <c r="C150" s="139"/>
      <c r="D150" s="546"/>
      <c r="E150" s="549">
        <f>E125+E135+E137+E140+E149</f>
        <v>31529856.799999997</v>
      </c>
      <c r="F150" s="549">
        <f>F125+F135+F137+F140+F149</f>
        <v>49192625.649999999</v>
      </c>
      <c r="G150" s="549">
        <f>G125+G135+G137+G140+G149</f>
        <v>80722482.449999988</v>
      </c>
      <c r="I150" s="549">
        <f t="shared" ref="I150:W150" si="49">I85+I93+I100+I107+I123+I135+I137+I140+I149+I57+I53+I37+I51</f>
        <v>-714879.26756267389</v>
      </c>
      <c r="J150" s="549">
        <f t="shared" si="49"/>
        <v>-21876.437981920008</v>
      </c>
      <c r="K150" s="549">
        <f t="shared" si="49"/>
        <v>3658863.3729852284</v>
      </c>
      <c r="L150" s="549">
        <f t="shared" si="49"/>
        <v>1735683.9842091303</v>
      </c>
      <c r="M150" s="549">
        <f t="shared" si="49"/>
        <v>68513.88796490099</v>
      </c>
      <c r="N150" s="549">
        <f t="shared" si="49"/>
        <v>-1413035.3881000001</v>
      </c>
      <c r="O150" s="549">
        <f t="shared" si="49"/>
        <v>99605.792883931194</v>
      </c>
      <c r="P150" s="549">
        <f t="shared" si="49"/>
        <v>-138396.31589999999</v>
      </c>
      <c r="Q150" s="549">
        <f t="shared" si="49"/>
        <v>-36201.75</v>
      </c>
      <c r="R150" s="549">
        <f t="shared" si="49"/>
        <v>-362713.23845135997</v>
      </c>
      <c r="S150" s="549">
        <f t="shared" si="49"/>
        <v>0</v>
      </c>
      <c r="T150" s="549">
        <f t="shared" si="49"/>
        <v>360262.11107983382</v>
      </c>
      <c r="U150" s="626">
        <f>U85+U93+U100+U107+U123+U135+U137+U140+U149+U57+U53+U37+U51</f>
        <v>720472.79709138779</v>
      </c>
      <c r="V150" s="549">
        <f t="shared" si="49"/>
        <v>810206.21962890506</v>
      </c>
      <c r="W150" s="549">
        <f t="shared" si="49"/>
        <v>632319.56684999994</v>
      </c>
      <c r="X150" s="549"/>
      <c r="Y150" s="549"/>
      <c r="Z150" s="549">
        <f>Z85+Z93+Z100+Z107+Z123+Z135+Z137+Z140+Z149+Z57+Z53+Z37+Z51</f>
        <v>5398825.3346973639</v>
      </c>
      <c r="AA150" s="549">
        <f>AA85+AA93+AA100+AA107+AA123+AA135+AA137+AA140+AA149+AA57+AA53+AA37+AA51</f>
        <v>231919429.89469737</v>
      </c>
      <c r="AC150" s="365">
        <f>Z150-'Exh 6, ROO Summary'!N29</f>
        <v>-783298.73293799162</v>
      </c>
      <c r="AD150" s="365">
        <f>AA150-'Exh 6, ROO Summary'!Q29</f>
        <v>0</v>
      </c>
    </row>
    <row r="151" spans="1:30" ht="16.2" thickBot="1">
      <c r="A151" s="683">
        <v>144</v>
      </c>
      <c r="B151" s="142" t="s">
        <v>303</v>
      </c>
      <c r="C151" s="139"/>
      <c r="D151" s="572">
        <f>D54-D150</f>
        <v>0</v>
      </c>
      <c r="E151" s="627">
        <f>+E54-E150</f>
        <v>69868896.579999968</v>
      </c>
      <c r="F151" s="627">
        <f>+F54-F150</f>
        <v>-49064511.710000001</v>
      </c>
      <c r="G151" s="627">
        <f>+G54-G150</f>
        <v>20804384.869999975</v>
      </c>
      <c r="I151" s="627">
        <f t="shared" ref="I151:W151" si="50">I28-I150</f>
        <v>-2200775.7324373261</v>
      </c>
      <c r="J151" s="627">
        <f t="shared" si="50"/>
        <v>21876.437981920008</v>
      </c>
      <c r="K151" s="627">
        <f t="shared" si="50"/>
        <v>11263912.782117045</v>
      </c>
      <c r="L151" s="627">
        <f t="shared" si="50"/>
        <v>-812388.70950464963</v>
      </c>
      <c r="M151" s="627">
        <f t="shared" si="50"/>
        <v>-68513.88796490099</v>
      </c>
      <c r="N151" s="627">
        <f t="shared" si="50"/>
        <v>1413035.3881000001</v>
      </c>
      <c r="O151" s="627">
        <f t="shared" si="50"/>
        <v>306639.20711606881</v>
      </c>
      <c r="P151" s="627">
        <f t="shared" si="50"/>
        <v>138396.31589999999</v>
      </c>
      <c r="Q151" s="627">
        <f t="shared" si="50"/>
        <v>36201.75</v>
      </c>
      <c r="R151" s="627">
        <f t="shared" si="50"/>
        <v>362713.23845135997</v>
      </c>
      <c r="S151" s="627">
        <f t="shared" si="50"/>
        <v>0</v>
      </c>
      <c r="T151" s="627">
        <f t="shared" si="50"/>
        <v>-360262.11107983382</v>
      </c>
      <c r="U151" s="627">
        <f>U28-U150</f>
        <v>-720472.79709138779</v>
      </c>
      <c r="V151" s="627">
        <f t="shared" si="50"/>
        <v>-810206.21962890483</v>
      </c>
      <c r="W151" s="627">
        <f t="shared" si="50"/>
        <v>-632319.56684999994</v>
      </c>
      <c r="X151" s="573">
        <f>X54-X150</f>
        <v>0</v>
      </c>
      <c r="Y151" s="573">
        <f>Y54-Y150</f>
        <v>0</v>
      </c>
      <c r="Z151" s="627">
        <f>Z28-Z150</f>
        <v>7937836.0951093901</v>
      </c>
      <c r="AA151" s="627">
        <f>AA28-AA150</f>
        <v>28742220.965109378</v>
      </c>
      <c r="AC151" s="365">
        <f>Z151-'Exh 6, ROO Summary'!N30</f>
        <v>-802815.99235752784</v>
      </c>
      <c r="AD151" s="365">
        <f>AA151-'Exh 6, ROO Summary'!Q30</f>
        <v>0</v>
      </c>
    </row>
    <row r="152" spans="1:30" ht="16.2" thickTop="1">
      <c r="A152" s="380">
        <v>145</v>
      </c>
      <c r="B152" s="138"/>
      <c r="C152" s="139"/>
      <c r="D152" s="546"/>
      <c r="E152" s="547"/>
      <c r="F152" s="546"/>
      <c r="G152" s="549"/>
      <c r="AA152" s="574"/>
    </row>
    <row r="153" spans="1:30">
      <c r="A153" s="683">
        <v>146</v>
      </c>
      <c r="B153" s="142" t="s">
        <v>304</v>
      </c>
      <c r="C153" s="139"/>
      <c r="D153" s="546"/>
      <c r="E153" s="547"/>
      <c r="F153" s="546"/>
      <c r="G153" s="549"/>
      <c r="K153" s="365"/>
      <c r="W153" s="365"/>
    </row>
    <row r="154" spans="1:30">
      <c r="A154" s="380">
        <v>147</v>
      </c>
      <c r="B154" s="140" t="s">
        <v>72</v>
      </c>
      <c r="C154" s="141" t="s">
        <v>305</v>
      </c>
      <c r="D154" s="546"/>
      <c r="E154" s="556">
        <v>0</v>
      </c>
      <c r="F154" s="546">
        <v>10728252.16</v>
      </c>
      <c r="G154" s="549">
        <f t="shared" ref="G154:G159" si="51">SUM(E154:F154)</f>
        <v>10728252.16</v>
      </c>
    </row>
    <row r="155" spans="1:30">
      <c r="A155" s="683">
        <v>148</v>
      </c>
      <c r="B155" s="140" t="s">
        <v>73</v>
      </c>
      <c r="C155" s="141" t="s">
        <v>74</v>
      </c>
      <c r="D155" s="546"/>
      <c r="E155" s="556">
        <v>0</v>
      </c>
      <c r="F155" s="546">
        <v>163903.29</v>
      </c>
      <c r="G155" s="549">
        <f t="shared" si="51"/>
        <v>163903.29</v>
      </c>
    </row>
    <row r="156" spans="1:30">
      <c r="A156" s="380">
        <v>149</v>
      </c>
      <c r="B156" s="140" t="s">
        <v>75</v>
      </c>
      <c r="C156" s="141" t="s">
        <v>76</v>
      </c>
      <c r="D156" s="546"/>
      <c r="E156" s="556">
        <v>0</v>
      </c>
      <c r="F156" s="546">
        <v>30949.200000000001</v>
      </c>
      <c r="G156" s="549">
        <f t="shared" si="51"/>
        <v>30949.200000000001</v>
      </c>
    </row>
    <row r="157" spans="1:30">
      <c r="A157" s="683">
        <v>150</v>
      </c>
      <c r="B157" s="140" t="s">
        <v>306</v>
      </c>
      <c r="C157" s="141" t="s">
        <v>307</v>
      </c>
      <c r="D157" s="546"/>
      <c r="E157" s="547">
        <v>16599.79</v>
      </c>
      <c r="F157" s="548">
        <v>27556.980000000003</v>
      </c>
      <c r="G157" s="549">
        <f t="shared" si="51"/>
        <v>44156.770000000004</v>
      </c>
    </row>
    <row r="158" spans="1:30">
      <c r="A158" s="380">
        <v>151</v>
      </c>
      <c r="B158" s="140" t="s">
        <v>308</v>
      </c>
      <c r="C158" s="141" t="s">
        <v>309</v>
      </c>
      <c r="D158" s="546"/>
      <c r="E158" s="556">
        <v>0</v>
      </c>
      <c r="F158" s="546">
        <v>916125.99</v>
      </c>
      <c r="G158" s="549">
        <f t="shared" si="51"/>
        <v>916125.99</v>
      </c>
    </row>
    <row r="159" spans="1:30">
      <c r="A159" s="683">
        <v>152</v>
      </c>
      <c r="B159" s="140" t="s">
        <v>310</v>
      </c>
      <c r="C159" s="141" t="s">
        <v>311</v>
      </c>
      <c r="D159" s="546"/>
      <c r="E159" s="547">
        <v>-556211.24</v>
      </c>
      <c r="F159" s="548">
        <v>-50804.21</v>
      </c>
      <c r="G159" s="549">
        <f t="shared" si="51"/>
        <v>-607015.44999999995</v>
      </c>
    </row>
    <row r="160" spans="1:30">
      <c r="A160" s="380">
        <v>153</v>
      </c>
      <c r="B160" s="142" t="s">
        <v>312</v>
      </c>
      <c r="C160" s="139"/>
      <c r="D160" s="550"/>
      <c r="E160" s="752">
        <f>SUM(E154:E159)</f>
        <v>-539611.44999999995</v>
      </c>
      <c r="F160" s="550">
        <f>SUM(F154:F159)</f>
        <v>11815983.409999998</v>
      </c>
      <c r="G160" s="552">
        <f>SUM(G154:G159)</f>
        <v>11276371.959999999</v>
      </c>
    </row>
    <row r="161" spans="1:27">
      <c r="A161" s="683">
        <v>154</v>
      </c>
      <c r="B161" s="138"/>
      <c r="C161" s="139"/>
      <c r="D161" s="546"/>
      <c r="E161" s="547"/>
      <c r="F161" s="546"/>
      <c r="G161" s="549"/>
      <c r="I161" s="365">
        <f>I151-'Exh 9, Summary of Adj'!G31</f>
        <v>0</v>
      </c>
      <c r="J161" s="365">
        <f>J151-'Exh 9, Summary of Adj'!H31</f>
        <v>0</v>
      </c>
      <c r="K161" s="365">
        <f>K151-'Exh 9, Summary of Adj'!X31</f>
        <v>0</v>
      </c>
      <c r="L161" s="365">
        <f>L151-'Exh 9, Summary of Adj'!I31</f>
        <v>0</v>
      </c>
      <c r="M161" s="365">
        <f>M151-'Exh 9, Summary of Adj'!J31</f>
        <v>0</v>
      </c>
      <c r="N161" s="365">
        <f>N151-'Exh 9, Summary of Adj'!K31</f>
        <v>0</v>
      </c>
      <c r="O161" s="365">
        <f>O151-'Exh 9, Summary of Adj'!L31</f>
        <v>0</v>
      </c>
      <c r="P161" s="365">
        <f>P151-'Exh 9, Summary of Adj'!M31</f>
        <v>0</v>
      </c>
      <c r="Q161" s="365">
        <f>Q151-'Exh 9, Summary of Adj'!N31</f>
        <v>0</v>
      </c>
      <c r="R161" s="365">
        <f>R151-'Exh 9, Summary of Adj'!O31</f>
        <v>0</v>
      </c>
      <c r="S161" s="365">
        <f>S151-'Exh 9, Summary of Adj'!P31</f>
        <v>0</v>
      </c>
      <c r="T161" s="365">
        <f>T151-'Exh 9, Summary of Adj'!T31</f>
        <v>0</v>
      </c>
      <c r="U161" s="365">
        <f>U151-'Exh 9, Summary of Adj'!U31</f>
        <v>0</v>
      </c>
      <c r="V161" s="365">
        <f>V151-'Exh 9, Summary of Adj'!V31</f>
        <v>0</v>
      </c>
      <c r="W161" s="365">
        <f>W151-'Exh 9, Summary of Adj'!W31</f>
        <v>0</v>
      </c>
      <c r="Z161" s="365">
        <f>Z151-'Exh 9, Summary of Adj'!AA31</f>
        <v>-802815.99235752784</v>
      </c>
      <c r="AA161" s="14" t="s">
        <v>2437</v>
      </c>
    </row>
    <row r="162" spans="1:27">
      <c r="A162" s="380">
        <v>155</v>
      </c>
      <c r="B162" s="142" t="s">
        <v>313</v>
      </c>
      <c r="C162" s="139"/>
      <c r="D162" s="546"/>
      <c r="E162" s="547"/>
      <c r="F162" s="546"/>
      <c r="G162" s="549"/>
    </row>
    <row r="163" spans="1:27">
      <c r="A163" s="683">
        <v>156</v>
      </c>
      <c r="B163" s="140" t="s">
        <v>314</v>
      </c>
      <c r="C163" s="141" t="s">
        <v>315</v>
      </c>
      <c r="D163" s="548"/>
      <c r="E163" s="556">
        <v>0</v>
      </c>
      <c r="F163" s="548">
        <v>0</v>
      </c>
      <c r="G163" s="557">
        <f t="shared" ref="G163:G172" si="52">SUM(E163:F163)</f>
        <v>0</v>
      </c>
    </row>
    <row r="164" spans="1:27">
      <c r="A164" s="380">
        <v>157</v>
      </c>
      <c r="B164" s="140" t="s">
        <v>316</v>
      </c>
      <c r="C164" s="141" t="s">
        <v>317</v>
      </c>
      <c r="D164" s="548"/>
      <c r="E164" s="556">
        <v>0</v>
      </c>
      <c r="F164" s="548">
        <v>0</v>
      </c>
      <c r="G164" s="557">
        <f t="shared" si="52"/>
        <v>0</v>
      </c>
    </row>
    <row r="165" spans="1:27">
      <c r="A165" s="683">
        <v>158</v>
      </c>
      <c r="B165" s="140" t="s">
        <v>318</v>
      </c>
      <c r="C165" s="141" t="s">
        <v>319</v>
      </c>
      <c r="D165" s="546"/>
      <c r="E165" s="556">
        <v>0</v>
      </c>
      <c r="F165" s="548">
        <v>6144.23</v>
      </c>
      <c r="G165" s="549">
        <f t="shared" si="52"/>
        <v>6144.23</v>
      </c>
    </row>
    <row r="166" spans="1:27">
      <c r="A166" s="380">
        <v>159</v>
      </c>
      <c r="B166" s="140" t="s">
        <v>320</v>
      </c>
      <c r="C166" s="141" t="s">
        <v>321</v>
      </c>
      <c r="D166" s="548"/>
      <c r="E166" s="556">
        <v>0</v>
      </c>
      <c r="F166" s="548">
        <v>0</v>
      </c>
      <c r="G166" s="557">
        <f t="shared" si="52"/>
        <v>0</v>
      </c>
    </row>
    <row r="167" spans="1:27">
      <c r="A167" s="683">
        <v>160</v>
      </c>
      <c r="B167" s="140" t="s">
        <v>322</v>
      </c>
      <c r="C167" s="141" t="s">
        <v>323</v>
      </c>
      <c r="D167" s="548"/>
      <c r="E167" s="556">
        <v>0</v>
      </c>
      <c r="F167" s="548">
        <v>0</v>
      </c>
      <c r="G167" s="557">
        <f t="shared" si="52"/>
        <v>0</v>
      </c>
    </row>
    <row r="168" spans="1:27">
      <c r="A168" s="380">
        <v>161</v>
      </c>
      <c r="B168" s="140" t="s">
        <v>324</v>
      </c>
      <c r="C168" s="141" t="s">
        <v>325</v>
      </c>
      <c r="D168" s="546"/>
      <c r="E168" s="556">
        <v>4632392.6399999997</v>
      </c>
      <c r="F168" s="548">
        <v>38052.92</v>
      </c>
      <c r="G168" s="549">
        <f t="shared" si="52"/>
        <v>4670445.5599999996</v>
      </c>
    </row>
    <row r="169" spans="1:27">
      <c r="A169" s="683">
        <v>162</v>
      </c>
      <c r="B169" s="140" t="s">
        <v>326</v>
      </c>
      <c r="C169" s="141" t="s">
        <v>327</v>
      </c>
      <c r="D169" s="548"/>
      <c r="E169" s="556">
        <v>-88.059999999997672</v>
      </c>
      <c r="F169" s="548">
        <v>0</v>
      </c>
      <c r="G169" s="557">
        <f t="shared" si="52"/>
        <v>-88.059999999997672</v>
      </c>
    </row>
    <row r="170" spans="1:27">
      <c r="A170" s="380">
        <v>163</v>
      </c>
      <c r="B170" s="575">
        <v>408.2</v>
      </c>
      <c r="C170" s="141" t="s">
        <v>328</v>
      </c>
      <c r="D170" s="548"/>
      <c r="E170" s="556">
        <v>-1072.1199999999999</v>
      </c>
      <c r="F170" s="548">
        <v>0</v>
      </c>
      <c r="G170" s="557">
        <f t="shared" si="52"/>
        <v>-1072.1199999999999</v>
      </c>
    </row>
    <row r="171" spans="1:27">
      <c r="A171" s="683">
        <v>164</v>
      </c>
      <c r="B171" s="140" t="s">
        <v>329</v>
      </c>
      <c r="C171" s="141" t="s">
        <v>330</v>
      </c>
      <c r="D171" s="546"/>
      <c r="E171" s="556">
        <v>0</v>
      </c>
      <c r="F171" s="548">
        <v>3558.630000000001</v>
      </c>
      <c r="G171" s="549">
        <f t="shared" si="52"/>
        <v>3558.630000000001</v>
      </c>
    </row>
    <row r="172" spans="1:27">
      <c r="A172" s="380">
        <v>165</v>
      </c>
      <c r="B172" s="140" t="s">
        <v>331</v>
      </c>
      <c r="C172" s="141" t="s">
        <v>531</v>
      </c>
      <c r="D172" s="546"/>
      <c r="E172" s="556">
        <v>0</v>
      </c>
      <c r="F172" s="548">
        <v>934.33</v>
      </c>
      <c r="G172" s="549">
        <f t="shared" si="52"/>
        <v>934.33</v>
      </c>
    </row>
    <row r="173" spans="1:27">
      <c r="A173" s="683">
        <v>166</v>
      </c>
      <c r="B173" s="142" t="s">
        <v>332</v>
      </c>
      <c r="C173" s="139"/>
      <c r="D173" s="550"/>
      <c r="E173" s="752">
        <f>SUM(E163:E172)</f>
        <v>4631232.46</v>
      </c>
      <c r="F173" s="550">
        <f>SUM(F163:F172)</f>
        <v>48690.11</v>
      </c>
      <c r="G173" s="552">
        <f>SUM(G163:G172)</f>
        <v>4679922.57</v>
      </c>
    </row>
    <row r="174" spans="1:27">
      <c r="A174" s="380">
        <v>167</v>
      </c>
      <c r="B174" s="138"/>
      <c r="C174" s="139"/>
      <c r="D174" s="546"/>
      <c r="E174" s="547"/>
      <c r="F174" s="546"/>
      <c r="G174" s="549"/>
    </row>
    <row r="175" spans="1:27">
      <c r="A175" s="683">
        <v>168</v>
      </c>
      <c r="B175" s="142" t="s">
        <v>333</v>
      </c>
      <c r="C175" s="139"/>
      <c r="D175" s="546"/>
      <c r="E175" s="547"/>
      <c r="F175" s="546"/>
      <c r="G175" s="549"/>
    </row>
    <row r="176" spans="1:27">
      <c r="A176" s="380">
        <v>169</v>
      </c>
      <c r="B176" s="140" t="s">
        <v>334</v>
      </c>
      <c r="C176" s="141" t="s">
        <v>335</v>
      </c>
      <c r="D176" s="546"/>
      <c r="E176" s="547">
        <v>616283.49</v>
      </c>
      <c r="F176" s="546">
        <v>0</v>
      </c>
      <c r="G176" s="549">
        <f t="shared" ref="G176:G185" si="53">SUM(E176:F176)</f>
        <v>616283.49</v>
      </c>
    </row>
    <row r="177" spans="1:7">
      <c r="A177" s="683">
        <v>170</v>
      </c>
      <c r="B177" s="140" t="s">
        <v>334</v>
      </c>
      <c r="C177" s="141" t="s">
        <v>336</v>
      </c>
      <c r="D177" s="548"/>
      <c r="E177" s="556">
        <v>0</v>
      </c>
      <c r="F177" s="546">
        <v>0</v>
      </c>
      <c r="G177" s="557">
        <f t="shared" si="53"/>
        <v>0</v>
      </c>
    </row>
    <row r="178" spans="1:7">
      <c r="A178" s="380">
        <v>171</v>
      </c>
      <c r="B178" s="140" t="s">
        <v>337</v>
      </c>
      <c r="C178" s="141" t="s">
        <v>338</v>
      </c>
      <c r="D178" s="548"/>
      <c r="E178" s="556">
        <v>528076.93999999994</v>
      </c>
      <c r="F178" s="546">
        <v>0</v>
      </c>
      <c r="G178" s="557">
        <f t="shared" si="53"/>
        <v>528076.93999999994</v>
      </c>
    </row>
    <row r="179" spans="1:7">
      <c r="A179" s="683">
        <v>172</v>
      </c>
      <c r="B179" s="140" t="s">
        <v>339</v>
      </c>
      <c r="C179" s="141" t="s">
        <v>340</v>
      </c>
      <c r="D179" s="548"/>
      <c r="E179" s="556">
        <v>-41623.26</v>
      </c>
      <c r="F179" s="546">
        <v>0</v>
      </c>
      <c r="G179" s="557">
        <f t="shared" si="53"/>
        <v>-41623.26</v>
      </c>
    </row>
    <row r="180" spans="1:7">
      <c r="A180" s="380">
        <v>173</v>
      </c>
      <c r="B180" s="140" t="s">
        <v>341</v>
      </c>
      <c r="C180" s="141" t="s">
        <v>342</v>
      </c>
      <c r="D180" s="548"/>
      <c r="E180" s="556">
        <v>0</v>
      </c>
      <c r="F180" s="546">
        <v>0</v>
      </c>
      <c r="G180" s="557">
        <f t="shared" si="53"/>
        <v>0</v>
      </c>
    </row>
    <row r="181" spans="1:7">
      <c r="A181" s="683">
        <v>174</v>
      </c>
      <c r="B181" s="140" t="s">
        <v>343</v>
      </c>
      <c r="C181" s="141" t="s">
        <v>344</v>
      </c>
      <c r="D181" s="546"/>
      <c r="E181" s="547">
        <v>20051.07</v>
      </c>
      <c r="F181" s="546">
        <v>159831.21</v>
      </c>
      <c r="G181" s="549">
        <f t="shared" si="53"/>
        <v>179882.28</v>
      </c>
    </row>
    <row r="182" spans="1:7">
      <c r="A182" s="380">
        <v>175</v>
      </c>
      <c r="B182" s="140" t="s">
        <v>345</v>
      </c>
      <c r="C182" s="141" t="s">
        <v>346</v>
      </c>
      <c r="D182" s="548"/>
      <c r="E182" s="556">
        <v>0</v>
      </c>
      <c r="F182" s="546">
        <v>-588785.82999999996</v>
      </c>
      <c r="G182" s="557">
        <f t="shared" si="53"/>
        <v>-588785.82999999996</v>
      </c>
    </row>
    <row r="183" spans="1:7">
      <c r="A183" s="683">
        <v>176</v>
      </c>
      <c r="B183" s="140" t="s">
        <v>347</v>
      </c>
      <c r="C183" s="141" t="s">
        <v>348</v>
      </c>
      <c r="D183" s="548"/>
      <c r="E183" s="556">
        <v>0</v>
      </c>
      <c r="F183" s="546">
        <v>71.14</v>
      </c>
      <c r="G183" s="557">
        <f t="shared" si="53"/>
        <v>71.14</v>
      </c>
    </row>
    <row r="184" spans="1:7">
      <c r="A184" s="380">
        <v>177</v>
      </c>
      <c r="B184" s="140" t="s">
        <v>349</v>
      </c>
      <c r="C184" s="141" t="s">
        <v>350</v>
      </c>
      <c r="D184" s="546"/>
      <c r="E184" s="547">
        <v>0</v>
      </c>
      <c r="F184" s="546">
        <v>230210.98</v>
      </c>
      <c r="G184" s="549">
        <f t="shared" si="53"/>
        <v>230210.98</v>
      </c>
    </row>
    <row r="185" spans="1:7">
      <c r="A185" s="683">
        <v>178</v>
      </c>
      <c r="B185" s="140" t="s">
        <v>351</v>
      </c>
      <c r="C185" s="141" t="s">
        <v>352</v>
      </c>
      <c r="D185" s="548"/>
      <c r="E185" s="556">
        <v>1555.7800000000279</v>
      </c>
      <c r="F185" s="546">
        <v>0</v>
      </c>
      <c r="G185" s="557">
        <f t="shared" si="53"/>
        <v>1555.7800000000279</v>
      </c>
    </row>
    <row r="186" spans="1:7">
      <c r="A186" s="380">
        <v>179</v>
      </c>
      <c r="B186" s="142" t="s">
        <v>353</v>
      </c>
      <c r="C186" s="139"/>
      <c r="D186" s="550"/>
      <c r="E186" s="752">
        <f>SUM(E176:E185)</f>
        <v>1124344.02</v>
      </c>
      <c r="F186" s="550">
        <f>SUM(F176:F185)</f>
        <v>-198672.49999999997</v>
      </c>
      <c r="G186" s="552">
        <f>SUM(G176:G185)</f>
        <v>925671.52</v>
      </c>
    </row>
    <row r="187" spans="1:7" ht="16.2" thickBot="1">
      <c r="A187" s="683">
        <v>180</v>
      </c>
      <c r="B187" s="576" t="s">
        <v>354</v>
      </c>
      <c r="C187" s="577"/>
      <c r="D187" s="572">
        <f>D151-D160-D173-D186</f>
        <v>0</v>
      </c>
      <c r="E187" s="758">
        <f>E151-E160+E173-E186</f>
        <v>73915396.469999969</v>
      </c>
      <c r="F187" s="572">
        <f>F151-F160+F173-F186</f>
        <v>-60633132.509999998</v>
      </c>
      <c r="G187" s="573">
        <f>G151-G160+G173-G186</f>
        <v>13282263.959999977</v>
      </c>
    </row>
    <row r="188" spans="1:7" ht="16.2" thickTop="1"/>
  </sheetData>
  <mergeCells count="20">
    <mergeCell ref="X1:Y1"/>
    <mergeCell ref="X2:Y2"/>
    <mergeCell ref="X3:Y3"/>
    <mergeCell ref="X4:Y4"/>
    <mergeCell ref="X5:Y5"/>
    <mergeCell ref="K1:V1"/>
    <mergeCell ref="K2:V2"/>
    <mergeCell ref="K3:V3"/>
    <mergeCell ref="K4:V4"/>
    <mergeCell ref="K5:V5"/>
    <mergeCell ref="C1:G1"/>
    <mergeCell ref="C2:G2"/>
    <mergeCell ref="C3:G3"/>
    <mergeCell ref="C4:G4"/>
    <mergeCell ref="C5:G5"/>
    <mergeCell ref="B13:C13"/>
    <mergeCell ref="B125:C125"/>
    <mergeCell ref="B11:C12"/>
    <mergeCell ref="E11:G11"/>
    <mergeCell ref="E12:G12"/>
  </mergeCells>
  <printOptions horizontalCentered="1"/>
  <pageMargins left="0.7" right="0.7" top="0.75" bottom="0.75" header="0.3" footer="0.3"/>
  <pageSetup scale="50" fitToHeight="0" orientation="landscape" r:id="rId1"/>
  <headerFooter scaleWithDoc="0" alignWithMargins="0">
    <oddHeader>&amp;RPage &amp;P of &amp;N</oddHeader>
    <oddFooter>&amp;LElectronic Tab Name:&amp;A</oddFooter>
  </headerFooter>
  <rowBreaks count="1" manualBreakCount="1">
    <brk id="158" max="7" man="1"/>
  </rowBreaks>
  <colBreaks count="1" manualBreakCount="1">
    <brk id="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F627F-14B6-4181-98D2-8E975F23D9CB}">
  <sheetPr codeName="Sheet40">
    <tabColor theme="2"/>
    <pageSetUpPr fitToPage="1"/>
  </sheetPr>
  <dimension ref="A1:R174"/>
  <sheetViews>
    <sheetView zoomScale="80" zoomScaleNormal="80" workbookViewId="0">
      <selection activeCell="F27" sqref="F27"/>
    </sheetView>
  </sheetViews>
  <sheetFormatPr defaultColWidth="9.33203125" defaultRowHeight="14.4"/>
  <cols>
    <col min="1" max="1" width="37.88671875" style="830" bestFit="1" customWidth="1"/>
    <col min="2" max="2" width="23.88671875" style="830" bestFit="1" customWidth="1"/>
    <col min="3" max="3" width="18.33203125" style="830" bestFit="1" customWidth="1"/>
    <col min="4" max="4" width="16" style="830" bestFit="1" customWidth="1"/>
    <col min="5" max="5" width="19.6640625" style="830" bestFit="1" customWidth="1"/>
    <col min="6" max="6" width="20.5546875" style="830" bestFit="1" customWidth="1"/>
    <col min="7" max="7" width="14.88671875" style="830" bestFit="1" customWidth="1"/>
    <col min="8" max="8" width="19" style="830" bestFit="1" customWidth="1"/>
    <col min="9" max="9" width="15.6640625" style="830" bestFit="1" customWidth="1"/>
    <col min="10" max="16" width="9.33203125" style="830"/>
    <col min="17" max="18" width="2" style="830" bestFit="1" customWidth="1"/>
    <col min="19" max="16384" width="9.33203125" style="830"/>
  </cols>
  <sheetData>
    <row r="1" spans="1:9">
      <c r="A1" s="873" t="str">
        <f ca="1">MID(CELL("filename",A1),FIND("]",CELL("filename",A1))+1,255)</f>
        <v>Title</v>
      </c>
      <c r="B1" s="873" t="s">
        <v>2561</v>
      </c>
    </row>
    <row r="2" spans="1:9">
      <c r="A2" s="830" t="s">
        <v>2562</v>
      </c>
      <c r="B2" s="830" t="s">
        <v>2</v>
      </c>
    </row>
    <row r="3" spans="1:9">
      <c r="A3" s="830" t="s">
        <v>2453</v>
      </c>
      <c r="B3" s="830" t="s">
        <v>2563</v>
      </c>
    </row>
    <row r="4" spans="1:9">
      <c r="A4" s="830" t="s">
        <v>3135</v>
      </c>
      <c r="B4" s="830" t="s">
        <v>2564</v>
      </c>
    </row>
    <row r="5" spans="1:9">
      <c r="A5" s="613" t="s">
        <v>2565</v>
      </c>
      <c r="B5" s="830" t="s">
        <v>2566</v>
      </c>
    </row>
    <row r="6" spans="1:9">
      <c r="A6" s="830" t="s">
        <v>2567</v>
      </c>
      <c r="B6" s="830" t="s">
        <v>2568</v>
      </c>
    </row>
    <row r="7" spans="1:9">
      <c r="A7" s="830" t="s">
        <v>2569</v>
      </c>
      <c r="B7" s="830" t="s">
        <v>2570</v>
      </c>
    </row>
    <row r="8" spans="1:9">
      <c r="A8" s="830" t="s">
        <v>3136</v>
      </c>
      <c r="B8" s="830" t="s">
        <v>2571</v>
      </c>
    </row>
    <row r="9" spans="1:9">
      <c r="A9" s="830" t="s">
        <v>2572</v>
      </c>
      <c r="B9" s="830" t="s">
        <v>2573</v>
      </c>
    </row>
    <row r="11" spans="1:9">
      <c r="A11" s="854" t="s">
        <v>2574</v>
      </c>
      <c r="B11" s="886" t="s">
        <v>1187</v>
      </c>
      <c r="C11" s="886" t="s">
        <v>2575</v>
      </c>
      <c r="D11" s="886" t="s">
        <v>2576</v>
      </c>
      <c r="E11" s="886" t="s">
        <v>2577</v>
      </c>
      <c r="F11" s="886" t="s">
        <v>2578</v>
      </c>
      <c r="G11" s="886" t="s">
        <v>2579</v>
      </c>
      <c r="H11" s="886" t="s">
        <v>2580</v>
      </c>
      <c r="I11" s="856" t="s">
        <v>2581</v>
      </c>
    </row>
    <row r="12" spans="1:9">
      <c r="A12" s="857"/>
      <c r="B12" s="852" t="s">
        <v>2582</v>
      </c>
      <c r="C12" s="852" t="s">
        <v>2583</v>
      </c>
      <c r="D12" s="852" t="s">
        <v>2584</v>
      </c>
      <c r="E12" s="852" t="s">
        <v>2585</v>
      </c>
      <c r="F12" s="852" t="s">
        <v>2586</v>
      </c>
      <c r="G12" s="852" t="s">
        <v>2587</v>
      </c>
      <c r="H12" s="852" t="s">
        <v>2588</v>
      </c>
      <c r="I12" s="887" t="s">
        <v>2589</v>
      </c>
    </row>
    <row r="13" spans="1:9">
      <c r="A13" s="860"/>
      <c r="B13" s="888" t="s">
        <v>2590</v>
      </c>
      <c r="C13" s="888" t="s">
        <v>2590</v>
      </c>
      <c r="D13" s="888" t="s">
        <v>2590</v>
      </c>
      <c r="E13" s="888" t="s">
        <v>2590</v>
      </c>
      <c r="F13" s="888" t="s">
        <v>2591</v>
      </c>
      <c r="G13" s="888" t="s">
        <v>2591</v>
      </c>
      <c r="H13" s="888" t="s">
        <v>2590</v>
      </c>
      <c r="I13" s="889" t="s">
        <v>2591</v>
      </c>
    </row>
    <row r="174" spans="2:18">
      <c r="B174" s="830" t="s">
        <v>2592</v>
      </c>
      <c r="Q174" s="830">
        <f>Q135+Q164</f>
        <v>0</v>
      </c>
      <c r="R174" s="830">
        <f>R135+R164</f>
        <v>0</v>
      </c>
    </row>
  </sheetData>
  <pageMargins left="0.25" right="0.25" top="0.75" bottom="0.75" header="0.3" footer="0.3"/>
  <pageSetup scale="72"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7" tint="0.79998168889431442"/>
  </sheetPr>
  <dimension ref="A1:I20"/>
  <sheetViews>
    <sheetView view="pageBreakPreview" zoomScale="80" zoomScaleNormal="100" zoomScaleSheetLayoutView="80" workbookViewId="0">
      <selection activeCell="F27" sqref="F27"/>
    </sheetView>
  </sheetViews>
  <sheetFormatPr defaultColWidth="9.109375" defaultRowHeight="15.6"/>
  <cols>
    <col min="1" max="1" width="8.44140625" style="3" bestFit="1" customWidth="1"/>
    <col min="2" max="2" width="37.5546875" style="3" bestFit="1" customWidth="1"/>
    <col min="3" max="3" width="3.88671875" style="3" customWidth="1"/>
    <col min="4" max="4" width="22" style="3" bestFit="1" customWidth="1"/>
    <col min="5" max="6" width="9.109375" style="3"/>
    <col min="7" max="7" width="15.44140625" style="3" customWidth="1"/>
    <col min="8" max="8" width="22" style="3" bestFit="1" customWidth="1"/>
    <col min="9" max="16384" width="9.109375" style="3"/>
  </cols>
  <sheetData>
    <row r="1" spans="1:9">
      <c r="A1" s="1910" t="s">
        <v>52</v>
      </c>
      <c r="B1" s="1910"/>
      <c r="C1" s="1910"/>
      <c r="D1" s="1910"/>
      <c r="E1" s="1910"/>
      <c r="F1" s="1910"/>
      <c r="G1" s="1910"/>
      <c r="H1" s="1910"/>
      <c r="I1" s="1910"/>
    </row>
    <row r="2" spans="1:9">
      <c r="A2" s="1910" t="s">
        <v>1824</v>
      </c>
      <c r="B2" s="1910"/>
      <c r="C2" s="1910"/>
      <c r="D2" s="1910"/>
      <c r="E2" s="1910"/>
      <c r="F2" s="1910"/>
      <c r="G2" s="1910"/>
      <c r="H2" s="1910"/>
      <c r="I2" s="1910"/>
    </row>
    <row r="3" spans="1:9">
      <c r="A3" s="1910" t="s">
        <v>1266</v>
      </c>
      <c r="B3" s="1910"/>
      <c r="C3" s="1910"/>
      <c r="D3" s="1910"/>
      <c r="E3" s="1910"/>
      <c r="F3" s="1910"/>
      <c r="G3" s="1910"/>
      <c r="H3" s="1910"/>
      <c r="I3" s="1910"/>
    </row>
    <row r="4" spans="1:9">
      <c r="A4" s="1910" t="s">
        <v>34</v>
      </c>
      <c r="B4" s="1910"/>
      <c r="C4" s="1910"/>
      <c r="D4" s="1910"/>
      <c r="E4" s="1910"/>
      <c r="F4" s="1910"/>
      <c r="G4" s="1910"/>
      <c r="H4" s="1910"/>
      <c r="I4" s="1910"/>
    </row>
    <row r="5" spans="1:9">
      <c r="A5" s="1910" t="s">
        <v>1823</v>
      </c>
      <c r="B5" s="1910"/>
      <c r="C5" s="1910"/>
      <c r="D5" s="1910"/>
      <c r="E5" s="1910"/>
      <c r="F5" s="1910"/>
      <c r="G5" s="1910"/>
      <c r="H5" s="1910"/>
      <c r="I5" s="1910"/>
    </row>
    <row r="9" spans="1:9">
      <c r="A9" s="9" t="s">
        <v>775</v>
      </c>
      <c r="B9" s="5" t="s">
        <v>778</v>
      </c>
      <c r="C9" s="5"/>
      <c r="D9" s="5" t="s">
        <v>776</v>
      </c>
      <c r="H9" s="5" t="s">
        <v>777</v>
      </c>
    </row>
    <row r="10" spans="1:9">
      <c r="A10" s="5">
        <v>1</v>
      </c>
      <c r="D10" s="5" t="s">
        <v>356</v>
      </c>
      <c r="H10" s="5" t="s">
        <v>1792</v>
      </c>
    </row>
    <row r="11" spans="1:9">
      <c r="A11" s="5">
        <v>2</v>
      </c>
      <c r="D11" s="5" t="s">
        <v>357</v>
      </c>
      <c r="H11" s="5" t="s">
        <v>357</v>
      </c>
    </row>
    <row r="12" spans="1:9">
      <c r="A12" s="5">
        <v>3</v>
      </c>
      <c r="D12" s="15" t="s">
        <v>1826</v>
      </c>
      <c r="E12" s="14"/>
      <c r="F12" s="14"/>
      <c r="G12" s="14"/>
      <c r="H12" s="15" t="s">
        <v>1826</v>
      </c>
    </row>
    <row r="13" spans="1:9">
      <c r="A13" s="5">
        <v>4</v>
      </c>
      <c r="B13" s="3" t="s">
        <v>932</v>
      </c>
      <c r="D13" s="365">
        <f>+'Plant in Serv &amp; Accum Depr'!AF165</f>
        <v>835867891.49633491</v>
      </c>
      <c r="E13" s="14" t="s">
        <v>981</v>
      </c>
      <c r="F13" s="14"/>
      <c r="G13" s="14"/>
      <c r="H13" s="365">
        <f>+'Plant in Serv &amp; Accum Depr'!AD165</f>
        <v>866945220.73952997</v>
      </c>
    </row>
    <row r="14" spans="1:9">
      <c r="A14" s="5">
        <v>5</v>
      </c>
      <c r="B14" s="3" t="s">
        <v>933</v>
      </c>
      <c r="D14" s="400">
        <f>-'Plant in Serv &amp; Accum Depr'!AF171</f>
        <v>-389781047.94520426</v>
      </c>
      <c r="E14" s="14" t="s">
        <v>981</v>
      </c>
      <c r="F14" s="14"/>
      <c r="G14" s="14"/>
      <c r="H14" s="400">
        <f>-'Plant in Serv &amp; Accum Depr'!AD171</f>
        <v>-397219164.69433802</v>
      </c>
    </row>
    <row r="15" spans="1:9">
      <c r="A15" s="5">
        <v>6</v>
      </c>
      <c r="B15" s="3" t="s">
        <v>355</v>
      </c>
      <c r="D15" s="143">
        <f>+D13+D14</f>
        <v>446086843.55113065</v>
      </c>
      <c r="E15" s="14"/>
      <c r="F15" s="14"/>
      <c r="G15" s="14"/>
      <c r="H15" s="143">
        <f>+H13+H14</f>
        <v>469726056.04519194</v>
      </c>
    </row>
    <row r="16" spans="1:9">
      <c r="A16" s="5">
        <v>7</v>
      </c>
      <c r="B16" s="3" t="s">
        <v>934</v>
      </c>
      <c r="D16" s="143">
        <f>+'Adv for Const. &amp; Def Tax'!AX23</f>
        <v>-3800412.8362500002</v>
      </c>
      <c r="E16" s="14" t="s">
        <v>982</v>
      </c>
      <c r="F16" s="14"/>
      <c r="G16" s="14"/>
      <c r="H16" s="143">
        <f>+'Adv for Const. &amp; Def Tax'!AU23</f>
        <v>-3755550.64</v>
      </c>
    </row>
    <row r="17" spans="1:8">
      <c r="A17" s="5">
        <v>8</v>
      </c>
      <c r="B17" s="3" t="s">
        <v>935</v>
      </c>
      <c r="D17" s="143">
        <f>+'Adv for Const. &amp; Def Tax'!AX43</f>
        <v>-75625049.641666636</v>
      </c>
      <c r="E17" s="14" t="s">
        <v>982</v>
      </c>
      <c r="F17" s="14"/>
      <c r="G17" s="14"/>
      <c r="H17" s="143">
        <f>+'Adv for Const. &amp; Def Tax'!AU43</f>
        <v>-77673011.209999993</v>
      </c>
    </row>
    <row r="18" spans="1:8">
      <c r="A18" s="5">
        <v>9</v>
      </c>
      <c r="B18" s="3" t="s">
        <v>936</v>
      </c>
      <c r="D18" s="610">
        <f>+' Working Capital (AMA)'!Y708</f>
        <v>7565010.5869378978</v>
      </c>
      <c r="E18" s="14" t="s">
        <v>983</v>
      </c>
      <c r="F18" s="14"/>
      <c r="G18" s="14"/>
      <c r="H18" s="610">
        <f>+D18</f>
        <v>7565010.5869378978</v>
      </c>
    </row>
    <row r="19" spans="1:8">
      <c r="A19" s="5">
        <v>10</v>
      </c>
      <c r="B19" s="3" t="s">
        <v>937</v>
      </c>
      <c r="D19" s="611">
        <f>+D15+D16+D17+D18</f>
        <v>374226391.6601519</v>
      </c>
      <c r="E19" s="14"/>
      <c r="F19" s="14"/>
      <c r="G19" s="14"/>
      <c r="H19" s="611">
        <f>+H15+H16+H17+H18</f>
        <v>395862504.78212988</v>
      </c>
    </row>
    <row r="20" spans="1:8">
      <c r="D20" s="14"/>
      <c r="E20" s="14"/>
      <c r="F20" s="14"/>
      <c r="G20" s="14"/>
      <c r="H20" s="14"/>
    </row>
  </sheetData>
  <mergeCells count="5">
    <mergeCell ref="A1:I1"/>
    <mergeCell ref="A2:I2"/>
    <mergeCell ref="A3:I3"/>
    <mergeCell ref="A4:I4"/>
    <mergeCell ref="A5:I5"/>
  </mergeCells>
  <printOptions horizontalCentered="1"/>
  <pageMargins left="0.7" right="0.7" top="0.75" bottom="0.75" header="0.3" footer="0.3"/>
  <pageSetup scale="83" orientation="landscape" r:id="rId1"/>
  <headerFooter scaleWithDoc="0" alignWithMargins="0">
    <oddHeader>&amp;RPage &amp;P of &amp;N</oddHeader>
    <oddFooter>&amp;LElectronic Tab Name:&amp;A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7" tint="0.79998168889431442"/>
  </sheetPr>
  <dimension ref="A1:AI171"/>
  <sheetViews>
    <sheetView view="pageBreakPreview" topLeftCell="B4" zoomScale="80" zoomScaleNormal="30" zoomScaleSheetLayoutView="80" workbookViewId="0">
      <selection activeCell="F27" sqref="F27"/>
    </sheetView>
  </sheetViews>
  <sheetFormatPr defaultColWidth="9.109375" defaultRowHeight="15.6"/>
  <cols>
    <col min="1" max="1" width="9.33203125" style="380" bestFit="1" customWidth="1"/>
    <col min="2" max="2" width="17.6640625" style="14" customWidth="1"/>
    <col min="3" max="3" width="44" style="14" bestFit="1" customWidth="1"/>
    <col min="4" max="4" width="19.33203125" style="14" customWidth="1"/>
    <col min="5" max="5" width="20.33203125" style="14" bestFit="1" customWidth="1"/>
    <col min="6" max="6" width="20.109375" style="14" bestFit="1" customWidth="1"/>
    <col min="7" max="7" width="20.5546875" style="14" bestFit="1" customWidth="1"/>
    <col min="8" max="8" width="18.6640625" style="14" bestFit="1" customWidth="1"/>
    <col min="9" max="9" width="20.5546875" style="14" bestFit="1" customWidth="1"/>
    <col min="10" max="10" width="18.88671875" style="14" bestFit="1" customWidth="1"/>
    <col min="11" max="11" width="20.5546875" style="14" bestFit="1" customWidth="1"/>
    <col min="12" max="13" width="19.5546875" style="14" bestFit="1" customWidth="1"/>
    <col min="14" max="14" width="18.88671875" style="14" bestFit="1" customWidth="1"/>
    <col min="15" max="15" width="19.5546875" style="14" bestFit="1" customWidth="1"/>
    <col min="16" max="16" width="19.88671875" style="14" bestFit="1" customWidth="1"/>
    <col min="17" max="17" width="19.5546875" style="14" bestFit="1" customWidth="1"/>
    <col min="18" max="18" width="18.6640625" style="14" bestFit="1" customWidth="1"/>
    <col min="19" max="19" width="19.5546875" style="14" bestFit="1" customWidth="1"/>
    <col min="20" max="20" width="18.109375" style="14" bestFit="1" customWidth="1"/>
    <col min="21" max="21" width="19.5546875" style="14" customWidth="1"/>
    <col min="22" max="22" width="19.109375" style="14" bestFit="1" customWidth="1"/>
    <col min="23" max="23" width="20.5546875" style="14" bestFit="1" customWidth="1"/>
    <col min="24" max="24" width="20.44140625" style="14" bestFit="1" customWidth="1"/>
    <col min="25" max="25" width="20.33203125" style="14" bestFit="1" customWidth="1"/>
    <col min="26" max="26" width="19.33203125" style="14" bestFit="1" customWidth="1"/>
    <col min="27" max="27" width="20.33203125" style="14" bestFit="1" customWidth="1"/>
    <col min="28" max="28" width="19.5546875" style="14" bestFit="1" customWidth="1"/>
    <col min="29" max="29" width="20.33203125" style="14" bestFit="1" customWidth="1"/>
    <col min="30" max="30" width="19.109375" style="14" bestFit="1" customWidth="1"/>
    <col min="31" max="31" width="25.5546875" style="14" customWidth="1"/>
    <col min="32" max="32" width="34.5546875" style="14" bestFit="1" customWidth="1"/>
    <col min="33" max="16384" width="9.109375" style="14"/>
  </cols>
  <sheetData>
    <row r="1" spans="1:35">
      <c r="A1" s="1910" t="s">
        <v>52</v>
      </c>
      <c r="B1" s="1910"/>
      <c r="C1" s="1910"/>
      <c r="D1" s="1910"/>
      <c r="E1" s="1910"/>
      <c r="F1" s="1910"/>
      <c r="G1" s="1910"/>
      <c r="H1" s="1910"/>
      <c r="I1" s="1910"/>
      <c r="J1" s="1910"/>
      <c r="K1" s="1910"/>
      <c r="L1" s="1910"/>
      <c r="M1" s="1910" t="s">
        <v>52</v>
      </c>
      <c r="N1" s="1910"/>
      <c r="O1" s="1910"/>
      <c r="P1" s="1910"/>
      <c r="Q1" s="1910"/>
      <c r="R1" s="1910"/>
      <c r="S1" s="1910"/>
      <c r="T1" s="1910"/>
      <c r="U1" s="1910"/>
      <c r="V1" s="1910"/>
      <c r="W1" s="1910"/>
      <c r="X1" s="1910"/>
      <c r="Y1" s="1910" t="s">
        <v>52</v>
      </c>
      <c r="Z1" s="1910"/>
      <c r="AA1" s="1910"/>
      <c r="AB1" s="1910"/>
      <c r="AC1" s="1910"/>
      <c r="AD1" s="1910"/>
      <c r="AE1" s="1910"/>
      <c r="AF1" s="1910"/>
      <c r="AG1" s="2"/>
      <c r="AH1" s="2"/>
      <c r="AI1" s="2"/>
    </row>
    <row r="2" spans="1:35">
      <c r="A2" s="1910" t="s">
        <v>1824</v>
      </c>
      <c r="B2" s="1910"/>
      <c r="C2" s="1910"/>
      <c r="D2" s="1910"/>
      <c r="E2" s="1910"/>
      <c r="F2" s="1910"/>
      <c r="G2" s="1910"/>
      <c r="H2" s="1910"/>
      <c r="I2" s="1910"/>
      <c r="J2" s="1910"/>
      <c r="K2" s="1910"/>
      <c r="L2" s="1910"/>
      <c r="M2" s="1910" t="str">
        <f>+A2</f>
        <v>UG 20_____</v>
      </c>
      <c r="N2" s="1910"/>
      <c r="O2" s="1910"/>
      <c r="P2" s="1910"/>
      <c r="Q2" s="1910"/>
      <c r="R2" s="1910"/>
      <c r="S2" s="1910"/>
      <c r="T2" s="1910"/>
      <c r="U2" s="1910"/>
      <c r="V2" s="1910"/>
      <c r="W2" s="1910"/>
      <c r="X2" s="1910"/>
      <c r="Y2" s="1910" t="str">
        <f>+M2</f>
        <v>UG 20_____</v>
      </c>
      <c r="Z2" s="1910"/>
      <c r="AA2" s="1910"/>
      <c r="AB2" s="1910"/>
      <c r="AC2" s="1910"/>
      <c r="AD2" s="1910"/>
      <c r="AE2" s="1910"/>
      <c r="AF2" s="1910"/>
      <c r="AG2" s="2"/>
      <c r="AH2" s="2"/>
      <c r="AI2" s="2"/>
    </row>
    <row r="3" spans="1:35">
      <c r="A3" s="1910" t="s">
        <v>1316</v>
      </c>
      <c r="B3" s="1910"/>
      <c r="C3" s="1910"/>
      <c r="D3" s="1910"/>
      <c r="E3" s="1910"/>
      <c r="F3" s="1910"/>
      <c r="G3" s="1910"/>
      <c r="H3" s="1910"/>
      <c r="I3" s="1910"/>
      <c r="J3" s="1910"/>
      <c r="K3" s="1910"/>
      <c r="L3" s="1910"/>
      <c r="M3" s="1910" t="str">
        <f>+A3</f>
        <v>MCP WP-1.3</v>
      </c>
      <c r="N3" s="1910"/>
      <c r="O3" s="1910"/>
      <c r="P3" s="1910"/>
      <c r="Q3" s="1910"/>
      <c r="R3" s="1910"/>
      <c r="S3" s="1910"/>
      <c r="T3" s="1910"/>
      <c r="U3" s="1910"/>
      <c r="V3" s="1910"/>
      <c r="W3" s="1910"/>
      <c r="X3" s="1910"/>
      <c r="Y3" s="1910" t="str">
        <f>+M3</f>
        <v>MCP WP-1.3</v>
      </c>
      <c r="Z3" s="1910"/>
      <c r="AA3" s="1910"/>
      <c r="AB3" s="1910"/>
      <c r="AC3" s="1910"/>
      <c r="AD3" s="1910"/>
      <c r="AE3" s="1910"/>
      <c r="AF3" s="1910"/>
      <c r="AG3" s="2"/>
      <c r="AH3" s="2"/>
      <c r="AI3" s="2"/>
    </row>
    <row r="4" spans="1:35">
      <c r="A4" s="1910" t="s">
        <v>1010</v>
      </c>
      <c r="B4" s="1910"/>
      <c r="C4" s="1910"/>
      <c r="D4" s="1910"/>
      <c r="E4" s="1910"/>
      <c r="F4" s="1910"/>
      <c r="G4" s="1910"/>
      <c r="H4" s="1910"/>
      <c r="I4" s="1910"/>
      <c r="J4" s="1910"/>
      <c r="K4" s="1910"/>
      <c r="L4" s="1910"/>
      <c r="M4" s="1910" t="s">
        <v>1010</v>
      </c>
      <c r="N4" s="1910"/>
      <c r="O4" s="1910"/>
      <c r="P4" s="1910"/>
      <c r="Q4" s="1910"/>
      <c r="R4" s="1910"/>
      <c r="S4" s="1910"/>
      <c r="T4" s="1910"/>
      <c r="U4" s="1910"/>
      <c r="V4" s="1910"/>
      <c r="W4" s="1910"/>
      <c r="X4" s="1910"/>
      <c r="Y4" s="1910" t="s">
        <v>1010</v>
      </c>
      <c r="Z4" s="1910"/>
      <c r="AA4" s="1910"/>
      <c r="AB4" s="1910"/>
      <c r="AC4" s="1910"/>
      <c r="AD4" s="1910"/>
      <c r="AE4" s="1910"/>
      <c r="AF4" s="1910"/>
      <c r="AG4" s="2"/>
      <c r="AH4" s="2"/>
      <c r="AI4" s="2"/>
    </row>
    <row r="5" spans="1:35">
      <c r="A5" s="1910" t="s">
        <v>1823</v>
      </c>
      <c r="B5" s="1910"/>
      <c r="C5" s="1910"/>
      <c r="D5" s="1910"/>
      <c r="E5" s="1910"/>
      <c r="F5" s="1910"/>
      <c r="G5" s="1910"/>
      <c r="H5" s="1910"/>
      <c r="I5" s="1910"/>
      <c r="J5" s="1910"/>
      <c r="K5" s="1910"/>
      <c r="L5" s="1910"/>
      <c r="M5" s="1910" t="str">
        <f>+A5</f>
        <v>Twelve Months Ended December 31, 2019</v>
      </c>
      <c r="N5" s="1910"/>
      <c r="O5" s="1910"/>
      <c r="P5" s="1910"/>
      <c r="Q5" s="1910"/>
      <c r="R5" s="1910"/>
      <c r="S5" s="1910"/>
      <c r="T5" s="1910"/>
      <c r="U5" s="1910"/>
      <c r="V5" s="1910"/>
      <c r="W5" s="1910"/>
      <c r="X5" s="1910"/>
      <c r="Y5" s="1910" t="str">
        <f>+M5</f>
        <v>Twelve Months Ended December 31, 2019</v>
      </c>
      <c r="Z5" s="1910"/>
      <c r="AA5" s="1910"/>
      <c r="AB5" s="1910"/>
      <c r="AC5" s="1910"/>
      <c r="AD5" s="1910"/>
      <c r="AE5" s="1910"/>
      <c r="AF5" s="1910"/>
      <c r="AG5" s="2"/>
      <c r="AH5" s="2"/>
      <c r="AI5" s="2"/>
    </row>
    <row r="7" spans="1:35" s="380" customFormat="1">
      <c r="B7" s="380" t="s">
        <v>778</v>
      </c>
      <c r="C7" s="380" t="s">
        <v>776</v>
      </c>
      <c r="D7" s="380" t="s">
        <v>777</v>
      </c>
      <c r="E7" s="380" t="s">
        <v>780</v>
      </c>
      <c r="F7" s="380" t="s">
        <v>781</v>
      </c>
      <c r="G7" s="380" t="s">
        <v>782</v>
      </c>
      <c r="H7" s="380" t="s">
        <v>783</v>
      </c>
      <c r="I7" s="380" t="s">
        <v>784</v>
      </c>
      <c r="J7" s="380" t="s">
        <v>785</v>
      </c>
      <c r="K7" s="380" t="s">
        <v>786</v>
      </c>
      <c r="L7" s="380" t="s">
        <v>787</v>
      </c>
      <c r="M7" s="380" t="s">
        <v>788</v>
      </c>
      <c r="N7" s="380" t="s">
        <v>789</v>
      </c>
      <c r="O7" s="380" t="s">
        <v>790</v>
      </c>
      <c r="P7" s="380" t="s">
        <v>791</v>
      </c>
      <c r="Q7" s="380" t="s">
        <v>995</v>
      </c>
      <c r="R7" s="380" t="s">
        <v>996</v>
      </c>
      <c r="S7" s="380" t="s">
        <v>997</v>
      </c>
      <c r="T7" s="380" t="s">
        <v>998</v>
      </c>
      <c r="U7" s="380" t="s">
        <v>999</v>
      </c>
      <c r="V7" s="380" t="s">
        <v>1000</v>
      </c>
      <c r="W7" s="380" t="s">
        <v>1001</v>
      </c>
      <c r="X7" s="380" t="s">
        <v>1002</v>
      </c>
      <c r="Y7" s="380" t="s">
        <v>1003</v>
      </c>
      <c r="Z7" s="380" t="s">
        <v>1004</v>
      </c>
      <c r="AA7" s="380" t="s">
        <v>1005</v>
      </c>
      <c r="AB7" s="380" t="s">
        <v>740</v>
      </c>
      <c r="AC7" s="380" t="s">
        <v>1006</v>
      </c>
      <c r="AD7" s="380" t="s">
        <v>1007</v>
      </c>
      <c r="AE7" s="380" t="s">
        <v>1008</v>
      </c>
      <c r="AF7" s="380" t="s">
        <v>1009</v>
      </c>
    </row>
    <row r="8" spans="1:35">
      <c r="A8" s="380" t="s">
        <v>649</v>
      </c>
      <c r="B8" s="381" t="s">
        <v>798</v>
      </c>
      <c r="C8" s="381" t="s">
        <v>799</v>
      </c>
      <c r="D8" s="381" t="s">
        <v>66</v>
      </c>
      <c r="E8" s="381" t="s">
        <v>1339</v>
      </c>
      <c r="F8" s="381" t="s">
        <v>1340</v>
      </c>
      <c r="G8" s="381" t="s">
        <v>2208</v>
      </c>
      <c r="H8" s="381" t="s">
        <v>2209</v>
      </c>
      <c r="I8" s="381" t="s">
        <v>2210</v>
      </c>
      <c r="J8" s="381" t="s">
        <v>2211</v>
      </c>
      <c r="K8" s="381" t="s">
        <v>2212</v>
      </c>
      <c r="L8" s="381" t="s">
        <v>2213</v>
      </c>
      <c r="M8" s="381" t="s">
        <v>2214</v>
      </c>
      <c r="N8" s="381" t="s">
        <v>2215</v>
      </c>
      <c r="O8" s="381" t="s">
        <v>2216</v>
      </c>
      <c r="P8" s="381" t="s">
        <v>2217</v>
      </c>
      <c r="Q8" s="381" t="s">
        <v>2218</v>
      </c>
      <c r="R8" s="381" t="s">
        <v>2219</v>
      </c>
      <c r="S8" s="381" t="s">
        <v>2220</v>
      </c>
      <c r="T8" s="381" t="s">
        <v>2221</v>
      </c>
      <c r="U8" s="381" t="s">
        <v>2222</v>
      </c>
      <c r="V8" s="381" t="s">
        <v>2223</v>
      </c>
      <c r="W8" s="381" t="s">
        <v>2224</v>
      </c>
      <c r="X8" s="381" t="s">
        <v>2225</v>
      </c>
      <c r="Y8" s="381" t="s">
        <v>2226</v>
      </c>
      <c r="Z8" s="381" t="s">
        <v>2227</v>
      </c>
      <c r="AA8" s="381" t="s">
        <v>2228</v>
      </c>
      <c r="AB8" s="381" t="s">
        <v>2229</v>
      </c>
      <c r="AC8" s="381" t="s">
        <v>2230</v>
      </c>
      <c r="AD8" s="381" t="s">
        <v>2231</v>
      </c>
      <c r="AE8" s="381" t="s">
        <v>800</v>
      </c>
      <c r="AF8" s="381" t="s">
        <v>801</v>
      </c>
    </row>
    <row r="9" spans="1:35">
      <c r="A9" s="380">
        <v>1</v>
      </c>
      <c r="B9" s="382" t="s">
        <v>70</v>
      </c>
      <c r="C9" s="382" t="s">
        <v>721</v>
      </c>
      <c r="D9" s="383"/>
      <c r="E9" s="383"/>
      <c r="F9" s="383"/>
      <c r="G9" s="383"/>
      <c r="H9" s="383"/>
      <c r="I9" s="383"/>
      <c r="J9" s="383"/>
      <c r="K9" s="383"/>
      <c r="L9" s="383"/>
      <c r="M9" s="383"/>
      <c r="N9" s="383"/>
      <c r="O9" s="383"/>
      <c r="P9" s="383"/>
      <c r="Q9" s="383"/>
      <c r="R9" s="383"/>
      <c r="S9" s="383"/>
      <c r="T9" s="383"/>
      <c r="U9" s="383"/>
      <c r="V9" s="383"/>
      <c r="W9" s="383"/>
      <c r="X9" s="383"/>
      <c r="Y9" s="383"/>
      <c r="Z9" s="383"/>
      <c r="AA9" s="383"/>
      <c r="AB9" s="383"/>
      <c r="AC9" s="383"/>
      <c r="AD9" s="383"/>
      <c r="AE9" s="383"/>
      <c r="AF9" s="383"/>
    </row>
    <row r="10" spans="1:35">
      <c r="A10" s="380">
        <v>2</v>
      </c>
      <c r="C10" s="384" t="s">
        <v>802</v>
      </c>
      <c r="D10" s="385" t="s">
        <v>804</v>
      </c>
      <c r="E10" s="386">
        <v>73666.720000000001</v>
      </c>
      <c r="F10" s="386">
        <v>73666.820000000007</v>
      </c>
      <c r="G10" s="386">
        <v>73666.720000000001</v>
      </c>
      <c r="H10" s="386">
        <v>73666.820000000007</v>
      </c>
      <c r="I10" s="386">
        <v>73666.720000000001</v>
      </c>
      <c r="J10" s="386">
        <v>73666.820000000007</v>
      </c>
      <c r="K10" s="386">
        <v>73666.720000000001</v>
      </c>
      <c r="L10" s="386">
        <v>73666.820000000007</v>
      </c>
      <c r="M10" s="386">
        <v>73666.720000000001</v>
      </c>
      <c r="N10" s="386">
        <v>73666.820000000007</v>
      </c>
      <c r="O10" s="386">
        <v>73666.720000000001</v>
      </c>
      <c r="P10" s="386">
        <v>73666.820000000007</v>
      </c>
      <c r="Q10" s="386">
        <v>73666.720000000001</v>
      </c>
      <c r="R10" s="386">
        <v>73666.820000000007</v>
      </c>
      <c r="S10" s="386">
        <v>73666.720000000001</v>
      </c>
      <c r="T10" s="386">
        <v>73666.820000000007</v>
      </c>
      <c r="U10" s="386">
        <v>73666.720000000001</v>
      </c>
      <c r="V10" s="386">
        <v>73666.820000000007</v>
      </c>
      <c r="W10" s="386">
        <v>73666.720000000001</v>
      </c>
      <c r="X10" s="386">
        <v>73666.820000000007</v>
      </c>
      <c r="Y10" s="386">
        <v>73666.720000000001</v>
      </c>
      <c r="Z10" s="386">
        <v>73666.820000000007</v>
      </c>
      <c r="AA10" s="386">
        <v>73666.720000000001</v>
      </c>
      <c r="AB10" s="386">
        <v>73666.820000000007</v>
      </c>
      <c r="AC10" s="386">
        <v>73666.720000000001</v>
      </c>
      <c r="AD10" s="386">
        <v>73666.720000000001</v>
      </c>
      <c r="AE10" s="386">
        <f>+(E10+AC10+(+G10+I10+K10+M10+O10+Q10+S10+U10+W10+Y10+AA10)*2)/24</f>
        <v>73666.719999999987</v>
      </c>
      <c r="AF10" s="386">
        <f>+(F10+AD10+(+H10+J10+L10+N10+P10+R10+T10+V10+X10+Z10+AB10)*2)/24</f>
        <v>73666.815833333356</v>
      </c>
    </row>
    <row r="11" spans="1:35">
      <c r="A11" s="380">
        <v>3</v>
      </c>
      <c r="C11" s="384" t="s">
        <v>803</v>
      </c>
      <c r="D11" s="385" t="s">
        <v>804</v>
      </c>
      <c r="E11" s="386">
        <v>113374.44</v>
      </c>
      <c r="F11" s="386">
        <v>12857.710000000001</v>
      </c>
      <c r="G11" s="386">
        <v>113374.44</v>
      </c>
      <c r="H11" s="386">
        <v>13093.91</v>
      </c>
      <c r="I11" s="386">
        <v>113374.44</v>
      </c>
      <c r="J11" s="386">
        <v>13330.11</v>
      </c>
      <c r="K11" s="386">
        <v>113374.44</v>
      </c>
      <c r="L11" s="386">
        <v>13566.31</v>
      </c>
      <c r="M11" s="386">
        <v>113374.44</v>
      </c>
      <c r="N11" s="386">
        <v>13802.51</v>
      </c>
      <c r="O11" s="386">
        <v>113374.44</v>
      </c>
      <c r="P11" s="386">
        <v>14038.710000000001</v>
      </c>
      <c r="Q11" s="386">
        <v>113374.44</v>
      </c>
      <c r="R11" s="386">
        <v>14274.91</v>
      </c>
      <c r="S11" s="386">
        <v>113374.44</v>
      </c>
      <c r="T11" s="386">
        <v>14511.11</v>
      </c>
      <c r="U11" s="386">
        <v>113374.44</v>
      </c>
      <c r="V11" s="386">
        <v>14747.31</v>
      </c>
      <c r="W11" s="386">
        <v>113374.44</v>
      </c>
      <c r="X11" s="386">
        <v>14983.51</v>
      </c>
      <c r="Y11" s="386">
        <v>113374.44</v>
      </c>
      <c r="Z11" s="386">
        <v>15219.710000000001</v>
      </c>
      <c r="AA11" s="386">
        <v>113374.44</v>
      </c>
      <c r="AB11" s="386">
        <v>15455.91</v>
      </c>
      <c r="AC11" s="386">
        <v>113374.44</v>
      </c>
      <c r="AD11" s="386">
        <v>15692.11</v>
      </c>
      <c r="AE11" s="386">
        <f>+(E11+AC11+(+G11+I11+K11+M11+O11+Q11+S11+U11+W11+Y11+AA11)*2)/24</f>
        <v>113374.43999999996</v>
      </c>
      <c r="AF11" s="386">
        <f t="shared" ref="AF11:AF46" si="0">+(F11+AD11+(+H11+J11+L11+N11+P11+R11+T11+V11+X11+Z11+AB11)*2)/24</f>
        <v>14274.910000000002</v>
      </c>
    </row>
    <row r="12" spans="1:35">
      <c r="A12" s="380">
        <v>4</v>
      </c>
      <c r="C12" s="384" t="s">
        <v>1317</v>
      </c>
      <c r="D12" s="385" t="s">
        <v>804</v>
      </c>
      <c r="E12" s="386">
        <v>1016861.1</v>
      </c>
      <c r="F12" s="386">
        <v>33896.959999999999</v>
      </c>
      <c r="G12" s="386">
        <v>1016861.1</v>
      </c>
      <c r="H12" s="386">
        <v>36015.42</v>
      </c>
      <c r="I12" s="386">
        <v>1016861.1</v>
      </c>
      <c r="J12" s="386">
        <v>38133.879999999997</v>
      </c>
      <c r="K12" s="386">
        <v>1016861.1</v>
      </c>
      <c r="L12" s="386">
        <v>40252.340000000004</v>
      </c>
      <c r="M12" s="386">
        <v>1016861.1</v>
      </c>
      <c r="N12" s="386">
        <v>42370.8</v>
      </c>
      <c r="O12" s="386">
        <v>1016861.1</v>
      </c>
      <c r="P12" s="386">
        <v>44489.26</v>
      </c>
      <c r="Q12" s="386">
        <v>1016861.1</v>
      </c>
      <c r="R12" s="386">
        <v>46607.72</v>
      </c>
      <c r="S12" s="386">
        <v>1016861.1</v>
      </c>
      <c r="T12" s="386">
        <v>48726.18</v>
      </c>
      <c r="U12" s="386">
        <v>1016861.1</v>
      </c>
      <c r="V12" s="386">
        <v>50844.639999999999</v>
      </c>
      <c r="W12" s="386">
        <v>1016861.1</v>
      </c>
      <c r="X12" s="386">
        <v>52963.1</v>
      </c>
      <c r="Y12" s="386">
        <v>1016861.1</v>
      </c>
      <c r="Z12" s="386">
        <v>55081.56</v>
      </c>
      <c r="AA12" s="386">
        <v>1016861.1</v>
      </c>
      <c r="AB12" s="386">
        <v>57200.020000000004</v>
      </c>
      <c r="AC12" s="386">
        <v>1016861.1</v>
      </c>
      <c r="AD12" s="386">
        <v>59318.48</v>
      </c>
      <c r="AE12" s="386">
        <f t="shared" ref="AE12:AE46" si="1">+(E12+AC12+(+G12+I12+K12+M12+O12+Q12+S12+U12+W12+Y12+AA12)*2)/24</f>
        <v>1016861.0999999997</v>
      </c>
      <c r="AF12" s="386">
        <f t="shared" si="0"/>
        <v>46607.72</v>
      </c>
    </row>
    <row r="13" spans="1:35">
      <c r="A13" s="380">
        <v>5</v>
      </c>
      <c r="C13" s="384" t="s">
        <v>1318</v>
      </c>
      <c r="D13" s="385" t="s">
        <v>804</v>
      </c>
      <c r="E13" s="386">
        <v>1817585.2000000002</v>
      </c>
      <c r="F13" s="386">
        <v>45439.68</v>
      </c>
      <c r="G13" s="386">
        <v>1817585.2000000002</v>
      </c>
      <c r="H13" s="386">
        <v>49226.32</v>
      </c>
      <c r="I13" s="386">
        <v>1817585.2000000002</v>
      </c>
      <c r="J13" s="386">
        <v>53012.959999999999</v>
      </c>
      <c r="K13" s="386">
        <v>1817585.2000000002</v>
      </c>
      <c r="L13" s="386">
        <v>56799.6</v>
      </c>
      <c r="M13" s="386">
        <v>1817585.2000000002</v>
      </c>
      <c r="N13" s="386">
        <v>60586.239999999998</v>
      </c>
      <c r="O13" s="386">
        <v>1817585.2000000002</v>
      </c>
      <c r="P13" s="386">
        <v>64372.880000000005</v>
      </c>
      <c r="Q13" s="386">
        <v>1817585.2000000002</v>
      </c>
      <c r="R13" s="386">
        <v>68159.520000000004</v>
      </c>
      <c r="S13" s="386">
        <v>1817585.2000000002</v>
      </c>
      <c r="T13" s="386">
        <v>71946.16</v>
      </c>
      <c r="U13" s="386">
        <v>1817585.2000000002</v>
      </c>
      <c r="V13" s="386">
        <v>75732.800000000003</v>
      </c>
      <c r="W13" s="386">
        <v>1817585.2000000002</v>
      </c>
      <c r="X13" s="386">
        <v>79519.44</v>
      </c>
      <c r="Y13" s="386">
        <v>1817585.2000000002</v>
      </c>
      <c r="Z13" s="386">
        <v>83306.080000000002</v>
      </c>
      <c r="AA13" s="386">
        <v>1817585.2000000002</v>
      </c>
      <c r="AB13" s="386">
        <v>87092.72</v>
      </c>
      <c r="AC13" s="386">
        <v>1817585.2000000002</v>
      </c>
      <c r="AD13" s="386">
        <v>90879.360000000001</v>
      </c>
      <c r="AE13" s="386">
        <f t="shared" si="1"/>
        <v>1817585.1999999995</v>
      </c>
      <c r="AF13" s="386">
        <f t="shared" si="0"/>
        <v>68159.520000000004</v>
      </c>
    </row>
    <row r="14" spans="1:35">
      <c r="A14" s="380">
        <v>6</v>
      </c>
      <c r="C14" s="384" t="s">
        <v>805</v>
      </c>
      <c r="D14" s="385" t="s">
        <v>804</v>
      </c>
      <c r="E14" s="386">
        <v>13130.54</v>
      </c>
      <c r="F14" s="386">
        <v>0</v>
      </c>
      <c r="G14" s="386">
        <v>13130.54</v>
      </c>
      <c r="H14" s="386">
        <v>0</v>
      </c>
      <c r="I14" s="386">
        <v>13130.54</v>
      </c>
      <c r="J14" s="386">
        <v>0</v>
      </c>
      <c r="K14" s="386">
        <v>13130.54</v>
      </c>
      <c r="L14" s="386">
        <v>0</v>
      </c>
      <c r="M14" s="386">
        <v>13130.54</v>
      </c>
      <c r="N14" s="386">
        <v>0</v>
      </c>
      <c r="O14" s="386">
        <v>13130.54</v>
      </c>
      <c r="P14" s="386">
        <v>0</v>
      </c>
      <c r="Q14" s="386">
        <v>13130.54</v>
      </c>
      <c r="R14" s="386">
        <v>0</v>
      </c>
      <c r="S14" s="386">
        <v>13130.54</v>
      </c>
      <c r="T14" s="386">
        <v>0</v>
      </c>
      <c r="U14" s="386">
        <v>13130.54</v>
      </c>
      <c r="V14" s="386">
        <v>0</v>
      </c>
      <c r="W14" s="386">
        <v>13130.54</v>
      </c>
      <c r="X14" s="386">
        <v>0</v>
      </c>
      <c r="Y14" s="386">
        <v>13130.54</v>
      </c>
      <c r="Z14" s="386">
        <v>0</v>
      </c>
      <c r="AA14" s="386">
        <v>13130.54</v>
      </c>
      <c r="AB14" s="386">
        <v>0</v>
      </c>
      <c r="AC14" s="386">
        <v>13130.54</v>
      </c>
      <c r="AD14" s="386">
        <v>0</v>
      </c>
      <c r="AE14" s="386">
        <f t="shared" si="1"/>
        <v>13130.540000000006</v>
      </c>
      <c r="AF14" s="386">
        <f t="shared" si="0"/>
        <v>0</v>
      </c>
    </row>
    <row r="15" spans="1:35">
      <c r="A15" s="380">
        <v>7</v>
      </c>
      <c r="C15" s="384" t="s">
        <v>806</v>
      </c>
      <c r="D15" s="385" t="s">
        <v>804</v>
      </c>
      <c r="E15" s="386">
        <v>7692.66</v>
      </c>
      <c r="F15" s="386">
        <v>6570.3600000000006</v>
      </c>
      <c r="G15" s="386">
        <v>7692.66</v>
      </c>
      <c r="H15" s="386">
        <v>6580.49</v>
      </c>
      <c r="I15" s="386">
        <v>7692.66</v>
      </c>
      <c r="J15" s="386">
        <v>6590.62</v>
      </c>
      <c r="K15" s="386">
        <v>7692.66</v>
      </c>
      <c r="L15" s="386">
        <v>6600.75</v>
      </c>
      <c r="M15" s="386">
        <v>7692.66</v>
      </c>
      <c r="N15" s="386">
        <v>6610.88</v>
      </c>
      <c r="O15" s="386">
        <v>7692.66</v>
      </c>
      <c r="P15" s="386">
        <v>6621.01</v>
      </c>
      <c r="Q15" s="386">
        <v>7692.66</v>
      </c>
      <c r="R15" s="386">
        <v>6631.14</v>
      </c>
      <c r="S15" s="386">
        <v>7692.66</v>
      </c>
      <c r="T15" s="386">
        <v>6641.27</v>
      </c>
      <c r="U15" s="386">
        <v>7692.66</v>
      </c>
      <c r="V15" s="386">
        <v>6651.4000000000005</v>
      </c>
      <c r="W15" s="386">
        <v>7692.66</v>
      </c>
      <c r="X15" s="386">
        <v>6661.53</v>
      </c>
      <c r="Y15" s="386">
        <v>7692.66</v>
      </c>
      <c r="Z15" s="386">
        <v>6671.66</v>
      </c>
      <c r="AA15" s="386">
        <v>7692.66</v>
      </c>
      <c r="AB15" s="386">
        <v>6681.79</v>
      </c>
      <c r="AC15" s="386">
        <v>7692.66</v>
      </c>
      <c r="AD15" s="386">
        <v>6691.92</v>
      </c>
      <c r="AE15" s="386">
        <f t="shared" si="1"/>
        <v>7692.6600000000026</v>
      </c>
      <c r="AF15" s="386">
        <f t="shared" si="0"/>
        <v>6631.1399999999994</v>
      </c>
    </row>
    <row r="16" spans="1:35">
      <c r="A16" s="380">
        <v>8</v>
      </c>
      <c r="C16" s="384" t="s">
        <v>807</v>
      </c>
      <c r="D16" s="385" t="s">
        <v>804</v>
      </c>
      <c r="E16" s="386">
        <v>6203474.7999999998</v>
      </c>
      <c r="F16" s="386">
        <v>3617351.33</v>
      </c>
      <c r="G16" s="386">
        <v>6203474.7999999998</v>
      </c>
      <c r="H16" s="386">
        <v>3626759.93</v>
      </c>
      <c r="I16" s="386">
        <v>6203474.7999999998</v>
      </c>
      <c r="J16" s="386">
        <v>3636168.5300000003</v>
      </c>
      <c r="K16" s="386">
        <v>6203474.7999999998</v>
      </c>
      <c r="L16" s="386">
        <v>3645577.13</v>
      </c>
      <c r="M16" s="386">
        <v>6203474.7999999998</v>
      </c>
      <c r="N16" s="386">
        <v>3654985.73</v>
      </c>
      <c r="O16" s="386">
        <v>6203474.7999999998</v>
      </c>
      <c r="P16" s="386">
        <v>3664394.33</v>
      </c>
      <c r="Q16" s="386">
        <v>6203474.7999999998</v>
      </c>
      <c r="R16" s="386">
        <v>3673802.93</v>
      </c>
      <c r="S16" s="386">
        <v>6203474.7999999998</v>
      </c>
      <c r="T16" s="386">
        <v>3683211.5300000003</v>
      </c>
      <c r="U16" s="386">
        <v>6203474.7999999998</v>
      </c>
      <c r="V16" s="386">
        <v>3692620.13</v>
      </c>
      <c r="W16" s="386">
        <v>6203474.7999999998</v>
      </c>
      <c r="X16" s="386">
        <v>3702028.73</v>
      </c>
      <c r="Y16" s="386">
        <v>6203474.7999999998</v>
      </c>
      <c r="Z16" s="386">
        <v>3711437.33</v>
      </c>
      <c r="AA16" s="386">
        <v>6203474.7999999998</v>
      </c>
      <c r="AB16" s="386">
        <v>3720845.93</v>
      </c>
      <c r="AC16" s="386">
        <v>6203474.7999999998</v>
      </c>
      <c r="AD16" s="386">
        <v>3730254.5300000003</v>
      </c>
      <c r="AE16" s="386">
        <f t="shared" si="1"/>
        <v>6203474.799999998</v>
      </c>
      <c r="AF16" s="386">
        <f t="shared" si="0"/>
        <v>3673802.9299999997</v>
      </c>
    </row>
    <row r="17" spans="1:32">
      <c r="A17" s="380">
        <v>9</v>
      </c>
      <c r="C17" s="384" t="s">
        <v>808</v>
      </c>
      <c r="D17" s="385" t="s">
        <v>804</v>
      </c>
      <c r="E17" s="386">
        <v>36161.700000000004</v>
      </c>
      <c r="F17" s="386">
        <v>-4119.8</v>
      </c>
      <c r="G17" s="386">
        <v>36161.700000000004</v>
      </c>
      <c r="H17" s="386">
        <v>-4107.45</v>
      </c>
      <c r="I17" s="386">
        <v>36161.700000000004</v>
      </c>
      <c r="J17" s="386">
        <v>-4095.1</v>
      </c>
      <c r="K17" s="386">
        <v>36161.700000000004</v>
      </c>
      <c r="L17" s="386">
        <v>-4082.75</v>
      </c>
      <c r="M17" s="386">
        <v>36161.700000000004</v>
      </c>
      <c r="N17" s="386">
        <v>-4070.4</v>
      </c>
      <c r="O17" s="386">
        <v>36161.700000000004</v>
      </c>
      <c r="P17" s="386">
        <v>-4058.05</v>
      </c>
      <c r="Q17" s="386">
        <v>36161.700000000004</v>
      </c>
      <c r="R17" s="386">
        <v>-4045.7000000000003</v>
      </c>
      <c r="S17" s="386">
        <v>36161.700000000004</v>
      </c>
      <c r="T17" s="386">
        <v>-4033.35</v>
      </c>
      <c r="U17" s="386">
        <v>36161.700000000004</v>
      </c>
      <c r="V17" s="386">
        <v>-4021</v>
      </c>
      <c r="W17" s="386">
        <v>36161.700000000004</v>
      </c>
      <c r="X17" s="386">
        <v>-4008.65</v>
      </c>
      <c r="Y17" s="386">
        <v>36161.700000000004</v>
      </c>
      <c r="Z17" s="386">
        <v>-3996.3</v>
      </c>
      <c r="AA17" s="386">
        <v>36161.700000000004</v>
      </c>
      <c r="AB17" s="386">
        <v>-3983.9500000000003</v>
      </c>
      <c r="AC17" s="386">
        <v>36161.700000000004</v>
      </c>
      <c r="AD17" s="386">
        <v>-3971.6</v>
      </c>
      <c r="AE17" s="386">
        <f t="shared" si="1"/>
        <v>36161.700000000004</v>
      </c>
      <c r="AF17" s="386">
        <f t="shared" si="0"/>
        <v>-4045.6999999999994</v>
      </c>
    </row>
    <row r="18" spans="1:32">
      <c r="A18" s="380">
        <v>10</v>
      </c>
      <c r="C18" s="384" t="s">
        <v>809</v>
      </c>
      <c r="D18" s="385" t="s">
        <v>804</v>
      </c>
      <c r="E18" s="386">
        <v>235020</v>
      </c>
      <c r="F18" s="386">
        <v>6734.6100000000006</v>
      </c>
      <c r="G18" s="386">
        <v>235020</v>
      </c>
      <c r="H18" s="386">
        <v>7102.81</v>
      </c>
      <c r="I18" s="386">
        <v>235020</v>
      </c>
      <c r="J18" s="386">
        <v>7471.01</v>
      </c>
      <c r="K18" s="386">
        <v>235020</v>
      </c>
      <c r="L18" s="386">
        <v>7839.21</v>
      </c>
      <c r="M18" s="386">
        <v>235020</v>
      </c>
      <c r="N18" s="386">
        <v>8207.41</v>
      </c>
      <c r="O18" s="386">
        <v>235020</v>
      </c>
      <c r="P18" s="386">
        <v>8575.61</v>
      </c>
      <c r="Q18" s="386">
        <v>235020</v>
      </c>
      <c r="R18" s="386">
        <v>8943.81</v>
      </c>
      <c r="S18" s="386">
        <v>235020</v>
      </c>
      <c r="T18" s="386">
        <v>9312.01</v>
      </c>
      <c r="U18" s="386">
        <v>235020</v>
      </c>
      <c r="V18" s="386">
        <v>9680.2100000000009</v>
      </c>
      <c r="W18" s="386">
        <v>235020</v>
      </c>
      <c r="X18" s="386">
        <v>10048.41</v>
      </c>
      <c r="Y18" s="386">
        <v>235020</v>
      </c>
      <c r="Z18" s="386">
        <v>10416.61</v>
      </c>
      <c r="AA18" s="386">
        <v>235020</v>
      </c>
      <c r="AB18" s="386">
        <v>10784.81</v>
      </c>
      <c r="AC18" s="386">
        <v>235020</v>
      </c>
      <c r="AD18" s="386">
        <v>11153.01</v>
      </c>
      <c r="AE18" s="386">
        <f t="shared" si="1"/>
        <v>235020</v>
      </c>
      <c r="AF18" s="386">
        <f t="shared" si="0"/>
        <v>8943.81</v>
      </c>
    </row>
    <row r="19" spans="1:32">
      <c r="A19" s="380">
        <v>11</v>
      </c>
      <c r="C19" s="384" t="s">
        <v>810</v>
      </c>
      <c r="D19" s="385" t="s">
        <v>804</v>
      </c>
      <c r="E19" s="386">
        <v>142929.49</v>
      </c>
      <c r="F19" s="386">
        <v>0</v>
      </c>
      <c r="G19" s="386">
        <v>142929.49</v>
      </c>
      <c r="H19" s="386">
        <v>0</v>
      </c>
      <c r="I19" s="386">
        <v>142929.49</v>
      </c>
      <c r="J19" s="386">
        <v>0</v>
      </c>
      <c r="K19" s="386">
        <v>142929.49</v>
      </c>
      <c r="L19" s="386">
        <v>0</v>
      </c>
      <c r="M19" s="386">
        <v>142929.49</v>
      </c>
      <c r="N19" s="386">
        <v>0</v>
      </c>
      <c r="O19" s="386">
        <v>142929.49</v>
      </c>
      <c r="P19" s="386">
        <v>0</v>
      </c>
      <c r="Q19" s="386">
        <v>142929.49</v>
      </c>
      <c r="R19" s="386">
        <v>0</v>
      </c>
      <c r="S19" s="386">
        <v>142929.49</v>
      </c>
      <c r="T19" s="386">
        <v>0</v>
      </c>
      <c r="U19" s="386">
        <v>142929.49</v>
      </c>
      <c r="V19" s="386">
        <v>0</v>
      </c>
      <c r="W19" s="386">
        <v>142929.49</v>
      </c>
      <c r="X19" s="386">
        <v>0</v>
      </c>
      <c r="Y19" s="386">
        <v>141860.15</v>
      </c>
      <c r="Z19" s="386">
        <v>0</v>
      </c>
      <c r="AA19" s="386">
        <v>141860.15</v>
      </c>
      <c r="AB19" s="386">
        <v>0</v>
      </c>
      <c r="AC19" s="386">
        <v>141860.15</v>
      </c>
      <c r="AD19" s="386">
        <v>0</v>
      </c>
      <c r="AE19" s="386">
        <f t="shared" si="1"/>
        <v>142706.71083333332</v>
      </c>
      <c r="AF19" s="386">
        <f t="shared" si="0"/>
        <v>0</v>
      </c>
    </row>
    <row r="20" spans="1:32">
      <c r="A20" s="380">
        <v>12</v>
      </c>
      <c r="C20" s="384" t="s">
        <v>811</v>
      </c>
      <c r="D20" s="385" t="s">
        <v>804</v>
      </c>
      <c r="E20" s="386">
        <v>0</v>
      </c>
      <c r="F20" s="386">
        <v>-655.47</v>
      </c>
      <c r="G20" s="386">
        <v>0</v>
      </c>
      <c r="H20" s="386">
        <v>-655.47</v>
      </c>
      <c r="I20" s="386">
        <v>0</v>
      </c>
      <c r="J20" s="386">
        <v>-655.47</v>
      </c>
      <c r="K20" s="386">
        <v>0</v>
      </c>
      <c r="L20" s="386">
        <v>-655.47</v>
      </c>
      <c r="M20" s="386">
        <v>0</v>
      </c>
      <c r="N20" s="386">
        <v>-655.47</v>
      </c>
      <c r="O20" s="386">
        <v>0</v>
      </c>
      <c r="P20" s="386">
        <v>-655.47</v>
      </c>
      <c r="Q20" s="386">
        <v>0</v>
      </c>
      <c r="R20" s="386">
        <v>-655.47</v>
      </c>
      <c r="S20" s="386">
        <v>0</v>
      </c>
      <c r="T20" s="386">
        <v>-655.47</v>
      </c>
      <c r="U20" s="386">
        <v>0</v>
      </c>
      <c r="V20" s="386">
        <v>-655.47</v>
      </c>
      <c r="W20" s="386">
        <v>0</v>
      </c>
      <c r="X20" s="386">
        <v>-655.47</v>
      </c>
      <c r="Y20" s="386">
        <v>0</v>
      </c>
      <c r="Z20" s="386">
        <v>-655.47</v>
      </c>
      <c r="AA20" s="386">
        <v>0</v>
      </c>
      <c r="AB20" s="386">
        <v>-655.47</v>
      </c>
      <c r="AC20" s="386">
        <v>0</v>
      </c>
      <c r="AD20" s="386">
        <v>0</v>
      </c>
      <c r="AE20" s="386">
        <f t="shared" si="1"/>
        <v>0</v>
      </c>
      <c r="AF20" s="386">
        <f t="shared" si="0"/>
        <v>-628.15875000000017</v>
      </c>
    </row>
    <row r="21" spans="1:32">
      <c r="A21" s="380">
        <v>13</v>
      </c>
      <c r="C21" s="384" t="s">
        <v>812</v>
      </c>
      <c r="D21" s="385" t="s">
        <v>804</v>
      </c>
      <c r="E21" s="386">
        <v>363784.97000000003</v>
      </c>
      <c r="F21" s="386">
        <v>259721.56</v>
      </c>
      <c r="G21" s="386">
        <v>363784.97000000003</v>
      </c>
      <c r="H21" s="386">
        <v>260091.41</v>
      </c>
      <c r="I21" s="386">
        <v>363784.97000000003</v>
      </c>
      <c r="J21" s="386">
        <v>260461.26</v>
      </c>
      <c r="K21" s="386">
        <v>363784.97000000003</v>
      </c>
      <c r="L21" s="386">
        <v>260831.11000000002</v>
      </c>
      <c r="M21" s="386">
        <v>363784.97000000003</v>
      </c>
      <c r="N21" s="386">
        <v>261200.96</v>
      </c>
      <c r="O21" s="386">
        <v>363784.97000000003</v>
      </c>
      <c r="P21" s="386">
        <v>261570.81</v>
      </c>
      <c r="Q21" s="386">
        <v>363784.97000000003</v>
      </c>
      <c r="R21" s="386">
        <v>261940.66</v>
      </c>
      <c r="S21" s="386">
        <v>363784.97000000003</v>
      </c>
      <c r="T21" s="386">
        <v>262310.51</v>
      </c>
      <c r="U21" s="386">
        <v>363784.97000000003</v>
      </c>
      <c r="V21" s="386">
        <v>262680.36</v>
      </c>
      <c r="W21" s="386">
        <v>363784.97000000003</v>
      </c>
      <c r="X21" s="386">
        <v>263050.21000000002</v>
      </c>
      <c r="Y21" s="386">
        <v>363784.97000000003</v>
      </c>
      <c r="Z21" s="386">
        <v>263420.06</v>
      </c>
      <c r="AA21" s="386">
        <v>363784.97000000003</v>
      </c>
      <c r="AB21" s="386">
        <v>263789.91000000003</v>
      </c>
      <c r="AC21" s="386">
        <v>363784.97000000003</v>
      </c>
      <c r="AD21" s="386">
        <v>263504.28999999998</v>
      </c>
      <c r="AE21" s="386">
        <f t="shared" si="1"/>
        <v>363784.97000000015</v>
      </c>
      <c r="AF21" s="386">
        <f t="shared" si="0"/>
        <v>261913.34875</v>
      </c>
    </row>
    <row r="22" spans="1:32">
      <c r="A22" s="380">
        <v>14</v>
      </c>
      <c r="C22" s="384" t="s">
        <v>813</v>
      </c>
      <c r="D22" s="385" t="s">
        <v>804</v>
      </c>
      <c r="E22" s="386">
        <v>17457159.5</v>
      </c>
      <c r="F22" s="386">
        <v>5304514.93</v>
      </c>
      <c r="G22" s="386">
        <v>17470148.219999999</v>
      </c>
      <c r="H22" s="386">
        <v>5321077.45</v>
      </c>
      <c r="I22" s="386">
        <v>18880117.309999999</v>
      </c>
      <c r="J22" s="386">
        <v>5339272.26</v>
      </c>
      <c r="K22" s="386">
        <v>18983556.84</v>
      </c>
      <c r="L22" s="386">
        <v>5358939.05</v>
      </c>
      <c r="M22" s="386">
        <v>19288268.719999999</v>
      </c>
      <c r="N22" s="386">
        <v>5378713.5899999999</v>
      </c>
      <c r="O22" s="386">
        <v>19320226.48</v>
      </c>
      <c r="P22" s="386">
        <v>5357731.29</v>
      </c>
      <c r="Q22" s="386">
        <v>21238002.859999999</v>
      </c>
      <c r="R22" s="386">
        <v>5377856.5300000003</v>
      </c>
      <c r="S22" s="386">
        <v>21210910.850000001</v>
      </c>
      <c r="T22" s="386">
        <v>5392398.8799999999</v>
      </c>
      <c r="U22" s="386">
        <v>21217398.07</v>
      </c>
      <c r="V22" s="386">
        <v>5400461.4400000004</v>
      </c>
      <c r="W22" s="386">
        <v>21204115.09</v>
      </c>
      <c r="X22" s="386">
        <v>5385735.6399999997</v>
      </c>
      <c r="Y22" s="386">
        <v>21639150.960000001</v>
      </c>
      <c r="Z22" s="386">
        <v>5407823.2599999998</v>
      </c>
      <c r="AA22" s="386">
        <v>21692115.09</v>
      </c>
      <c r="AB22" s="386">
        <v>5421833.0999999996</v>
      </c>
      <c r="AC22" s="386">
        <v>21829158.440000001</v>
      </c>
      <c r="AD22" s="386">
        <v>5443378.3200000003</v>
      </c>
      <c r="AE22" s="386">
        <f t="shared" si="1"/>
        <v>20148930.788333334</v>
      </c>
      <c r="AF22" s="386">
        <f t="shared" si="0"/>
        <v>5376315.7595833335</v>
      </c>
    </row>
    <row r="23" spans="1:32">
      <c r="A23" s="380">
        <v>15</v>
      </c>
      <c r="C23" s="384" t="s">
        <v>814</v>
      </c>
      <c r="D23" s="385" t="s">
        <v>804</v>
      </c>
      <c r="E23" s="386">
        <v>45568637.829999998</v>
      </c>
      <c r="F23" s="386">
        <v>13807411.17</v>
      </c>
      <c r="G23" s="386">
        <v>45695294.729999997</v>
      </c>
      <c r="H23" s="386">
        <v>13962943.1</v>
      </c>
      <c r="I23" s="386">
        <v>45789592.32</v>
      </c>
      <c r="J23" s="386">
        <v>14120144.15</v>
      </c>
      <c r="K23" s="386">
        <v>46506902.200000003</v>
      </c>
      <c r="L23" s="386">
        <v>14275652.9</v>
      </c>
      <c r="M23" s="386">
        <v>46630250.539999999</v>
      </c>
      <c r="N23" s="386">
        <v>14435260.029999999</v>
      </c>
      <c r="O23" s="386">
        <v>46885998.5</v>
      </c>
      <c r="P23" s="386">
        <v>14590852.130000001</v>
      </c>
      <c r="Q23" s="386">
        <v>47151495.109999999</v>
      </c>
      <c r="R23" s="386">
        <v>14751319.699999999</v>
      </c>
      <c r="S23" s="386">
        <v>47313875.799999997</v>
      </c>
      <c r="T23" s="386">
        <v>14913179.93</v>
      </c>
      <c r="U23" s="386">
        <v>47658949.960000001</v>
      </c>
      <c r="V23" s="386">
        <v>15076018.52</v>
      </c>
      <c r="W23" s="386">
        <v>47763502.090000004</v>
      </c>
      <c r="X23" s="386">
        <v>15240044.74</v>
      </c>
      <c r="Y23" s="386">
        <v>49069094.310000002</v>
      </c>
      <c r="Z23" s="386">
        <v>15404430.789999999</v>
      </c>
      <c r="AA23" s="386">
        <v>49142622.759999998</v>
      </c>
      <c r="AB23" s="386">
        <v>15573310.26</v>
      </c>
      <c r="AC23" s="386">
        <v>49535595.829999998</v>
      </c>
      <c r="AD23" s="386">
        <v>15741269.390000001</v>
      </c>
      <c r="AE23" s="386">
        <f t="shared" si="1"/>
        <v>47263307.929166667</v>
      </c>
      <c r="AF23" s="386">
        <f t="shared" si="0"/>
        <v>14759791.377499998</v>
      </c>
    </row>
    <row r="24" spans="1:32">
      <c r="A24" s="380">
        <v>16</v>
      </c>
      <c r="C24" s="384" t="s">
        <v>815</v>
      </c>
      <c r="D24" s="385" t="s">
        <v>804</v>
      </c>
      <c r="E24" s="386">
        <v>38654414.200000003</v>
      </c>
      <c r="F24" s="386">
        <v>24188794.98</v>
      </c>
      <c r="G24" s="386">
        <v>39227252.979999997</v>
      </c>
      <c r="H24" s="386">
        <v>24254648.25</v>
      </c>
      <c r="I24" s="386">
        <v>39267720.729999997</v>
      </c>
      <c r="J24" s="386">
        <v>24319597</v>
      </c>
      <c r="K24" s="386">
        <v>39323931.909999996</v>
      </c>
      <c r="L24" s="386">
        <v>24387958.300000001</v>
      </c>
      <c r="M24" s="386">
        <v>39325525.289999999</v>
      </c>
      <c r="N24" s="386">
        <v>24459950.809999999</v>
      </c>
      <c r="O24" s="386">
        <v>39692175.439999998</v>
      </c>
      <c r="P24" s="386">
        <v>24528559.890000001</v>
      </c>
      <c r="Q24" s="386">
        <v>39798838.420000002</v>
      </c>
      <c r="R24" s="386">
        <v>24601328.879999999</v>
      </c>
      <c r="S24" s="386">
        <v>39920861.149999999</v>
      </c>
      <c r="T24" s="386">
        <v>24674033.120000001</v>
      </c>
      <c r="U24" s="386">
        <v>39982370.979999997</v>
      </c>
      <c r="V24" s="386">
        <v>24710556.190000001</v>
      </c>
      <c r="W24" s="386">
        <v>40002481.490000002</v>
      </c>
      <c r="X24" s="386">
        <v>24783857.199999999</v>
      </c>
      <c r="Y24" s="386">
        <v>40425636.719999999</v>
      </c>
      <c r="Z24" s="386">
        <v>24851610.649999999</v>
      </c>
      <c r="AA24" s="386">
        <v>40421612.530000001</v>
      </c>
      <c r="AB24" s="386">
        <v>24925597.350000001</v>
      </c>
      <c r="AC24" s="386">
        <v>40643375.299999997</v>
      </c>
      <c r="AD24" s="386">
        <v>24982388.82</v>
      </c>
      <c r="AE24" s="386">
        <f t="shared" si="1"/>
        <v>39753108.532499999</v>
      </c>
      <c r="AF24" s="386">
        <f t="shared" si="0"/>
        <v>24590274.12833333</v>
      </c>
    </row>
    <row r="25" spans="1:32">
      <c r="A25" s="380">
        <v>17</v>
      </c>
      <c r="C25" s="384" t="s">
        <v>816</v>
      </c>
      <c r="D25" s="385" t="s">
        <v>804</v>
      </c>
      <c r="E25" s="386">
        <v>10605833.859999999</v>
      </c>
      <c r="F25" s="386">
        <v>3322284.12</v>
      </c>
      <c r="G25" s="386">
        <v>10611033.15</v>
      </c>
      <c r="H25" s="386">
        <v>3339253.46</v>
      </c>
      <c r="I25" s="386">
        <v>10612003.83</v>
      </c>
      <c r="J25" s="386">
        <v>3356231.12</v>
      </c>
      <c r="K25" s="386">
        <v>10701743.49</v>
      </c>
      <c r="L25" s="386">
        <v>3373210.32</v>
      </c>
      <c r="M25" s="386">
        <v>10727056.119999999</v>
      </c>
      <c r="N25" s="386">
        <v>3390333.11</v>
      </c>
      <c r="O25" s="386">
        <v>10834779.59</v>
      </c>
      <c r="P25" s="386">
        <v>3373235.37</v>
      </c>
      <c r="Q25" s="386">
        <v>10864742.210000001</v>
      </c>
      <c r="R25" s="386">
        <v>3390571.01</v>
      </c>
      <c r="S25" s="386">
        <v>10865881.460000001</v>
      </c>
      <c r="T25" s="386">
        <v>3407954.6</v>
      </c>
      <c r="U25" s="386">
        <v>10868404.310000001</v>
      </c>
      <c r="V25" s="386">
        <v>3425340.01</v>
      </c>
      <c r="W25" s="386">
        <v>10902308.039999999</v>
      </c>
      <c r="X25" s="386">
        <v>3395330.2</v>
      </c>
      <c r="Y25" s="386">
        <v>11004653.49</v>
      </c>
      <c r="Z25" s="386">
        <v>3412773.9</v>
      </c>
      <c r="AA25" s="386">
        <v>11034970.210000001</v>
      </c>
      <c r="AB25" s="386">
        <v>3430381.35</v>
      </c>
      <c r="AC25" s="386">
        <v>11123787.66</v>
      </c>
      <c r="AD25" s="386">
        <v>3441715.64</v>
      </c>
      <c r="AE25" s="386">
        <f t="shared" si="1"/>
        <v>10824365.554999998</v>
      </c>
      <c r="AF25" s="386">
        <f t="shared" si="0"/>
        <v>3389717.8608333338</v>
      </c>
    </row>
    <row r="26" spans="1:32">
      <c r="A26" s="380">
        <v>18</v>
      </c>
      <c r="C26" s="384" t="s">
        <v>817</v>
      </c>
      <c r="D26" s="385" t="s">
        <v>804</v>
      </c>
      <c r="E26" s="386">
        <v>43368051.479999997</v>
      </c>
      <c r="F26" s="386">
        <v>15985848.4</v>
      </c>
      <c r="G26" s="386">
        <v>43642773.369999997</v>
      </c>
      <c r="H26" s="386">
        <v>16121384.460000001</v>
      </c>
      <c r="I26" s="386">
        <v>43821322.840000004</v>
      </c>
      <c r="J26" s="386">
        <v>16258278.9</v>
      </c>
      <c r="K26" s="386">
        <v>43959282.869999997</v>
      </c>
      <c r="L26" s="386">
        <v>16395604.93</v>
      </c>
      <c r="M26" s="386">
        <v>44409052.390000001</v>
      </c>
      <c r="N26" s="386">
        <v>16537214.27</v>
      </c>
      <c r="O26" s="386">
        <v>44816983.840000004</v>
      </c>
      <c r="P26" s="386">
        <v>16678859.439999999</v>
      </c>
      <c r="Q26" s="386">
        <v>45173782.859999999</v>
      </c>
      <c r="R26" s="386">
        <v>16823767.690000001</v>
      </c>
      <c r="S26" s="386">
        <v>45605928.149999999</v>
      </c>
      <c r="T26" s="386">
        <v>16969030.879999999</v>
      </c>
      <c r="U26" s="386">
        <v>45821018.869999997</v>
      </c>
      <c r="V26" s="386">
        <v>17116490.050000001</v>
      </c>
      <c r="W26" s="386">
        <v>46175684.920000002</v>
      </c>
      <c r="X26" s="386">
        <v>17264644.670000002</v>
      </c>
      <c r="Y26" s="386">
        <v>46880968.020000003</v>
      </c>
      <c r="Z26" s="386">
        <v>17413105.93</v>
      </c>
      <c r="AA26" s="386">
        <v>47422160.060000002</v>
      </c>
      <c r="AB26" s="386">
        <v>17548901.039999999</v>
      </c>
      <c r="AC26" s="386">
        <v>47881219.5</v>
      </c>
      <c r="AD26" s="386">
        <v>17690092.91</v>
      </c>
      <c r="AE26" s="386">
        <f t="shared" si="1"/>
        <v>45279466.139999993</v>
      </c>
      <c r="AF26" s="386">
        <f t="shared" si="0"/>
        <v>16830437.742916666</v>
      </c>
    </row>
    <row r="27" spans="1:32">
      <c r="A27" s="380">
        <v>19</v>
      </c>
      <c r="C27" s="384" t="s">
        <v>818</v>
      </c>
      <c r="D27" s="385" t="s">
        <v>804</v>
      </c>
      <c r="E27" s="386">
        <v>12916898.949999999</v>
      </c>
      <c r="F27" s="386">
        <v>19573186.780000001</v>
      </c>
      <c r="G27" s="386">
        <v>12906614.18</v>
      </c>
      <c r="H27" s="386">
        <v>19567476.260000002</v>
      </c>
      <c r="I27" s="386">
        <v>12905666.01</v>
      </c>
      <c r="J27" s="386">
        <v>19572503.57</v>
      </c>
      <c r="K27" s="386">
        <v>12898264.699999999</v>
      </c>
      <c r="L27" s="386">
        <v>19591045.690000001</v>
      </c>
      <c r="M27" s="386">
        <v>12898567.27</v>
      </c>
      <c r="N27" s="386">
        <v>19624082.780000001</v>
      </c>
      <c r="O27" s="386">
        <v>12898438.939999999</v>
      </c>
      <c r="P27" s="386">
        <v>19641071.539999999</v>
      </c>
      <c r="Q27" s="386">
        <v>12898454.189999999</v>
      </c>
      <c r="R27" s="386">
        <v>19652965.050000001</v>
      </c>
      <c r="S27" s="386">
        <v>12901082.91</v>
      </c>
      <c r="T27" s="386">
        <v>19683003.539999999</v>
      </c>
      <c r="U27" s="386">
        <v>12901082.91</v>
      </c>
      <c r="V27" s="386">
        <v>19718804.039999999</v>
      </c>
      <c r="W27" s="386">
        <v>12901091.609999999</v>
      </c>
      <c r="X27" s="386">
        <v>19754604.539999999</v>
      </c>
      <c r="Y27" s="386">
        <v>12900367.16</v>
      </c>
      <c r="Z27" s="386">
        <v>19789680.620000001</v>
      </c>
      <c r="AA27" s="386">
        <v>12894722.27</v>
      </c>
      <c r="AB27" s="386">
        <v>19761323.850000001</v>
      </c>
      <c r="AC27" s="386">
        <v>12890838.57</v>
      </c>
      <c r="AD27" s="386">
        <v>19737147.850000001</v>
      </c>
      <c r="AE27" s="386">
        <f t="shared" si="1"/>
        <v>12900685.07583333</v>
      </c>
      <c r="AF27" s="386">
        <f t="shared" si="0"/>
        <v>19667644.06625</v>
      </c>
    </row>
    <row r="28" spans="1:32">
      <c r="A28" s="380">
        <v>20</v>
      </c>
      <c r="C28" s="384" t="s">
        <v>819</v>
      </c>
      <c r="D28" s="385" t="s">
        <v>804</v>
      </c>
      <c r="E28" s="386">
        <v>9659588.1699999999</v>
      </c>
      <c r="F28" s="386">
        <v>3808055.25</v>
      </c>
      <c r="G28" s="386">
        <v>9662626.8800000008</v>
      </c>
      <c r="H28" s="386">
        <v>3819587.83</v>
      </c>
      <c r="I28" s="386">
        <v>9672077.2300000004</v>
      </c>
      <c r="J28" s="386">
        <v>3834461.65</v>
      </c>
      <c r="K28" s="386">
        <v>9677436.7300000004</v>
      </c>
      <c r="L28" s="386">
        <v>3848361.38</v>
      </c>
      <c r="M28" s="386">
        <v>9682944.8800000008</v>
      </c>
      <c r="N28" s="386">
        <v>3863315.95</v>
      </c>
      <c r="O28" s="386">
        <v>9692258.4199999999</v>
      </c>
      <c r="P28" s="386">
        <v>3878294.5300000003</v>
      </c>
      <c r="Q28" s="386">
        <v>9697904.4199999999</v>
      </c>
      <c r="R28" s="386">
        <v>3893317.5300000003</v>
      </c>
      <c r="S28" s="386">
        <v>9701743.0999999996</v>
      </c>
      <c r="T28" s="386">
        <v>3908254.89</v>
      </c>
      <c r="U28" s="386">
        <v>9693953.3300000001</v>
      </c>
      <c r="V28" s="386">
        <v>3914023.5</v>
      </c>
      <c r="W28" s="386">
        <v>9697782.7699999996</v>
      </c>
      <c r="X28" s="386">
        <v>3929049.13</v>
      </c>
      <c r="Y28" s="386">
        <v>9708494.0099999998</v>
      </c>
      <c r="Z28" s="386">
        <v>3944080.7</v>
      </c>
      <c r="AA28" s="386">
        <v>9712786.4100000001</v>
      </c>
      <c r="AB28" s="386">
        <v>3957187.36</v>
      </c>
      <c r="AC28" s="386">
        <v>9717462.2300000004</v>
      </c>
      <c r="AD28" s="386">
        <v>3971953.69</v>
      </c>
      <c r="AE28" s="386">
        <f t="shared" si="1"/>
        <v>9690711.1150000002</v>
      </c>
      <c r="AF28" s="386">
        <f t="shared" si="0"/>
        <v>3889994.91</v>
      </c>
    </row>
    <row r="29" spans="1:32">
      <c r="A29" s="380">
        <v>21</v>
      </c>
      <c r="C29" s="384" t="s">
        <v>820</v>
      </c>
      <c r="D29" s="385" t="s">
        <v>804</v>
      </c>
      <c r="E29" s="386">
        <v>2199897.91</v>
      </c>
      <c r="F29" s="386">
        <v>795547.13</v>
      </c>
      <c r="G29" s="386">
        <v>2190958.23</v>
      </c>
      <c r="H29" s="386">
        <v>787233.38</v>
      </c>
      <c r="I29" s="386">
        <v>2195167.7599999998</v>
      </c>
      <c r="J29" s="386">
        <v>791213.62</v>
      </c>
      <c r="K29" s="386">
        <v>2256522.1800000002</v>
      </c>
      <c r="L29" s="386">
        <v>795201.51</v>
      </c>
      <c r="M29" s="386">
        <v>2259957.19</v>
      </c>
      <c r="N29" s="386">
        <v>797189.95000000007</v>
      </c>
      <c r="O29" s="386">
        <v>2264300.61</v>
      </c>
      <c r="P29" s="386">
        <v>799073.95000000007</v>
      </c>
      <c r="Q29" s="386">
        <v>2263852.5499999998</v>
      </c>
      <c r="R29" s="386">
        <v>803187.43</v>
      </c>
      <c r="S29" s="386">
        <v>2264017.5</v>
      </c>
      <c r="T29" s="386">
        <v>803566.4</v>
      </c>
      <c r="U29" s="386">
        <v>2277306.17</v>
      </c>
      <c r="V29" s="386">
        <v>810036.08000000007</v>
      </c>
      <c r="W29" s="386">
        <v>2388449.0699999998</v>
      </c>
      <c r="X29" s="386">
        <v>801396.1</v>
      </c>
      <c r="Y29" s="386">
        <v>2410067.63</v>
      </c>
      <c r="Z29" s="386">
        <v>802701.49</v>
      </c>
      <c r="AA29" s="386">
        <v>2409988.66</v>
      </c>
      <c r="AB29" s="386">
        <v>805474.12</v>
      </c>
      <c r="AC29" s="386">
        <v>2441943.67</v>
      </c>
      <c r="AD29" s="386">
        <v>808988.32000000007</v>
      </c>
      <c r="AE29" s="386">
        <f t="shared" si="1"/>
        <v>2291792.3616666663</v>
      </c>
      <c r="AF29" s="386">
        <f t="shared" si="0"/>
        <v>799878.47958333325</v>
      </c>
    </row>
    <row r="30" spans="1:32">
      <c r="A30" s="380">
        <v>22</v>
      </c>
      <c r="C30" s="384" t="s">
        <v>821</v>
      </c>
      <c r="D30" s="385" t="s">
        <v>804</v>
      </c>
      <c r="E30" s="386">
        <v>0</v>
      </c>
      <c r="F30" s="386">
        <v>-256.08</v>
      </c>
      <c r="G30" s="386">
        <v>0</v>
      </c>
      <c r="H30" s="386">
        <v>-256.08</v>
      </c>
      <c r="I30" s="386">
        <v>0</v>
      </c>
      <c r="J30" s="386">
        <v>-256.08</v>
      </c>
      <c r="K30" s="386">
        <v>0</v>
      </c>
      <c r="L30" s="386">
        <v>-256.08</v>
      </c>
      <c r="M30" s="386">
        <v>0</v>
      </c>
      <c r="N30" s="386">
        <v>-256.08</v>
      </c>
      <c r="O30" s="386">
        <v>0</v>
      </c>
      <c r="P30" s="386">
        <v>-256.08</v>
      </c>
      <c r="Q30" s="386">
        <v>0</v>
      </c>
      <c r="R30" s="386">
        <v>-256.08</v>
      </c>
      <c r="S30" s="386">
        <v>0</v>
      </c>
      <c r="T30" s="386">
        <v>-256.08</v>
      </c>
      <c r="U30" s="386">
        <v>0</v>
      </c>
      <c r="V30" s="386">
        <v>-256.08</v>
      </c>
      <c r="W30" s="386">
        <v>0</v>
      </c>
      <c r="X30" s="386">
        <v>-256.08</v>
      </c>
      <c r="Y30" s="386">
        <v>0</v>
      </c>
      <c r="Z30" s="386">
        <v>-256.08</v>
      </c>
      <c r="AA30" s="386">
        <v>0</v>
      </c>
      <c r="AB30" s="386">
        <v>-256.08</v>
      </c>
      <c r="AC30" s="386">
        <v>0</v>
      </c>
      <c r="AD30" s="386">
        <v>0</v>
      </c>
      <c r="AE30" s="386">
        <f t="shared" si="1"/>
        <v>0</v>
      </c>
      <c r="AF30" s="386">
        <f t="shared" si="0"/>
        <v>-245.40999999999997</v>
      </c>
    </row>
    <row r="31" spans="1:32">
      <c r="A31" s="380">
        <v>23</v>
      </c>
      <c r="C31" s="384" t="s">
        <v>822</v>
      </c>
      <c r="D31" s="385" t="s">
        <v>804</v>
      </c>
      <c r="E31" s="386">
        <v>493301.43</v>
      </c>
      <c r="F31" s="386">
        <v>309237.99</v>
      </c>
      <c r="G31" s="386">
        <v>493301.43</v>
      </c>
      <c r="H31" s="386">
        <v>309237.99</v>
      </c>
      <c r="I31" s="386">
        <v>493301.43</v>
      </c>
      <c r="J31" s="386">
        <v>309237.99</v>
      </c>
      <c r="K31" s="386">
        <v>493301.43</v>
      </c>
      <c r="L31" s="386">
        <v>309237.99</v>
      </c>
      <c r="M31" s="386">
        <v>493301.43</v>
      </c>
      <c r="N31" s="386">
        <v>309237.99</v>
      </c>
      <c r="O31" s="386">
        <v>493301.43</v>
      </c>
      <c r="P31" s="386">
        <v>309237.99</v>
      </c>
      <c r="Q31" s="386">
        <v>493301.43</v>
      </c>
      <c r="R31" s="386">
        <v>309237.99</v>
      </c>
      <c r="S31" s="386">
        <v>493301.43</v>
      </c>
      <c r="T31" s="386">
        <v>309237.99</v>
      </c>
      <c r="U31" s="386">
        <v>493301.43</v>
      </c>
      <c r="V31" s="386">
        <v>309237.99</v>
      </c>
      <c r="W31" s="386">
        <v>493301.43</v>
      </c>
      <c r="X31" s="386">
        <v>309237.99</v>
      </c>
      <c r="Y31" s="386">
        <v>493301.43</v>
      </c>
      <c r="Z31" s="386">
        <v>309237.99</v>
      </c>
      <c r="AA31" s="386">
        <v>493301.43</v>
      </c>
      <c r="AB31" s="386">
        <v>309237.99</v>
      </c>
      <c r="AC31" s="386">
        <v>493301.43</v>
      </c>
      <c r="AD31" s="386">
        <v>309237.99</v>
      </c>
      <c r="AE31" s="386">
        <f t="shared" si="1"/>
        <v>493301.42999999993</v>
      </c>
      <c r="AF31" s="386">
        <f t="shared" si="0"/>
        <v>309237.99000000005</v>
      </c>
    </row>
    <row r="32" spans="1:32">
      <c r="A32" s="380">
        <v>24</v>
      </c>
      <c r="C32" s="384" t="s">
        <v>823</v>
      </c>
      <c r="D32" s="385" t="s">
        <v>804</v>
      </c>
      <c r="E32" s="386">
        <v>0</v>
      </c>
      <c r="F32" s="386">
        <v>11145.130000000001</v>
      </c>
      <c r="G32" s="386">
        <v>0</v>
      </c>
      <c r="H32" s="386">
        <v>11145.130000000001</v>
      </c>
      <c r="I32" s="386">
        <v>0</v>
      </c>
      <c r="J32" s="386">
        <v>11145.130000000001</v>
      </c>
      <c r="K32" s="386">
        <v>0</v>
      </c>
      <c r="L32" s="386">
        <v>11145.130000000001</v>
      </c>
      <c r="M32" s="386">
        <v>0</v>
      </c>
      <c r="N32" s="386">
        <v>11145.130000000001</v>
      </c>
      <c r="O32" s="386">
        <v>0</v>
      </c>
      <c r="P32" s="386">
        <v>11145.130000000001</v>
      </c>
      <c r="Q32" s="386">
        <v>0</v>
      </c>
      <c r="R32" s="386">
        <v>11145.130000000001</v>
      </c>
      <c r="S32" s="386">
        <v>0</v>
      </c>
      <c r="T32" s="386">
        <v>11145.130000000001</v>
      </c>
      <c r="U32" s="386">
        <v>0</v>
      </c>
      <c r="V32" s="386">
        <v>11145.130000000001</v>
      </c>
      <c r="W32" s="386">
        <v>0</v>
      </c>
      <c r="X32" s="386">
        <v>11145.130000000001</v>
      </c>
      <c r="Y32" s="386">
        <v>0</v>
      </c>
      <c r="Z32" s="386">
        <v>11145.130000000001</v>
      </c>
      <c r="AA32" s="386">
        <v>0</v>
      </c>
      <c r="AB32" s="386">
        <v>11145.130000000001</v>
      </c>
      <c r="AC32" s="386">
        <v>0</v>
      </c>
      <c r="AD32" s="386">
        <v>0</v>
      </c>
      <c r="AE32" s="386">
        <f t="shared" si="1"/>
        <v>0</v>
      </c>
      <c r="AF32" s="386">
        <f t="shared" si="0"/>
        <v>10680.749583333336</v>
      </c>
    </row>
    <row r="33" spans="1:32">
      <c r="A33" s="380">
        <v>25</v>
      </c>
      <c r="C33" s="384" t="s">
        <v>824</v>
      </c>
      <c r="D33" s="385" t="s">
        <v>804</v>
      </c>
      <c r="E33" s="386">
        <v>4516175.41</v>
      </c>
      <c r="F33" s="386">
        <v>1172226.1400000001</v>
      </c>
      <c r="G33" s="386">
        <v>4516175.41</v>
      </c>
      <c r="H33" s="386">
        <v>1176892.8500000001</v>
      </c>
      <c r="I33" s="386">
        <v>4516175.41</v>
      </c>
      <c r="J33" s="386">
        <v>1181559.56</v>
      </c>
      <c r="K33" s="386">
        <v>4516175.41</v>
      </c>
      <c r="L33" s="386">
        <v>1186226.27</v>
      </c>
      <c r="M33" s="386">
        <v>4516175.41</v>
      </c>
      <c r="N33" s="386">
        <v>1190892.98</v>
      </c>
      <c r="O33" s="386">
        <v>4516175.41</v>
      </c>
      <c r="P33" s="386">
        <v>1195559.69</v>
      </c>
      <c r="Q33" s="386">
        <v>4516175.41</v>
      </c>
      <c r="R33" s="386">
        <v>1200226.3999999999</v>
      </c>
      <c r="S33" s="386">
        <v>4516789.8099999996</v>
      </c>
      <c r="T33" s="386">
        <v>1204893.1100000001</v>
      </c>
      <c r="U33" s="386">
        <v>4516789.8099999996</v>
      </c>
      <c r="V33" s="386">
        <v>1209560.46</v>
      </c>
      <c r="W33" s="386">
        <v>4516789.8099999996</v>
      </c>
      <c r="X33" s="386">
        <v>1214227.81</v>
      </c>
      <c r="Y33" s="386">
        <v>4516789.8099999996</v>
      </c>
      <c r="Z33" s="386">
        <v>1218895.1599999999</v>
      </c>
      <c r="AA33" s="386">
        <v>4516789.8099999996</v>
      </c>
      <c r="AB33" s="386">
        <v>1223562.51</v>
      </c>
      <c r="AC33" s="386">
        <v>4516779.63</v>
      </c>
      <c r="AD33" s="386">
        <v>1239374.99</v>
      </c>
      <c r="AE33" s="386">
        <f t="shared" si="1"/>
        <v>4516456.5858333334</v>
      </c>
      <c r="AF33" s="386">
        <f t="shared" si="0"/>
        <v>1200691.4470833333</v>
      </c>
    </row>
    <row r="34" spans="1:32">
      <c r="A34" s="380">
        <v>26</v>
      </c>
      <c r="C34" s="384" t="s">
        <v>825</v>
      </c>
      <c r="D34" s="385" t="s">
        <v>804</v>
      </c>
      <c r="E34" s="386">
        <v>72240.02</v>
      </c>
      <c r="F34" s="386">
        <v>35909.42</v>
      </c>
      <c r="G34" s="386">
        <v>72240.02</v>
      </c>
      <c r="H34" s="386">
        <v>36955.090000000004</v>
      </c>
      <c r="I34" s="386">
        <v>72240.02</v>
      </c>
      <c r="J34" s="386">
        <v>38000.76</v>
      </c>
      <c r="K34" s="386">
        <v>72240.02</v>
      </c>
      <c r="L34" s="386">
        <v>39046.43</v>
      </c>
      <c r="M34" s="386">
        <v>72240.02</v>
      </c>
      <c r="N34" s="386">
        <v>40092.1</v>
      </c>
      <c r="O34" s="386">
        <v>72240.02</v>
      </c>
      <c r="P34" s="386">
        <v>41137.770000000004</v>
      </c>
      <c r="Q34" s="386">
        <v>72240.02</v>
      </c>
      <c r="R34" s="386">
        <v>42183.44</v>
      </c>
      <c r="S34" s="386">
        <v>72240.02</v>
      </c>
      <c r="T34" s="386">
        <v>43229.11</v>
      </c>
      <c r="U34" s="386">
        <v>72240.02</v>
      </c>
      <c r="V34" s="386">
        <v>44274.78</v>
      </c>
      <c r="W34" s="386">
        <v>72240.02</v>
      </c>
      <c r="X34" s="386">
        <v>45320.450000000004</v>
      </c>
      <c r="Y34" s="386">
        <v>72240.02</v>
      </c>
      <c r="Z34" s="386">
        <v>46366.12</v>
      </c>
      <c r="AA34" s="386">
        <v>72240.02</v>
      </c>
      <c r="AB34" s="386">
        <v>47411.79</v>
      </c>
      <c r="AC34" s="386">
        <v>72240.02</v>
      </c>
      <c r="AD34" s="386">
        <v>48457.46</v>
      </c>
      <c r="AE34" s="386">
        <f t="shared" si="1"/>
        <v>72240.02</v>
      </c>
      <c r="AF34" s="386">
        <f t="shared" si="0"/>
        <v>42183.439999999995</v>
      </c>
    </row>
    <row r="35" spans="1:32">
      <c r="A35" s="380">
        <v>27</v>
      </c>
      <c r="C35" s="384" t="s">
        <v>826</v>
      </c>
      <c r="D35" s="385" t="s">
        <v>804</v>
      </c>
      <c r="E35" s="386">
        <v>106237.48</v>
      </c>
      <c r="F35" s="386">
        <v>30427.39</v>
      </c>
      <c r="G35" s="386">
        <v>106237.48</v>
      </c>
      <c r="H35" s="386">
        <v>30868.28</v>
      </c>
      <c r="I35" s="386">
        <v>106237.48</v>
      </c>
      <c r="J35" s="386">
        <v>31309.170000000002</v>
      </c>
      <c r="K35" s="386">
        <v>106237.48</v>
      </c>
      <c r="L35" s="386">
        <v>31750.06</v>
      </c>
      <c r="M35" s="386">
        <v>106237.48</v>
      </c>
      <c r="N35" s="386">
        <v>32190.95</v>
      </c>
      <c r="O35" s="386">
        <v>106237.48</v>
      </c>
      <c r="P35" s="386">
        <v>32631.84</v>
      </c>
      <c r="Q35" s="386">
        <v>106237.48</v>
      </c>
      <c r="R35" s="386">
        <v>33072.730000000003</v>
      </c>
      <c r="S35" s="386">
        <v>106237.48</v>
      </c>
      <c r="T35" s="386">
        <v>33513.620000000003</v>
      </c>
      <c r="U35" s="386">
        <v>106237.48</v>
      </c>
      <c r="V35" s="386">
        <v>33954.51</v>
      </c>
      <c r="W35" s="386">
        <v>106237.48</v>
      </c>
      <c r="X35" s="386">
        <v>34395.4</v>
      </c>
      <c r="Y35" s="386">
        <v>106237.48</v>
      </c>
      <c r="Z35" s="386">
        <v>34836.29</v>
      </c>
      <c r="AA35" s="386">
        <v>106237.48</v>
      </c>
      <c r="AB35" s="386">
        <v>35277.18</v>
      </c>
      <c r="AC35" s="386">
        <v>106237.48</v>
      </c>
      <c r="AD35" s="386">
        <v>35718.07</v>
      </c>
      <c r="AE35" s="386">
        <f t="shared" si="1"/>
        <v>106237.48</v>
      </c>
      <c r="AF35" s="386">
        <f t="shared" si="0"/>
        <v>33072.729999999996</v>
      </c>
    </row>
    <row r="36" spans="1:32">
      <c r="A36" s="380">
        <v>28</v>
      </c>
      <c r="C36" s="384" t="s">
        <v>827</v>
      </c>
      <c r="D36" s="385" t="s">
        <v>804</v>
      </c>
      <c r="E36" s="386">
        <v>105251.23</v>
      </c>
      <c r="F36" s="386">
        <v>77966.2</v>
      </c>
      <c r="G36" s="386">
        <v>105251.23</v>
      </c>
      <c r="H36" s="386">
        <v>78242.490000000005</v>
      </c>
      <c r="I36" s="386">
        <v>105251.23</v>
      </c>
      <c r="J36" s="386">
        <v>78518.78</v>
      </c>
      <c r="K36" s="386">
        <v>105251.23</v>
      </c>
      <c r="L36" s="386">
        <v>78795.070000000007</v>
      </c>
      <c r="M36" s="386">
        <v>84471.150000000009</v>
      </c>
      <c r="N36" s="386">
        <v>58941.279999999999</v>
      </c>
      <c r="O36" s="386">
        <v>84471.150000000009</v>
      </c>
      <c r="P36" s="386">
        <v>59163.020000000004</v>
      </c>
      <c r="Q36" s="386">
        <v>67111.78</v>
      </c>
      <c r="R36" s="386">
        <v>43825.39</v>
      </c>
      <c r="S36" s="386">
        <v>67111.78</v>
      </c>
      <c r="T36" s="386">
        <v>44001.56</v>
      </c>
      <c r="U36" s="386">
        <v>67111.78</v>
      </c>
      <c r="V36" s="386">
        <v>44177.73</v>
      </c>
      <c r="W36" s="386">
        <v>67111.78</v>
      </c>
      <c r="X36" s="386">
        <v>44353.9</v>
      </c>
      <c r="Y36" s="386">
        <v>67111.78</v>
      </c>
      <c r="Z36" s="386">
        <v>44530.07</v>
      </c>
      <c r="AA36" s="386">
        <v>67111.78</v>
      </c>
      <c r="AB36" s="386">
        <v>44706.239999999998</v>
      </c>
      <c r="AC36" s="386">
        <v>67111.78</v>
      </c>
      <c r="AD36" s="386">
        <v>44882.41</v>
      </c>
      <c r="AE36" s="386">
        <f t="shared" si="1"/>
        <v>81129.014583333352</v>
      </c>
      <c r="AF36" s="386">
        <f t="shared" si="0"/>
        <v>56723.31958333333</v>
      </c>
    </row>
    <row r="37" spans="1:32">
      <c r="A37" s="380">
        <v>29</v>
      </c>
      <c r="C37" s="384" t="s">
        <v>828</v>
      </c>
      <c r="D37" s="385" t="s">
        <v>804</v>
      </c>
      <c r="E37" s="386">
        <v>3646897.84</v>
      </c>
      <c r="F37" s="386">
        <v>1302246.3999999999</v>
      </c>
      <c r="G37" s="386">
        <v>3674015.62</v>
      </c>
      <c r="H37" s="386">
        <v>1320936.75</v>
      </c>
      <c r="I37" s="386">
        <v>3768803.6</v>
      </c>
      <c r="J37" s="386">
        <v>1339766.08</v>
      </c>
      <c r="K37" s="386">
        <v>3768979.7</v>
      </c>
      <c r="L37" s="386">
        <v>1359081.2</v>
      </c>
      <c r="M37" s="386">
        <v>3741418.04</v>
      </c>
      <c r="N37" s="386">
        <v>1359820.8900000001</v>
      </c>
      <c r="O37" s="386">
        <v>3743703.71</v>
      </c>
      <c r="P37" s="386">
        <v>1378995.65</v>
      </c>
      <c r="Q37" s="386">
        <v>3743703.71</v>
      </c>
      <c r="R37" s="386">
        <v>1398182.13</v>
      </c>
      <c r="S37" s="386">
        <v>3743437.4699999997</v>
      </c>
      <c r="T37" s="386">
        <v>1417368.6099999999</v>
      </c>
      <c r="U37" s="386">
        <v>3745026.33</v>
      </c>
      <c r="V37" s="386">
        <v>1436553.72</v>
      </c>
      <c r="W37" s="386">
        <v>3745026.33</v>
      </c>
      <c r="X37" s="386">
        <v>1455746.98</v>
      </c>
      <c r="Y37" s="386">
        <v>3745026.33</v>
      </c>
      <c r="Z37" s="386">
        <v>1474940.24</v>
      </c>
      <c r="AA37" s="386">
        <v>3946238.67</v>
      </c>
      <c r="AB37" s="386">
        <v>1494133.5</v>
      </c>
      <c r="AC37" s="386">
        <v>4251446.0999999996</v>
      </c>
      <c r="AD37" s="386">
        <v>1514357.97</v>
      </c>
      <c r="AE37" s="386">
        <f t="shared" si="1"/>
        <v>3776212.6233333331</v>
      </c>
      <c r="AF37" s="386">
        <f t="shared" si="0"/>
        <v>1403652.3279166669</v>
      </c>
    </row>
    <row r="38" spans="1:32">
      <c r="A38" s="380">
        <v>30</v>
      </c>
      <c r="C38" s="384" t="s">
        <v>829</v>
      </c>
      <c r="D38" s="385" t="s">
        <v>804</v>
      </c>
      <c r="E38" s="386">
        <v>0</v>
      </c>
      <c r="F38" s="386">
        <v>0</v>
      </c>
      <c r="G38" s="386">
        <v>0</v>
      </c>
      <c r="H38" s="386">
        <v>0</v>
      </c>
      <c r="I38" s="386">
        <v>0</v>
      </c>
      <c r="J38" s="386">
        <v>0</v>
      </c>
      <c r="K38" s="386">
        <v>0</v>
      </c>
      <c r="L38" s="386">
        <v>0</v>
      </c>
      <c r="M38" s="386">
        <v>0</v>
      </c>
      <c r="N38" s="386">
        <v>0</v>
      </c>
      <c r="O38" s="386">
        <v>0</v>
      </c>
      <c r="P38" s="386">
        <v>0</v>
      </c>
      <c r="Q38" s="386">
        <v>0</v>
      </c>
      <c r="R38" s="386">
        <v>0</v>
      </c>
      <c r="S38" s="386">
        <v>0</v>
      </c>
      <c r="T38" s="386">
        <v>0</v>
      </c>
      <c r="U38" s="386">
        <v>0</v>
      </c>
      <c r="V38" s="386">
        <v>0</v>
      </c>
      <c r="W38" s="386">
        <v>0</v>
      </c>
      <c r="X38" s="386">
        <v>0</v>
      </c>
      <c r="Y38" s="386">
        <v>0</v>
      </c>
      <c r="Z38" s="386">
        <v>0</v>
      </c>
      <c r="AA38" s="386">
        <v>0</v>
      </c>
      <c r="AB38" s="386">
        <v>0</v>
      </c>
      <c r="AC38" s="386">
        <v>0</v>
      </c>
      <c r="AD38" s="386">
        <v>0</v>
      </c>
      <c r="AE38" s="386">
        <f t="shared" si="1"/>
        <v>0</v>
      </c>
      <c r="AF38" s="386">
        <f t="shared" si="0"/>
        <v>0</v>
      </c>
    </row>
    <row r="39" spans="1:32">
      <c r="A39" s="380">
        <v>31</v>
      </c>
      <c r="C39" s="384" t="s">
        <v>830</v>
      </c>
      <c r="D39" s="385" t="s">
        <v>804</v>
      </c>
      <c r="E39" s="386">
        <v>1518441.77</v>
      </c>
      <c r="F39" s="386">
        <v>393444.7</v>
      </c>
      <c r="G39" s="386">
        <v>1537082.6099999999</v>
      </c>
      <c r="H39" s="386">
        <v>397949.41000000003</v>
      </c>
      <c r="I39" s="386">
        <v>1537082.6099999999</v>
      </c>
      <c r="J39" s="386">
        <v>402509.42</v>
      </c>
      <c r="K39" s="386">
        <v>1527620</v>
      </c>
      <c r="L39" s="386">
        <v>385982.58</v>
      </c>
      <c r="M39" s="386">
        <v>1525092.3399999999</v>
      </c>
      <c r="N39" s="386">
        <v>390514.52</v>
      </c>
      <c r="O39" s="386">
        <v>1525092.3399999999</v>
      </c>
      <c r="P39" s="386">
        <v>395038.96</v>
      </c>
      <c r="Q39" s="386">
        <v>1527145.46</v>
      </c>
      <c r="R39" s="386">
        <v>399563.4</v>
      </c>
      <c r="S39" s="386">
        <v>1527145.46</v>
      </c>
      <c r="T39" s="386">
        <v>404093.93</v>
      </c>
      <c r="U39" s="386">
        <v>1527145.46</v>
      </c>
      <c r="V39" s="386">
        <v>408624.46</v>
      </c>
      <c r="W39" s="386">
        <v>1531614.44</v>
      </c>
      <c r="X39" s="386">
        <v>413154.99</v>
      </c>
      <c r="Y39" s="386">
        <v>1543685.6400000001</v>
      </c>
      <c r="Z39" s="386">
        <v>417698.78</v>
      </c>
      <c r="AA39" s="386">
        <v>1543685.6400000001</v>
      </c>
      <c r="AB39" s="386">
        <v>422278.38</v>
      </c>
      <c r="AC39" s="386">
        <v>1555929.2</v>
      </c>
      <c r="AD39" s="386">
        <v>426857.98</v>
      </c>
      <c r="AE39" s="386">
        <f t="shared" si="1"/>
        <v>1532464.7904166665</v>
      </c>
      <c r="AF39" s="386">
        <f t="shared" si="0"/>
        <v>403963.34749999997</v>
      </c>
    </row>
    <row r="40" spans="1:32">
      <c r="A40" s="380">
        <v>32</v>
      </c>
      <c r="C40" s="384" t="s">
        <v>831</v>
      </c>
      <c r="D40" s="385" t="s">
        <v>804</v>
      </c>
      <c r="E40" s="386">
        <v>886803.63</v>
      </c>
      <c r="F40" s="386">
        <v>-435127.25</v>
      </c>
      <c r="G40" s="386">
        <v>955255.33000000007</v>
      </c>
      <c r="H40" s="386">
        <v>-431299.22000000003</v>
      </c>
      <c r="I40" s="386">
        <v>799438.14</v>
      </c>
      <c r="J40" s="386">
        <v>-372616.89</v>
      </c>
      <c r="K40" s="386">
        <v>808258.24</v>
      </c>
      <c r="L40" s="386">
        <v>-369165.98</v>
      </c>
      <c r="M40" s="386">
        <v>808258.24</v>
      </c>
      <c r="N40" s="386">
        <v>-365677</v>
      </c>
      <c r="O40" s="386">
        <v>808258.24</v>
      </c>
      <c r="P40" s="386">
        <v>-362188.02</v>
      </c>
      <c r="Q40" s="386">
        <v>808258.24</v>
      </c>
      <c r="R40" s="386">
        <v>-358699.04</v>
      </c>
      <c r="S40" s="386">
        <v>808258.24</v>
      </c>
      <c r="T40" s="386">
        <v>-355210.06</v>
      </c>
      <c r="U40" s="386">
        <v>794128.08000000007</v>
      </c>
      <c r="V40" s="386">
        <v>-365851.24</v>
      </c>
      <c r="W40" s="386">
        <v>868888.67</v>
      </c>
      <c r="X40" s="386">
        <v>-449000.57</v>
      </c>
      <c r="Y40" s="386">
        <v>868888.67</v>
      </c>
      <c r="Z40" s="386">
        <v>-445249.86</v>
      </c>
      <c r="AA40" s="386">
        <v>868888.67</v>
      </c>
      <c r="AB40" s="386">
        <v>-441499.15</v>
      </c>
      <c r="AC40" s="386">
        <v>966321.15</v>
      </c>
      <c r="AD40" s="386">
        <v>-445256.66000000003</v>
      </c>
      <c r="AE40" s="386">
        <f t="shared" si="1"/>
        <v>843611.76250000019</v>
      </c>
      <c r="AF40" s="386">
        <f t="shared" si="0"/>
        <v>-396387.41541666671</v>
      </c>
    </row>
    <row r="41" spans="1:32">
      <c r="A41" s="380">
        <v>33</v>
      </c>
      <c r="C41" s="384" t="s">
        <v>832</v>
      </c>
      <c r="D41" s="385" t="s">
        <v>804</v>
      </c>
      <c r="E41" s="386">
        <v>337722.04</v>
      </c>
      <c r="F41" s="386">
        <v>60143.21</v>
      </c>
      <c r="G41" s="386">
        <v>338168.17</v>
      </c>
      <c r="H41" s="386">
        <v>61021.29</v>
      </c>
      <c r="I41" s="386">
        <v>338168.17</v>
      </c>
      <c r="J41" s="386">
        <v>61900.53</v>
      </c>
      <c r="K41" s="386">
        <v>338168.17</v>
      </c>
      <c r="L41" s="386">
        <v>62779.770000000004</v>
      </c>
      <c r="M41" s="386">
        <v>338168.17</v>
      </c>
      <c r="N41" s="386">
        <v>63659.01</v>
      </c>
      <c r="O41" s="386">
        <v>338168.17</v>
      </c>
      <c r="P41" s="386">
        <v>64538.25</v>
      </c>
      <c r="Q41" s="386">
        <v>338168.17</v>
      </c>
      <c r="R41" s="386">
        <v>65417.49</v>
      </c>
      <c r="S41" s="386">
        <v>341752.17</v>
      </c>
      <c r="T41" s="386">
        <v>66296.73</v>
      </c>
      <c r="U41" s="386">
        <v>341752.17</v>
      </c>
      <c r="V41" s="386">
        <v>67185.279999999999</v>
      </c>
      <c r="W41" s="386">
        <v>341752.17</v>
      </c>
      <c r="X41" s="386">
        <v>68073.83</v>
      </c>
      <c r="Y41" s="386">
        <v>341752.17</v>
      </c>
      <c r="Z41" s="386">
        <v>68962.38</v>
      </c>
      <c r="AA41" s="386">
        <v>341752.17</v>
      </c>
      <c r="AB41" s="386">
        <v>69850.930000000008</v>
      </c>
      <c r="AC41" s="386">
        <v>341685.37</v>
      </c>
      <c r="AD41" s="386">
        <v>70739.48</v>
      </c>
      <c r="AE41" s="386">
        <f t="shared" si="1"/>
        <v>339789.46458333329</v>
      </c>
      <c r="AF41" s="386">
        <f t="shared" si="0"/>
        <v>65427.236249999994</v>
      </c>
    </row>
    <row r="42" spans="1:32">
      <c r="A42" s="380">
        <v>34</v>
      </c>
      <c r="C42" s="384" t="s">
        <v>833</v>
      </c>
      <c r="D42" s="385" t="s">
        <v>804</v>
      </c>
      <c r="E42" s="386">
        <v>190417.76</v>
      </c>
      <c r="F42" s="386">
        <v>114167.62</v>
      </c>
      <c r="G42" s="386">
        <v>190417.76</v>
      </c>
      <c r="H42" s="386">
        <v>114891.21</v>
      </c>
      <c r="I42" s="386">
        <v>190417.76</v>
      </c>
      <c r="J42" s="386">
        <v>115614.8</v>
      </c>
      <c r="K42" s="386">
        <v>190417.76</v>
      </c>
      <c r="L42" s="386">
        <v>116338.39</v>
      </c>
      <c r="M42" s="386">
        <v>190417.76</v>
      </c>
      <c r="N42" s="386">
        <v>117061.98</v>
      </c>
      <c r="O42" s="386">
        <v>190417.76</v>
      </c>
      <c r="P42" s="386">
        <v>117785.57</v>
      </c>
      <c r="Q42" s="386">
        <v>190417.76</v>
      </c>
      <c r="R42" s="386">
        <v>118509.16</v>
      </c>
      <c r="S42" s="386">
        <v>190417.76</v>
      </c>
      <c r="T42" s="386">
        <v>119232.75</v>
      </c>
      <c r="U42" s="386">
        <v>190417.76</v>
      </c>
      <c r="V42" s="386">
        <v>119956.34</v>
      </c>
      <c r="W42" s="386">
        <v>190417.76</v>
      </c>
      <c r="X42" s="386">
        <v>120679.93000000001</v>
      </c>
      <c r="Y42" s="386">
        <v>190417.76</v>
      </c>
      <c r="Z42" s="386">
        <v>121403.52</v>
      </c>
      <c r="AA42" s="386">
        <v>190417.76</v>
      </c>
      <c r="AB42" s="386">
        <v>122127.11</v>
      </c>
      <c r="AC42" s="386">
        <v>190417.76</v>
      </c>
      <c r="AD42" s="386">
        <v>122850.7</v>
      </c>
      <c r="AE42" s="386">
        <f t="shared" si="1"/>
        <v>190417.76</v>
      </c>
      <c r="AF42" s="386">
        <f t="shared" si="0"/>
        <v>118509.15999999999</v>
      </c>
    </row>
    <row r="43" spans="1:32">
      <c r="A43" s="380">
        <v>35</v>
      </c>
      <c r="C43" s="384" t="s">
        <v>834</v>
      </c>
      <c r="D43" s="385" t="s">
        <v>804</v>
      </c>
      <c r="E43" s="386">
        <v>295285.8</v>
      </c>
      <c r="F43" s="386">
        <v>96472.7</v>
      </c>
      <c r="G43" s="386">
        <v>295285.8</v>
      </c>
      <c r="H43" s="386">
        <v>98778.39</v>
      </c>
      <c r="I43" s="386">
        <v>295285.8</v>
      </c>
      <c r="J43" s="386">
        <v>101084.08</v>
      </c>
      <c r="K43" s="386">
        <v>295285.8</v>
      </c>
      <c r="L43" s="386">
        <v>103389.77</v>
      </c>
      <c r="M43" s="386">
        <v>295285.8</v>
      </c>
      <c r="N43" s="386">
        <v>105695.46</v>
      </c>
      <c r="O43" s="386">
        <v>295285.8</v>
      </c>
      <c r="P43" s="386">
        <v>108001.15000000001</v>
      </c>
      <c r="Q43" s="386">
        <v>295285.8</v>
      </c>
      <c r="R43" s="386">
        <v>110306.84</v>
      </c>
      <c r="S43" s="386">
        <v>295285.8</v>
      </c>
      <c r="T43" s="386">
        <v>112612.53</v>
      </c>
      <c r="U43" s="386">
        <v>295285.8</v>
      </c>
      <c r="V43" s="386">
        <v>114918.22</v>
      </c>
      <c r="W43" s="386">
        <v>295285.8</v>
      </c>
      <c r="X43" s="386">
        <v>117223.91</v>
      </c>
      <c r="Y43" s="386">
        <v>295285.8</v>
      </c>
      <c r="Z43" s="386">
        <v>119529.60000000001</v>
      </c>
      <c r="AA43" s="386">
        <v>295285.8</v>
      </c>
      <c r="AB43" s="386">
        <v>121835.29000000001</v>
      </c>
      <c r="AC43" s="386">
        <v>295285.8</v>
      </c>
      <c r="AD43" s="386">
        <v>124140.98</v>
      </c>
      <c r="AE43" s="386">
        <f t="shared" si="1"/>
        <v>295285.79999999993</v>
      </c>
      <c r="AF43" s="386">
        <f t="shared" si="0"/>
        <v>110306.84000000003</v>
      </c>
    </row>
    <row r="44" spans="1:32">
      <c r="A44" s="380">
        <v>36</v>
      </c>
      <c r="C44" s="384" t="s">
        <v>835</v>
      </c>
      <c r="D44" s="385" t="s">
        <v>804</v>
      </c>
      <c r="E44" s="386">
        <v>1040813.32</v>
      </c>
      <c r="F44" s="386">
        <v>610785.39</v>
      </c>
      <c r="G44" s="386">
        <v>1040813.32</v>
      </c>
      <c r="H44" s="386">
        <v>610898.14</v>
      </c>
      <c r="I44" s="386">
        <v>1040813.32</v>
      </c>
      <c r="J44" s="386">
        <v>611010.89</v>
      </c>
      <c r="K44" s="386">
        <v>1040813.32</v>
      </c>
      <c r="L44" s="386">
        <v>611123.64</v>
      </c>
      <c r="M44" s="386">
        <v>1040813.32</v>
      </c>
      <c r="N44" s="386">
        <v>611236.39</v>
      </c>
      <c r="O44" s="386">
        <v>1040813.32</v>
      </c>
      <c r="P44" s="386">
        <v>611349.14</v>
      </c>
      <c r="Q44" s="386">
        <v>1040813.32</v>
      </c>
      <c r="R44" s="386">
        <v>611461.89</v>
      </c>
      <c r="S44" s="386">
        <v>1040813.32</v>
      </c>
      <c r="T44" s="386">
        <v>611574.64</v>
      </c>
      <c r="U44" s="386">
        <v>1040813.32</v>
      </c>
      <c r="V44" s="386">
        <v>611687.39</v>
      </c>
      <c r="W44" s="386">
        <v>1040813.32</v>
      </c>
      <c r="X44" s="386">
        <v>611800.14</v>
      </c>
      <c r="Y44" s="386">
        <v>1040813.32</v>
      </c>
      <c r="Z44" s="386">
        <v>611912.89</v>
      </c>
      <c r="AA44" s="386">
        <v>1040813.32</v>
      </c>
      <c r="AB44" s="386">
        <v>612025.64</v>
      </c>
      <c r="AC44" s="386">
        <v>1040813.32</v>
      </c>
      <c r="AD44" s="386">
        <v>612138.39</v>
      </c>
      <c r="AE44" s="386">
        <f t="shared" si="1"/>
        <v>1040813.3200000002</v>
      </c>
      <c r="AF44" s="386">
        <f t="shared" si="0"/>
        <v>611461.8899999999</v>
      </c>
    </row>
    <row r="45" spans="1:32">
      <c r="A45" s="380">
        <v>37</v>
      </c>
      <c r="C45" s="384" t="s">
        <v>836</v>
      </c>
      <c r="D45" s="385" t="s">
        <v>804</v>
      </c>
      <c r="E45" s="386">
        <v>79223.14</v>
      </c>
      <c r="F45" s="386">
        <v>58716.07</v>
      </c>
      <c r="G45" s="386">
        <v>79223.14</v>
      </c>
      <c r="H45" s="386">
        <v>59322.130000000005</v>
      </c>
      <c r="I45" s="386">
        <v>79223.14</v>
      </c>
      <c r="J45" s="386">
        <v>59928.19</v>
      </c>
      <c r="K45" s="386">
        <v>79223.14</v>
      </c>
      <c r="L45" s="386">
        <v>60534.25</v>
      </c>
      <c r="M45" s="386">
        <v>79223.14</v>
      </c>
      <c r="N45" s="386">
        <v>61140.31</v>
      </c>
      <c r="O45" s="386">
        <v>79223.14</v>
      </c>
      <c r="P45" s="386">
        <v>61746.37</v>
      </c>
      <c r="Q45" s="386">
        <v>79223.14</v>
      </c>
      <c r="R45" s="386">
        <v>62352.43</v>
      </c>
      <c r="S45" s="386">
        <v>79223.14</v>
      </c>
      <c r="T45" s="386">
        <v>62958.49</v>
      </c>
      <c r="U45" s="386">
        <v>79223.14</v>
      </c>
      <c r="V45" s="386">
        <v>63564.55</v>
      </c>
      <c r="W45" s="386">
        <v>79223.14</v>
      </c>
      <c r="X45" s="386">
        <v>64170.61</v>
      </c>
      <c r="Y45" s="386">
        <v>79223.14</v>
      </c>
      <c r="Z45" s="386">
        <v>64776.67</v>
      </c>
      <c r="AA45" s="386">
        <v>79223.14</v>
      </c>
      <c r="AB45" s="386">
        <v>65382.73</v>
      </c>
      <c r="AC45" s="386">
        <v>79223.14</v>
      </c>
      <c r="AD45" s="386">
        <v>65988.790000000008</v>
      </c>
      <c r="AE45" s="386">
        <f t="shared" si="1"/>
        <v>79223.14</v>
      </c>
      <c r="AF45" s="386">
        <f t="shared" si="0"/>
        <v>62352.43</v>
      </c>
    </row>
    <row r="46" spans="1:32">
      <c r="C46" s="384" t="s">
        <v>837</v>
      </c>
      <c r="D46" s="385" t="s">
        <v>804</v>
      </c>
      <c r="E46" s="386">
        <v>7208.81</v>
      </c>
      <c r="F46" s="386">
        <v>-644.32000000000005</v>
      </c>
      <c r="G46" s="386">
        <v>7208.81</v>
      </c>
      <c r="H46" s="386">
        <v>-581.18000000000006</v>
      </c>
      <c r="I46" s="386">
        <v>7208.81</v>
      </c>
      <c r="J46" s="386">
        <v>-518.04</v>
      </c>
      <c r="K46" s="386">
        <v>7208.81</v>
      </c>
      <c r="L46" s="386">
        <v>-454.90000000000003</v>
      </c>
      <c r="M46" s="386">
        <v>7208.81</v>
      </c>
      <c r="N46" s="386">
        <v>-391.76</v>
      </c>
      <c r="O46" s="386">
        <v>7208.81</v>
      </c>
      <c r="P46" s="386">
        <v>-328.62</v>
      </c>
      <c r="Q46" s="386">
        <v>7208.81</v>
      </c>
      <c r="R46" s="386">
        <v>-265.48</v>
      </c>
      <c r="S46" s="386">
        <v>7208.81</v>
      </c>
      <c r="T46" s="386">
        <v>-202.34</v>
      </c>
      <c r="U46" s="386">
        <v>7208.81</v>
      </c>
      <c r="V46" s="386">
        <v>-139.20000000000002</v>
      </c>
      <c r="W46" s="386">
        <v>7208.81</v>
      </c>
      <c r="X46" s="386">
        <v>-76.06</v>
      </c>
      <c r="Y46" s="386">
        <v>7208.81</v>
      </c>
      <c r="Z46" s="386">
        <v>-12.92</v>
      </c>
      <c r="AA46" s="386">
        <v>7208.81</v>
      </c>
      <c r="AB46" s="386">
        <v>50.22</v>
      </c>
      <c r="AC46" s="386">
        <v>7208.81</v>
      </c>
      <c r="AD46" s="386">
        <v>113.36</v>
      </c>
      <c r="AE46" s="386">
        <f t="shared" si="1"/>
        <v>7208.8099999999986</v>
      </c>
      <c r="AF46" s="386">
        <f t="shared" si="0"/>
        <v>-265.48</v>
      </c>
    </row>
    <row r="47" spans="1:32" ht="16.2">
      <c r="A47" s="380">
        <v>38</v>
      </c>
      <c r="B47" s="387" t="s">
        <v>70</v>
      </c>
      <c r="C47" s="388"/>
      <c r="D47" s="387" t="s">
        <v>838</v>
      </c>
      <c r="E47" s="389">
        <f>SUBTOTAL(9,E10:E46)</f>
        <v>203750183.19999996</v>
      </c>
      <c r="F47" s="389">
        <f t="shared" ref="F47:AC47" si="2">SUBTOTAL(9,F10:F46)</f>
        <v>94673967.230000004</v>
      </c>
      <c r="G47" s="389">
        <f t="shared" si="2"/>
        <v>204841059.48999998</v>
      </c>
      <c r="H47" s="389">
        <f t="shared" si="2"/>
        <v>95116381.049999967</v>
      </c>
      <c r="I47" s="389">
        <f t="shared" si="2"/>
        <v>206516996.5699999</v>
      </c>
      <c r="J47" s="389">
        <f t="shared" si="2"/>
        <v>95643981.260000005</v>
      </c>
      <c r="K47" s="389">
        <f t="shared" si="2"/>
        <v>207680503.04999992</v>
      </c>
      <c r="L47" s="389">
        <f t="shared" si="2"/>
        <v>96111922.719999969</v>
      </c>
      <c r="M47" s="389">
        <f t="shared" si="2"/>
        <v>208543615.13</v>
      </c>
      <c r="N47" s="389">
        <f t="shared" si="2"/>
        <v>96588070.11999999</v>
      </c>
      <c r="O47" s="389">
        <f t="shared" si="2"/>
        <v>209729440.22</v>
      </c>
      <c r="P47" s="389">
        <f t="shared" si="2"/>
        <v>97004251.859999985</v>
      </c>
      <c r="Q47" s="389">
        <f t="shared" si="2"/>
        <v>212396044.76999998</v>
      </c>
      <c r="R47" s="389">
        <f t="shared" si="2"/>
        <v>97489903.980000004</v>
      </c>
      <c r="S47" s="389">
        <f t="shared" si="2"/>
        <v>213097205.22999999</v>
      </c>
      <c r="T47" s="389">
        <f t="shared" si="2"/>
        <v>98001548.730000004</v>
      </c>
      <c r="U47" s="389">
        <f t="shared" si="2"/>
        <v>213720847.61000001</v>
      </c>
      <c r="V47" s="389">
        <f t="shared" si="2"/>
        <v>98462271.069999978</v>
      </c>
      <c r="W47" s="389">
        <f t="shared" si="2"/>
        <v>214415007.66</v>
      </c>
      <c r="X47" s="389">
        <f t="shared" si="2"/>
        <v>98813118.210000008</v>
      </c>
      <c r="Y47" s="389">
        <f t="shared" si="2"/>
        <v>217429026.73999995</v>
      </c>
      <c r="Z47" s="389">
        <f t="shared" si="2"/>
        <v>99339491.37999998</v>
      </c>
      <c r="AA47" s="389">
        <f t="shared" si="2"/>
        <v>218322784.76999995</v>
      </c>
      <c r="AB47" s="389">
        <f t="shared" si="2"/>
        <v>99792156.330000013</v>
      </c>
      <c r="AC47" s="389">
        <f t="shared" si="2"/>
        <v>220069994.46999994</v>
      </c>
      <c r="AD47" s="389">
        <f>SUBTOTAL(9,AD10:AD46)</f>
        <v>100233725.66999999</v>
      </c>
      <c r="AE47" s="389">
        <f>SUBTOTAL(9,AE10:AE46)</f>
        <v>211550218.33958331</v>
      </c>
      <c r="AF47" s="389">
        <f>SUBTOTAL(9,AF10:AF46)</f>
        <v>97484745.263333306</v>
      </c>
    </row>
    <row r="48" spans="1:32" ht="16.2">
      <c r="A48" s="380">
        <v>39</v>
      </c>
      <c r="B48" s="382" t="s">
        <v>93</v>
      </c>
      <c r="C48" s="382" t="s">
        <v>359</v>
      </c>
      <c r="D48" s="390"/>
      <c r="E48" s="391"/>
      <c r="F48" s="391"/>
      <c r="G48" s="391"/>
      <c r="H48" s="391"/>
      <c r="I48" s="391"/>
      <c r="J48" s="391"/>
      <c r="K48" s="391"/>
      <c r="L48" s="391"/>
      <c r="M48" s="391"/>
      <c r="N48" s="391"/>
      <c r="O48" s="391"/>
      <c r="P48" s="391"/>
      <c r="Q48" s="391"/>
      <c r="R48" s="391"/>
      <c r="S48" s="391"/>
      <c r="T48" s="391"/>
      <c r="U48" s="391"/>
      <c r="V48" s="391"/>
      <c r="W48" s="391"/>
      <c r="X48" s="391"/>
      <c r="Y48" s="391"/>
      <c r="Z48" s="391"/>
      <c r="AA48" s="391"/>
      <c r="AB48" s="391"/>
      <c r="AC48" s="391"/>
      <c r="AD48" s="391"/>
      <c r="AE48" s="391"/>
      <c r="AF48" s="391"/>
    </row>
    <row r="49" spans="1:32">
      <c r="A49" s="380">
        <v>40</v>
      </c>
      <c r="C49" s="14" t="s">
        <v>839</v>
      </c>
      <c r="D49" s="14" t="s">
        <v>841</v>
      </c>
      <c r="E49" s="386">
        <v>138157.95000000001</v>
      </c>
      <c r="F49" s="386">
        <v>138157.97</v>
      </c>
      <c r="G49" s="386">
        <v>138157.95000000001</v>
      </c>
      <c r="H49" s="386">
        <v>138157.97</v>
      </c>
      <c r="I49" s="386">
        <v>138157.95000000001</v>
      </c>
      <c r="J49" s="386">
        <v>138157.97</v>
      </c>
      <c r="K49" s="386">
        <v>138157.95000000001</v>
      </c>
      <c r="L49" s="386">
        <v>138157.97</v>
      </c>
      <c r="M49" s="386">
        <v>138157.95000000001</v>
      </c>
      <c r="N49" s="386">
        <v>138157.97</v>
      </c>
      <c r="O49" s="386">
        <v>138157.95000000001</v>
      </c>
      <c r="P49" s="386">
        <v>138157.97</v>
      </c>
      <c r="Q49" s="386">
        <v>138157.95000000001</v>
      </c>
      <c r="R49" s="386">
        <v>138157.97</v>
      </c>
      <c r="S49" s="386">
        <v>138157.95000000001</v>
      </c>
      <c r="T49" s="386">
        <v>138157.97</v>
      </c>
      <c r="U49" s="386">
        <v>138157.95000000001</v>
      </c>
      <c r="V49" s="386">
        <v>138157.97</v>
      </c>
      <c r="W49" s="386">
        <v>138157.95000000001</v>
      </c>
      <c r="X49" s="386">
        <v>138157.97</v>
      </c>
      <c r="Y49" s="386">
        <v>138157.95000000001</v>
      </c>
      <c r="Z49" s="386">
        <v>138157.97</v>
      </c>
      <c r="AA49" s="386">
        <v>138157.95000000001</v>
      </c>
      <c r="AB49" s="386">
        <v>138157.97</v>
      </c>
      <c r="AC49" s="386">
        <v>138157.95000000001</v>
      </c>
      <c r="AD49" s="386">
        <v>138157.95000000001</v>
      </c>
      <c r="AE49" s="386">
        <f t="shared" ref="AE49:AF91" si="3">+(E49+AC49+(+G49+I49+K49+M49+O49+Q49+S49+U49+W49+Y49+AA49)*2)/24</f>
        <v>138157.94999999998</v>
      </c>
      <c r="AF49" s="386">
        <f t="shared" si="3"/>
        <v>138157.96916666665</v>
      </c>
    </row>
    <row r="50" spans="1:32">
      <c r="A50" s="380">
        <v>41</v>
      </c>
      <c r="C50" s="14" t="s">
        <v>840</v>
      </c>
      <c r="D50" s="385" t="s">
        <v>841</v>
      </c>
      <c r="E50" s="386">
        <v>0</v>
      </c>
      <c r="F50" s="386">
        <v>0</v>
      </c>
      <c r="G50" s="386">
        <v>0</v>
      </c>
      <c r="H50" s="386">
        <v>0</v>
      </c>
      <c r="I50" s="386">
        <v>0</v>
      </c>
      <c r="J50" s="386">
        <v>0</v>
      </c>
      <c r="K50" s="386">
        <v>0</v>
      </c>
      <c r="L50" s="386">
        <v>0</v>
      </c>
      <c r="M50" s="386">
        <v>0</v>
      </c>
      <c r="N50" s="386">
        <v>0</v>
      </c>
      <c r="O50" s="386">
        <v>0</v>
      </c>
      <c r="P50" s="386">
        <v>0</v>
      </c>
      <c r="Q50" s="386">
        <v>0</v>
      </c>
      <c r="R50" s="386">
        <v>0</v>
      </c>
      <c r="S50" s="386">
        <v>0</v>
      </c>
      <c r="T50" s="386">
        <v>0</v>
      </c>
      <c r="U50" s="386">
        <v>0</v>
      </c>
      <c r="V50" s="386">
        <v>0</v>
      </c>
      <c r="W50" s="386">
        <v>0</v>
      </c>
      <c r="X50" s="386">
        <v>0</v>
      </c>
      <c r="Y50" s="386">
        <v>0</v>
      </c>
      <c r="Z50" s="386">
        <v>0</v>
      </c>
      <c r="AA50" s="386">
        <v>0</v>
      </c>
      <c r="AB50" s="386">
        <v>0</v>
      </c>
      <c r="AC50" s="386">
        <v>0</v>
      </c>
      <c r="AD50" s="386">
        <v>0</v>
      </c>
      <c r="AE50" s="386">
        <f t="shared" si="3"/>
        <v>0</v>
      </c>
      <c r="AF50" s="386">
        <f t="shared" si="3"/>
        <v>0</v>
      </c>
    </row>
    <row r="51" spans="1:32">
      <c r="A51" s="380">
        <v>42</v>
      </c>
      <c r="C51" s="14" t="s">
        <v>1319</v>
      </c>
      <c r="D51" s="385" t="s">
        <v>841</v>
      </c>
      <c r="E51" s="386">
        <v>12647.45</v>
      </c>
      <c r="F51" s="386">
        <v>997.31000000000006</v>
      </c>
      <c r="G51" s="386">
        <v>12647.45</v>
      </c>
      <c r="H51" s="386">
        <v>1050.01</v>
      </c>
      <c r="I51" s="386">
        <v>12647.45</v>
      </c>
      <c r="J51" s="386">
        <v>1102.71</v>
      </c>
      <c r="K51" s="386">
        <v>12647.45</v>
      </c>
      <c r="L51" s="386">
        <v>1155.4100000000001</v>
      </c>
      <c r="M51" s="386">
        <v>12647.45</v>
      </c>
      <c r="N51" s="386">
        <v>1208.1100000000001</v>
      </c>
      <c r="O51" s="386">
        <v>12647.45</v>
      </c>
      <c r="P51" s="386">
        <v>1260.81</v>
      </c>
      <c r="Q51" s="386">
        <v>12647.45</v>
      </c>
      <c r="R51" s="386">
        <v>1313.51</v>
      </c>
      <c r="S51" s="386">
        <v>12647.45</v>
      </c>
      <c r="T51" s="386">
        <v>1366.21</v>
      </c>
      <c r="U51" s="386">
        <v>12647.45</v>
      </c>
      <c r="V51" s="386">
        <v>1418.91</v>
      </c>
      <c r="W51" s="386">
        <v>12647.45</v>
      </c>
      <c r="X51" s="386">
        <v>1471.6100000000001</v>
      </c>
      <c r="Y51" s="386">
        <v>12647.45</v>
      </c>
      <c r="Z51" s="386">
        <v>1524.31</v>
      </c>
      <c r="AA51" s="386">
        <v>12647.45</v>
      </c>
      <c r="AB51" s="386">
        <v>1577.01</v>
      </c>
      <c r="AC51" s="386">
        <v>12647.45</v>
      </c>
      <c r="AD51" s="386">
        <v>1629.71</v>
      </c>
      <c r="AE51" s="386">
        <f t="shared" si="3"/>
        <v>12647.449999999999</v>
      </c>
      <c r="AF51" s="386">
        <f t="shared" si="3"/>
        <v>1313.51</v>
      </c>
    </row>
    <row r="52" spans="1:32">
      <c r="A52" s="380">
        <v>43</v>
      </c>
      <c r="C52" s="14" t="s">
        <v>842</v>
      </c>
      <c r="D52" s="385" t="s">
        <v>841</v>
      </c>
      <c r="E52" s="386">
        <v>45037.37</v>
      </c>
      <c r="F52" s="386">
        <v>4597.67</v>
      </c>
      <c r="G52" s="386">
        <v>45037.37</v>
      </c>
      <c r="H52" s="386">
        <v>4691.5</v>
      </c>
      <c r="I52" s="386">
        <v>45037.37</v>
      </c>
      <c r="J52" s="386">
        <v>4785.33</v>
      </c>
      <c r="K52" s="386">
        <v>45037.37</v>
      </c>
      <c r="L52" s="386">
        <v>4879.16</v>
      </c>
      <c r="M52" s="386">
        <v>45037.37</v>
      </c>
      <c r="N52" s="386">
        <v>4972.99</v>
      </c>
      <c r="O52" s="386">
        <v>45037.37</v>
      </c>
      <c r="P52" s="386">
        <v>5066.82</v>
      </c>
      <c r="Q52" s="386">
        <v>45037.37</v>
      </c>
      <c r="R52" s="386">
        <v>5160.6500000000005</v>
      </c>
      <c r="S52" s="386">
        <v>45037.37</v>
      </c>
      <c r="T52" s="386">
        <v>5254.4800000000005</v>
      </c>
      <c r="U52" s="386">
        <v>45037.37</v>
      </c>
      <c r="V52" s="386">
        <v>5348.31</v>
      </c>
      <c r="W52" s="386">
        <v>45037.37</v>
      </c>
      <c r="X52" s="386">
        <v>5442.14</v>
      </c>
      <c r="Y52" s="386">
        <v>45037.37</v>
      </c>
      <c r="Z52" s="386">
        <v>5535.97</v>
      </c>
      <c r="AA52" s="386">
        <v>45037.37</v>
      </c>
      <c r="AB52" s="386">
        <v>5629.8</v>
      </c>
      <c r="AC52" s="386">
        <v>45037.37</v>
      </c>
      <c r="AD52" s="386">
        <v>5723.63</v>
      </c>
      <c r="AE52" s="386">
        <f t="shared" si="3"/>
        <v>45037.37</v>
      </c>
      <c r="AF52" s="386">
        <f t="shared" si="3"/>
        <v>5160.6500000000005</v>
      </c>
    </row>
    <row r="53" spans="1:32">
      <c r="A53" s="380">
        <v>44</v>
      </c>
      <c r="C53" s="14" t="s">
        <v>843</v>
      </c>
      <c r="D53" s="14" t="s">
        <v>841</v>
      </c>
      <c r="E53" s="386">
        <v>1218966.19</v>
      </c>
      <c r="F53" s="386">
        <v>95962.38</v>
      </c>
      <c r="G53" s="386">
        <v>1218966.19</v>
      </c>
      <c r="H53" s="386">
        <v>98501.89</v>
      </c>
      <c r="I53" s="386">
        <v>1218966.19</v>
      </c>
      <c r="J53" s="386">
        <v>101041.40000000001</v>
      </c>
      <c r="K53" s="386">
        <v>1218966.19</v>
      </c>
      <c r="L53" s="386">
        <v>103580.91</v>
      </c>
      <c r="M53" s="386">
        <v>1218966.19</v>
      </c>
      <c r="N53" s="386">
        <v>106120.42</v>
      </c>
      <c r="O53" s="386">
        <v>1218966.19</v>
      </c>
      <c r="P53" s="386">
        <v>108659.93000000001</v>
      </c>
      <c r="Q53" s="386">
        <v>1218966.19</v>
      </c>
      <c r="R53" s="386">
        <v>111199.44</v>
      </c>
      <c r="S53" s="386">
        <v>1218966.19</v>
      </c>
      <c r="T53" s="386">
        <v>113738.95</v>
      </c>
      <c r="U53" s="386">
        <v>1218966.19</v>
      </c>
      <c r="V53" s="386">
        <v>116278.46</v>
      </c>
      <c r="W53" s="386">
        <v>1218966.19</v>
      </c>
      <c r="X53" s="386">
        <v>118817.97</v>
      </c>
      <c r="Y53" s="386">
        <v>1218966.19</v>
      </c>
      <c r="Z53" s="386">
        <v>121357.48</v>
      </c>
      <c r="AA53" s="386">
        <v>1218966.19</v>
      </c>
      <c r="AB53" s="386">
        <v>123896.99</v>
      </c>
      <c r="AC53" s="386">
        <v>1218966.19</v>
      </c>
      <c r="AD53" s="386">
        <v>126436.5</v>
      </c>
      <c r="AE53" s="386">
        <f t="shared" si="3"/>
        <v>1218966.1899999997</v>
      </c>
      <c r="AF53" s="386">
        <f t="shared" si="3"/>
        <v>111199.43999999999</v>
      </c>
    </row>
    <row r="54" spans="1:32">
      <c r="A54" s="380">
        <v>45</v>
      </c>
      <c r="C54" s="14" t="s">
        <v>1320</v>
      </c>
      <c r="D54" s="14" t="s">
        <v>841</v>
      </c>
      <c r="E54" s="386">
        <v>2333239.5300000003</v>
      </c>
      <c r="F54" s="386">
        <v>57023.64</v>
      </c>
      <c r="G54" s="386">
        <v>2333239.5300000003</v>
      </c>
      <c r="H54" s="386">
        <v>61884.56</v>
      </c>
      <c r="I54" s="386">
        <v>2333239.5300000003</v>
      </c>
      <c r="J54" s="386">
        <v>66745.48</v>
      </c>
      <c r="K54" s="386">
        <v>2333239.5300000003</v>
      </c>
      <c r="L54" s="386">
        <v>71606.400000000009</v>
      </c>
      <c r="M54" s="386">
        <v>2333239.5300000003</v>
      </c>
      <c r="N54" s="386">
        <v>76467.320000000007</v>
      </c>
      <c r="O54" s="386">
        <v>2333239.5300000003</v>
      </c>
      <c r="P54" s="386">
        <v>81328.240000000005</v>
      </c>
      <c r="Q54" s="386">
        <v>2333239.5300000003</v>
      </c>
      <c r="R54" s="386">
        <v>86189.16</v>
      </c>
      <c r="S54" s="386">
        <v>2333239.5300000003</v>
      </c>
      <c r="T54" s="386">
        <v>91050.08</v>
      </c>
      <c r="U54" s="386">
        <v>2333239.5300000003</v>
      </c>
      <c r="V54" s="386">
        <v>95911</v>
      </c>
      <c r="W54" s="386">
        <v>2333239.5300000003</v>
      </c>
      <c r="X54" s="386">
        <v>100771.92</v>
      </c>
      <c r="Y54" s="386">
        <v>2333239.5300000003</v>
      </c>
      <c r="Z54" s="386">
        <v>105632.84</v>
      </c>
      <c r="AA54" s="386">
        <v>2333239.5300000003</v>
      </c>
      <c r="AB54" s="386">
        <v>110493.76000000001</v>
      </c>
      <c r="AC54" s="386">
        <v>2333239.5300000003</v>
      </c>
      <c r="AD54" s="386">
        <v>115354.68000000001</v>
      </c>
      <c r="AE54" s="386">
        <f t="shared" si="3"/>
        <v>2333239.5300000007</v>
      </c>
      <c r="AF54" s="386">
        <f t="shared" si="3"/>
        <v>86189.16</v>
      </c>
    </row>
    <row r="55" spans="1:32">
      <c r="A55" s="380">
        <v>46</v>
      </c>
      <c r="C55" s="14" t="s">
        <v>1321</v>
      </c>
      <c r="D55" s="14" t="s">
        <v>841</v>
      </c>
      <c r="E55" s="386">
        <v>8000.9000000000005</v>
      </c>
      <c r="F55" s="386">
        <v>66.680000000000007</v>
      </c>
      <c r="G55" s="386">
        <v>8000.9000000000005</v>
      </c>
      <c r="H55" s="386">
        <v>83.350000000000009</v>
      </c>
      <c r="I55" s="386">
        <v>8000.9000000000005</v>
      </c>
      <c r="J55" s="386">
        <v>100.02</v>
      </c>
      <c r="K55" s="386">
        <v>8000.9000000000005</v>
      </c>
      <c r="L55" s="386">
        <v>116.69</v>
      </c>
      <c r="M55" s="386">
        <v>8000.9000000000005</v>
      </c>
      <c r="N55" s="386">
        <v>133.36000000000001</v>
      </c>
      <c r="O55" s="386">
        <v>8000.9000000000005</v>
      </c>
      <c r="P55" s="386">
        <v>150.03</v>
      </c>
      <c r="Q55" s="386">
        <v>8000.9000000000005</v>
      </c>
      <c r="R55" s="386">
        <v>166.70000000000002</v>
      </c>
      <c r="S55" s="386">
        <v>8000.9000000000005</v>
      </c>
      <c r="T55" s="386">
        <v>183.37</v>
      </c>
      <c r="U55" s="386">
        <v>8000.9000000000005</v>
      </c>
      <c r="V55" s="386">
        <v>200.04</v>
      </c>
      <c r="W55" s="386">
        <v>8000.9000000000005</v>
      </c>
      <c r="X55" s="386">
        <v>216.71</v>
      </c>
      <c r="Y55" s="386">
        <v>8000.9000000000005</v>
      </c>
      <c r="Z55" s="386">
        <v>233.38</v>
      </c>
      <c r="AA55" s="386">
        <v>8000.9000000000005</v>
      </c>
      <c r="AB55" s="386">
        <v>250.05</v>
      </c>
      <c r="AC55" s="386">
        <v>8000.9000000000005</v>
      </c>
      <c r="AD55" s="386">
        <v>266.72000000000003</v>
      </c>
      <c r="AE55" s="386">
        <f t="shared" si="3"/>
        <v>8000.8999999999987</v>
      </c>
      <c r="AF55" s="386">
        <f t="shared" si="3"/>
        <v>166.70000000000002</v>
      </c>
    </row>
    <row r="56" spans="1:32">
      <c r="A56" s="380">
        <v>47</v>
      </c>
      <c r="C56" s="14" t="s">
        <v>844</v>
      </c>
      <c r="D56" s="14" t="s">
        <v>841</v>
      </c>
      <c r="E56" s="386">
        <v>211404.97</v>
      </c>
      <c r="F56" s="386">
        <v>0</v>
      </c>
      <c r="G56" s="386">
        <v>211404.97</v>
      </c>
      <c r="H56" s="386">
        <v>0</v>
      </c>
      <c r="I56" s="386">
        <v>211404.97</v>
      </c>
      <c r="J56" s="386">
        <v>0</v>
      </c>
      <c r="K56" s="386">
        <v>211404.97</v>
      </c>
      <c r="L56" s="386">
        <v>0</v>
      </c>
      <c r="M56" s="386">
        <v>211404.97</v>
      </c>
      <c r="N56" s="386">
        <v>0</v>
      </c>
      <c r="O56" s="386">
        <v>211404.97</v>
      </c>
      <c r="P56" s="386">
        <v>0</v>
      </c>
      <c r="Q56" s="386">
        <v>211404.97</v>
      </c>
      <c r="R56" s="386">
        <v>0</v>
      </c>
      <c r="S56" s="386">
        <v>211404.97</v>
      </c>
      <c r="T56" s="386">
        <v>0</v>
      </c>
      <c r="U56" s="386">
        <v>211404.97</v>
      </c>
      <c r="V56" s="386">
        <v>0</v>
      </c>
      <c r="W56" s="386">
        <v>211404.97</v>
      </c>
      <c r="X56" s="386">
        <v>0</v>
      </c>
      <c r="Y56" s="386">
        <v>211404.97</v>
      </c>
      <c r="Z56" s="386">
        <v>0</v>
      </c>
      <c r="AA56" s="386">
        <v>211404.97</v>
      </c>
      <c r="AB56" s="386">
        <v>0</v>
      </c>
      <c r="AC56" s="386">
        <v>211404.97</v>
      </c>
      <c r="AD56" s="386">
        <v>0</v>
      </c>
      <c r="AE56" s="386">
        <f t="shared" si="3"/>
        <v>211404.97000000006</v>
      </c>
      <c r="AF56" s="386">
        <f t="shared" si="3"/>
        <v>0</v>
      </c>
    </row>
    <row r="57" spans="1:32">
      <c r="A57" s="380">
        <v>48</v>
      </c>
      <c r="C57" s="14" t="s">
        <v>845</v>
      </c>
      <c r="D57" s="14" t="s">
        <v>841</v>
      </c>
      <c r="E57" s="386">
        <v>1018396.75</v>
      </c>
      <c r="F57" s="386">
        <v>793013.88</v>
      </c>
      <c r="G57" s="386">
        <v>1018396.75</v>
      </c>
      <c r="H57" s="386">
        <v>794354.77</v>
      </c>
      <c r="I57" s="386">
        <v>1018396.75</v>
      </c>
      <c r="J57" s="386">
        <v>795695.66</v>
      </c>
      <c r="K57" s="386">
        <v>1018396.75</v>
      </c>
      <c r="L57" s="386">
        <v>797036.55</v>
      </c>
      <c r="M57" s="386">
        <v>1018396.75</v>
      </c>
      <c r="N57" s="386">
        <v>798377.44000000006</v>
      </c>
      <c r="O57" s="386">
        <v>1018396.75</v>
      </c>
      <c r="P57" s="386">
        <v>799718.33000000007</v>
      </c>
      <c r="Q57" s="386">
        <v>1018396.75</v>
      </c>
      <c r="R57" s="386">
        <v>801059.22</v>
      </c>
      <c r="S57" s="386">
        <v>1018396.75</v>
      </c>
      <c r="T57" s="386">
        <v>802400.11</v>
      </c>
      <c r="U57" s="386">
        <v>1018396.75</v>
      </c>
      <c r="V57" s="386">
        <v>803741</v>
      </c>
      <c r="W57" s="386">
        <v>1018396.75</v>
      </c>
      <c r="X57" s="386">
        <v>805081.89</v>
      </c>
      <c r="Y57" s="386">
        <v>1018396.75</v>
      </c>
      <c r="Z57" s="386">
        <v>806422.78</v>
      </c>
      <c r="AA57" s="386">
        <v>1018396.75</v>
      </c>
      <c r="AB57" s="386">
        <v>807763.67</v>
      </c>
      <c r="AC57" s="386">
        <v>1018396.75</v>
      </c>
      <c r="AD57" s="386">
        <v>809104.56</v>
      </c>
      <c r="AE57" s="386">
        <f t="shared" si="3"/>
        <v>1018396.75</v>
      </c>
      <c r="AF57" s="386">
        <f t="shared" si="3"/>
        <v>801059.2200000002</v>
      </c>
    </row>
    <row r="58" spans="1:32">
      <c r="A58" s="380">
        <v>49</v>
      </c>
      <c r="C58" s="14" t="s">
        <v>846</v>
      </c>
      <c r="D58" s="14" t="s">
        <v>841</v>
      </c>
      <c r="E58" s="386">
        <v>15968181.91</v>
      </c>
      <c r="F58" s="386">
        <v>11139694.51</v>
      </c>
      <c r="G58" s="386">
        <v>15968181.91</v>
      </c>
      <c r="H58" s="386">
        <v>11163912.92</v>
      </c>
      <c r="I58" s="386">
        <v>15968181.91</v>
      </c>
      <c r="J58" s="386">
        <v>11188131.109999999</v>
      </c>
      <c r="K58" s="386">
        <v>15968181.91</v>
      </c>
      <c r="L58" s="386">
        <v>11212349.52</v>
      </c>
      <c r="M58" s="386">
        <v>15968181.91</v>
      </c>
      <c r="N58" s="386">
        <v>11236566.08</v>
      </c>
      <c r="O58" s="386">
        <v>15968181.91</v>
      </c>
      <c r="P58" s="386">
        <v>11260784.49</v>
      </c>
      <c r="Q58" s="386">
        <v>15968181.91</v>
      </c>
      <c r="R58" s="386">
        <v>11285002.9</v>
      </c>
      <c r="S58" s="386">
        <v>15968181.91</v>
      </c>
      <c r="T58" s="386">
        <v>11309221.310000001</v>
      </c>
      <c r="U58" s="386">
        <v>15968181.91</v>
      </c>
      <c r="V58" s="386">
        <v>11333439.720000001</v>
      </c>
      <c r="W58" s="386">
        <v>15900055.619999999</v>
      </c>
      <c r="X58" s="386">
        <v>11289531.84</v>
      </c>
      <c r="Y58" s="386">
        <v>15900055.619999999</v>
      </c>
      <c r="Z58" s="386">
        <v>11277498.949999999</v>
      </c>
      <c r="AA58" s="386">
        <v>15900055.619999999</v>
      </c>
      <c r="AB58" s="386">
        <v>11301575.5</v>
      </c>
      <c r="AC58" s="386">
        <v>15900055.619999999</v>
      </c>
      <c r="AD58" s="386">
        <v>11325653.23</v>
      </c>
      <c r="AE58" s="386">
        <f t="shared" si="3"/>
        <v>15948311.742083332</v>
      </c>
      <c r="AF58" s="386">
        <f t="shared" si="3"/>
        <v>11257557.350833334</v>
      </c>
    </row>
    <row r="59" spans="1:32">
      <c r="A59" s="380">
        <v>50</v>
      </c>
      <c r="C59" s="14" t="s">
        <v>847</v>
      </c>
      <c r="D59" s="14" t="s">
        <v>841</v>
      </c>
      <c r="E59" s="386">
        <v>144661.1</v>
      </c>
      <c r="F59" s="386">
        <v>154547.26</v>
      </c>
      <c r="G59" s="386">
        <v>144661.1</v>
      </c>
      <c r="H59" s="386">
        <v>154596.69</v>
      </c>
      <c r="I59" s="386">
        <v>144661.1</v>
      </c>
      <c r="J59" s="386">
        <v>154646.12</v>
      </c>
      <c r="K59" s="386">
        <v>144661.1</v>
      </c>
      <c r="L59" s="386">
        <v>154695.55000000002</v>
      </c>
      <c r="M59" s="386">
        <v>144661.1</v>
      </c>
      <c r="N59" s="386">
        <v>154744.98000000001</v>
      </c>
      <c r="O59" s="386">
        <v>144661.1</v>
      </c>
      <c r="P59" s="386">
        <v>154794.41</v>
      </c>
      <c r="Q59" s="386">
        <v>144661.1</v>
      </c>
      <c r="R59" s="386">
        <v>154843.84</v>
      </c>
      <c r="S59" s="386">
        <v>144661.1</v>
      </c>
      <c r="T59" s="386">
        <v>154893.26999999999</v>
      </c>
      <c r="U59" s="386">
        <v>144661.1</v>
      </c>
      <c r="V59" s="386">
        <v>154942.70000000001</v>
      </c>
      <c r="W59" s="386">
        <v>144661.1</v>
      </c>
      <c r="X59" s="386">
        <v>154992.13</v>
      </c>
      <c r="Y59" s="386">
        <v>144661.1</v>
      </c>
      <c r="Z59" s="386">
        <v>155041.56</v>
      </c>
      <c r="AA59" s="386">
        <v>144661.1</v>
      </c>
      <c r="AB59" s="386">
        <v>155090.99</v>
      </c>
      <c r="AC59" s="386">
        <v>144661.1</v>
      </c>
      <c r="AD59" s="386">
        <v>155140.42000000001</v>
      </c>
      <c r="AE59" s="386">
        <f t="shared" si="3"/>
        <v>144661.10000000003</v>
      </c>
      <c r="AF59" s="386">
        <f t="shared" si="3"/>
        <v>154843.84</v>
      </c>
    </row>
    <row r="60" spans="1:32">
      <c r="A60" s="380">
        <v>51</v>
      </c>
      <c r="C60" s="14" t="s">
        <v>848</v>
      </c>
      <c r="D60" s="14" t="s">
        <v>841</v>
      </c>
      <c r="E60" s="386">
        <v>1922322.92</v>
      </c>
      <c r="F60" s="386">
        <v>712240.43</v>
      </c>
      <c r="G60" s="386">
        <v>1922322.92</v>
      </c>
      <c r="H60" s="386">
        <v>715252.07000000007</v>
      </c>
      <c r="I60" s="386">
        <v>1922322.92</v>
      </c>
      <c r="J60" s="386">
        <v>718263.71</v>
      </c>
      <c r="K60" s="386">
        <v>1922322.92</v>
      </c>
      <c r="L60" s="386">
        <v>721275.35</v>
      </c>
      <c r="M60" s="386">
        <v>1922322.92</v>
      </c>
      <c r="N60" s="386">
        <v>724286.99</v>
      </c>
      <c r="O60" s="386">
        <v>1922322.92</v>
      </c>
      <c r="P60" s="386">
        <v>727298.63</v>
      </c>
      <c r="Q60" s="386">
        <v>1922322.92</v>
      </c>
      <c r="R60" s="386">
        <v>730310.27</v>
      </c>
      <c r="S60" s="386">
        <v>1922322.92</v>
      </c>
      <c r="T60" s="386">
        <v>733321.91</v>
      </c>
      <c r="U60" s="386">
        <v>1922322.92</v>
      </c>
      <c r="V60" s="386">
        <v>736333.55</v>
      </c>
      <c r="W60" s="386">
        <v>1922322.92</v>
      </c>
      <c r="X60" s="386">
        <v>739345.19000000006</v>
      </c>
      <c r="Y60" s="386">
        <v>1922322.92</v>
      </c>
      <c r="Z60" s="386">
        <v>742356.83</v>
      </c>
      <c r="AA60" s="386">
        <v>1922322.92</v>
      </c>
      <c r="AB60" s="386">
        <v>745368.47</v>
      </c>
      <c r="AC60" s="386">
        <v>1922322.92</v>
      </c>
      <c r="AD60" s="386">
        <v>748380.11</v>
      </c>
      <c r="AE60" s="386">
        <f t="shared" si="3"/>
        <v>1922322.9200000006</v>
      </c>
      <c r="AF60" s="386">
        <f t="shared" si="3"/>
        <v>730310.27</v>
      </c>
    </row>
    <row r="61" spans="1:32">
      <c r="A61" s="380">
        <v>52</v>
      </c>
      <c r="C61" s="14" t="s">
        <v>849</v>
      </c>
      <c r="D61" s="14" t="s">
        <v>841</v>
      </c>
      <c r="E61" s="386">
        <v>268634.66000000003</v>
      </c>
      <c r="F61" s="386">
        <v>183.54</v>
      </c>
      <c r="G61" s="386">
        <v>268634.66000000003</v>
      </c>
      <c r="H61" s="386">
        <v>183.54</v>
      </c>
      <c r="I61" s="386">
        <v>268634.66000000003</v>
      </c>
      <c r="J61" s="386">
        <v>183.54</v>
      </c>
      <c r="K61" s="386">
        <v>268634.66000000003</v>
      </c>
      <c r="L61" s="386">
        <v>183.54</v>
      </c>
      <c r="M61" s="386">
        <v>325865.8</v>
      </c>
      <c r="N61" s="386">
        <v>613.48</v>
      </c>
      <c r="O61" s="386">
        <v>325865.8</v>
      </c>
      <c r="P61" s="386">
        <v>613.48</v>
      </c>
      <c r="Q61" s="386">
        <v>325865.8</v>
      </c>
      <c r="R61" s="386">
        <v>613.48</v>
      </c>
      <c r="S61" s="386">
        <v>316965.8</v>
      </c>
      <c r="T61" s="386">
        <v>613.48</v>
      </c>
      <c r="U61" s="386">
        <v>316965.8</v>
      </c>
      <c r="V61" s="386">
        <v>613.48</v>
      </c>
      <c r="W61" s="386">
        <v>316965.8</v>
      </c>
      <c r="X61" s="386">
        <v>613.48</v>
      </c>
      <c r="Y61" s="386">
        <v>316965.8</v>
      </c>
      <c r="Z61" s="386">
        <v>613.48</v>
      </c>
      <c r="AA61" s="386">
        <v>316965.8</v>
      </c>
      <c r="AB61" s="386">
        <v>613.48</v>
      </c>
      <c r="AC61" s="386">
        <v>316965.8</v>
      </c>
      <c r="AD61" s="386">
        <v>613.48</v>
      </c>
      <c r="AE61" s="386">
        <f t="shared" si="3"/>
        <v>305094.21749999997</v>
      </c>
      <c r="AF61" s="386">
        <f t="shared" si="3"/>
        <v>488.08083333333326</v>
      </c>
    </row>
    <row r="62" spans="1:32">
      <c r="A62" s="380">
        <v>53</v>
      </c>
      <c r="C62" s="14" t="s">
        <v>850</v>
      </c>
      <c r="D62" s="14" t="s">
        <v>841</v>
      </c>
      <c r="E62" s="386">
        <v>702922.71</v>
      </c>
      <c r="F62" s="386">
        <v>671550.31</v>
      </c>
      <c r="G62" s="386">
        <v>702922.71</v>
      </c>
      <c r="H62" s="386">
        <v>672264.95000000007</v>
      </c>
      <c r="I62" s="386">
        <v>702922.71</v>
      </c>
      <c r="J62" s="386">
        <v>672979.59</v>
      </c>
      <c r="K62" s="386">
        <v>702922.71</v>
      </c>
      <c r="L62" s="386">
        <v>673694.23</v>
      </c>
      <c r="M62" s="386">
        <v>702922.71</v>
      </c>
      <c r="N62" s="386">
        <v>674408.87</v>
      </c>
      <c r="O62" s="386">
        <v>702922.71</v>
      </c>
      <c r="P62" s="386">
        <v>675123.51</v>
      </c>
      <c r="Q62" s="386">
        <v>702922.71</v>
      </c>
      <c r="R62" s="386">
        <v>675838.15</v>
      </c>
      <c r="S62" s="386">
        <v>702922.71</v>
      </c>
      <c r="T62" s="386">
        <v>676552.79</v>
      </c>
      <c r="U62" s="386">
        <v>702922.71</v>
      </c>
      <c r="V62" s="386">
        <v>677267.43</v>
      </c>
      <c r="W62" s="386">
        <v>702922.71</v>
      </c>
      <c r="X62" s="386">
        <v>677982.07000000007</v>
      </c>
      <c r="Y62" s="386">
        <v>702922.71</v>
      </c>
      <c r="Z62" s="386">
        <v>678696.71</v>
      </c>
      <c r="AA62" s="386">
        <v>702922.71</v>
      </c>
      <c r="AB62" s="386">
        <v>679411.35</v>
      </c>
      <c r="AC62" s="386">
        <v>702922.71</v>
      </c>
      <c r="AD62" s="386">
        <v>680125.99</v>
      </c>
      <c r="AE62" s="386">
        <f t="shared" si="3"/>
        <v>702922.71</v>
      </c>
      <c r="AF62" s="386">
        <f t="shared" si="3"/>
        <v>675838.15</v>
      </c>
    </row>
    <row r="63" spans="1:32">
      <c r="A63" s="380">
        <v>54</v>
      </c>
      <c r="C63" s="14" t="s">
        <v>851</v>
      </c>
      <c r="D63" s="14" t="s">
        <v>841</v>
      </c>
      <c r="E63" s="386">
        <v>152081117.31999999</v>
      </c>
      <c r="F63" s="386">
        <v>35767901.090000004</v>
      </c>
      <c r="G63" s="386">
        <v>152285876.18000001</v>
      </c>
      <c r="H63" s="386">
        <v>35807696.740000002</v>
      </c>
      <c r="I63" s="386">
        <v>152383338.86000001</v>
      </c>
      <c r="J63" s="386">
        <v>35966327.859999999</v>
      </c>
      <c r="K63" s="386">
        <v>152545252</v>
      </c>
      <c r="L63" s="386">
        <v>36124700.659999996</v>
      </c>
      <c r="M63" s="386">
        <v>152635695.47</v>
      </c>
      <c r="N63" s="386">
        <v>36283297.619999997</v>
      </c>
      <c r="O63" s="386">
        <v>152533201.38</v>
      </c>
      <c r="P63" s="386">
        <v>36316353.399999999</v>
      </c>
      <c r="Q63" s="386">
        <v>152584663.47999999</v>
      </c>
      <c r="R63" s="386">
        <v>36475242.149999999</v>
      </c>
      <c r="S63" s="386">
        <v>152894625.53</v>
      </c>
      <c r="T63" s="386">
        <v>36634184.509999998</v>
      </c>
      <c r="U63" s="386">
        <v>152672504.81999999</v>
      </c>
      <c r="V63" s="386">
        <v>36790426.789999999</v>
      </c>
      <c r="W63" s="386">
        <v>152717699.28999999</v>
      </c>
      <c r="X63" s="386">
        <v>36949460.649999999</v>
      </c>
      <c r="Y63" s="386">
        <v>153253677.31</v>
      </c>
      <c r="Z63" s="386">
        <v>37095357.270000003</v>
      </c>
      <c r="AA63" s="386">
        <v>155549589.37</v>
      </c>
      <c r="AB63" s="386">
        <v>37248965.939999998</v>
      </c>
      <c r="AC63" s="386">
        <v>159069534.16</v>
      </c>
      <c r="AD63" s="386">
        <v>37410983.57</v>
      </c>
      <c r="AE63" s="386">
        <f t="shared" si="3"/>
        <v>153135954.11916667</v>
      </c>
      <c r="AF63" s="386">
        <f t="shared" si="3"/>
        <v>36523454.659999996</v>
      </c>
    </row>
    <row r="64" spans="1:32">
      <c r="A64" s="380">
        <v>55</v>
      </c>
      <c r="C64" s="14" t="s">
        <v>852</v>
      </c>
      <c r="D64" s="14" t="s">
        <v>841</v>
      </c>
      <c r="E64" s="386">
        <v>136092339.77000001</v>
      </c>
      <c r="F64" s="386">
        <v>38451996.719999999</v>
      </c>
      <c r="G64" s="386">
        <v>137006519.52000001</v>
      </c>
      <c r="H64" s="386">
        <v>38910162.18</v>
      </c>
      <c r="I64" s="386">
        <v>137612464.56999999</v>
      </c>
      <c r="J64" s="386">
        <v>39379777.189999998</v>
      </c>
      <c r="K64" s="386">
        <v>138162323.05000001</v>
      </c>
      <c r="L64" s="386">
        <v>39842535.009999998</v>
      </c>
      <c r="M64" s="386">
        <v>138840522.22999999</v>
      </c>
      <c r="N64" s="386">
        <v>40308454.850000001</v>
      </c>
      <c r="O64" s="386">
        <v>140704316.47</v>
      </c>
      <c r="P64" s="386">
        <v>40785503.18</v>
      </c>
      <c r="Q64" s="386">
        <v>141664246.24000001</v>
      </c>
      <c r="R64" s="386">
        <v>41266233.960000001</v>
      </c>
      <c r="S64" s="386">
        <v>142461885.88999999</v>
      </c>
      <c r="T64" s="386">
        <v>41751850.579999998</v>
      </c>
      <c r="U64" s="386">
        <v>143506434.94</v>
      </c>
      <c r="V64" s="386">
        <v>42242156.899999999</v>
      </c>
      <c r="W64" s="386">
        <v>145731909.34999999</v>
      </c>
      <c r="X64" s="386">
        <v>42736058.210000001</v>
      </c>
      <c r="Y64" s="386">
        <v>148303899.88</v>
      </c>
      <c r="Z64" s="386">
        <v>43227156.189999998</v>
      </c>
      <c r="AA64" s="386">
        <v>149221778.66999999</v>
      </c>
      <c r="AB64" s="386">
        <v>43734678.659999996</v>
      </c>
      <c r="AC64" s="386">
        <v>151836907.28999999</v>
      </c>
      <c r="AD64" s="386">
        <v>44242872.240000002</v>
      </c>
      <c r="AE64" s="386">
        <f t="shared" si="3"/>
        <v>142265077.02833334</v>
      </c>
      <c r="AF64" s="386">
        <f t="shared" si="3"/>
        <v>41294333.449166663</v>
      </c>
    </row>
    <row r="65" spans="1:32">
      <c r="A65" s="380">
        <v>56</v>
      </c>
      <c r="C65" s="14" t="s">
        <v>853</v>
      </c>
      <c r="D65" s="14" t="s">
        <v>841</v>
      </c>
      <c r="E65" s="386">
        <v>116563175.39</v>
      </c>
      <c r="F65" s="386">
        <v>82978755.939999998</v>
      </c>
      <c r="G65" s="386">
        <v>116699053.47</v>
      </c>
      <c r="H65" s="386">
        <v>83188926.189999998</v>
      </c>
      <c r="I65" s="386">
        <v>116700326.02</v>
      </c>
      <c r="J65" s="386">
        <v>83386878.290000007</v>
      </c>
      <c r="K65" s="386">
        <v>116789435.97</v>
      </c>
      <c r="L65" s="386">
        <v>83595230.420000002</v>
      </c>
      <c r="M65" s="386">
        <v>116804618.29000001</v>
      </c>
      <c r="N65" s="386">
        <v>83785901.310000002</v>
      </c>
      <c r="O65" s="386">
        <v>116789795.88</v>
      </c>
      <c r="P65" s="386">
        <v>83905115.900000006</v>
      </c>
      <c r="Q65" s="386">
        <v>116864730.40000001</v>
      </c>
      <c r="R65" s="386">
        <v>84117908.700000003</v>
      </c>
      <c r="S65" s="386">
        <v>116979841.54000001</v>
      </c>
      <c r="T65" s="386">
        <v>84271864.430000007</v>
      </c>
      <c r="U65" s="386">
        <v>117271774.18000001</v>
      </c>
      <c r="V65" s="386">
        <v>84477890.290000007</v>
      </c>
      <c r="W65" s="386">
        <v>117750554.17</v>
      </c>
      <c r="X65" s="386">
        <v>84681237.549999997</v>
      </c>
      <c r="Y65" s="386">
        <v>117973295.04000001</v>
      </c>
      <c r="Z65" s="386">
        <v>84887392.069999993</v>
      </c>
      <c r="AA65" s="386">
        <v>118237750.54000001</v>
      </c>
      <c r="AB65" s="386">
        <v>85057431.269999996</v>
      </c>
      <c r="AC65" s="386">
        <v>118986847.06999999</v>
      </c>
      <c r="AD65" s="386">
        <v>85235842.780000001</v>
      </c>
      <c r="AE65" s="386">
        <f t="shared" si="3"/>
        <v>117219682.22750001</v>
      </c>
      <c r="AF65" s="386">
        <f t="shared" si="3"/>
        <v>84121922.981666654</v>
      </c>
    </row>
    <row r="66" spans="1:32">
      <c r="A66" s="380">
        <v>57</v>
      </c>
      <c r="C66" s="14" t="s">
        <v>854</v>
      </c>
      <c r="D66" s="14" t="s">
        <v>841</v>
      </c>
      <c r="E66" s="386">
        <v>2097766.77</v>
      </c>
      <c r="F66" s="386">
        <v>1463846.94</v>
      </c>
      <c r="G66" s="386">
        <v>2097766.77</v>
      </c>
      <c r="H66" s="386">
        <v>1466958.63</v>
      </c>
      <c r="I66" s="386">
        <v>2097766.77</v>
      </c>
      <c r="J66" s="386">
        <v>1470070.32</v>
      </c>
      <c r="K66" s="386">
        <v>2097766.77</v>
      </c>
      <c r="L66" s="386">
        <v>1473182.01</v>
      </c>
      <c r="M66" s="386">
        <v>2097766.77</v>
      </c>
      <c r="N66" s="386">
        <v>1476293.7</v>
      </c>
      <c r="O66" s="386">
        <v>2097766.77</v>
      </c>
      <c r="P66" s="386">
        <v>1479405.3900000001</v>
      </c>
      <c r="Q66" s="386">
        <v>2097766.77</v>
      </c>
      <c r="R66" s="386">
        <v>1482517.08</v>
      </c>
      <c r="S66" s="386">
        <v>2097766.77</v>
      </c>
      <c r="T66" s="386">
        <v>1485628.77</v>
      </c>
      <c r="U66" s="386">
        <v>2097766.77</v>
      </c>
      <c r="V66" s="386">
        <v>1488740.46</v>
      </c>
      <c r="W66" s="386">
        <v>2097766.77</v>
      </c>
      <c r="X66" s="386">
        <v>1491852.15</v>
      </c>
      <c r="Y66" s="386">
        <v>2097766.77</v>
      </c>
      <c r="Z66" s="386">
        <v>1494963.84</v>
      </c>
      <c r="AA66" s="386">
        <v>2097766.77</v>
      </c>
      <c r="AB66" s="386">
        <v>1498075.53</v>
      </c>
      <c r="AC66" s="386">
        <v>2097766.77</v>
      </c>
      <c r="AD66" s="386">
        <v>1501187.22</v>
      </c>
      <c r="AE66" s="386">
        <f t="shared" si="3"/>
        <v>2097766.77</v>
      </c>
      <c r="AF66" s="386">
        <f t="shared" si="3"/>
        <v>1482517.08</v>
      </c>
    </row>
    <row r="67" spans="1:32">
      <c r="A67" s="380">
        <v>58</v>
      </c>
      <c r="C67" s="14" t="s">
        <v>855</v>
      </c>
      <c r="D67" s="14" t="s">
        <v>841</v>
      </c>
      <c r="E67" s="386">
        <v>22436101.879999999</v>
      </c>
      <c r="F67" s="386">
        <v>5987789.96</v>
      </c>
      <c r="G67" s="386">
        <v>22415457.609999999</v>
      </c>
      <c r="H67" s="386">
        <v>6018279.5999999996</v>
      </c>
      <c r="I67" s="386">
        <v>22449834.93</v>
      </c>
      <c r="J67" s="386">
        <v>6051815.3899999997</v>
      </c>
      <c r="K67" s="386">
        <v>22558546.760000002</v>
      </c>
      <c r="L67" s="386">
        <v>6087735.1299999999</v>
      </c>
      <c r="M67" s="386">
        <v>22498581.940000001</v>
      </c>
      <c r="N67" s="386">
        <v>6119546.3799999999</v>
      </c>
      <c r="O67" s="386">
        <v>22507090.149999999</v>
      </c>
      <c r="P67" s="386">
        <v>6117780.5099999998</v>
      </c>
      <c r="Q67" s="386">
        <v>23436311.629999999</v>
      </c>
      <c r="R67" s="386">
        <v>6153320.9199999999</v>
      </c>
      <c r="S67" s="386">
        <v>23520464.469999999</v>
      </c>
      <c r="T67" s="386">
        <v>6186702.2599999998</v>
      </c>
      <c r="U67" s="386">
        <v>23606781.100000001</v>
      </c>
      <c r="V67" s="386">
        <v>6174680</v>
      </c>
      <c r="W67" s="386">
        <v>24157840.940000001</v>
      </c>
      <c r="X67" s="386">
        <v>6212450.8499999996</v>
      </c>
      <c r="Y67" s="386">
        <v>24242516.460000001</v>
      </c>
      <c r="Z67" s="386">
        <v>6220048.04</v>
      </c>
      <c r="AA67" s="386">
        <v>24548567.699999999</v>
      </c>
      <c r="AB67" s="386">
        <v>6228926.6500000004</v>
      </c>
      <c r="AC67" s="386">
        <v>25599862.800000001</v>
      </c>
      <c r="AD67" s="386">
        <v>6268204.3600000003</v>
      </c>
      <c r="AE67" s="386">
        <f t="shared" si="3"/>
        <v>23329998.002499998</v>
      </c>
      <c r="AF67" s="386">
        <f t="shared" si="3"/>
        <v>6141606.9074999997</v>
      </c>
    </row>
    <row r="68" spans="1:32">
      <c r="A68" s="380">
        <v>59</v>
      </c>
      <c r="C68" s="14" t="s">
        <v>856</v>
      </c>
      <c r="D68" s="14" t="s">
        <v>841</v>
      </c>
      <c r="E68" s="386">
        <v>130923599.2</v>
      </c>
      <c r="F68" s="386">
        <v>49663854.890000001</v>
      </c>
      <c r="G68" s="386">
        <v>132332881.73</v>
      </c>
      <c r="H68" s="386">
        <v>50076063.969999999</v>
      </c>
      <c r="I68" s="386">
        <v>133094871.36</v>
      </c>
      <c r="J68" s="386">
        <v>50486820.909999996</v>
      </c>
      <c r="K68" s="386">
        <v>133983648.92</v>
      </c>
      <c r="L68" s="386">
        <v>50906646.460000001</v>
      </c>
      <c r="M68" s="386">
        <v>134936279.41</v>
      </c>
      <c r="N68" s="386">
        <v>51330840.289999999</v>
      </c>
      <c r="O68" s="386">
        <v>136394856.5</v>
      </c>
      <c r="P68" s="386">
        <v>51759981.020000003</v>
      </c>
      <c r="Q68" s="386">
        <v>137743445.83000001</v>
      </c>
      <c r="R68" s="386">
        <v>52187847.490000002</v>
      </c>
      <c r="S68" s="386">
        <v>139037096.52000001</v>
      </c>
      <c r="T68" s="386">
        <v>52622138.159999996</v>
      </c>
      <c r="U68" s="386">
        <v>140108686.43000001</v>
      </c>
      <c r="V68" s="386">
        <v>53067273.030000001</v>
      </c>
      <c r="W68" s="386">
        <v>141392550.86000001</v>
      </c>
      <c r="X68" s="386">
        <v>53519768</v>
      </c>
      <c r="Y68" s="386">
        <v>143370497.22999999</v>
      </c>
      <c r="Z68" s="386">
        <v>53968448.850000001</v>
      </c>
      <c r="AA68" s="386">
        <v>144375197.65000001</v>
      </c>
      <c r="AB68" s="386">
        <v>54408081.259999998</v>
      </c>
      <c r="AC68" s="386">
        <v>146616703.03999999</v>
      </c>
      <c r="AD68" s="386">
        <v>54842146.780000001</v>
      </c>
      <c r="AE68" s="386">
        <f t="shared" si="3"/>
        <v>137961680.29666665</v>
      </c>
      <c r="AF68" s="386">
        <f t="shared" si="3"/>
        <v>52215575.856249996</v>
      </c>
    </row>
    <row r="69" spans="1:32">
      <c r="A69" s="380">
        <v>60</v>
      </c>
      <c r="C69" s="14" t="s">
        <v>857</v>
      </c>
      <c r="D69" s="14" t="s">
        <v>841</v>
      </c>
      <c r="E69" s="386">
        <v>62228709.439999998</v>
      </c>
      <c r="F69" s="386">
        <v>93345534.5</v>
      </c>
      <c r="G69" s="386">
        <v>62177550.359999999</v>
      </c>
      <c r="H69" s="386">
        <v>93423761.219999999</v>
      </c>
      <c r="I69" s="386">
        <v>62163585.369999997</v>
      </c>
      <c r="J69" s="386">
        <v>93474597</v>
      </c>
      <c r="K69" s="386">
        <v>62156756.439999998</v>
      </c>
      <c r="L69" s="386">
        <v>93636493.230000004</v>
      </c>
      <c r="M69" s="386">
        <v>62144887.159999996</v>
      </c>
      <c r="N69" s="386">
        <v>93775015.409999996</v>
      </c>
      <c r="O69" s="386">
        <v>62144888.009999998</v>
      </c>
      <c r="P69" s="386">
        <v>93886522.650000006</v>
      </c>
      <c r="Q69" s="386">
        <v>62143627.539999999</v>
      </c>
      <c r="R69" s="386">
        <v>94025528.219999999</v>
      </c>
      <c r="S69" s="386">
        <v>62143627.600000001</v>
      </c>
      <c r="T69" s="386">
        <v>94124275.239999995</v>
      </c>
      <c r="U69" s="386">
        <v>62141310.5</v>
      </c>
      <c r="V69" s="386">
        <v>94275793.319999993</v>
      </c>
      <c r="W69" s="386">
        <v>62143085.75</v>
      </c>
      <c r="X69" s="386">
        <v>94438119.299999997</v>
      </c>
      <c r="Y69" s="386">
        <v>62167487.270000003</v>
      </c>
      <c r="Z69" s="386">
        <v>94565449.409999996</v>
      </c>
      <c r="AA69" s="386">
        <v>62152142.090000004</v>
      </c>
      <c r="AB69" s="386">
        <v>94506664.209999993</v>
      </c>
      <c r="AC69" s="386">
        <v>62126401.859999999</v>
      </c>
      <c r="AD69" s="386">
        <v>94458601.310000002</v>
      </c>
      <c r="AE69" s="386">
        <f t="shared" si="3"/>
        <v>62154708.645000003</v>
      </c>
      <c r="AF69" s="386">
        <f t="shared" si="3"/>
        <v>94002857.259583339</v>
      </c>
    </row>
    <row r="70" spans="1:32">
      <c r="A70" s="380">
        <v>61</v>
      </c>
      <c r="C70" s="14" t="s">
        <v>858</v>
      </c>
      <c r="D70" s="14" t="s">
        <v>841</v>
      </c>
      <c r="E70" s="386">
        <v>0</v>
      </c>
      <c r="F70" s="386">
        <v>0.01</v>
      </c>
      <c r="G70" s="386">
        <v>0</v>
      </c>
      <c r="H70" s="386">
        <v>0.01</v>
      </c>
      <c r="I70" s="386">
        <v>0</v>
      </c>
      <c r="J70" s="386">
        <v>0.01</v>
      </c>
      <c r="K70" s="386">
        <v>0</v>
      </c>
      <c r="L70" s="386">
        <v>0.01</v>
      </c>
      <c r="M70" s="386">
        <v>0</v>
      </c>
      <c r="N70" s="386">
        <v>0.01</v>
      </c>
      <c r="O70" s="386">
        <v>0</v>
      </c>
      <c r="P70" s="386">
        <v>0.01</v>
      </c>
      <c r="Q70" s="386">
        <v>0</v>
      </c>
      <c r="R70" s="386">
        <v>0.01</v>
      </c>
      <c r="S70" s="386">
        <v>0</v>
      </c>
      <c r="T70" s="386">
        <v>0.01</v>
      </c>
      <c r="U70" s="386">
        <v>0</v>
      </c>
      <c r="V70" s="386">
        <v>0.01</v>
      </c>
      <c r="W70" s="386">
        <v>0</v>
      </c>
      <c r="X70" s="386">
        <v>0.01</v>
      </c>
      <c r="Y70" s="386">
        <v>0</v>
      </c>
      <c r="Z70" s="386">
        <v>0.01</v>
      </c>
      <c r="AA70" s="386">
        <v>0</v>
      </c>
      <c r="AB70" s="386">
        <v>0.01</v>
      </c>
      <c r="AC70" s="386">
        <v>0</v>
      </c>
      <c r="AD70" s="386">
        <v>0.01</v>
      </c>
      <c r="AE70" s="386">
        <f t="shared" si="3"/>
        <v>0</v>
      </c>
      <c r="AF70" s="386">
        <f t="shared" si="3"/>
        <v>9.9999999999999985E-3</v>
      </c>
    </row>
    <row r="71" spans="1:32">
      <c r="A71" s="380">
        <v>62</v>
      </c>
      <c r="C71" s="14" t="s">
        <v>859</v>
      </c>
      <c r="D71" s="14" t="s">
        <v>841</v>
      </c>
      <c r="E71" s="386">
        <v>23995708.359999999</v>
      </c>
      <c r="F71" s="386">
        <v>11207165</v>
      </c>
      <c r="G71" s="386">
        <v>24009499.109999999</v>
      </c>
      <c r="H71" s="386">
        <v>11244018.880000001</v>
      </c>
      <c r="I71" s="386">
        <v>24028445.699999999</v>
      </c>
      <c r="J71" s="386">
        <v>11277197.380000001</v>
      </c>
      <c r="K71" s="386">
        <v>24046225.010000002</v>
      </c>
      <c r="L71" s="386">
        <v>11313809.380000001</v>
      </c>
      <c r="M71" s="386">
        <v>24040527.699999999</v>
      </c>
      <c r="N71" s="386">
        <v>11333367.210000001</v>
      </c>
      <c r="O71" s="386">
        <v>24074886.859999999</v>
      </c>
      <c r="P71" s="386">
        <v>11370320.949999999</v>
      </c>
      <c r="Q71" s="386">
        <v>24091655.710000001</v>
      </c>
      <c r="R71" s="386">
        <v>11407511.59</v>
      </c>
      <c r="S71" s="386">
        <v>24106981.829999998</v>
      </c>
      <c r="T71" s="386">
        <v>11444547.720000001</v>
      </c>
      <c r="U71" s="386">
        <v>24110435.620000001</v>
      </c>
      <c r="V71" s="386">
        <v>11470461.039999999</v>
      </c>
      <c r="W71" s="386">
        <v>24120106.18</v>
      </c>
      <c r="X71" s="386">
        <v>11507832.220000001</v>
      </c>
      <c r="Y71" s="386">
        <v>24143286.52</v>
      </c>
      <c r="Z71" s="386">
        <v>11544598.16</v>
      </c>
      <c r="AA71" s="386">
        <v>24151932.48</v>
      </c>
      <c r="AB71" s="386">
        <v>11577400.66</v>
      </c>
      <c r="AC71" s="386">
        <v>24129820.09</v>
      </c>
      <c r="AD71" s="386">
        <v>11609933</v>
      </c>
      <c r="AE71" s="386">
        <f t="shared" si="3"/>
        <v>24082228.912083339</v>
      </c>
      <c r="AF71" s="386">
        <f t="shared" si="3"/>
        <v>11408301.182499999</v>
      </c>
    </row>
    <row r="72" spans="1:32">
      <c r="A72" s="380">
        <v>63</v>
      </c>
      <c r="C72" s="14" t="s">
        <v>860</v>
      </c>
      <c r="D72" s="14" t="s">
        <v>841</v>
      </c>
      <c r="E72" s="386">
        <v>9441928.3100000005</v>
      </c>
      <c r="F72" s="386">
        <v>3952589.04</v>
      </c>
      <c r="G72" s="386">
        <v>9454018.0099999998</v>
      </c>
      <c r="H72" s="386">
        <v>3965194.13</v>
      </c>
      <c r="I72" s="386">
        <v>9458587.6999999993</v>
      </c>
      <c r="J72" s="386">
        <v>3968323.86</v>
      </c>
      <c r="K72" s="386">
        <v>9459900.9499999993</v>
      </c>
      <c r="L72" s="386">
        <v>3970771.91</v>
      </c>
      <c r="M72" s="386">
        <v>9473642.7100000009</v>
      </c>
      <c r="N72" s="386">
        <v>3987990.24</v>
      </c>
      <c r="O72" s="386">
        <v>9457659.2300000004</v>
      </c>
      <c r="P72" s="386">
        <v>3996840.83</v>
      </c>
      <c r="Q72" s="386">
        <v>9464898.5399999991</v>
      </c>
      <c r="R72" s="386">
        <v>4013262.13</v>
      </c>
      <c r="S72" s="386">
        <v>9507831.6600000001</v>
      </c>
      <c r="T72" s="386">
        <v>4027747.17</v>
      </c>
      <c r="U72" s="386">
        <v>9548823.1099999994</v>
      </c>
      <c r="V72" s="386">
        <v>4041969.8</v>
      </c>
      <c r="W72" s="386">
        <v>9598790.9299999997</v>
      </c>
      <c r="X72" s="386">
        <v>4046489.75</v>
      </c>
      <c r="Y72" s="386">
        <v>9623421.2200000007</v>
      </c>
      <c r="Z72" s="386">
        <v>4062865.35</v>
      </c>
      <c r="AA72" s="386">
        <v>9642433.2200000007</v>
      </c>
      <c r="AB72" s="386">
        <v>4075168.64</v>
      </c>
      <c r="AC72" s="386">
        <v>9718288.5999999996</v>
      </c>
      <c r="AD72" s="386">
        <v>4089802.52</v>
      </c>
      <c r="AE72" s="386">
        <f t="shared" si="3"/>
        <v>9522509.6445833333</v>
      </c>
      <c r="AF72" s="386">
        <f t="shared" si="3"/>
        <v>4014818.2991666663</v>
      </c>
    </row>
    <row r="73" spans="1:32">
      <c r="A73" s="380">
        <v>64</v>
      </c>
      <c r="C73" s="14" t="s">
        <v>861</v>
      </c>
      <c r="D73" s="14" t="s">
        <v>841</v>
      </c>
      <c r="E73" s="386">
        <v>0</v>
      </c>
      <c r="F73" s="386">
        <v>-305.76</v>
      </c>
      <c r="G73" s="386">
        <v>0</v>
      </c>
      <c r="H73" s="386">
        <v>-305.76</v>
      </c>
      <c r="I73" s="386">
        <v>0</v>
      </c>
      <c r="J73" s="386">
        <v>-305.76</v>
      </c>
      <c r="K73" s="386">
        <v>0</v>
      </c>
      <c r="L73" s="386">
        <v>-305.76</v>
      </c>
      <c r="M73" s="386">
        <v>0</v>
      </c>
      <c r="N73" s="386">
        <v>-305.76</v>
      </c>
      <c r="O73" s="386">
        <v>0</v>
      </c>
      <c r="P73" s="386">
        <v>-305.76</v>
      </c>
      <c r="Q73" s="386">
        <v>0</v>
      </c>
      <c r="R73" s="386">
        <v>-305.76</v>
      </c>
      <c r="S73" s="386">
        <v>0</v>
      </c>
      <c r="T73" s="386">
        <v>-305.76</v>
      </c>
      <c r="U73" s="386">
        <v>0</v>
      </c>
      <c r="V73" s="386">
        <v>-305.76</v>
      </c>
      <c r="W73" s="386">
        <v>0</v>
      </c>
      <c r="X73" s="386">
        <v>-305.76</v>
      </c>
      <c r="Y73" s="386">
        <v>0</v>
      </c>
      <c r="Z73" s="386">
        <v>-305.76</v>
      </c>
      <c r="AA73" s="386">
        <v>0</v>
      </c>
      <c r="AB73" s="386">
        <v>-305.76</v>
      </c>
      <c r="AC73" s="386">
        <v>0</v>
      </c>
      <c r="AD73" s="386">
        <v>0</v>
      </c>
      <c r="AE73" s="386">
        <f t="shared" si="3"/>
        <v>0</v>
      </c>
      <c r="AF73" s="386">
        <f t="shared" si="3"/>
        <v>-293.02000000000004</v>
      </c>
    </row>
    <row r="74" spans="1:32">
      <c r="A74" s="380">
        <v>65</v>
      </c>
      <c r="C74" s="14" t="s">
        <v>862</v>
      </c>
      <c r="D74" s="14" t="s">
        <v>841</v>
      </c>
      <c r="E74" s="386">
        <v>2020069.02</v>
      </c>
      <c r="F74" s="386">
        <v>0</v>
      </c>
      <c r="G74" s="386">
        <v>2020069.02</v>
      </c>
      <c r="H74" s="386">
        <v>0</v>
      </c>
      <c r="I74" s="386">
        <v>2020069.02</v>
      </c>
      <c r="J74" s="386">
        <v>0</v>
      </c>
      <c r="K74" s="386">
        <v>2020069.02</v>
      </c>
      <c r="L74" s="386">
        <v>0</v>
      </c>
      <c r="M74" s="386">
        <v>2020069.02</v>
      </c>
      <c r="N74" s="386">
        <v>0</v>
      </c>
      <c r="O74" s="386">
        <v>2020069.02</v>
      </c>
      <c r="P74" s="386">
        <v>0</v>
      </c>
      <c r="Q74" s="386">
        <v>2020069.02</v>
      </c>
      <c r="R74" s="386">
        <v>0</v>
      </c>
      <c r="S74" s="386">
        <v>2020069.02</v>
      </c>
      <c r="T74" s="386">
        <v>0</v>
      </c>
      <c r="U74" s="386">
        <v>2020069.02</v>
      </c>
      <c r="V74" s="386">
        <v>0</v>
      </c>
      <c r="W74" s="386">
        <v>2558710.29</v>
      </c>
      <c r="X74" s="386">
        <v>0</v>
      </c>
      <c r="Y74" s="386">
        <v>2558710.29</v>
      </c>
      <c r="Z74" s="386">
        <v>0</v>
      </c>
      <c r="AA74" s="386">
        <v>2558710.29</v>
      </c>
      <c r="AB74" s="386">
        <v>0</v>
      </c>
      <c r="AC74" s="386">
        <v>2549877.4</v>
      </c>
      <c r="AD74" s="386">
        <v>0</v>
      </c>
      <c r="AE74" s="386">
        <f t="shared" si="3"/>
        <v>2176804.6866666665</v>
      </c>
      <c r="AF74" s="386">
        <f t="shared" si="3"/>
        <v>0</v>
      </c>
    </row>
    <row r="75" spans="1:32">
      <c r="A75" s="380">
        <v>66</v>
      </c>
      <c r="C75" s="14" t="s">
        <v>863</v>
      </c>
      <c r="D75" s="14" t="s">
        <v>841</v>
      </c>
      <c r="E75" s="386">
        <v>7933.28</v>
      </c>
      <c r="F75" s="386">
        <v>4703.88</v>
      </c>
      <c r="G75" s="386">
        <v>7933.28</v>
      </c>
      <c r="H75" s="386">
        <v>4703.88</v>
      </c>
      <c r="I75" s="386">
        <v>7933.28</v>
      </c>
      <c r="J75" s="386">
        <v>4703.88</v>
      </c>
      <c r="K75" s="386">
        <v>7933.28</v>
      </c>
      <c r="L75" s="386">
        <v>4703.88</v>
      </c>
      <c r="M75" s="386">
        <v>7933.28</v>
      </c>
      <c r="N75" s="386">
        <v>4703.88</v>
      </c>
      <c r="O75" s="386">
        <v>7933.28</v>
      </c>
      <c r="P75" s="386">
        <v>4703.88</v>
      </c>
      <c r="Q75" s="386">
        <v>7933.28</v>
      </c>
      <c r="R75" s="386">
        <v>4703.88</v>
      </c>
      <c r="S75" s="386">
        <v>7933.28</v>
      </c>
      <c r="T75" s="386">
        <v>4703.88</v>
      </c>
      <c r="U75" s="386">
        <v>7933.28</v>
      </c>
      <c r="V75" s="386">
        <v>4703.88</v>
      </c>
      <c r="W75" s="386">
        <v>7933.28</v>
      </c>
      <c r="X75" s="386">
        <v>4703.88</v>
      </c>
      <c r="Y75" s="386">
        <v>7933.28</v>
      </c>
      <c r="Z75" s="386">
        <v>4703.88</v>
      </c>
      <c r="AA75" s="386">
        <v>7933.28</v>
      </c>
      <c r="AB75" s="386">
        <v>4703.88</v>
      </c>
      <c r="AC75" s="386">
        <v>7933.28</v>
      </c>
      <c r="AD75" s="386">
        <v>4703.88</v>
      </c>
      <c r="AE75" s="386">
        <f t="shared" si="3"/>
        <v>7933.28</v>
      </c>
      <c r="AF75" s="386">
        <f t="shared" si="3"/>
        <v>4703.8799999999992</v>
      </c>
    </row>
    <row r="76" spans="1:32">
      <c r="A76" s="380">
        <v>67</v>
      </c>
      <c r="C76" s="14" t="s">
        <v>864</v>
      </c>
      <c r="D76" s="14" t="s">
        <v>841</v>
      </c>
      <c r="E76" s="386">
        <v>9555549.6300000008</v>
      </c>
      <c r="F76" s="386">
        <v>4799302.57</v>
      </c>
      <c r="G76" s="386">
        <v>9562360.2200000007</v>
      </c>
      <c r="H76" s="386">
        <v>4809176.6399999997</v>
      </c>
      <c r="I76" s="386">
        <v>9559168.8499999996</v>
      </c>
      <c r="J76" s="386">
        <v>4808721.75</v>
      </c>
      <c r="K76" s="386">
        <v>9539433.9399999995</v>
      </c>
      <c r="L76" s="386">
        <v>4818500.26</v>
      </c>
      <c r="M76" s="386">
        <v>12328441.6</v>
      </c>
      <c r="N76" s="386">
        <v>4828357.68</v>
      </c>
      <c r="O76" s="386">
        <v>12354137.25</v>
      </c>
      <c r="P76" s="386">
        <v>4841097.07</v>
      </c>
      <c r="Q76" s="386">
        <v>12354280.359999999</v>
      </c>
      <c r="R76" s="386">
        <v>4853863.01</v>
      </c>
      <c r="S76" s="386">
        <v>12358344.220000001</v>
      </c>
      <c r="T76" s="386">
        <v>4865853.03</v>
      </c>
      <c r="U76" s="386">
        <v>12359983.75</v>
      </c>
      <c r="V76" s="386">
        <v>4878623.32</v>
      </c>
      <c r="W76" s="386">
        <v>12360374.58</v>
      </c>
      <c r="X76" s="386">
        <v>4891395.3</v>
      </c>
      <c r="Y76" s="386">
        <v>12360374.58</v>
      </c>
      <c r="Z76" s="386">
        <v>4904167.6900000004</v>
      </c>
      <c r="AA76" s="386">
        <v>12383866.98</v>
      </c>
      <c r="AB76" s="386">
        <v>4916434.0600000005</v>
      </c>
      <c r="AC76" s="386">
        <v>12467225.67</v>
      </c>
      <c r="AD76" s="386">
        <v>4929230.72</v>
      </c>
      <c r="AE76" s="386">
        <f t="shared" si="3"/>
        <v>11544346.164999999</v>
      </c>
      <c r="AF76" s="386">
        <f t="shared" si="3"/>
        <v>4856704.7045833329</v>
      </c>
    </row>
    <row r="77" spans="1:32">
      <c r="A77" s="380">
        <v>68</v>
      </c>
      <c r="C77" s="14" t="s">
        <v>865</v>
      </c>
      <c r="D77" s="14" t="s">
        <v>841</v>
      </c>
      <c r="E77" s="386">
        <v>102325.73</v>
      </c>
      <c r="F77" s="386">
        <v>39019.07</v>
      </c>
      <c r="G77" s="386">
        <v>102325.73</v>
      </c>
      <c r="H77" s="386">
        <v>40500.230000000003</v>
      </c>
      <c r="I77" s="386">
        <v>102325.73</v>
      </c>
      <c r="J77" s="386">
        <v>41981.39</v>
      </c>
      <c r="K77" s="386">
        <v>102325.73</v>
      </c>
      <c r="L77" s="386">
        <v>43462.55</v>
      </c>
      <c r="M77" s="386">
        <v>102325.73</v>
      </c>
      <c r="N77" s="386">
        <v>44943.71</v>
      </c>
      <c r="O77" s="386">
        <v>102325.73</v>
      </c>
      <c r="P77" s="386">
        <v>46424.87</v>
      </c>
      <c r="Q77" s="386">
        <v>102325.73</v>
      </c>
      <c r="R77" s="386">
        <v>47906.03</v>
      </c>
      <c r="S77" s="386">
        <v>102325.73</v>
      </c>
      <c r="T77" s="386">
        <v>49387.19</v>
      </c>
      <c r="U77" s="386">
        <v>113762.56</v>
      </c>
      <c r="V77" s="386">
        <v>50868.35</v>
      </c>
      <c r="W77" s="386">
        <v>114979.17</v>
      </c>
      <c r="X77" s="386">
        <v>52515.06</v>
      </c>
      <c r="Y77" s="386">
        <v>114979.17</v>
      </c>
      <c r="Z77" s="386">
        <v>54179.380000000005</v>
      </c>
      <c r="AA77" s="386">
        <v>114979.17</v>
      </c>
      <c r="AB77" s="386">
        <v>55843.700000000004</v>
      </c>
      <c r="AC77" s="386">
        <v>114769.47</v>
      </c>
      <c r="AD77" s="386">
        <v>57508.020000000004</v>
      </c>
      <c r="AE77" s="386">
        <f t="shared" si="3"/>
        <v>106960.64833333333</v>
      </c>
      <c r="AF77" s="386">
        <f t="shared" si="3"/>
        <v>48023.000416666669</v>
      </c>
    </row>
    <row r="78" spans="1:32">
      <c r="A78" s="380">
        <v>69</v>
      </c>
      <c r="C78" s="14" t="s">
        <v>866</v>
      </c>
      <c r="D78" s="14" t="s">
        <v>841</v>
      </c>
      <c r="E78" s="386">
        <v>447968.56</v>
      </c>
      <c r="F78" s="386">
        <v>123514.99</v>
      </c>
      <c r="G78" s="386">
        <v>447968.56</v>
      </c>
      <c r="H78" s="386">
        <v>125374.06</v>
      </c>
      <c r="I78" s="386">
        <v>447968.56</v>
      </c>
      <c r="J78" s="386">
        <v>127233.13</v>
      </c>
      <c r="K78" s="386">
        <v>441814.81</v>
      </c>
      <c r="L78" s="386">
        <v>129092.2</v>
      </c>
      <c r="M78" s="386">
        <v>441814.81</v>
      </c>
      <c r="N78" s="386">
        <v>130925.73</v>
      </c>
      <c r="O78" s="386">
        <v>441814.81</v>
      </c>
      <c r="P78" s="386">
        <v>132759.26</v>
      </c>
      <c r="Q78" s="386">
        <v>441814.81</v>
      </c>
      <c r="R78" s="386">
        <v>134592.79</v>
      </c>
      <c r="S78" s="386">
        <v>441814.81</v>
      </c>
      <c r="T78" s="386">
        <v>136426.32</v>
      </c>
      <c r="U78" s="386">
        <v>446171.05</v>
      </c>
      <c r="V78" s="386">
        <v>138259.85</v>
      </c>
      <c r="W78" s="386">
        <v>446171.05</v>
      </c>
      <c r="X78" s="386">
        <v>140111.46</v>
      </c>
      <c r="Y78" s="386">
        <v>446171.05</v>
      </c>
      <c r="Z78" s="386">
        <v>141963.07</v>
      </c>
      <c r="AA78" s="386">
        <v>446171.05</v>
      </c>
      <c r="AB78" s="386">
        <v>143814.68</v>
      </c>
      <c r="AC78" s="386">
        <v>446098.85000000003</v>
      </c>
      <c r="AD78" s="386">
        <v>145666.29</v>
      </c>
      <c r="AE78" s="386">
        <f t="shared" si="3"/>
        <v>444727.4229166666</v>
      </c>
      <c r="AF78" s="386">
        <f t="shared" si="3"/>
        <v>134595.26583333334</v>
      </c>
    </row>
    <row r="79" spans="1:32">
      <c r="A79" s="380">
        <v>70</v>
      </c>
      <c r="C79" s="14" t="s">
        <v>867</v>
      </c>
      <c r="D79" s="14" t="s">
        <v>841</v>
      </c>
      <c r="E79" s="386">
        <v>208790.52000000002</v>
      </c>
      <c r="F79" s="386">
        <v>97529.52</v>
      </c>
      <c r="G79" s="386">
        <v>208790.52000000002</v>
      </c>
      <c r="H79" s="386">
        <v>98077.59</v>
      </c>
      <c r="I79" s="386">
        <v>208790.52000000002</v>
      </c>
      <c r="J79" s="386">
        <v>98625.66</v>
      </c>
      <c r="K79" s="386">
        <v>208790.52000000002</v>
      </c>
      <c r="L79" s="386">
        <v>99173.73</v>
      </c>
      <c r="M79" s="386">
        <v>208790.52000000002</v>
      </c>
      <c r="N79" s="386">
        <v>99721.8</v>
      </c>
      <c r="O79" s="386">
        <v>208790.52000000002</v>
      </c>
      <c r="P79" s="386">
        <v>100269.87</v>
      </c>
      <c r="Q79" s="386">
        <v>208790.52000000002</v>
      </c>
      <c r="R79" s="386">
        <v>100817.94</v>
      </c>
      <c r="S79" s="386">
        <v>208790.52000000002</v>
      </c>
      <c r="T79" s="386">
        <v>101366.01000000001</v>
      </c>
      <c r="U79" s="386">
        <v>208790.52000000002</v>
      </c>
      <c r="V79" s="386">
        <v>101914.08</v>
      </c>
      <c r="W79" s="386">
        <v>203549.89</v>
      </c>
      <c r="X79" s="386">
        <v>97721.52</v>
      </c>
      <c r="Y79" s="386">
        <v>203549.89</v>
      </c>
      <c r="Z79" s="386">
        <v>98255.84</v>
      </c>
      <c r="AA79" s="386">
        <v>203549.89</v>
      </c>
      <c r="AB79" s="386">
        <v>98790.16</v>
      </c>
      <c r="AC79" s="386">
        <v>203549.89</v>
      </c>
      <c r="AD79" s="386">
        <v>99324.479999999996</v>
      </c>
      <c r="AE79" s="386">
        <f t="shared" si="3"/>
        <v>207262.00291666671</v>
      </c>
      <c r="AF79" s="386">
        <f t="shared" si="3"/>
        <v>99430.099999999991</v>
      </c>
    </row>
    <row r="80" spans="1:32">
      <c r="A80" s="380">
        <v>71</v>
      </c>
      <c r="C80" s="14" t="s">
        <v>868</v>
      </c>
      <c r="D80" s="14" t="s">
        <v>841</v>
      </c>
      <c r="E80" s="386">
        <v>11132770.07</v>
      </c>
      <c r="F80" s="386">
        <v>3665685.4</v>
      </c>
      <c r="G80" s="386">
        <v>11216656.800000001</v>
      </c>
      <c r="H80" s="386">
        <v>3722740.84</v>
      </c>
      <c r="I80" s="386">
        <v>11034806.4</v>
      </c>
      <c r="J80" s="386">
        <v>3645780.09</v>
      </c>
      <c r="K80" s="386">
        <v>11040618.57</v>
      </c>
      <c r="L80" s="386">
        <v>3684844.69</v>
      </c>
      <c r="M80" s="386">
        <v>11082041.82</v>
      </c>
      <c r="N80" s="386">
        <v>3702527.61</v>
      </c>
      <c r="O80" s="386">
        <v>11145849.17</v>
      </c>
      <c r="P80" s="386">
        <v>3748029.0300000003</v>
      </c>
      <c r="Q80" s="386">
        <v>11090363.529999999</v>
      </c>
      <c r="R80" s="386">
        <v>3681116.13</v>
      </c>
      <c r="S80" s="386">
        <v>10944183</v>
      </c>
      <c r="T80" s="386">
        <v>3622538.86</v>
      </c>
      <c r="U80" s="386">
        <v>11163686.34</v>
      </c>
      <c r="V80" s="386">
        <v>3687335.95</v>
      </c>
      <c r="W80" s="386">
        <v>11275500.68</v>
      </c>
      <c r="X80" s="386">
        <v>3590028.3</v>
      </c>
      <c r="Y80" s="386">
        <v>11221880.85</v>
      </c>
      <c r="Z80" s="386">
        <v>3581881.02</v>
      </c>
      <c r="AA80" s="386">
        <v>11021655.4</v>
      </c>
      <c r="AB80" s="386">
        <v>3496945.23</v>
      </c>
      <c r="AC80" s="386">
        <v>11625924.470000001</v>
      </c>
      <c r="AD80" s="386">
        <v>3502362.43</v>
      </c>
      <c r="AE80" s="386">
        <f t="shared" si="3"/>
        <v>11134715.819166666</v>
      </c>
      <c r="AF80" s="386">
        <f t="shared" si="3"/>
        <v>3645649.305416666</v>
      </c>
    </row>
    <row r="81" spans="1:32">
      <c r="A81" s="380">
        <v>72</v>
      </c>
      <c r="C81" s="14" t="s">
        <v>869</v>
      </c>
      <c r="D81" s="14" t="s">
        <v>841</v>
      </c>
      <c r="E81" s="386">
        <v>23837.02</v>
      </c>
      <c r="F81" s="386">
        <v>11691.89</v>
      </c>
      <c r="G81" s="386">
        <v>23837.02</v>
      </c>
      <c r="H81" s="386">
        <v>11797.960000000001</v>
      </c>
      <c r="I81" s="386">
        <v>23837.02</v>
      </c>
      <c r="J81" s="386">
        <v>11904.03</v>
      </c>
      <c r="K81" s="386">
        <v>23837.02</v>
      </c>
      <c r="L81" s="386">
        <v>12010.1</v>
      </c>
      <c r="M81" s="386">
        <v>23837.02</v>
      </c>
      <c r="N81" s="386">
        <v>12116.17</v>
      </c>
      <c r="O81" s="386">
        <v>23837.02</v>
      </c>
      <c r="P81" s="386">
        <v>12222.24</v>
      </c>
      <c r="Q81" s="386">
        <v>23837.02</v>
      </c>
      <c r="R81" s="386">
        <v>12328.31</v>
      </c>
      <c r="S81" s="386">
        <v>23837.02</v>
      </c>
      <c r="T81" s="386">
        <v>12434.380000000001</v>
      </c>
      <c r="U81" s="386">
        <v>23837.02</v>
      </c>
      <c r="V81" s="386">
        <v>12540.45</v>
      </c>
      <c r="W81" s="386">
        <v>23837.02</v>
      </c>
      <c r="X81" s="386">
        <v>12646.52</v>
      </c>
      <c r="Y81" s="386">
        <v>23837.02</v>
      </c>
      <c r="Z81" s="386">
        <v>12752.59</v>
      </c>
      <c r="AA81" s="386">
        <v>23837.02</v>
      </c>
      <c r="AB81" s="386">
        <v>12858.66</v>
      </c>
      <c r="AC81" s="386">
        <v>23837.02</v>
      </c>
      <c r="AD81" s="386">
        <v>12964.73</v>
      </c>
      <c r="AE81" s="386">
        <f t="shared" si="3"/>
        <v>23837.02</v>
      </c>
      <c r="AF81" s="386">
        <f t="shared" si="3"/>
        <v>12328.31</v>
      </c>
    </row>
    <row r="82" spans="1:32">
      <c r="A82" s="380">
        <v>73</v>
      </c>
      <c r="C82" s="14" t="s">
        <v>870</v>
      </c>
      <c r="D82" s="14" t="s">
        <v>841</v>
      </c>
      <c r="E82" s="386">
        <v>4876288.05</v>
      </c>
      <c r="F82" s="386">
        <v>1349016.6600000001</v>
      </c>
      <c r="G82" s="386">
        <v>4882862.6399999997</v>
      </c>
      <c r="H82" s="386">
        <v>1363482.98</v>
      </c>
      <c r="I82" s="386">
        <v>4911312.6100000003</v>
      </c>
      <c r="J82" s="386">
        <v>1377968.81</v>
      </c>
      <c r="K82" s="386">
        <v>4865469.66</v>
      </c>
      <c r="L82" s="386">
        <v>1326297.99</v>
      </c>
      <c r="M82" s="386">
        <v>4905803.05</v>
      </c>
      <c r="N82" s="386">
        <v>1340732.22</v>
      </c>
      <c r="O82" s="386">
        <v>4918419.63</v>
      </c>
      <c r="P82" s="386">
        <v>1355286.1</v>
      </c>
      <c r="Q82" s="386">
        <v>4964085.72</v>
      </c>
      <c r="R82" s="386">
        <v>1369877.4100000001</v>
      </c>
      <c r="S82" s="386">
        <v>4969215.47</v>
      </c>
      <c r="T82" s="386">
        <v>1384604.2</v>
      </c>
      <c r="U82" s="386">
        <v>4973980.4800000004</v>
      </c>
      <c r="V82" s="386">
        <v>1399346.21</v>
      </c>
      <c r="W82" s="386">
        <v>4979486.47</v>
      </c>
      <c r="X82" s="386">
        <v>1414102.35</v>
      </c>
      <c r="Y82" s="386">
        <v>4984424.6399999997</v>
      </c>
      <c r="Z82" s="386">
        <v>1428874.83</v>
      </c>
      <c r="AA82" s="386">
        <v>4984424.6399999997</v>
      </c>
      <c r="AB82" s="386">
        <v>1443661.96</v>
      </c>
      <c r="AC82" s="386">
        <v>5008038.0999999996</v>
      </c>
      <c r="AD82" s="386">
        <v>1458449.09</v>
      </c>
      <c r="AE82" s="386">
        <f t="shared" si="3"/>
        <v>4940137.3404166671</v>
      </c>
      <c r="AF82" s="386">
        <f t="shared" si="3"/>
        <v>1383997.3279166666</v>
      </c>
    </row>
    <row r="83" spans="1:32">
      <c r="A83" s="380">
        <v>74</v>
      </c>
      <c r="C83" s="14" t="s">
        <v>871</v>
      </c>
      <c r="D83" s="14" t="s">
        <v>841</v>
      </c>
      <c r="E83" s="386">
        <v>131231.01999999999</v>
      </c>
      <c r="F83" s="386">
        <v>120288.42</v>
      </c>
      <c r="G83" s="386">
        <v>131231.01999999999</v>
      </c>
      <c r="H83" s="386">
        <v>120489.64</v>
      </c>
      <c r="I83" s="386">
        <v>131231.01999999999</v>
      </c>
      <c r="J83" s="386">
        <v>120690.86</v>
      </c>
      <c r="K83" s="386">
        <v>131231.01999999999</v>
      </c>
      <c r="L83" s="386">
        <v>120892.08</v>
      </c>
      <c r="M83" s="386">
        <v>131231.01999999999</v>
      </c>
      <c r="N83" s="386">
        <v>121093.3</v>
      </c>
      <c r="O83" s="386">
        <v>131231.01999999999</v>
      </c>
      <c r="P83" s="386">
        <v>121294.52</v>
      </c>
      <c r="Q83" s="386">
        <v>131231.01999999999</v>
      </c>
      <c r="R83" s="386">
        <v>121495.74</v>
      </c>
      <c r="S83" s="386">
        <v>131231.01999999999</v>
      </c>
      <c r="T83" s="386">
        <v>121696.96000000001</v>
      </c>
      <c r="U83" s="386">
        <v>131231.01999999999</v>
      </c>
      <c r="V83" s="386">
        <v>121898.18000000001</v>
      </c>
      <c r="W83" s="386">
        <v>131231.01999999999</v>
      </c>
      <c r="X83" s="386">
        <v>122099.40000000001</v>
      </c>
      <c r="Y83" s="386">
        <v>131231.01999999999</v>
      </c>
      <c r="Z83" s="386">
        <v>122300.62</v>
      </c>
      <c r="AA83" s="386">
        <v>131231.01999999999</v>
      </c>
      <c r="AB83" s="386">
        <v>122501.84</v>
      </c>
      <c r="AC83" s="386">
        <v>131231.01999999999</v>
      </c>
      <c r="AD83" s="386">
        <v>122703.06</v>
      </c>
      <c r="AE83" s="386">
        <f t="shared" si="3"/>
        <v>131231.01999999999</v>
      </c>
      <c r="AF83" s="386">
        <f t="shared" si="3"/>
        <v>121495.73999999999</v>
      </c>
    </row>
    <row r="84" spans="1:32">
      <c r="A84" s="380">
        <v>75</v>
      </c>
      <c r="C84" s="14" t="s">
        <v>872</v>
      </c>
      <c r="D84" s="14" t="s">
        <v>841</v>
      </c>
      <c r="E84" s="386">
        <v>29277.34</v>
      </c>
      <c r="F84" s="386">
        <v>21813.78</v>
      </c>
      <c r="G84" s="386">
        <v>29277.34</v>
      </c>
      <c r="H84" s="386">
        <v>21926.010000000002</v>
      </c>
      <c r="I84" s="386">
        <v>29277.34</v>
      </c>
      <c r="J84" s="386">
        <v>22038.240000000002</v>
      </c>
      <c r="K84" s="386">
        <v>5249.37</v>
      </c>
      <c r="L84" s="386">
        <v>-1877.5</v>
      </c>
      <c r="M84" s="386">
        <v>5249.37</v>
      </c>
      <c r="N84" s="386">
        <v>-1857.38</v>
      </c>
      <c r="O84" s="386">
        <v>5249.37</v>
      </c>
      <c r="P84" s="386">
        <v>-1837.26</v>
      </c>
      <c r="Q84" s="386">
        <v>5249.37</v>
      </c>
      <c r="R84" s="386">
        <v>-1817.14</v>
      </c>
      <c r="S84" s="386">
        <v>5249.37</v>
      </c>
      <c r="T84" s="386">
        <v>-1797.02</v>
      </c>
      <c r="U84" s="386">
        <v>5249.37</v>
      </c>
      <c r="V84" s="386">
        <v>-1776.9</v>
      </c>
      <c r="W84" s="386">
        <v>5249.37</v>
      </c>
      <c r="X84" s="386">
        <v>-1756.78</v>
      </c>
      <c r="Y84" s="386">
        <v>5249.37</v>
      </c>
      <c r="Z84" s="386">
        <v>-1736.66</v>
      </c>
      <c r="AA84" s="386">
        <v>5249.37</v>
      </c>
      <c r="AB84" s="386">
        <v>-1716.54</v>
      </c>
      <c r="AC84" s="386">
        <v>5249.37</v>
      </c>
      <c r="AD84" s="386">
        <v>-1696.42</v>
      </c>
      <c r="AE84" s="386">
        <f t="shared" si="3"/>
        <v>10255.197083333331</v>
      </c>
      <c r="AF84" s="386">
        <f t="shared" si="3"/>
        <v>3154.1458333333335</v>
      </c>
    </row>
    <row r="85" spans="1:32">
      <c r="A85" s="380">
        <v>76</v>
      </c>
      <c r="C85" s="14" t="s">
        <v>873</v>
      </c>
      <c r="D85" s="14" t="s">
        <v>841</v>
      </c>
      <c r="E85" s="386">
        <v>3239948.69</v>
      </c>
      <c r="F85" s="386">
        <v>-419854.45</v>
      </c>
      <c r="G85" s="386">
        <v>3430954.87</v>
      </c>
      <c r="H85" s="386">
        <v>-405868.68</v>
      </c>
      <c r="I85" s="386">
        <v>2098101.27</v>
      </c>
      <c r="J85" s="386">
        <v>-707089.84</v>
      </c>
      <c r="K85" s="386">
        <v>2016277.52</v>
      </c>
      <c r="L85" s="386">
        <v>-780256.79</v>
      </c>
      <c r="M85" s="386">
        <v>2016277.52</v>
      </c>
      <c r="N85" s="386">
        <v>-702070.84</v>
      </c>
      <c r="O85" s="386">
        <v>2016277.52</v>
      </c>
      <c r="P85" s="386">
        <v>-693367.24</v>
      </c>
      <c r="Q85" s="386">
        <v>2016277.52</v>
      </c>
      <c r="R85" s="386">
        <v>-684663.64</v>
      </c>
      <c r="S85" s="386">
        <v>2009397.16</v>
      </c>
      <c r="T85" s="386">
        <v>-681665.4</v>
      </c>
      <c r="U85" s="386">
        <v>2016778.44</v>
      </c>
      <c r="V85" s="386">
        <v>-707508.42</v>
      </c>
      <c r="W85" s="386">
        <v>2018911.32</v>
      </c>
      <c r="X85" s="386">
        <v>-739225.71</v>
      </c>
      <c r="Y85" s="386">
        <v>2021410.82</v>
      </c>
      <c r="Z85" s="386">
        <v>-743214.12</v>
      </c>
      <c r="AA85" s="386">
        <v>2139026.92</v>
      </c>
      <c r="AB85" s="386">
        <v>-734488.36</v>
      </c>
      <c r="AC85" s="386">
        <v>2099536.96</v>
      </c>
      <c r="AD85" s="386">
        <v>-1005357.87</v>
      </c>
      <c r="AE85" s="386">
        <f t="shared" si="3"/>
        <v>2205786.1420833333</v>
      </c>
      <c r="AF85" s="386">
        <f t="shared" si="3"/>
        <v>-691002.1</v>
      </c>
    </row>
    <row r="86" spans="1:32">
      <c r="A86" s="380">
        <v>77</v>
      </c>
      <c r="C86" s="14" t="s">
        <v>874</v>
      </c>
      <c r="D86" s="14" t="s">
        <v>841</v>
      </c>
      <c r="E86" s="386">
        <v>621602.63</v>
      </c>
      <c r="F86" s="386">
        <v>179102.77</v>
      </c>
      <c r="G86" s="386">
        <v>621602.63</v>
      </c>
      <c r="H86" s="386">
        <v>180718.94</v>
      </c>
      <c r="I86" s="386">
        <v>607706.98</v>
      </c>
      <c r="J86" s="386">
        <v>171539.46</v>
      </c>
      <c r="K86" s="386">
        <v>553326.53</v>
      </c>
      <c r="L86" s="386">
        <v>147864.05000000002</v>
      </c>
      <c r="M86" s="386">
        <v>553326.53</v>
      </c>
      <c r="N86" s="386">
        <v>149302.70000000001</v>
      </c>
      <c r="O86" s="386">
        <v>553326.53</v>
      </c>
      <c r="P86" s="386">
        <v>150741.35</v>
      </c>
      <c r="Q86" s="386">
        <v>553326.53</v>
      </c>
      <c r="R86" s="386">
        <v>152180</v>
      </c>
      <c r="S86" s="386">
        <v>553326.53</v>
      </c>
      <c r="T86" s="386">
        <v>153618.65</v>
      </c>
      <c r="U86" s="386">
        <v>553326.53</v>
      </c>
      <c r="V86" s="386">
        <v>155057.30000000002</v>
      </c>
      <c r="W86" s="386">
        <v>553326.53</v>
      </c>
      <c r="X86" s="386">
        <v>156495.95000000001</v>
      </c>
      <c r="Y86" s="386">
        <v>553326.53</v>
      </c>
      <c r="Z86" s="386">
        <v>157934.6</v>
      </c>
      <c r="AA86" s="386">
        <v>553326.53</v>
      </c>
      <c r="AB86" s="386">
        <v>159373.25</v>
      </c>
      <c r="AC86" s="386">
        <v>553326.53</v>
      </c>
      <c r="AD86" s="386">
        <v>160811.9</v>
      </c>
      <c r="AE86" s="386">
        <f t="shared" si="3"/>
        <v>566392.74666666682</v>
      </c>
      <c r="AF86" s="386">
        <f t="shared" si="3"/>
        <v>158731.96541666667</v>
      </c>
    </row>
    <row r="87" spans="1:32">
      <c r="A87" s="380">
        <v>78</v>
      </c>
      <c r="C87" s="14" t="s">
        <v>875</v>
      </c>
      <c r="D87" s="14" t="s">
        <v>841</v>
      </c>
      <c r="E87" s="386">
        <v>194717.30000000002</v>
      </c>
      <c r="F87" s="386">
        <v>122189.7</v>
      </c>
      <c r="G87" s="386">
        <v>194717.30000000002</v>
      </c>
      <c r="H87" s="386">
        <v>122929.63</v>
      </c>
      <c r="I87" s="386">
        <v>194717.30000000002</v>
      </c>
      <c r="J87" s="386">
        <v>123669.56</v>
      </c>
      <c r="K87" s="386">
        <v>194717.30000000002</v>
      </c>
      <c r="L87" s="386">
        <v>124409.49</v>
      </c>
      <c r="M87" s="386">
        <v>194717.30000000002</v>
      </c>
      <c r="N87" s="386">
        <v>125149.42</v>
      </c>
      <c r="O87" s="386">
        <v>194717.30000000002</v>
      </c>
      <c r="P87" s="386">
        <v>125889.35</v>
      </c>
      <c r="Q87" s="386">
        <v>194717.30000000002</v>
      </c>
      <c r="R87" s="386">
        <v>126629.28</v>
      </c>
      <c r="S87" s="386">
        <v>194717.30000000002</v>
      </c>
      <c r="T87" s="386">
        <v>127369.21</v>
      </c>
      <c r="U87" s="386">
        <v>194717.30000000002</v>
      </c>
      <c r="V87" s="386">
        <v>128109.14</v>
      </c>
      <c r="W87" s="386">
        <v>194717.30000000002</v>
      </c>
      <c r="X87" s="386">
        <v>128849.07</v>
      </c>
      <c r="Y87" s="386">
        <v>194717.30000000002</v>
      </c>
      <c r="Z87" s="386">
        <v>129589</v>
      </c>
      <c r="AA87" s="386">
        <v>194717.30000000002</v>
      </c>
      <c r="AB87" s="386">
        <v>130328.93000000001</v>
      </c>
      <c r="AC87" s="386">
        <v>194717.30000000002</v>
      </c>
      <c r="AD87" s="386">
        <v>131068.86</v>
      </c>
      <c r="AE87" s="386">
        <f t="shared" si="3"/>
        <v>194717.30000000002</v>
      </c>
      <c r="AF87" s="386">
        <f t="shared" si="3"/>
        <v>126629.27999999998</v>
      </c>
    </row>
    <row r="88" spans="1:32">
      <c r="A88" s="380">
        <v>79</v>
      </c>
      <c r="C88" s="14" t="s">
        <v>876</v>
      </c>
      <c r="D88" s="14" t="s">
        <v>841</v>
      </c>
      <c r="E88" s="386">
        <v>924622.43</v>
      </c>
      <c r="F88" s="386">
        <v>284496.61</v>
      </c>
      <c r="G88" s="386">
        <v>924622.43</v>
      </c>
      <c r="H88" s="386">
        <v>291716.37</v>
      </c>
      <c r="I88" s="386">
        <v>924622.43</v>
      </c>
      <c r="J88" s="386">
        <v>298936.13</v>
      </c>
      <c r="K88" s="386">
        <v>924622.43</v>
      </c>
      <c r="L88" s="386">
        <v>306155.89</v>
      </c>
      <c r="M88" s="386">
        <v>924622.43</v>
      </c>
      <c r="N88" s="386">
        <v>313375.65000000002</v>
      </c>
      <c r="O88" s="386">
        <v>924622.43</v>
      </c>
      <c r="P88" s="386">
        <v>320595.41000000003</v>
      </c>
      <c r="Q88" s="386">
        <v>924622.43</v>
      </c>
      <c r="R88" s="386">
        <v>327815.17</v>
      </c>
      <c r="S88" s="386">
        <v>924622.43</v>
      </c>
      <c r="T88" s="386">
        <v>335034.93</v>
      </c>
      <c r="U88" s="386">
        <v>924622.43</v>
      </c>
      <c r="V88" s="386">
        <v>342254.69</v>
      </c>
      <c r="W88" s="386">
        <v>924622.43</v>
      </c>
      <c r="X88" s="386">
        <v>349474.45</v>
      </c>
      <c r="Y88" s="386">
        <v>924622.43</v>
      </c>
      <c r="Z88" s="386">
        <v>356694.21</v>
      </c>
      <c r="AA88" s="386">
        <v>924622.43</v>
      </c>
      <c r="AB88" s="386">
        <v>363913.97000000003</v>
      </c>
      <c r="AC88" s="386">
        <v>924622.43</v>
      </c>
      <c r="AD88" s="386">
        <v>371133.73</v>
      </c>
      <c r="AE88" s="386">
        <f t="shared" si="3"/>
        <v>924622.42999999982</v>
      </c>
      <c r="AF88" s="386">
        <f t="shared" si="3"/>
        <v>327815.17000000004</v>
      </c>
    </row>
    <row r="89" spans="1:32">
      <c r="A89" s="380">
        <v>80</v>
      </c>
      <c r="C89" s="14" t="s">
        <v>877</v>
      </c>
      <c r="D89" s="14" t="s">
        <v>841</v>
      </c>
      <c r="E89" s="386">
        <v>3202003.54</v>
      </c>
      <c r="F89" s="386">
        <v>2486837.38</v>
      </c>
      <c r="G89" s="386">
        <v>3202003.54</v>
      </c>
      <c r="H89" s="386">
        <v>2487184.2599999998</v>
      </c>
      <c r="I89" s="386">
        <v>3202003.54</v>
      </c>
      <c r="J89" s="386">
        <v>2487531.14</v>
      </c>
      <c r="K89" s="386">
        <v>3204746.09</v>
      </c>
      <c r="L89" s="386">
        <v>2487878.02</v>
      </c>
      <c r="M89" s="386">
        <v>3204746.09</v>
      </c>
      <c r="N89" s="386">
        <v>2488225.2000000002</v>
      </c>
      <c r="O89" s="386">
        <v>3204746.09</v>
      </c>
      <c r="P89" s="386">
        <v>2488572.38</v>
      </c>
      <c r="Q89" s="386">
        <v>3204746.09</v>
      </c>
      <c r="R89" s="386">
        <v>2488919.56</v>
      </c>
      <c r="S89" s="386">
        <v>3204746.09</v>
      </c>
      <c r="T89" s="386">
        <v>2489266.7400000002</v>
      </c>
      <c r="U89" s="386">
        <v>3204746.09</v>
      </c>
      <c r="V89" s="386">
        <v>2489613.92</v>
      </c>
      <c r="W89" s="386">
        <v>3204655.82</v>
      </c>
      <c r="X89" s="386">
        <v>2489961.1</v>
      </c>
      <c r="Y89" s="386">
        <v>3204655.82</v>
      </c>
      <c r="Z89" s="386">
        <v>2490308.27</v>
      </c>
      <c r="AA89" s="386">
        <v>3204655.82</v>
      </c>
      <c r="AB89" s="386">
        <v>2490655.44</v>
      </c>
      <c r="AC89" s="386">
        <v>3235888.5</v>
      </c>
      <c r="AD89" s="386">
        <v>2491002.61</v>
      </c>
      <c r="AE89" s="386">
        <f t="shared" si="3"/>
        <v>3205449.7583333333</v>
      </c>
      <c r="AF89" s="386">
        <f t="shared" si="3"/>
        <v>2488919.6687500002</v>
      </c>
    </row>
    <row r="90" spans="1:32">
      <c r="A90" s="380">
        <v>81</v>
      </c>
      <c r="C90" s="14" t="s">
        <v>878</v>
      </c>
      <c r="D90" s="14" t="s">
        <v>841</v>
      </c>
      <c r="E90" s="386">
        <v>322181.13</v>
      </c>
      <c r="F90" s="386">
        <v>219230.18</v>
      </c>
      <c r="G90" s="386">
        <v>322181.13</v>
      </c>
      <c r="H90" s="386">
        <v>221694.87</v>
      </c>
      <c r="I90" s="386">
        <v>322181.13</v>
      </c>
      <c r="J90" s="386">
        <v>224159.56</v>
      </c>
      <c r="K90" s="386">
        <v>321462.03000000003</v>
      </c>
      <c r="L90" s="386">
        <v>226624.25</v>
      </c>
      <c r="M90" s="386">
        <v>321462.03000000003</v>
      </c>
      <c r="N90" s="386">
        <v>229083.43</v>
      </c>
      <c r="O90" s="386">
        <v>321462.03000000003</v>
      </c>
      <c r="P90" s="386">
        <v>231542.61000000002</v>
      </c>
      <c r="Q90" s="386">
        <v>321462.03000000003</v>
      </c>
      <c r="R90" s="386">
        <v>234001.79</v>
      </c>
      <c r="S90" s="386">
        <v>321462.03000000003</v>
      </c>
      <c r="T90" s="386">
        <v>236460.97</v>
      </c>
      <c r="U90" s="386">
        <v>321462.03000000003</v>
      </c>
      <c r="V90" s="386">
        <v>238920.15</v>
      </c>
      <c r="W90" s="386">
        <v>321462.03000000003</v>
      </c>
      <c r="X90" s="386">
        <v>241379.33000000002</v>
      </c>
      <c r="Y90" s="386">
        <v>321462.03000000003</v>
      </c>
      <c r="Z90" s="386">
        <v>243838.51</v>
      </c>
      <c r="AA90" s="386">
        <v>321462.03000000003</v>
      </c>
      <c r="AB90" s="386">
        <v>246297.69</v>
      </c>
      <c r="AC90" s="386">
        <v>321462.03000000003</v>
      </c>
      <c r="AD90" s="386">
        <v>248756.87</v>
      </c>
      <c r="AE90" s="386">
        <f t="shared" si="3"/>
        <v>321611.84250000009</v>
      </c>
      <c r="AF90" s="386">
        <f t="shared" si="3"/>
        <v>233999.72374999998</v>
      </c>
    </row>
    <row r="91" spans="1:32">
      <c r="A91" s="380">
        <v>82</v>
      </c>
      <c r="C91" s="14" t="s">
        <v>879</v>
      </c>
      <c r="D91" s="14" t="s">
        <v>841</v>
      </c>
      <c r="E91" s="386">
        <v>14274.33</v>
      </c>
      <c r="F91" s="386">
        <v>-359.73</v>
      </c>
      <c r="G91" s="386">
        <v>14274.33</v>
      </c>
      <c r="H91" s="386">
        <v>-234.71</v>
      </c>
      <c r="I91" s="386">
        <v>14274.33</v>
      </c>
      <c r="J91" s="386">
        <v>-109.69</v>
      </c>
      <c r="K91" s="386">
        <v>14274.33</v>
      </c>
      <c r="L91" s="386">
        <v>15.33</v>
      </c>
      <c r="M91" s="386">
        <v>14274.33</v>
      </c>
      <c r="N91" s="386">
        <v>140.35</v>
      </c>
      <c r="O91" s="386">
        <v>14274.33</v>
      </c>
      <c r="P91" s="386">
        <v>265.37</v>
      </c>
      <c r="Q91" s="386">
        <v>14274.33</v>
      </c>
      <c r="R91" s="386">
        <v>390.39</v>
      </c>
      <c r="S91" s="386">
        <v>14274.33</v>
      </c>
      <c r="T91" s="386">
        <v>515.41</v>
      </c>
      <c r="U91" s="386">
        <v>14274.33</v>
      </c>
      <c r="V91" s="386">
        <v>640.43000000000006</v>
      </c>
      <c r="W91" s="386">
        <v>14274.33</v>
      </c>
      <c r="X91" s="386">
        <v>765.45</v>
      </c>
      <c r="Y91" s="386">
        <v>14274.33</v>
      </c>
      <c r="Z91" s="386">
        <v>890.47</v>
      </c>
      <c r="AA91" s="386">
        <v>14274.33</v>
      </c>
      <c r="AB91" s="386">
        <v>1015.49</v>
      </c>
      <c r="AC91" s="386">
        <v>14274.33</v>
      </c>
      <c r="AD91" s="386">
        <v>1140.51</v>
      </c>
      <c r="AE91" s="386">
        <f t="shared" si="3"/>
        <v>14274.329999999996</v>
      </c>
      <c r="AF91" s="386">
        <f t="shared" si="3"/>
        <v>390.39000000000004</v>
      </c>
    </row>
    <row r="92" spans="1:32" ht="16.2">
      <c r="A92" s="380">
        <v>83</v>
      </c>
      <c r="B92" s="387" t="s">
        <v>93</v>
      </c>
      <c r="C92" s="388"/>
      <c r="D92" s="387" t="s">
        <v>880</v>
      </c>
      <c r="E92" s="389">
        <f t="shared" ref="E92:AF92" si="4">SUBTOTAL(9,E49:E91)</f>
        <v>716908411.13999987</v>
      </c>
      <c r="F92" s="389">
        <f t="shared" si="4"/>
        <v>349691372.54999995</v>
      </c>
      <c r="G92" s="389">
        <f t="shared" si="4"/>
        <v>719814865.54999983</v>
      </c>
      <c r="H92" s="389">
        <f t="shared" si="4"/>
        <v>351122100.51999992</v>
      </c>
      <c r="I92" s="389">
        <f t="shared" si="4"/>
        <v>719822123.01999986</v>
      </c>
      <c r="J92" s="389">
        <f t="shared" si="4"/>
        <v>352161619.25</v>
      </c>
      <c r="K92" s="389">
        <f t="shared" si="4"/>
        <v>721408629.44999981</v>
      </c>
      <c r="L92" s="389">
        <f t="shared" si="4"/>
        <v>353579319.95999998</v>
      </c>
      <c r="M92" s="389">
        <f t="shared" si="4"/>
        <v>726009290.69999981</v>
      </c>
      <c r="N92" s="389">
        <f t="shared" si="4"/>
        <v>355202929.90000004</v>
      </c>
      <c r="O92" s="389">
        <f t="shared" si="4"/>
        <v>729343349.84999967</v>
      </c>
      <c r="P92" s="389">
        <f t="shared" si="4"/>
        <v>356554963.54000002</v>
      </c>
      <c r="Q92" s="389">
        <f t="shared" si="4"/>
        <v>732720558.29999971</v>
      </c>
      <c r="R92" s="389">
        <f t="shared" si="4"/>
        <v>358089078.43000007</v>
      </c>
      <c r="S92" s="389">
        <f t="shared" si="4"/>
        <v>735226566.68999982</v>
      </c>
      <c r="T92" s="389">
        <f t="shared" si="4"/>
        <v>359533201.34000003</v>
      </c>
      <c r="U92" s="389">
        <f t="shared" si="4"/>
        <v>737790044.5799998</v>
      </c>
      <c r="V92" s="389">
        <f t="shared" si="4"/>
        <v>361133539.03000003</v>
      </c>
      <c r="W92" s="389">
        <f t="shared" si="4"/>
        <v>743022076.07999969</v>
      </c>
      <c r="X92" s="389">
        <f t="shared" si="4"/>
        <v>362566654.5</v>
      </c>
      <c r="Y92" s="389">
        <f t="shared" si="4"/>
        <v>748441437.37999976</v>
      </c>
      <c r="Z92" s="389">
        <f t="shared" si="4"/>
        <v>364082428.88999987</v>
      </c>
      <c r="AA92" s="389">
        <f t="shared" si="4"/>
        <v>753183631.21999967</v>
      </c>
      <c r="AB92" s="389">
        <f t="shared" si="4"/>
        <v>365355850.14999998</v>
      </c>
      <c r="AC92" s="389">
        <f t="shared" si="4"/>
        <v>764082473.55999994</v>
      </c>
      <c r="AD92" s="389">
        <f>SUBTOTAL(9,AD49:AD91)</f>
        <v>366495933.66000003</v>
      </c>
      <c r="AE92" s="389">
        <f t="shared" si="4"/>
        <v>733939834.59749973</v>
      </c>
      <c r="AF92" s="389">
        <f t="shared" si="4"/>
        <v>358122944.88458329</v>
      </c>
    </row>
    <row r="93" spans="1:32" ht="16.2">
      <c r="A93" s="380">
        <v>84</v>
      </c>
      <c r="B93" s="382" t="s">
        <v>881</v>
      </c>
      <c r="C93" s="382" t="s">
        <v>882</v>
      </c>
      <c r="D93" s="390"/>
      <c r="E93" s="391"/>
      <c r="F93" s="391"/>
      <c r="G93" s="391"/>
      <c r="H93" s="391"/>
      <c r="I93" s="391"/>
      <c r="J93" s="391"/>
      <c r="K93" s="391"/>
      <c r="L93" s="391"/>
      <c r="M93" s="391"/>
      <c r="N93" s="391"/>
      <c r="O93" s="391"/>
      <c r="P93" s="391"/>
      <c r="Q93" s="391"/>
      <c r="R93" s="391"/>
      <c r="S93" s="391"/>
      <c r="T93" s="391"/>
      <c r="U93" s="391"/>
      <c r="V93" s="391"/>
      <c r="W93" s="391"/>
      <c r="X93" s="391"/>
      <c r="Y93" s="391"/>
      <c r="Z93" s="391"/>
      <c r="AA93" s="391"/>
      <c r="AB93" s="391"/>
      <c r="AC93" s="391"/>
      <c r="AD93" s="391"/>
      <c r="AE93" s="391"/>
      <c r="AF93" s="391"/>
    </row>
    <row r="94" spans="1:32">
      <c r="A94" s="380">
        <v>85</v>
      </c>
      <c r="C94" s="14" t="s">
        <v>883</v>
      </c>
      <c r="D94" s="14" t="s">
        <v>885</v>
      </c>
      <c r="E94" s="386">
        <v>152066.08000000002</v>
      </c>
      <c r="F94" s="386">
        <v>0</v>
      </c>
      <c r="G94" s="386">
        <v>152066.08000000002</v>
      </c>
      <c r="H94" s="386">
        <v>0</v>
      </c>
      <c r="I94" s="386">
        <v>152066.08000000002</v>
      </c>
      <c r="J94" s="386">
        <v>0</v>
      </c>
      <c r="K94" s="386">
        <v>152066.08000000002</v>
      </c>
      <c r="L94" s="386">
        <v>0</v>
      </c>
      <c r="M94" s="386">
        <v>152066.08000000002</v>
      </c>
      <c r="N94" s="386">
        <v>0</v>
      </c>
      <c r="O94" s="386">
        <v>152066.08000000002</v>
      </c>
      <c r="P94" s="386">
        <v>0</v>
      </c>
      <c r="Q94" s="386">
        <v>152066.08000000002</v>
      </c>
      <c r="R94" s="386">
        <v>0</v>
      </c>
      <c r="S94" s="386">
        <v>152066.08000000002</v>
      </c>
      <c r="T94" s="386">
        <v>0</v>
      </c>
      <c r="U94" s="386">
        <v>152066.08000000002</v>
      </c>
      <c r="V94" s="386">
        <v>0</v>
      </c>
      <c r="W94" s="386">
        <v>152066.08000000002</v>
      </c>
      <c r="X94" s="386">
        <v>0</v>
      </c>
      <c r="Y94" s="386">
        <v>152066.08000000002</v>
      </c>
      <c r="Z94" s="386">
        <v>0</v>
      </c>
      <c r="AA94" s="386">
        <v>152066.08000000002</v>
      </c>
      <c r="AB94" s="386">
        <v>0</v>
      </c>
      <c r="AC94" s="386">
        <v>152066.08000000002</v>
      </c>
      <c r="AD94" s="386">
        <v>0</v>
      </c>
      <c r="AE94" s="386">
        <f t="shared" ref="AE94:AF138" si="5">+(E94+AC94+(+G94+I94+K94+M94+O94+Q94+S94+U94+W94+Y94+AA94)*2)/24</f>
        <v>152066.08000000005</v>
      </c>
      <c r="AF94" s="386">
        <f t="shared" si="5"/>
        <v>0</v>
      </c>
    </row>
    <row r="95" spans="1:32">
      <c r="A95" s="380">
        <v>86</v>
      </c>
      <c r="C95" s="14" t="s">
        <v>884</v>
      </c>
      <c r="D95" s="385" t="s">
        <v>885</v>
      </c>
      <c r="E95" s="386">
        <v>1826757.9</v>
      </c>
      <c r="F95" s="386">
        <v>1019884.5700000001</v>
      </c>
      <c r="G95" s="386">
        <v>1826757.9000000001</v>
      </c>
      <c r="H95" s="386">
        <v>1035107.55</v>
      </c>
      <c r="I95" s="386">
        <v>1826757.9000000001</v>
      </c>
      <c r="J95" s="386">
        <v>1050330.53</v>
      </c>
      <c r="K95" s="386">
        <v>1826757.9000000001</v>
      </c>
      <c r="L95" s="386">
        <v>1065553.51</v>
      </c>
      <c r="M95" s="386">
        <v>1826757.9000000001</v>
      </c>
      <c r="N95" s="386">
        <v>1080776.49</v>
      </c>
      <c r="O95" s="386">
        <v>1826757.9000000001</v>
      </c>
      <c r="P95" s="386">
        <v>1095999.47</v>
      </c>
      <c r="Q95" s="386">
        <v>1826757.9000000001</v>
      </c>
      <c r="R95" s="386">
        <v>1111222.4500000002</v>
      </c>
      <c r="S95" s="386">
        <v>1826757.9000000001</v>
      </c>
      <c r="T95" s="386">
        <v>1126445.4300000002</v>
      </c>
      <c r="U95" s="386">
        <v>1826757.9000000001</v>
      </c>
      <c r="V95" s="386">
        <v>1141668.4100000001</v>
      </c>
      <c r="W95" s="386">
        <v>1826757.9000000001</v>
      </c>
      <c r="X95" s="386">
        <v>1156891.3900000001</v>
      </c>
      <c r="Y95" s="386">
        <v>1826757.9000000001</v>
      </c>
      <c r="Z95" s="386">
        <v>1172114.3700000001</v>
      </c>
      <c r="AA95" s="386">
        <v>1826757.9000000001</v>
      </c>
      <c r="AB95" s="386">
        <v>1187337.3500000001</v>
      </c>
      <c r="AC95" s="386">
        <v>0</v>
      </c>
      <c r="AD95" s="386">
        <v>0</v>
      </c>
      <c r="AE95" s="386">
        <f t="shared" si="5"/>
        <v>1750642.9874999998</v>
      </c>
      <c r="AF95" s="386">
        <f t="shared" si="5"/>
        <v>1061115.7695833335</v>
      </c>
    </row>
    <row r="96" spans="1:32">
      <c r="A96" s="380">
        <v>87</v>
      </c>
      <c r="C96" s="14" t="s">
        <v>886</v>
      </c>
      <c r="D96" s="385" t="s">
        <v>885</v>
      </c>
      <c r="E96" s="386">
        <v>2186206.83</v>
      </c>
      <c r="F96" s="386">
        <v>771480.16</v>
      </c>
      <c r="G96" s="386">
        <v>2186206.83</v>
      </c>
      <c r="H96" s="386">
        <v>791313.54</v>
      </c>
      <c r="I96" s="386">
        <v>2186206.83</v>
      </c>
      <c r="J96" s="386">
        <v>811146.92</v>
      </c>
      <c r="K96" s="386">
        <v>2073631.63</v>
      </c>
      <c r="L96" s="386">
        <v>718405.10000000009</v>
      </c>
      <c r="M96" s="386">
        <v>2073631.63</v>
      </c>
      <c r="N96" s="386">
        <v>735685.36</v>
      </c>
      <c r="O96" s="386">
        <v>2073631.63</v>
      </c>
      <c r="P96" s="386">
        <v>752965.62</v>
      </c>
      <c r="Q96" s="386">
        <v>2073631.63</v>
      </c>
      <c r="R96" s="386">
        <v>770245.88</v>
      </c>
      <c r="S96" s="386">
        <v>2073631.63</v>
      </c>
      <c r="T96" s="386">
        <v>787526.14</v>
      </c>
      <c r="U96" s="386">
        <v>2073631.63</v>
      </c>
      <c r="V96" s="386">
        <v>804806.4</v>
      </c>
      <c r="W96" s="386">
        <v>2073631.63</v>
      </c>
      <c r="X96" s="386">
        <v>822086.66</v>
      </c>
      <c r="Y96" s="386">
        <v>2073631.63</v>
      </c>
      <c r="Z96" s="386">
        <v>839366.92</v>
      </c>
      <c r="AA96" s="386">
        <v>2073631.63</v>
      </c>
      <c r="AB96" s="386">
        <v>856647.17999999993</v>
      </c>
      <c r="AC96" s="386">
        <v>2073631.63</v>
      </c>
      <c r="AD96" s="386">
        <v>873927.44000000006</v>
      </c>
      <c r="AE96" s="386">
        <f t="shared" si="5"/>
        <v>2097084.7966666662</v>
      </c>
      <c r="AF96" s="386">
        <f t="shared" si="5"/>
        <v>792741.62666666682</v>
      </c>
    </row>
    <row r="97" spans="1:32">
      <c r="A97" s="380">
        <v>88</v>
      </c>
      <c r="C97" s="14" t="s">
        <v>1322</v>
      </c>
      <c r="D97" s="385" t="s">
        <v>885</v>
      </c>
      <c r="E97" s="386">
        <v>22735.5</v>
      </c>
      <c r="F97" s="386">
        <v>4357.58</v>
      </c>
      <c r="G97" s="386">
        <v>22735.5</v>
      </c>
      <c r="H97" s="386">
        <v>4547.04</v>
      </c>
      <c r="I97" s="386">
        <v>22735.5</v>
      </c>
      <c r="J97" s="386">
        <v>4736.5</v>
      </c>
      <c r="K97" s="386">
        <v>22735.5</v>
      </c>
      <c r="L97" s="386">
        <v>4925.96</v>
      </c>
      <c r="M97" s="386">
        <v>22810.46</v>
      </c>
      <c r="N97" s="386">
        <v>5115.42</v>
      </c>
      <c r="O97" s="386">
        <v>22810.46</v>
      </c>
      <c r="P97" s="386">
        <v>5305.51</v>
      </c>
      <c r="Q97" s="386">
        <v>22810.46</v>
      </c>
      <c r="R97" s="386">
        <v>5495.5999999999995</v>
      </c>
      <c r="S97" s="386">
        <v>22810.46</v>
      </c>
      <c r="T97" s="386">
        <v>5685.6900000000005</v>
      </c>
      <c r="U97" s="386">
        <v>22810.46</v>
      </c>
      <c r="V97" s="386">
        <v>5875.7800000000007</v>
      </c>
      <c r="W97" s="386">
        <v>22810.46</v>
      </c>
      <c r="X97" s="386">
        <v>6065.87</v>
      </c>
      <c r="Y97" s="386">
        <v>22810.46</v>
      </c>
      <c r="Z97" s="386">
        <v>6255.96</v>
      </c>
      <c r="AA97" s="386">
        <v>22810.46</v>
      </c>
      <c r="AB97" s="386">
        <v>6446.05</v>
      </c>
      <c r="AC97" s="386">
        <v>14664.05</v>
      </c>
      <c r="AD97" s="386">
        <v>4266.1400000000003</v>
      </c>
      <c r="AE97" s="386">
        <f t="shared" si="5"/>
        <v>22449.162916666664</v>
      </c>
      <c r="AF97" s="386">
        <f t="shared" si="5"/>
        <v>5397.27</v>
      </c>
    </row>
    <row r="98" spans="1:32">
      <c r="A98" s="380">
        <v>89</v>
      </c>
      <c r="C98" s="14" t="s">
        <v>1323</v>
      </c>
      <c r="D98" s="385" t="s">
        <v>885</v>
      </c>
      <c r="E98" s="386">
        <v>430112.44000000006</v>
      </c>
      <c r="F98" s="386">
        <v>43011.24</v>
      </c>
      <c r="G98" s="386">
        <v>430112.44</v>
      </c>
      <c r="H98" s="386">
        <v>46595.51</v>
      </c>
      <c r="I98" s="386">
        <v>430112.44</v>
      </c>
      <c r="J98" s="386">
        <v>50179.780000000006</v>
      </c>
      <c r="K98" s="386">
        <v>430112.44</v>
      </c>
      <c r="L98" s="386">
        <v>53764.05</v>
      </c>
      <c r="M98" s="386">
        <v>430112.44</v>
      </c>
      <c r="N98" s="386">
        <v>57348.320000000007</v>
      </c>
      <c r="O98" s="386">
        <v>430112.44</v>
      </c>
      <c r="P98" s="386">
        <v>60932.59</v>
      </c>
      <c r="Q98" s="386">
        <v>430112.44</v>
      </c>
      <c r="R98" s="386">
        <v>64516.86</v>
      </c>
      <c r="S98" s="386">
        <v>430112.44</v>
      </c>
      <c r="T98" s="386">
        <v>68101.13</v>
      </c>
      <c r="U98" s="386">
        <v>430112.44</v>
      </c>
      <c r="V98" s="386">
        <v>71685.399999999994</v>
      </c>
      <c r="W98" s="386">
        <v>430112.44</v>
      </c>
      <c r="X98" s="386">
        <v>75269.67</v>
      </c>
      <c r="Y98" s="386">
        <v>430112.44</v>
      </c>
      <c r="Z98" s="386">
        <v>78853.94</v>
      </c>
      <c r="AA98" s="386">
        <v>430112.44</v>
      </c>
      <c r="AB98" s="386">
        <v>82438.210000000006</v>
      </c>
      <c r="AC98" s="386">
        <v>430112.44</v>
      </c>
      <c r="AD98" s="386">
        <v>86022.48000000001</v>
      </c>
      <c r="AE98" s="386">
        <f t="shared" si="5"/>
        <v>430112.44000000012</v>
      </c>
      <c r="AF98" s="386">
        <f t="shared" si="5"/>
        <v>64516.859999999993</v>
      </c>
    </row>
    <row r="99" spans="1:32">
      <c r="A99" s="380">
        <v>90</v>
      </c>
      <c r="C99" s="14" t="s">
        <v>2232</v>
      </c>
      <c r="D99" s="385" t="s">
        <v>885</v>
      </c>
      <c r="E99" s="386">
        <v>0</v>
      </c>
      <c r="F99" s="386">
        <v>0</v>
      </c>
      <c r="G99" s="386">
        <v>0</v>
      </c>
      <c r="H99" s="386">
        <v>0</v>
      </c>
      <c r="I99" s="386">
        <v>0</v>
      </c>
      <c r="J99" s="386">
        <v>0</v>
      </c>
      <c r="K99" s="386">
        <v>0</v>
      </c>
      <c r="L99" s="386">
        <v>0</v>
      </c>
      <c r="M99" s="386">
        <v>100963.92</v>
      </c>
      <c r="N99" s="386">
        <v>0</v>
      </c>
      <c r="O99" s="386">
        <v>100963.92</v>
      </c>
      <c r="P99" s="386">
        <v>841.37</v>
      </c>
      <c r="Q99" s="386">
        <v>101150.49</v>
      </c>
      <c r="R99" s="386">
        <v>1682.74</v>
      </c>
      <c r="S99" s="386">
        <v>119047.05</v>
      </c>
      <c r="T99" s="386">
        <v>2525.66</v>
      </c>
      <c r="U99" s="386">
        <v>119700.04000000001</v>
      </c>
      <c r="V99" s="386">
        <v>3517.7200000000003</v>
      </c>
      <c r="W99" s="386">
        <v>119700.04000000001</v>
      </c>
      <c r="X99" s="386">
        <v>4515.22</v>
      </c>
      <c r="Y99" s="386">
        <v>119700.04000000001</v>
      </c>
      <c r="Z99" s="386">
        <v>5512.7199999999993</v>
      </c>
      <c r="AA99" s="386">
        <v>119700.04000000001</v>
      </c>
      <c r="AB99" s="386">
        <v>6510.22</v>
      </c>
      <c r="AC99" s="386">
        <v>50760.55</v>
      </c>
      <c r="AD99" s="386">
        <v>1122.49</v>
      </c>
      <c r="AE99" s="386">
        <f t="shared" si="5"/>
        <v>77192.15125000001</v>
      </c>
      <c r="AF99" s="386">
        <f t="shared" si="5"/>
        <v>2138.9079166666666</v>
      </c>
    </row>
    <row r="100" spans="1:32">
      <c r="A100" s="380">
        <v>91</v>
      </c>
      <c r="C100" s="14" t="s">
        <v>887</v>
      </c>
      <c r="D100" s="385" t="s">
        <v>885</v>
      </c>
      <c r="E100" s="386">
        <v>0</v>
      </c>
      <c r="F100" s="386">
        <v>0</v>
      </c>
      <c r="G100" s="386">
        <v>0</v>
      </c>
      <c r="H100" s="386">
        <v>0</v>
      </c>
      <c r="I100" s="386">
        <v>0</v>
      </c>
      <c r="J100" s="386">
        <v>0</v>
      </c>
      <c r="K100" s="386">
        <v>0</v>
      </c>
      <c r="L100" s="386">
        <v>0</v>
      </c>
      <c r="M100" s="386">
        <v>0</v>
      </c>
      <c r="N100" s="386">
        <v>0</v>
      </c>
      <c r="O100" s="386">
        <v>0</v>
      </c>
      <c r="P100" s="386">
        <v>0</v>
      </c>
      <c r="Q100" s="386">
        <v>0</v>
      </c>
      <c r="R100" s="386">
        <v>0</v>
      </c>
      <c r="S100" s="386">
        <v>0</v>
      </c>
      <c r="T100" s="386">
        <v>0</v>
      </c>
      <c r="U100" s="386">
        <v>0</v>
      </c>
      <c r="V100" s="386">
        <v>0</v>
      </c>
      <c r="W100" s="386">
        <v>0</v>
      </c>
      <c r="X100" s="386">
        <v>0</v>
      </c>
      <c r="Y100" s="386">
        <v>0</v>
      </c>
      <c r="Z100" s="386">
        <v>0</v>
      </c>
      <c r="AA100" s="386">
        <v>0</v>
      </c>
      <c r="AB100" s="386">
        <v>0</v>
      </c>
      <c r="AC100" s="386">
        <v>0</v>
      </c>
      <c r="AD100" s="386">
        <v>0</v>
      </c>
      <c r="AE100" s="386">
        <f t="shared" si="5"/>
        <v>0</v>
      </c>
      <c r="AF100" s="386">
        <f t="shared" si="5"/>
        <v>0</v>
      </c>
    </row>
    <row r="101" spans="1:32">
      <c r="A101" s="380">
        <v>92</v>
      </c>
      <c r="C101" s="14" t="s">
        <v>2233</v>
      </c>
      <c r="D101" s="385" t="s">
        <v>885</v>
      </c>
      <c r="E101" s="386">
        <v>0</v>
      </c>
      <c r="F101" s="386">
        <v>0</v>
      </c>
      <c r="G101" s="386">
        <v>0</v>
      </c>
      <c r="H101" s="386">
        <v>0</v>
      </c>
      <c r="I101" s="386">
        <v>0</v>
      </c>
      <c r="J101" s="386">
        <v>0</v>
      </c>
      <c r="K101" s="386">
        <v>0</v>
      </c>
      <c r="L101" s="386">
        <v>0</v>
      </c>
      <c r="M101" s="386">
        <v>0</v>
      </c>
      <c r="N101" s="386">
        <v>0</v>
      </c>
      <c r="O101" s="386">
        <v>0</v>
      </c>
      <c r="P101" s="386">
        <v>0</v>
      </c>
      <c r="Q101" s="386">
        <v>0</v>
      </c>
      <c r="R101" s="386">
        <v>0</v>
      </c>
      <c r="S101" s="386">
        <v>0</v>
      </c>
      <c r="T101" s="386">
        <v>0</v>
      </c>
      <c r="U101" s="386">
        <v>0</v>
      </c>
      <c r="V101" s="386">
        <v>0</v>
      </c>
      <c r="W101" s="386">
        <v>603382.80000000005</v>
      </c>
      <c r="X101" s="386">
        <v>0</v>
      </c>
      <c r="Y101" s="386">
        <v>603382.80000000005</v>
      </c>
      <c r="Z101" s="386">
        <v>4188.4799999999996</v>
      </c>
      <c r="AA101" s="386">
        <v>603382.80000000005</v>
      </c>
      <c r="AB101" s="386">
        <v>8376.9599999999991</v>
      </c>
      <c r="AC101" s="386">
        <v>1191253.08</v>
      </c>
      <c r="AD101" s="386">
        <v>12565.44</v>
      </c>
      <c r="AE101" s="386">
        <f t="shared" si="5"/>
        <v>200481.24500000002</v>
      </c>
      <c r="AF101" s="386">
        <f t="shared" si="5"/>
        <v>1570.68</v>
      </c>
    </row>
    <row r="102" spans="1:32">
      <c r="A102" s="380">
        <v>93</v>
      </c>
      <c r="C102" s="14" t="s">
        <v>888</v>
      </c>
      <c r="D102" s="385" t="s">
        <v>885</v>
      </c>
      <c r="E102" s="386">
        <v>4188146.9299999997</v>
      </c>
      <c r="F102" s="386">
        <v>2025640.31</v>
      </c>
      <c r="G102" s="386">
        <v>4188146.9299999997</v>
      </c>
      <c r="H102" s="386">
        <v>2052479.35</v>
      </c>
      <c r="I102" s="386">
        <v>4188146.9299999997</v>
      </c>
      <c r="J102" s="386">
        <v>2079318.39</v>
      </c>
      <c r="K102" s="386">
        <v>4188146.9299999997</v>
      </c>
      <c r="L102" s="386">
        <v>2106157.4300000002</v>
      </c>
      <c r="M102" s="386">
        <v>4188146.9299999997</v>
      </c>
      <c r="N102" s="386">
        <v>2132996.4699999997</v>
      </c>
      <c r="O102" s="386">
        <v>4188146.9299999997</v>
      </c>
      <c r="P102" s="386">
        <v>2159835.5099999998</v>
      </c>
      <c r="Q102" s="386">
        <v>4188146.9299999997</v>
      </c>
      <c r="R102" s="386">
        <v>2186674.5499999998</v>
      </c>
      <c r="S102" s="386">
        <v>4188146.9299999997</v>
      </c>
      <c r="T102" s="386">
        <v>2213513.59</v>
      </c>
      <c r="U102" s="386">
        <v>4188146.9299999997</v>
      </c>
      <c r="V102" s="386">
        <v>2240352.63</v>
      </c>
      <c r="W102" s="386">
        <v>4188146.9299999997</v>
      </c>
      <c r="X102" s="386">
        <v>2267191.67</v>
      </c>
      <c r="Y102" s="386">
        <v>4188146.9299999997</v>
      </c>
      <c r="Z102" s="386">
        <v>2294030.71</v>
      </c>
      <c r="AA102" s="386">
        <v>4188146.9299999997</v>
      </c>
      <c r="AB102" s="386">
        <v>2320869.75</v>
      </c>
      <c r="AC102" s="386">
        <v>4188146.9299999997</v>
      </c>
      <c r="AD102" s="386">
        <v>2347708.79</v>
      </c>
      <c r="AE102" s="386">
        <f t="shared" si="5"/>
        <v>4188146.9299999997</v>
      </c>
      <c r="AF102" s="386">
        <f t="shared" si="5"/>
        <v>2186674.5499999998</v>
      </c>
    </row>
    <row r="103" spans="1:32">
      <c r="A103" s="380">
        <v>94</v>
      </c>
      <c r="C103" s="14" t="s">
        <v>889</v>
      </c>
      <c r="D103" s="385" t="s">
        <v>885</v>
      </c>
      <c r="E103" s="386">
        <v>695173.17</v>
      </c>
      <c r="F103" s="386">
        <v>386268.12</v>
      </c>
      <c r="G103" s="386">
        <v>695173.16999999993</v>
      </c>
      <c r="H103" s="386">
        <v>390404.4</v>
      </c>
      <c r="I103" s="386">
        <v>695173.16999999993</v>
      </c>
      <c r="J103" s="386">
        <v>394540.68</v>
      </c>
      <c r="K103" s="386">
        <v>695173.16999999993</v>
      </c>
      <c r="L103" s="386">
        <v>398676.96</v>
      </c>
      <c r="M103" s="386">
        <v>695173.16999999993</v>
      </c>
      <c r="N103" s="386">
        <v>402813.24</v>
      </c>
      <c r="O103" s="386">
        <v>695173.16999999993</v>
      </c>
      <c r="P103" s="386">
        <v>406949.52</v>
      </c>
      <c r="Q103" s="386">
        <v>695173.16999999993</v>
      </c>
      <c r="R103" s="386">
        <v>411085.8</v>
      </c>
      <c r="S103" s="386">
        <v>695173.16999999993</v>
      </c>
      <c r="T103" s="386">
        <v>415222.08</v>
      </c>
      <c r="U103" s="386">
        <v>695173.16999999993</v>
      </c>
      <c r="V103" s="386">
        <v>419358.36</v>
      </c>
      <c r="W103" s="386">
        <v>695173.16999999993</v>
      </c>
      <c r="X103" s="386">
        <v>423494.64</v>
      </c>
      <c r="Y103" s="386">
        <v>695173.16999999993</v>
      </c>
      <c r="Z103" s="386">
        <v>427630.92000000004</v>
      </c>
      <c r="AA103" s="386">
        <v>695173.16999999993</v>
      </c>
      <c r="AB103" s="386">
        <v>431767.2</v>
      </c>
      <c r="AC103" s="386">
        <v>695173.16999999993</v>
      </c>
      <c r="AD103" s="386">
        <v>435903.48</v>
      </c>
      <c r="AE103" s="386">
        <f t="shared" si="5"/>
        <v>695173.16999999993</v>
      </c>
      <c r="AF103" s="386">
        <f t="shared" si="5"/>
        <v>411085.8</v>
      </c>
    </row>
    <row r="104" spans="1:32">
      <c r="A104" s="380">
        <v>95</v>
      </c>
      <c r="C104" s="14" t="s">
        <v>890</v>
      </c>
      <c r="D104" s="385" t="s">
        <v>885</v>
      </c>
      <c r="E104" s="386">
        <v>2037970.8599999999</v>
      </c>
      <c r="F104" s="386">
        <v>1056937.6200000001</v>
      </c>
      <c r="G104" s="386">
        <v>2037970.8599999999</v>
      </c>
      <c r="H104" s="386">
        <v>1069063.55</v>
      </c>
      <c r="I104" s="386">
        <v>2037970.8599999999</v>
      </c>
      <c r="J104" s="386">
        <v>1081189.48</v>
      </c>
      <c r="K104" s="386">
        <v>2037970.8599999999</v>
      </c>
      <c r="L104" s="386">
        <v>1093315.4099999999</v>
      </c>
      <c r="M104" s="386">
        <v>2037970.8599999999</v>
      </c>
      <c r="N104" s="386">
        <v>1105441.3400000001</v>
      </c>
      <c r="O104" s="386">
        <v>2037970.8599999999</v>
      </c>
      <c r="P104" s="386">
        <v>1117567.27</v>
      </c>
      <c r="Q104" s="386">
        <v>2037970.8599999999</v>
      </c>
      <c r="R104" s="386">
        <v>1129693.2</v>
      </c>
      <c r="S104" s="386">
        <v>2037970.8599999999</v>
      </c>
      <c r="T104" s="386">
        <v>1141819.1299999999</v>
      </c>
      <c r="U104" s="386">
        <v>2037970.8599999999</v>
      </c>
      <c r="V104" s="386">
        <v>1153945.06</v>
      </c>
      <c r="W104" s="386">
        <v>2037970.8599999999</v>
      </c>
      <c r="X104" s="386">
        <v>1166070.99</v>
      </c>
      <c r="Y104" s="386">
        <v>2037970.8599999999</v>
      </c>
      <c r="Z104" s="386">
        <v>1178196.92</v>
      </c>
      <c r="AA104" s="386">
        <v>2037970.8599999999</v>
      </c>
      <c r="AB104" s="386">
        <v>1190322.8500000001</v>
      </c>
      <c r="AC104" s="386">
        <v>2037970.8599999999</v>
      </c>
      <c r="AD104" s="386">
        <v>1202448.78</v>
      </c>
      <c r="AE104" s="386">
        <f t="shared" si="5"/>
        <v>2037970.8599999996</v>
      </c>
      <c r="AF104" s="386">
        <f t="shared" si="5"/>
        <v>1129693.2000000002</v>
      </c>
    </row>
    <row r="105" spans="1:32">
      <c r="A105" s="380">
        <v>96</v>
      </c>
      <c r="C105" s="14" t="s">
        <v>891</v>
      </c>
      <c r="D105" s="385" t="s">
        <v>885</v>
      </c>
      <c r="E105" s="386">
        <v>17063587.219999999</v>
      </c>
      <c r="F105" s="386">
        <v>7862834.25</v>
      </c>
      <c r="G105" s="386">
        <v>17063587.219999999</v>
      </c>
      <c r="H105" s="386">
        <v>7957679.3599999994</v>
      </c>
      <c r="I105" s="386">
        <v>17063587.219999999</v>
      </c>
      <c r="J105" s="386">
        <v>8052524.4700000007</v>
      </c>
      <c r="K105" s="386">
        <v>17063587.219999999</v>
      </c>
      <c r="L105" s="386">
        <v>8147369.5800000001</v>
      </c>
      <c r="M105" s="386">
        <v>17063587.219999999</v>
      </c>
      <c r="N105" s="386">
        <v>8242214.6899999995</v>
      </c>
      <c r="O105" s="386">
        <v>17063587.219999999</v>
      </c>
      <c r="P105" s="386">
        <v>8337059.7999999998</v>
      </c>
      <c r="Q105" s="386">
        <v>17063587.219999999</v>
      </c>
      <c r="R105" s="386">
        <v>8431904.9100000001</v>
      </c>
      <c r="S105" s="386">
        <v>17063587.219999999</v>
      </c>
      <c r="T105" s="386">
        <v>8526750.0199999996</v>
      </c>
      <c r="U105" s="386">
        <v>17063587.219999999</v>
      </c>
      <c r="V105" s="386">
        <v>8621595.129999999</v>
      </c>
      <c r="W105" s="386">
        <v>17063587.219999999</v>
      </c>
      <c r="X105" s="386">
        <v>8716440.2400000002</v>
      </c>
      <c r="Y105" s="386">
        <v>17063587.219999999</v>
      </c>
      <c r="Z105" s="386">
        <v>8811285.3499999996</v>
      </c>
      <c r="AA105" s="386">
        <v>17063587.219999999</v>
      </c>
      <c r="AB105" s="386">
        <v>8906130.4600000009</v>
      </c>
      <c r="AC105" s="386">
        <v>17063587.219999999</v>
      </c>
      <c r="AD105" s="386">
        <v>9000975.5700000003</v>
      </c>
      <c r="AE105" s="386">
        <f t="shared" si="5"/>
        <v>17063587.219999999</v>
      </c>
      <c r="AF105" s="386">
        <f t="shared" si="5"/>
        <v>8431904.9099999983</v>
      </c>
    </row>
    <row r="106" spans="1:32">
      <c r="A106" s="380">
        <v>97</v>
      </c>
      <c r="C106" s="14" t="s">
        <v>892</v>
      </c>
      <c r="D106" s="385" t="s">
        <v>885</v>
      </c>
      <c r="E106" s="386">
        <v>541240.59000000008</v>
      </c>
      <c r="F106" s="386">
        <v>225205.66999999998</v>
      </c>
      <c r="G106" s="386">
        <v>541240.59</v>
      </c>
      <c r="H106" s="386">
        <v>228214.07</v>
      </c>
      <c r="I106" s="386">
        <v>541240.59</v>
      </c>
      <c r="J106" s="386">
        <v>231222.47</v>
      </c>
      <c r="K106" s="386">
        <v>541240.59</v>
      </c>
      <c r="L106" s="386">
        <v>234230.87</v>
      </c>
      <c r="M106" s="386">
        <v>541240.59</v>
      </c>
      <c r="N106" s="386">
        <v>237239.27000000002</v>
      </c>
      <c r="O106" s="386">
        <v>541240.59</v>
      </c>
      <c r="P106" s="386">
        <v>240247.67</v>
      </c>
      <c r="Q106" s="386">
        <v>541240.59</v>
      </c>
      <c r="R106" s="386">
        <v>243256.07</v>
      </c>
      <c r="S106" s="386">
        <v>541240.59</v>
      </c>
      <c r="T106" s="386">
        <v>246264.47</v>
      </c>
      <c r="U106" s="386">
        <v>541240.59</v>
      </c>
      <c r="V106" s="386">
        <v>249272.87</v>
      </c>
      <c r="W106" s="386">
        <v>541240.59</v>
      </c>
      <c r="X106" s="386">
        <v>252281.27</v>
      </c>
      <c r="Y106" s="386">
        <v>541240.59</v>
      </c>
      <c r="Z106" s="386">
        <v>255289.67</v>
      </c>
      <c r="AA106" s="386">
        <v>541240.59</v>
      </c>
      <c r="AB106" s="386">
        <v>258298.07</v>
      </c>
      <c r="AC106" s="386">
        <v>541240.59</v>
      </c>
      <c r="AD106" s="386">
        <v>261306.47</v>
      </c>
      <c r="AE106" s="386">
        <f t="shared" si="5"/>
        <v>541240.59</v>
      </c>
      <c r="AF106" s="386">
        <f t="shared" si="5"/>
        <v>243256.06999999998</v>
      </c>
    </row>
    <row r="107" spans="1:32">
      <c r="A107" s="380">
        <v>98</v>
      </c>
      <c r="C107" s="14" t="s">
        <v>1324</v>
      </c>
      <c r="D107" s="385" t="s">
        <v>885</v>
      </c>
      <c r="E107" s="386">
        <v>133873.49</v>
      </c>
      <c r="F107" s="386">
        <v>8925.67</v>
      </c>
      <c r="G107" s="386">
        <v>133873.49</v>
      </c>
      <c r="H107" s="386">
        <v>9669.7800000000007</v>
      </c>
      <c r="I107" s="386">
        <v>133873.49</v>
      </c>
      <c r="J107" s="386">
        <v>10413.890000000001</v>
      </c>
      <c r="K107" s="386">
        <v>133873.49</v>
      </c>
      <c r="L107" s="386">
        <v>11158</v>
      </c>
      <c r="M107" s="386">
        <v>133873.49</v>
      </c>
      <c r="N107" s="386">
        <v>11902.11</v>
      </c>
      <c r="O107" s="386">
        <v>133873.49</v>
      </c>
      <c r="P107" s="386">
        <v>12646.22</v>
      </c>
      <c r="Q107" s="386">
        <v>133873.49</v>
      </c>
      <c r="R107" s="386">
        <v>13390.33</v>
      </c>
      <c r="S107" s="386">
        <v>133873.49</v>
      </c>
      <c r="T107" s="386">
        <v>14134.44</v>
      </c>
      <c r="U107" s="386">
        <v>133873.49</v>
      </c>
      <c r="V107" s="386">
        <v>14878.550000000001</v>
      </c>
      <c r="W107" s="386">
        <v>133873.49</v>
      </c>
      <c r="X107" s="386">
        <v>15622.66</v>
      </c>
      <c r="Y107" s="386">
        <v>133873.49</v>
      </c>
      <c r="Z107" s="386">
        <v>16366.77</v>
      </c>
      <c r="AA107" s="386">
        <v>133873.49</v>
      </c>
      <c r="AB107" s="386">
        <v>17110.88</v>
      </c>
      <c r="AC107" s="386">
        <v>133873.49</v>
      </c>
      <c r="AD107" s="386">
        <v>17854.990000000002</v>
      </c>
      <c r="AE107" s="386">
        <f t="shared" si="5"/>
        <v>133873.49</v>
      </c>
      <c r="AF107" s="386">
        <f t="shared" si="5"/>
        <v>13390.330000000002</v>
      </c>
    </row>
    <row r="108" spans="1:32">
      <c r="A108" s="380">
        <v>99</v>
      </c>
      <c r="C108" s="14" t="s">
        <v>1325</v>
      </c>
      <c r="D108" s="385" t="s">
        <v>885</v>
      </c>
      <c r="E108" s="386">
        <v>55564.55</v>
      </c>
      <c r="F108" s="386">
        <v>306.56</v>
      </c>
      <c r="G108" s="386">
        <v>55564.55</v>
      </c>
      <c r="H108" s="386">
        <v>615.41000000000008</v>
      </c>
      <c r="I108" s="386">
        <v>55564.55</v>
      </c>
      <c r="J108" s="386">
        <v>924.26</v>
      </c>
      <c r="K108" s="386">
        <v>55564.55</v>
      </c>
      <c r="L108" s="386">
        <v>1233.1100000000001</v>
      </c>
      <c r="M108" s="386">
        <v>55564.55</v>
      </c>
      <c r="N108" s="386">
        <v>1541.96</v>
      </c>
      <c r="O108" s="386">
        <v>55564.55</v>
      </c>
      <c r="P108" s="386">
        <v>1850.81</v>
      </c>
      <c r="Q108" s="386">
        <v>55564.55</v>
      </c>
      <c r="R108" s="386">
        <v>2159.66</v>
      </c>
      <c r="S108" s="386">
        <v>55564.55</v>
      </c>
      <c r="T108" s="386">
        <v>2468.5100000000002</v>
      </c>
      <c r="U108" s="386">
        <v>55564.55</v>
      </c>
      <c r="V108" s="386">
        <v>2777.36</v>
      </c>
      <c r="W108" s="386">
        <v>55564.55</v>
      </c>
      <c r="X108" s="386">
        <v>3086.21</v>
      </c>
      <c r="Y108" s="386">
        <v>55564.55</v>
      </c>
      <c r="Z108" s="386">
        <v>3395.06</v>
      </c>
      <c r="AA108" s="386">
        <v>55564.55</v>
      </c>
      <c r="AB108" s="386">
        <v>3703.9100000000003</v>
      </c>
      <c r="AC108" s="386">
        <v>55564.55</v>
      </c>
      <c r="AD108" s="386">
        <v>4012.76</v>
      </c>
      <c r="AE108" s="386">
        <f t="shared" si="5"/>
        <v>55564.55000000001</v>
      </c>
      <c r="AF108" s="386">
        <f t="shared" si="5"/>
        <v>2159.6600000000003</v>
      </c>
    </row>
    <row r="109" spans="1:32">
      <c r="A109" s="380">
        <v>100</v>
      </c>
      <c r="C109" s="14" t="s">
        <v>893</v>
      </c>
      <c r="D109" s="14" t="s">
        <v>885</v>
      </c>
      <c r="E109" s="386">
        <v>7720.22</v>
      </c>
      <c r="F109" s="386">
        <v>7720.22</v>
      </c>
      <c r="G109" s="386">
        <v>7720.22</v>
      </c>
      <c r="H109" s="386">
        <v>7720.2199999999993</v>
      </c>
      <c r="I109" s="386">
        <v>7720.22</v>
      </c>
      <c r="J109" s="386">
        <v>7720.2199999999993</v>
      </c>
      <c r="K109" s="386">
        <v>7720.22</v>
      </c>
      <c r="L109" s="386">
        <v>7720.2199999999993</v>
      </c>
      <c r="M109" s="386">
        <v>7720.22</v>
      </c>
      <c r="N109" s="386">
        <v>7720.2199999999993</v>
      </c>
      <c r="O109" s="386">
        <v>7720.22</v>
      </c>
      <c r="P109" s="386">
        <v>7720.2199999999993</v>
      </c>
      <c r="Q109" s="386">
        <v>7720.22</v>
      </c>
      <c r="R109" s="386">
        <v>7720.2199999999993</v>
      </c>
      <c r="S109" s="386">
        <v>7720.22</v>
      </c>
      <c r="T109" s="386">
        <v>7720.2199999999993</v>
      </c>
      <c r="U109" s="386">
        <v>7720.22</v>
      </c>
      <c r="V109" s="386">
        <v>7720.2199999999993</v>
      </c>
      <c r="W109" s="386">
        <v>7720.22</v>
      </c>
      <c r="X109" s="386">
        <v>7720.2199999999993</v>
      </c>
      <c r="Y109" s="386">
        <v>7720.22</v>
      </c>
      <c r="Z109" s="386">
        <v>7720.2199999999993</v>
      </c>
      <c r="AA109" s="386">
        <v>7720.22</v>
      </c>
      <c r="AB109" s="386">
        <v>7720.2199999999993</v>
      </c>
      <c r="AC109" s="386">
        <v>7720.22</v>
      </c>
      <c r="AD109" s="386">
        <v>7720.2199999999993</v>
      </c>
      <c r="AE109" s="386">
        <f t="shared" si="5"/>
        <v>7720.22</v>
      </c>
      <c r="AF109" s="386">
        <f t="shared" si="5"/>
        <v>7720.22</v>
      </c>
    </row>
    <row r="110" spans="1:32">
      <c r="A110" s="380">
        <v>101</v>
      </c>
      <c r="C110" s="14" t="s">
        <v>1326</v>
      </c>
      <c r="D110" s="14" t="s">
        <v>885</v>
      </c>
      <c r="E110" s="386">
        <v>30627.77</v>
      </c>
      <c r="F110" s="386">
        <v>16164.63</v>
      </c>
      <c r="G110" s="386">
        <v>30627.77</v>
      </c>
      <c r="H110" s="386">
        <v>17015.400000000001</v>
      </c>
      <c r="I110" s="386">
        <v>30627.77</v>
      </c>
      <c r="J110" s="386">
        <v>17866.169999999998</v>
      </c>
      <c r="K110" s="386">
        <v>30627.77</v>
      </c>
      <c r="L110" s="386">
        <v>18716.940000000002</v>
      </c>
      <c r="M110" s="386">
        <v>30627.77</v>
      </c>
      <c r="N110" s="386">
        <v>19567.71</v>
      </c>
      <c r="O110" s="386">
        <v>30627.77</v>
      </c>
      <c r="P110" s="386">
        <v>20418.480000000003</v>
      </c>
      <c r="Q110" s="386">
        <v>30627.77</v>
      </c>
      <c r="R110" s="386">
        <v>21269.25</v>
      </c>
      <c r="S110" s="386">
        <v>30627.77</v>
      </c>
      <c r="T110" s="386">
        <v>22120.02</v>
      </c>
      <c r="U110" s="386">
        <v>30627.77</v>
      </c>
      <c r="V110" s="386">
        <v>22970.79</v>
      </c>
      <c r="W110" s="386">
        <v>30627.77</v>
      </c>
      <c r="X110" s="386">
        <v>23821.56</v>
      </c>
      <c r="Y110" s="386">
        <v>30627.77</v>
      </c>
      <c r="Z110" s="386">
        <v>24672.33</v>
      </c>
      <c r="AA110" s="386">
        <v>30627.77</v>
      </c>
      <c r="AB110" s="386">
        <v>25523.100000000002</v>
      </c>
      <c r="AC110" s="386">
        <v>30627.77</v>
      </c>
      <c r="AD110" s="386">
        <v>26373.87</v>
      </c>
      <c r="AE110" s="386">
        <f t="shared" si="5"/>
        <v>30627.770000000004</v>
      </c>
      <c r="AF110" s="386">
        <f t="shared" si="5"/>
        <v>21269.250000000004</v>
      </c>
    </row>
    <row r="111" spans="1:32">
      <c r="A111" s="380">
        <v>102</v>
      </c>
      <c r="C111" s="14" t="s">
        <v>894</v>
      </c>
      <c r="D111" s="14" t="s">
        <v>885</v>
      </c>
      <c r="E111" s="386">
        <v>14271.5</v>
      </c>
      <c r="F111" s="386">
        <v>14271.5</v>
      </c>
      <c r="G111" s="386">
        <v>14271.5</v>
      </c>
      <c r="H111" s="386">
        <v>14271.5</v>
      </c>
      <c r="I111" s="386">
        <v>14271.5</v>
      </c>
      <c r="J111" s="386">
        <v>14271.5</v>
      </c>
      <c r="K111" s="386">
        <v>14271.5</v>
      </c>
      <c r="L111" s="386">
        <v>14271.5</v>
      </c>
      <c r="M111" s="386">
        <v>14271.5</v>
      </c>
      <c r="N111" s="386">
        <v>14271.5</v>
      </c>
      <c r="O111" s="386">
        <v>14271.5</v>
      </c>
      <c r="P111" s="386">
        <v>14271.5</v>
      </c>
      <c r="Q111" s="386">
        <v>14271.5</v>
      </c>
      <c r="R111" s="386">
        <v>14271.5</v>
      </c>
      <c r="S111" s="386">
        <v>14271.5</v>
      </c>
      <c r="T111" s="386">
        <v>14271.5</v>
      </c>
      <c r="U111" s="386">
        <v>14271.5</v>
      </c>
      <c r="V111" s="386">
        <v>14271.5</v>
      </c>
      <c r="W111" s="386">
        <v>14271.5</v>
      </c>
      <c r="X111" s="386">
        <v>14271.5</v>
      </c>
      <c r="Y111" s="386">
        <v>14271.5</v>
      </c>
      <c r="Z111" s="386">
        <v>14271.5</v>
      </c>
      <c r="AA111" s="386">
        <v>14271.5</v>
      </c>
      <c r="AB111" s="386">
        <v>14271.5</v>
      </c>
      <c r="AC111" s="386">
        <v>14271.5</v>
      </c>
      <c r="AD111" s="386">
        <v>14271.5</v>
      </c>
      <c r="AE111" s="386">
        <f t="shared" si="5"/>
        <v>14271.5</v>
      </c>
      <c r="AF111" s="386">
        <f t="shared" si="5"/>
        <v>14271.5</v>
      </c>
    </row>
    <row r="112" spans="1:32">
      <c r="A112" s="380">
        <v>103</v>
      </c>
      <c r="C112" s="14" t="s">
        <v>1327</v>
      </c>
      <c r="D112" s="14" t="s">
        <v>885</v>
      </c>
      <c r="E112" s="386">
        <v>116864.94</v>
      </c>
      <c r="F112" s="386">
        <v>40904.910000000003</v>
      </c>
      <c r="G112" s="386">
        <v>116864.94</v>
      </c>
      <c r="H112" s="386">
        <v>42852.66</v>
      </c>
      <c r="I112" s="386">
        <v>116864.94</v>
      </c>
      <c r="J112" s="386">
        <v>44800.41</v>
      </c>
      <c r="K112" s="386">
        <v>116864.94</v>
      </c>
      <c r="L112" s="386">
        <v>46748.160000000003</v>
      </c>
      <c r="M112" s="386">
        <v>116864.94</v>
      </c>
      <c r="N112" s="386">
        <v>48695.91</v>
      </c>
      <c r="O112" s="386">
        <v>116864.94</v>
      </c>
      <c r="P112" s="386">
        <v>50643.66</v>
      </c>
      <c r="Q112" s="386">
        <v>116864.94</v>
      </c>
      <c r="R112" s="386">
        <v>52591.41</v>
      </c>
      <c r="S112" s="386">
        <v>116864.94</v>
      </c>
      <c r="T112" s="386">
        <v>54539.16</v>
      </c>
      <c r="U112" s="386">
        <v>116864.94</v>
      </c>
      <c r="V112" s="386">
        <v>56486.91</v>
      </c>
      <c r="W112" s="386">
        <v>116864.94</v>
      </c>
      <c r="X112" s="386">
        <v>58434.659999999996</v>
      </c>
      <c r="Y112" s="386">
        <v>116864.94</v>
      </c>
      <c r="Z112" s="386">
        <v>60382.41</v>
      </c>
      <c r="AA112" s="386">
        <v>116864.94</v>
      </c>
      <c r="AB112" s="386">
        <v>62330.16</v>
      </c>
      <c r="AC112" s="386">
        <v>116864.94</v>
      </c>
      <c r="AD112" s="386">
        <v>64277.909999999996</v>
      </c>
      <c r="AE112" s="386">
        <f t="shared" si="5"/>
        <v>116864.93999999996</v>
      </c>
      <c r="AF112" s="386">
        <f t="shared" si="5"/>
        <v>52591.41</v>
      </c>
    </row>
    <row r="113" spans="1:32">
      <c r="A113" s="380">
        <v>104</v>
      </c>
      <c r="C113" s="14" t="s">
        <v>1328</v>
      </c>
      <c r="D113" s="14" t="s">
        <v>885</v>
      </c>
      <c r="E113" s="386">
        <v>102398.32</v>
      </c>
      <c r="F113" s="386">
        <v>20459.27</v>
      </c>
      <c r="G113" s="386">
        <v>102398.32</v>
      </c>
      <c r="H113" s="386">
        <v>22165.91</v>
      </c>
      <c r="I113" s="386">
        <v>102398.32</v>
      </c>
      <c r="J113" s="386">
        <v>23872.550000000003</v>
      </c>
      <c r="K113" s="386">
        <v>102398.32</v>
      </c>
      <c r="L113" s="386">
        <v>25579.19</v>
      </c>
      <c r="M113" s="386">
        <v>102398.32</v>
      </c>
      <c r="N113" s="386">
        <v>27285.83</v>
      </c>
      <c r="O113" s="386">
        <v>102398.32</v>
      </c>
      <c r="P113" s="386">
        <v>28992.47</v>
      </c>
      <c r="Q113" s="386">
        <v>102398.32</v>
      </c>
      <c r="R113" s="386">
        <v>30699.11</v>
      </c>
      <c r="S113" s="386">
        <v>102398.32</v>
      </c>
      <c r="T113" s="386">
        <v>32405.75</v>
      </c>
      <c r="U113" s="386">
        <v>102398.32</v>
      </c>
      <c r="V113" s="386">
        <v>34112.39</v>
      </c>
      <c r="W113" s="386">
        <v>102398.32</v>
      </c>
      <c r="X113" s="386">
        <v>35819.03</v>
      </c>
      <c r="Y113" s="386">
        <v>102398.32</v>
      </c>
      <c r="Z113" s="386">
        <v>37525.67</v>
      </c>
      <c r="AA113" s="386">
        <v>102398.32</v>
      </c>
      <c r="AB113" s="386">
        <v>39232.31</v>
      </c>
      <c r="AC113" s="386">
        <v>102398.32</v>
      </c>
      <c r="AD113" s="386">
        <v>40938.949999999997</v>
      </c>
      <c r="AE113" s="386">
        <f t="shared" si="5"/>
        <v>102398.32000000002</v>
      </c>
      <c r="AF113" s="386">
        <f t="shared" si="5"/>
        <v>30699.11</v>
      </c>
    </row>
    <row r="114" spans="1:32">
      <c r="A114" s="380">
        <v>105</v>
      </c>
      <c r="C114" s="14" t="s">
        <v>1329</v>
      </c>
      <c r="D114" s="14" t="s">
        <v>885</v>
      </c>
      <c r="E114" s="386">
        <v>633813.57000000007</v>
      </c>
      <c r="F114" s="386">
        <v>0</v>
      </c>
      <c r="G114" s="386">
        <v>633850.68999999994</v>
      </c>
      <c r="H114" s="386">
        <v>0</v>
      </c>
      <c r="I114" s="386">
        <v>633850.68999999994</v>
      </c>
      <c r="J114" s="386">
        <v>0</v>
      </c>
      <c r="K114" s="386">
        <v>637338.35</v>
      </c>
      <c r="L114" s="386">
        <v>0</v>
      </c>
      <c r="M114" s="386">
        <v>637993.15</v>
      </c>
      <c r="N114" s="386">
        <v>0</v>
      </c>
      <c r="O114" s="386">
        <v>637993.15</v>
      </c>
      <c r="P114" s="386">
        <v>0</v>
      </c>
      <c r="Q114" s="386">
        <v>637993.15</v>
      </c>
      <c r="R114" s="386">
        <v>0</v>
      </c>
      <c r="S114" s="386">
        <v>637990.93000000005</v>
      </c>
      <c r="T114" s="386">
        <v>0</v>
      </c>
      <c r="U114" s="386">
        <v>637990.93000000005</v>
      </c>
      <c r="V114" s="386">
        <v>0</v>
      </c>
      <c r="W114" s="386">
        <v>637990.93000000005</v>
      </c>
      <c r="X114" s="386">
        <v>0</v>
      </c>
      <c r="Y114" s="386">
        <v>637990.93000000005</v>
      </c>
      <c r="Z114" s="386">
        <v>0</v>
      </c>
      <c r="AA114" s="386">
        <v>637990.93000000005</v>
      </c>
      <c r="AB114" s="386">
        <v>0</v>
      </c>
      <c r="AC114" s="386">
        <v>637921.69999999995</v>
      </c>
      <c r="AD114" s="386">
        <v>0</v>
      </c>
      <c r="AE114" s="386">
        <f t="shared" si="5"/>
        <v>637070.1220833332</v>
      </c>
      <c r="AF114" s="386">
        <f t="shared" si="5"/>
        <v>0</v>
      </c>
    </row>
    <row r="115" spans="1:32">
      <c r="A115" s="380">
        <v>106</v>
      </c>
      <c r="C115" s="14" t="s">
        <v>2234</v>
      </c>
      <c r="D115" s="14" t="s">
        <v>885</v>
      </c>
      <c r="E115" s="386">
        <v>0</v>
      </c>
      <c r="F115" s="386">
        <v>0</v>
      </c>
      <c r="G115" s="386">
        <v>0</v>
      </c>
      <c r="H115" s="386">
        <v>0</v>
      </c>
      <c r="I115" s="386">
        <v>0</v>
      </c>
      <c r="J115" s="386">
        <v>0</v>
      </c>
      <c r="K115" s="386">
        <v>0</v>
      </c>
      <c r="L115" s="386">
        <v>0</v>
      </c>
      <c r="M115" s="386">
        <v>0</v>
      </c>
      <c r="N115" s="386">
        <v>0</v>
      </c>
      <c r="O115" s="386">
        <v>0</v>
      </c>
      <c r="P115" s="386">
        <v>0</v>
      </c>
      <c r="Q115" s="386">
        <v>0</v>
      </c>
      <c r="R115" s="386">
        <v>0</v>
      </c>
      <c r="S115" s="386">
        <v>0</v>
      </c>
      <c r="T115" s="386">
        <v>0</v>
      </c>
      <c r="U115" s="386">
        <v>0</v>
      </c>
      <c r="V115" s="386">
        <v>0</v>
      </c>
      <c r="W115" s="386">
        <v>0</v>
      </c>
      <c r="X115" s="386">
        <v>0</v>
      </c>
      <c r="Y115" s="386">
        <v>0</v>
      </c>
      <c r="Z115" s="386">
        <v>0</v>
      </c>
      <c r="AA115" s="386">
        <v>0</v>
      </c>
      <c r="AB115" s="386">
        <v>0</v>
      </c>
      <c r="AC115" s="386">
        <v>14573.87</v>
      </c>
      <c r="AD115" s="386">
        <v>0</v>
      </c>
      <c r="AE115" s="386">
        <f t="shared" si="5"/>
        <v>607.24458333333337</v>
      </c>
      <c r="AF115" s="386">
        <f t="shared" si="5"/>
        <v>0</v>
      </c>
    </row>
    <row r="116" spans="1:32">
      <c r="A116" s="380">
        <v>107</v>
      </c>
      <c r="C116" s="14" t="s">
        <v>895</v>
      </c>
      <c r="D116" s="14" t="s">
        <v>885</v>
      </c>
      <c r="E116" s="386">
        <v>131168.49</v>
      </c>
      <c r="F116" s="386">
        <v>116236.94</v>
      </c>
      <c r="G116" s="386">
        <v>131168.49</v>
      </c>
      <c r="H116" s="386">
        <v>117798.94</v>
      </c>
      <c r="I116" s="386">
        <v>131168.49</v>
      </c>
      <c r="J116" s="386">
        <v>119360.94</v>
      </c>
      <c r="K116" s="386">
        <v>131168.49</v>
      </c>
      <c r="L116" s="386">
        <v>120922.94</v>
      </c>
      <c r="M116" s="386">
        <v>131168.49</v>
      </c>
      <c r="N116" s="386">
        <v>122484.94</v>
      </c>
      <c r="O116" s="386">
        <v>131168.49</v>
      </c>
      <c r="P116" s="386">
        <v>124046.94</v>
      </c>
      <c r="Q116" s="386">
        <v>131168.49</v>
      </c>
      <c r="R116" s="386">
        <v>125608.94</v>
      </c>
      <c r="S116" s="386">
        <v>131168.49</v>
      </c>
      <c r="T116" s="386">
        <v>127170.94</v>
      </c>
      <c r="U116" s="386">
        <v>131168.49</v>
      </c>
      <c r="V116" s="386">
        <v>128732.94</v>
      </c>
      <c r="W116" s="386">
        <v>131168.49</v>
      </c>
      <c r="X116" s="386">
        <v>130294.94</v>
      </c>
      <c r="Y116" s="386">
        <v>131168.49</v>
      </c>
      <c r="Z116" s="386">
        <v>131168.49</v>
      </c>
      <c r="AA116" s="386">
        <v>131168.49</v>
      </c>
      <c r="AB116" s="386">
        <v>131168.49</v>
      </c>
      <c r="AC116" s="386">
        <v>131168.49</v>
      </c>
      <c r="AD116" s="386">
        <v>131168.49</v>
      </c>
      <c r="AE116" s="386">
        <f t="shared" si="5"/>
        <v>131168.49</v>
      </c>
      <c r="AF116" s="386">
        <f t="shared" si="5"/>
        <v>125205.17958333332</v>
      </c>
    </row>
    <row r="117" spans="1:32">
      <c r="A117" s="380">
        <v>108</v>
      </c>
      <c r="C117" s="14" t="s">
        <v>896</v>
      </c>
      <c r="D117" s="14" t="s">
        <v>885</v>
      </c>
      <c r="E117" s="386">
        <v>3004957.37</v>
      </c>
      <c r="F117" s="386">
        <v>2230146.85</v>
      </c>
      <c r="G117" s="386">
        <v>3004957.37</v>
      </c>
      <c r="H117" s="386">
        <v>2265930.88</v>
      </c>
      <c r="I117" s="386">
        <v>3004957.37</v>
      </c>
      <c r="J117" s="386">
        <v>2301714.91</v>
      </c>
      <c r="K117" s="386">
        <v>3004957.37</v>
      </c>
      <c r="L117" s="386">
        <v>2337498.94</v>
      </c>
      <c r="M117" s="386">
        <v>3004957.37</v>
      </c>
      <c r="N117" s="386">
        <v>2373282.9699999997</v>
      </c>
      <c r="O117" s="386">
        <v>3004957.37</v>
      </c>
      <c r="P117" s="386">
        <v>2409067</v>
      </c>
      <c r="Q117" s="386">
        <v>3004957.37</v>
      </c>
      <c r="R117" s="386">
        <v>2444851.0300000003</v>
      </c>
      <c r="S117" s="386">
        <v>3004957.37</v>
      </c>
      <c r="T117" s="386">
        <v>2480635.06</v>
      </c>
      <c r="U117" s="386">
        <v>3004957.37</v>
      </c>
      <c r="V117" s="386">
        <v>2516419.09</v>
      </c>
      <c r="W117" s="386">
        <v>3004957.37</v>
      </c>
      <c r="X117" s="386">
        <v>2552203.12</v>
      </c>
      <c r="Y117" s="386">
        <v>3004957.37</v>
      </c>
      <c r="Z117" s="386">
        <v>2587987.1500000004</v>
      </c>
      <c r="AA117" s="386">
        <v>3004957.37</v>
      </c>
      <c r="AB117" s="386">
        <v>2623771.1799999997</v>
      </c>
      <c r="AC117" s="386">
        <v>3004957.37</v>
      </c>
      <c r="AD117" s="386">
        <v>2659555.21</v>
      </c>
      <c r="AE117" s="386">
        <f t="shared" si="5"/>
        <v>3004957.3700000006</v>
      </c>
      <c r="AF117" s="386">
        <f t="shared" si="5"/>
        <v>2444851.0300000007</v>
      </c>
    </row>
    <row r="118" spans="1:32">
      <c r="A118" s="380">
        <v>109</v>
      </c>
      <c r="C118" s="14" t="s">
        <v>897</v>
      </c>
      <c r="D118" s="14" t="s">
        <v>885</v>
      </c>
      <c r="E118" s="386">
        <v>585144.89</v>
      </c>
      <c r="F118" s="386">
        <v>353410.95999999996</v>
      </c>
      <c r="G118" s="386">
        <v>585144.89</v>
      </c>
      <c r="H118" s="386">
        <v>360379.06</v>
      </c>
      <c r="I118" s="386">
        <v>585144.89</v>
      </c>
      <c r="J118" s="386">
        <v>367347.16</v>
      </c>
      <c r="K118" s="386">
        <v>585144.89</v>
      </c>
      <c r="L118" s="386">
        <v>374315.26</v>
      </c>
      <c r="M118" s="386">
        <v>585144.89</v>
      </c>
      <c r="N118" s="386">
        <v>381283.36</v>
      </c>
      <c r="O118" s="386">
        <v>585144.89</v>
      </c>
      <c r="P118" s="386">
        <v>388251.46</v>
      </c>
      <c r="Q118" s="386">
        <v>585144.89</v>
      </c>
      <c r="R118" s="386">
        <v>395219.56</v>
      </c>
      <c r="S118" s="386">
        <v>585144.89</v>
      </c>
      <c r="T118" s="386">
        <v>402187.66000000003</v>
      </c>
      <c r="U118" s="386">
        <v>585144.89</v>
      </c>
      <c r="V118" s="386">
        <v>409155.76</v>
      </c>
      <c r="W118" s="386">
        <v>585144.89</v>
      </c>
      <c r="X118" s="386">
        <v>416123.86</v>
      </c>
      <c r="Y118" s="386">
        <v>585144.89</v>
      </c>
      <c r="Z118" s="386">
        <v>423091.96</v>
      </c>
      <c r="AA118" s="386">
        <v>585144.89</v>
      </c>
      <c r="AB118" s="386">
        <v>430060.06</v>
      </c>
      <c r="AC118" s="386">
        <v>585144.89</v>
      </c>
      <c r="AD118" s="386">
        <v>437028.16000000003</v>
      </c>
      <c r="AE118" s="386">
        <f t="shared" si="5"/>
        <v>585144.8899999999</v>
      </c>
      <c r="AF118" s="386">
        <f t="shared" si="5"/>
        <v>395219.56</v>
      </c>
    </row>
    <row r="119" spans="1:32">
      <c r="A119" s="380">
        <v>110</v>
      </c>
      <c r="C119" s="14" t="s">
        <v>898</v>
      </c>
      <c r="D119" s="14" t="s">
        <v>885</v>
      </c>
      <c r="E119" s="386">
        <v>20560.650000000001</v>
      </c>
      <c r="F119" s="386">
        <v>11973.93</v>
      </c>
      <c r="G119" s="386">
        <v>20560.650000000001</v>
      </c>
      <c r="H119" s="386">
        <v>12218.77</v>
      </c>
      <c r="I119" s="386">
        <v>20560.650000000001</v>
      </c>
      <c r="J119" s="386">
        <v>12463.61</v>
      </c>
      <c r="K119" s="386">
        <v>20560.650000000001</v>
      </c>
      <c r="L119" s="386">
        <v>12708.45</v>
      </c>
      <c r="M119" s="386">
        <v>20560.650000000001</v>
      </c>
      <c r="N119" s="386">
        <v>12953.29</v>
      </c>
      <c r="O119" s="386">
        <v>20560.650000000001</v>
      </c>
      <c r="P119" s="386">
        <v>13198.130000000001</v>
      </c>
      <c r="Q119" s="386">
        <v>20560.650000000001</v>
      </c>
      <c r="R119" s="386">
        <v>13442.970000000001</v>
      </c>
      <c r="S119" s="386">
        <v>20560.650000000001</v>
      </c>
      <c r="T119" s="386">
        <v>13687.81</v>
      </c>
      <c r="U119" s="386">
        <v>20560.650000000001</v>
      </c>
      <c r="V119" s="386">
        <v>13932.650000000001</v>
      </c>
      <c r="W119" s="386">
        <v>20560.650000000001</v>
      </c>
      <c r="X119" s="386">
        <v>14177.49</v>
      </c>
      <c r="Y119" s="386">
        <v>20560.650000000001</v>
      </c>
      <c r="Z119" s="386">
        <v>14422.330000000002</v>
      </c>
      <c r="AA119" s="386">
        <v>20560.650000000001</v>
      </c>
      <c r="AB119" s="386">
        <v>14667.17</v>
      </c>
      <c r="AC119" s="386">
        <v>20560.650000000001</v>
      </c>
      <c r="AD119" s="386">
        <v>14912.01</v>
      </c>
      <c r="AE119" s="386">
        <f t="shared" si="5"/>
        <v>20560.649999999998</v>
      </c>
      <c r="AF119" s="386">
        <f t="shared" si="5"/>
        <v>13442.970000000001</v>
      </c>
    </row>
    <row r="120" spans="1:32">
      <c r="A120" s="380">
        <v>111</v>
      </c>
      <c r="C120" s="14" t="s">
        <v>1330</v>
      </c>
      <c r="D120" s="14" t="s">
        <v>885</v>
      </c>
      <c r="E120" s="386">
        <v>2996321.4</v>
      </c>
      <c r="F120" s="386">
        <v>765436.64</v>
      </c>
      <c r="G120" s="386">
        <v>2996321.4</v>
      </c>
      <c r="H120" s="386">
        <v>801117.83000000007</v>
      </c>
      <c r="I120" s="386">
        <v>2996321.4</v>
      </c>
      <c r="J120" s="386">
        <v>836799.02</v>
      </c>
      <c r="K120" s="386">
        <v>2996321.4</v>
      </c>
      <c r="L120" s="386">
        <v>872480.21</v>
      </c>
      <c r="M120" s="386">
        <v>2996321.4</v>
      </c>
      <c r="N120" s="386">
        <v>908161.4</v>
      </c>
      <c r="O120" s="386">
        <v>2996321.4</v>
      </c>
      <c r="P120" s="386">
        <v>943842.59000000008</v>
      </c>
      <c r="Q120" s="386">
        <v>2996321.4</v>
      </c>
      <c r="R120" s="386">
        <v>979523.78</v>
      </c>
      <c r="S120" s="386">
        <v>2996321.4</v>
      </c>
      <c r="T120" s="386">
        <v>1015204.9700000001</v>
      </c>
      <c r="U120" s="386">
        <v>2996321.4</v>
      </c>
      <c r="V120" s="386">
        <v>1050886.1599999999</v>
      </c>
      <c r="W120" s="386">
        <v>2996321.4</v>
      </c>
      <c r="X120" s="386">
        <v>1086567.3500000001</v>
      </c>
      <c r="Y120" s="386">
        <v>2996321.4</v>
      </c>
      <c r="Z120" s="386">
        <v>1122248.54</v>
      </c>
      <c r="AA120" s="386">
        <v>2996321.4</v>
      </c>
      <c r="AB120" s="386">
        <v>1157929.73</v>
      </c>
      <c r="AC120" s="386">
        <v>2316740.37</v>
      </c>
      <c r="AD120" s="386">
        <v>922893.85000000009</v>
      </c>
      <c r="AE120" s="386">
        <f t="shared" si="5"/>
        <v>2968005.5237499992</v>
      </c>
      <c r="AF120" s="386">
        <f t="shared" si="5"/>
        <v>968243.90208333358</v>
      </c>
    </row>
    <row r="121" spans="1:32">
      <c r="A121" s="380">
        <v>112</v>
      </c>
      <c r="C121" s="14" t="s">
        <v>1331</v>
      </c>
      <c r="D121" s="14" t="s">
        <v>885</v>
      </c>
      <c r="E121" s="386">
        <v>656793.18000000005</v>
      </c>
      <c r="F121" s="386">
        <v>93915.55</v>
      </c>
      <c r="G121" s="386">
        <v>654150.74</v>
      </c>
      <c r="H121" s="386">
        <v>101736.86</v>
      </c>
      <c r="I121" s="386">
        <v>654150.74</v>
      </c>
      <c r="J121" s="386">
        <v>109526.71</v>
      </c>
      <c r="K121" s="386">
        <v>654150.74</v>
      </c>
      <c r="L121" s="386">
        <v>117316.56</v>
      </c>
      <c r="M121" s="386">
        <v>654150.74</v>
      </c>
      <c r="N121" s="386">
        <v>125106.41</v>
      </c>
      <c r="O121" s="386">
        <v>654150.74</v>
      </c>
      <c r="P121" s="386">
        <v>132896.26</v>
      </c>
      <c r="Q121" s="386">
        <v>654150.74</v>
      </c>
      <c r="R121" s="386">
        <v>140686.11000000002</v>
      </c>
      <c r="S121" s="386">
        <v>654150.74</v>
      </c>
      <c r="T121" s="386">
        <v>148475.96</v>
      </c>
      <c r="U121" s="386">
        <v>654150.74</v>
      </c>
      <c r="V121" s="386">
        <v>156265.81</v>
      </c>
      <c r="W121" s="386">
        <v>654150.74</v>
      </c>
      <c r="X121" s="386">
        <v>164055.66</v>
      </c>
      <c r="Y121" s="386">
        <v>654150.74</v>
      </c>
      <c r="Z121" s="386">
        <v>171845.51</v>
      </c>
      <c r="AA121" s="386">
        <v>654150.74</v>
      </c>
      <c r="AB121" s="386">
        <v>179635.36000000002</v>
      </c>
      <c r="AC121" s="386">
        <v>654150.74</v>
      </c>
      <c r="AD121" s="386">
        <v>187425.21</v>
      </c>
      <c r="AE121" s="386">
        <f t="shared" si="5"/>
        <v>654260.84166666679</v>
      </c>
      <c r="AF121" s="386">
        <f t="shared" si="5"/>
        <v>140684.79916666666</v>
      </c>
    </row>
    <row r="122" spans="1:32">
      <c r="A122" s="380">
        <v>113</v>
      </c>
      <c r="C122" s="14" t="s">
        <v>1332</v>
      </c>
      <c r="D122" s="14" t="s">
        <v>885</v>
      </c>
      <c r="E122" s="386">
        <v>123571.06</v>
      </c>
      <c r="F122" s="386">
        <v>0</v>
      </c>
      <c r="G122" s="386">
        <v>123571.06</v>
      </c>
      <c r="H122" s="386">
        <v>1471.5300000000002</v>
      </c>
      <c r="I122" s="386">
        <v>123571.06</v>
      </c>
      <c r="J122" s="386">
        <v>2943.0600000000004</v>
      </c>
      <c r="K122" s="386">
        <v>123571.06</v>
      </c>
      <c r="L122" s="386">
        <v>4414.59</v>
      </c>
      <c r="M122" s="386">
        <v>123571.06</v>
      </c>
      <c r="N122" s="386">
        <v>5886.1200000000008</v>
      </c>
      <c r="O122" s="386">
        <v>123571.06</v>
      </c>
      <c r="P122" s="386">
        <v>7357.65</v>
      </c>
      <c r="Q122" s="386">
        <v>123571.06</v>
      </c>
      <c r="R122" s="386">
        <v>8829.18</v>
      </c>
      <c r="S122" s="386">
        <v>123571.06</v>
      </c>
      <c r="T122" s="386">
        <v>10300.709999999999</v>
      </c>
      <c r="U122" s="386">
        <v>123571.06</v>
      </c>
      <c r="V122" s="386">
        <v>11772.240000000002</v>
      </c>
      <c r="W122" s="386">
        <v>123571.06</v>
      </c>
      <c r="X122" s="386">
        <v>13243.77</v>
      </c>
      <c r="Y122" s="386">
        <v>123571.06</v>
      </c>
      <c r="Z122" s="386">
        <v>14715.3</v>
      </c>
      <c r="AA122" s="386">
        <v>123571.06</v>
      </c>
      <c r="AB122" s="386">
        <v>16186.83</v>
      </c>
      <c r="AC122" s="386">
        <v>123571.06</v>
      </c>
      <c r="AD122" s="386">
        <v>17658.36</v>
      </c>
      <c r="AE122" s="386">
        <f t="shared" si="5"/>
        <v>123571.06000000004</v>
      </c>
      <c r="AF122" s="386">
        <f t="shared" si="5"/>
        <v>8829.18</v>
      </c>
    </row>
    <row r="123" spans="1:32">
      <c r="A123" s="380">
        <v>114</v>
      </c>
      <c r="C123" s="14" t="s">
        <v>2235</v>
      </c>
      <c r="D123" s="14" t="s">
        <v>885</v>
      </c>
      <c r="E123" s="386">
        <v>0</v>
      </c>
      <c r="F123" s="386">
        <v>0</v>
      </c>
      <c r="G123" s="386">
        <v>0</v>
      </c>
      <c r="H123" s="386">
        <v>0</v>
      </c>
      <c r="I123" s="386">
        <v>0</v>
      </c>
      <c r="J123" s="386">
        <v>0</v>
      </c>
      <c r="K123" s="386">
        <v>0</v>
      </c>
      <c r="L123" s="386">
        <v>0</v>
      </c>
      <c r="M123" s="386">
        <v>0</v>
      </c>
      <c r="N123" s="386">
        <v>0</v>
      </c>
      <c r="O123" s="386">
        <v>0</v>
      </c>
      <c r="P123" s="386">
        <v>0</v>
      </c>
      <c r="Q123" s="386">
        <v>0</v>
      </c>
      <c r="R123" s="386">
        <v>0</v>
      </c>
      <c r="S123" s="386">
        <v>0</v>
      </c>
      <c r="T123" s="386">
        <v>0</v>
      </c>
      <c r="U123" s="386">
        <v>0</v>
      </c>
      <c r="V123" s="386">
        <v>0</v>
      </c>
      <c r="W123" s="386">
        <v>0</v>
      </c>
      <c r="X123" s="386">
        <v>0</v>
      </c>
      <c r="Y123" s="386">
        <v>0</v>
      </c>
      <c r="Z123" s="386">
        <v>0</v>
      </c>
      <c r="AA123" s="386">
        <v>0</v>
      </c>
      <c r="AB123" s="386">
        <v>0</v>
      </c>
      <c r="AC123" s="386">
        <v>220234.71</v>
      </c>
      <c r="AD123" s="386">
        <v>0</v>
      </c>
      <c r="AE123" s="386">
        <f t="shared" si="5"/>
        <v>9176.4462499999991</v>
      </c>
      <c r="AF123" s="386">
        <f t="shared" si="5"/>
        <v>0</v>
      </c>
    </row>
    <row r="124" spans="1:32">
      <c r="A124" s="380">
        <v>115</v>
      </c>
      <c r="C124" s="14" t="s">
        <v>2236</v>
      </c>
      <c r="D124" s="14" t="s">
        <v>885</v>
      </c>
      <c r="E124" s="386">
        <v>0</v>
      </c>
      <c r="F124" s="386">
        <v>0</v>
      </c>
      <c r="G124" s="386">
        <v>0</v>
      </c>
      <c r="H124" s="386">
        <v>0</v>
      </c>
      <c r="I124" s="386">
        <v>0</v>
      </c>
      <c r="J124" s="386">
        <v>0</v>
      </c>
      <c r="K124" s="386">
        <v>0</v>
      </c>
      <c r="L124" s="386">
        <v>0</v>
      </c>
      <c r="M124" s="386">
        <v>0</v>
      </c>
      <c r="N124" s="386">
        <v>0</v>
      </c>
      <c r="O124" s="386">
        <v>0</v>
      </c>
      <c r="P124" s="386">
        <v>0</v>
      </c>
      <c r="Q124" s="386">
        <v>0</v>
      </c>
      <c r="R124" s="386">
        <v>0</v>
      </c>
      <c r="S124" s="386">
        <v>0</v>
      </c>
      <c r="T124" s="386">
        <v>0</v>
      </c>
      <c r="U124" s="386">
        <v>0</v>
      </c>
      <c r="V124" s="386">
        <v>0</v>
      </c>
      <c r="W124" s="386">
        <v>0</v>
      </c>
      <c r="X124" s="386">
        <v>0</v>
      </c>
      <c r="Y124" s="386">
        <v>0</v>
      </c>
      <c r="Z124" s="386">
        <v>0</v>
      </c>
      <c r="AA124" s="386">
        <v>167698.90000000002</v>
      </c>
      <c r="AB124" s="386">
        <v>0</v>
      </c>
      <c r="AC124" s="386">
        <v>166354.96000000002</v>
      </c>
      <c r="AD124" s="386">
        <v>1746.8600000000001</v>
      </c>
      <c r="AE124" s="386">
        <f t="shared" si="5"/>
        <v>20906.365000000002</v>
      </c>
      <c r="AF124" s="386">
        <f t="shared" si="5"/>
        <v>72.785833333333343</v>
      </c>
    </row>
    <row r="125" spans="1:32">
      <c r="A125" s="380">
        <v>116</v>
      </c>
      <c r="C125" s="14" t="s">
        <v>2237</v>
      </c>
      <c r="D125" s="14" t="s">
        <v>885</v>
      </c>
      <c r="E125" s="386">
        <v>0</v>
      </c>
      <c r="F125" s="386">
        <v>0</v>
      </c>
      <c r="G125" s="386">
        <v>0</v>
      </c>
      <c r="H125" s="386">
        <v>0</v>
      </c>
      <c r="I125" s="386">
        <v>0</v>
      </c>
      <c r="J125" s="386">
        <v>0</v>
      </c>
      <c r="K125" s="386">
        <v>0</v>
      </c>
      <c r="L125" s="386">
        <v>0</v>
      </c>
      <c r="M125" s="386">
        <v>0</v>
      </c>
      <c r="N125" s="386">
        <v>0</v>
      </c>
      <c r="O125" s="386">
        <v>0</v>
      </c>
      <c r="P125" s="386">
        <v>0</v>
      </c>
      <c r="Q125" s="386">
        <v>0</v>
      </c>
      <c r="R125" s="386">
        <v>0</v>
      </c>
      <c r="S125" s="386">
        <v>0</v>
      </c>
      <c r="T125" s="386">
        <v>0</v>
      </c>
      <c r="U125" s="386">
        <v>0</v>
      </c>
      <c r="V125" s="386">
        <v>0</v>
      </c>
      <c r="W125" s="386">
        <v>0</v>
      </c>
      <c r="X125" s="386">
        <v>0</v>
      </c>
      <c r="Y125" s="386">
        <v>0</v>
      </c>
      <c r="Z125" s="386">
        <v>0</v>
      </c>
      <c r="AA125" s="386">
        <v>0</v>
      </c>
      <c r="AB125" s="386">
        <v>0</v>
      </c>
      <c r="AC125" s="386">
        <v>2784867.69</v>
      </c>
      <c r="AD125" s="386">
        <v>1482032.63</v>
      </c>
      <c r="AE125" s="386">
        <f t="shared" si="5"/>
        <v>116036.15375</v>
      </c>
      <c r="AF125" s="386">
        <f t="shared" si="5"/>
        <v>61751.359583333331</v>
      </c>
    </row>
    <row r="126" spans="1:32">
      <c r="A126" s="380">
        <v>117</v>
      </c>
      <c r="C126" s="14" t="s">
        <v>899</v>
      </c>
      <c r="D126" s="14" t="s">
        <v>885</v>
      </c>
      <c r="E126" s="386">
        <v>94899.760000000009</v>
      </c>
      <c r="F126" s="386">
        <v>0</v>
      </c>
      <c r="G126" s="386">
        <v>94899.760000000009</v>
      </c>
      <c r="H126" s="386">
        <v>0</v>
      </c>
      <c r="I126" s="386">
        <v>94899.760000000009</v>
      </c>
      <c r="J126" s="386">
        <v>0</v>
      </c>
      <c r="K126" s="386">
        <v>94899.760000000009</v>
      </c>
      <c r="L126" s="386">
        <v>0</v>
      </c>
      <c r="M126" s="386">
        <v>94899.760000000009</v>
      </c>
      <c r="N126" s="386">
        <v>0</v>
      </c>
      <c r="O126" s="386">
        <v>94899.760000000009</v>
      </c>
      <c r="P126" s="386">
        <v>0</v>
      </c>
      <c r="Q126" s="386">
        <v>94899.760000000009</v>
      </c>
      <c r="R126" s="386">
        <v>0</v>
      </c>
      <c r="S126" s="386">
        <v>94899.760000000009</v>
      </c>
      <c r="T126" s="386">
        <v>0</v>
      </c>
      <c r="U126" s="386">
        <v>94899.760000000009</v>
      </c>
      <c r="V126" s="386">
        <v>0</v>
      </c>
      <c r="W126" s="386">
        <v>94899.760000000009</v>
      </c>
      <c r="X126" s="386">
        <v>0</v>
      </c>
      <c r="Y126" s="386">
        <v>94899.760000000009</v>
      </c>
      <c r="Z126" s="386">
        <v>0</v>
      </c>
      <c r="AA126" s="386">
        <v>94899.760000000009</v>
      </c>
      <c r="AB126" s="386">
        <v>0</v>
      </c>
      <c r="AC126" s="386">
        <v>94899.760000000009</v>
      </c>
      <c r="AD126" s="386">
        <v>0</v>
      </c>
      <c r="AE126" s="386">
        <f t="shared" si="5"/>
        <v>94899.760000000009</v>
      </c>
      <c r="AF126" s="386">
        <f t="shared" si="5"/>
        <v>0</v>
      </c>
    </row>
    <row r="127" spans="1:32">
      <c r="A127" s="380">
        <v>118</v>
      </c>
      <c r="C127" s="14" t="s">
        <v>900</v>
      </c>
      <c r="D127" s="14" t="s">
        <v>885</v>
      </c>
      <c r="E127" s="386">
        <v>399189.1</v>
      </c>
      <c r="F127" s="386">
        <v>419228.1</v>
      </c>
      <c r="G127" s="386">
        <v>399189.10000000003</v>
      </c>
      <c r="H127" s="386">
        <v>419228.10000000003</v>
      </c>
      <c r="I127" s="386">
        <v>399189.10000000003</v>
      </c>
      <c r="J127" s="386">
        <v>419228.10000000003</v>
      </c>
      <c r="K127" s="386">
        <v>399189.10000000003</v>
      </c>
      <c r="L127" s="386">
        <v>419228.10000000003</v>
      </c>
      <c r="M127" s="386">
        <v>399189.10000000003</v>
      </c>
      <c r="N127" s="386">
        <v>419228.10000000003</v>
      </c>
      <c r="O127" s="386">
        <v>422081.87</v>
      </c>
      <c r="P127" s="386">
        <v>415354.55000000005</v>
      </c>
      <c r="Q127" s="386">
        <v>422081.87</v>
      </c>
      <c r="R127" s="386">
        <v>415547.62</v>
      </c>
      <c r="S127" s="386">
        <v>422081.87</v>
      </c>
      <c r="T127" s="386">
        <v>415976.74000000005</v>
      </c>
      <c r="U127" s="386">
        <v>422081.87</v>
      </c>
      <c r="V127" s="386">
        <v>416405.86</v>
      </c>
      <c r="W127" s="386">
        <v>422081.87</v>
      </c>
      <c r="X127" s="386">
        <v>416834.98</v>
      </c>
      <c r="Y127" s="386">
        <v>422081.87</v>
      </c>
      <c r="Z127" s="386">
        <v>417264.1</v>
      </c>
      <c r="AA127" s="386">
        <v>422081.87</v>
      </c>
      <c r="AB127" s="386">
        <v>417693.22</v>
      </c>
      <c r="AC127" s="386">
        <v>421631.54</v>
      </c>
      <c r="AD127" s="386">
        <v>418122.34</v>
      </c>
      <c r="AE127" s="386">
        <f t="shared" si="5"/>
        <v>413478.31750000006</v>
      </c>
      <c r="AF127" s="386">
        <f t="shared" si="5"/>
        <v>417555.39083333337</v>
      </c>
    </row>
    <row r="128" spans="1:32">
      <c r="A128" s="380">
        <v>119</v>
      </c>
      <c r="C128" s="14" t="s">
        <v>901</v>
      </c>
      <c r="D128" s="14" t="s">
        <v>885</v>
      </c>
      <c r="E128" s="386">
        <v>954713.11</v>
      </c>
      <c r="F128" s="386">
        <v>696776.96000000008</v>
      </c>
      <c r="G128" s="386">
        <v>954713.11</v>
      </c>
      <c r="H128" s="386">
        <v>696776.96</v>
      </c>
      <c r="I128" s="386">
        <v>954713.11</v>
      </c>
      <c r="J128" s="386">
        <v>696776.96</v>
      </c>
      <c r="K128" s="386">
        <v>954713.11</v>
      </c>
      <c r="L128" s="386">
        <v>696776.96</v>
      </c>
      <c r="M128" s="386">
        <v>954713.11</v>
      </c>
      <c r="N128" s="386">
        <v>696776.96</v>
      </c>
      <c r="O128" s="386">
        <v>954713.11</v>
      </c>
      <c r="P128" s="386">
        <v>696776.96</v>
      </c>
      <c r="Q128" s="386">
        <v>954713.11</v>
      </c>
      <c r="R128" s="386">
        <v>696776.96</v>
      </c>
      <c r="S128" s="386">
        <v>954713.11</v>
      </c>
      <c r="T128" s="386">
        <v>696776.96</v>
      </c>
      <c r="U128" s="386">
        <v>954713.11</v>
      </c>
      <c r="V128" s="386">
        <v>696776.96</v>
      </c>
      <c r="W128" s="386">
        <v>954713.11</v>
      </c>
      <c r="X128" s="386">
        <v>696776.96</v>
      </c>
      <c r="Y128" s="386">
        <v>954713.11</v>
      </c>
      <c r="Z128" s="386">
        <v>696776.96</v>
      </c>
      <c r="AA128" s="386">
        <v>954713.11</v>
      </c>
      <c r="AB128" s="386">
        <v>696776.96</v>
      </c>
      <c r="AC128" s="386">
        <v>954713.11</v>
      </c>
      <c r="AD128" s="386">
        <v>696776.96</v>
      </c>
      <c r="AE128" s="386">
        <f t="shared" si="5"/>
        <v>954713.10999999987</v>
      </c>
      <c r="AF128" s="386">
        <f t="shared" si="5"/>
        <v>696776.96</v>
      </c>
    </row>
    <row r="129" spans="1:32">
      <c r="A129" s="380">
        <v>120</v>
      </c>
      <c r="C129" s="14" t="s">
        <v>902</v>
      </c>
      <c r="D129" s="14" t="s">
        <v>885</v>
      </c>
      <c r="E129" s="386">
        <v>5944803.1500000004</v>
      </c>
      <c r="F129" s="386">
        <v>5541204.4500000002</v>
      </c>
      <c r="G129" s="386">
        <v>5944803.6600000001</v>
      </c>
      <c r="H129" s="386">
        <v>5547347.4100000001</v>
      </c>
      <c r="I129" s="386">
        <v>5944803.6600000001</v>
      </c>
      <c r="J129" s="386">
        <v>5553490.3700000001</v>
      </c>
      <c r="K129" s="386">
        <v>5978074.5600000005</v>
      </c>
      <c r="L129" s="386">
        <v>5559633.3300000001</v>
      </c>
      <c r="M129" s="386">
        <v>5978074.5600000005</v>
      </c>
      <c r="N129" s="386">
        <v>5565810.6699999999</v>
      </c>
      <c r="O129" s="386">
        <v>5978074.5600000005</v>
      </c>
      <c r="P129" s="386">
        <v>5571988.0099999998</v>
      </c>
      <c r="Q129" s="386">
        <v>5977384.3000000007</v>
      </c>
      <c r="R129" s="386">
        <v>5578165.3499999996</v>
      </c>
      <c r="S129" s="386">
        <v>5977384.3000000007</v>
      </c>
      <c r="T129" s="386">
        <v>5584341.9799999995</v>
      </c>
      <c r="U129" s="386">
        <v>5977384.3000000007</v>
      </c>
      <c r="V129" s="386">
        <v>5590518.6100000003</v>
      </c>
      <c r="W129" s="386">
        <v>5977486.1900000004</v>
      </c>
      <c r="X129" s="386">
        <v>5596695.2400000002</v>
      </c>
      <c r="Y129" s="386">
        <v>5977486.1900000004</v>
      </c>
      <c r="Z129" s="386">
        <v>5602871.9799999995</v>
      </c>
      <c r="AA129" s="386">
        <v>5977486.1900000004</v>
      </c>
      <c r="AB129" s="386">
        <v>5609048.7200000007</v>
      </c>
      <c r="AC129" s="386">
        <v>5977291.5</v>
      </c>
      <c r="AD129" s="386">
        <v>5615225.46</v>
      </c>
      <c r="AE129" s="386">
        <f t="shared" si="5"/>
        <v>5970790.8162500001</v>
      </c>
      <c r="AF129" s="386">
        <f t="shared" si="5"/>
        <v>5578177.2187499991</v>
      </c>
    </row>
    <row r="130" spans="1:32">
      <c r="A130" s="380">
        <v>121</v>
      </c>
      <c r="C130" s="14" t="s">
        <v>903</v>
      </c>
      <c r="D130" s="14" t="s">
        <v>885</v>
      </c>
      <c r="E130" s="386">
        <v>3129482.49</v>
      </c>
      <c r="F130" s="386">
        <v>1073696.77</v>
      </c>
      <c r="G130" s="386">
        <v>3149441.87</v>
      </c>
      <c r="H130" s="386">
        <v>1116049.1000000001</v>
      </c>
      <c r="I130" s="386">
        <v>3149934.33</v>
      </c>
      <c r="J130" s="386">
        <v>1158671.55</v>
      </c>
      <c r="K130" s="386">
        <v>3163528.4499999997</v>
      </c>
      <c r="L130" s="386">
        <v>1201300.6599999999</v>
      </c>
      <c r="M130" s="386">
        <v>3163528.4499999997</v>
      </c>
      <c r="N130" s="386">
        <v>1244113.75</v>
      </c>
      <c r="O130" s="386">
        <v>3163528.4499999997</v>
      </c>
      <c r="P130" s="386">
        <v>1286926.8400000001</v>
      </c>
      <c r="Q130" s="386">
        <v>3163528.4499999997</v>
      </c>
      <c r="R130" s="386">
        <v>1329739.9300000002</v>
      </c>
      <c r="S130" s="386">
        <v>3163528.4499999997</v>
      </c>
      <c r="T130" s="386">
        <v>1372553.02</v>
      </c>
      <c r="U130" s="386">
        <v>3163528.4499999997</v>
      </c>
      <c r="V130" s="386">
        <v>1415366.11</v>
      </c>
      <c r="W130" s="386">
        <v>3178999.78</v>
      </c>
      <c r="X130" s="386">
        <v>1458179.2</v>
      </c>
      <c r="Y130" s="386">
        <v>3178999.78</v>
      </c>
      <c r="Z130" s="386">
        <v>1501201.66</v>
      </c>
      <c r="AA130" s="386">
        <v>3178999.78</v>
      </c>
      <c r="AB130" s="386">
        <v>1544224.1199999999</v>
      </c>
      <c r="AC130" s="386">
        <v>3494588.6599999997</v>
      </c>
      <c r="AD130" s="386">
        <v>1587246.5799999998</v>
      </c>
      <c r="AE130" s="386">
        <f t="shared" si="5"/>
        <v>3177465.1512500006</v>
      </c>
      <c r="AF130" s="386">
        <f t="shared" si="5"/>
        <v>1329899.8012499998</v>
      </c>
    </row>
    <row r="131" spans="1:32">
      <c r="A131" s="380">
        <v>122</v>
      </c>
      <c r="C131" s="14" t="s">
        <v>904</v>
      </c>
      <c r="D131" s="14" t="s">
        <v>885</v>
      </c>
      <c r="E131" s="386">
        <v>158310.35</v>
      </c>
      <c r="F131" s="386">
        <v>-193316.37000000002</v>
      </c>
      <c r="G131" s="386">
        <v>158310.35</v>
      </c>
      <c r="H131" s="386">
        <v>-191024.83000000002</v>
      </c>
      <c r="I131" s="386">
        <v>158310.35</v>
      </c>
      <c r="J131" s="386">
        <v>-188733.29</v>
      </c>
      <c r="K131" s="386">
        <v>158310.35</v>
      </c>
      <c r="L131" s="386">
        <v>-186441.75</v>
      </c>
      <c r="M131" s="386">
        <v>158310.35</v>
      </c>
      <c r="N131" s="386">
        <v>-184150.21000000002</v>
      </c>
      <c r="O131" s="386">
        <v>158310.35</v>
      </c>
      <c r="P131" s="386">
        <v>-181858.66999999998</v>
      </c>
      <c r="Q131" s="386">
        <v>158310.35</v>
      </c>
      <c r="R131" s="386">
        <v>-179567.13</v>
      </c>
      <c r="S131" s="386">
        <v>158310.35</v>
      </c>
      <c r="T131" s="386">
        <v>-177275.59000000003</v>
      </c>
      <c r="U131" s="386">
        <v>158310.35</v>
      </c>
      <c r="V131" s="386">
        <v>-174984.05</v>
      </c>
      <c r="W131" s="386">
        <v>158310.35</v>
      </c>
      <c r="X131" s="386">
        <v>-172692.51</v>
      </c>
      <c r="Y131" s="386">
        <v>158310.35</v>
      </c>
      <c r="Z131" s="386">
        <v>-170400.97</v>
      </c>
      <c r="AA131" s="386">
        <v>158310.35</v>
      </c>
      <c r="AB131" s="386">
        <v>-168109.43</v>
      </c>
      <c r="AC131" s="386">
        <v>158310.35</v>
      </c>
      <c r="AD131" s="386">
        <v>-165817.89000000001</v>
      </c>
      <c r="AE131" s="386">
        <f t="shared" si="5"/>
        <v>158310.35000000003</v>
      </c>
      <c r="AF131" s="386">
        <f t="shared" si="5"/>
        <v>-179567.13</v>
      </c>
    </row>
    <row r="132" spans="1:32">
      <c r="A132" s="380">
        <v>123</v>
      </c>
      <c r="C132" s="14" t="s">
        <v>905</v>
      </c>
      <c r="D132" s="14" t="s">
        <v>885</v>
      </c>
      <c r="E132" s="386">
        <v>1276603.8500000001</v>
      </c>
      <c r="F132" s="386">
        <v>60413.3</v>
      </c>
      <c r="G132" s="386">
        <v>1276603.8500000001</v>
      </c>
      <c r="H132" s="386">
        <v>65711.210000000006</v>
      </c>
      <c r="I132" s="386">
        <v>1276603.8500000001</v>
      </c>
      <c r="J132" s="386">
        <v>71009.12000000001</v>
      </c>
      <c r="K132" s="386">
        <v>1283146.57</v>
      </c>
      <c r="L132" s="386">
        <v>76307.03</v>
      </c>
      <c r="M132" s="386">
        <v>1283071.6100000001</v>
      </c>
      <c r="N132" s="386">
        <v>81632.09</v>
      </c>
      <c r="O132" s="386">
        <v>1283071.6100000001</v>
      </c>
      <c r="P132" s="386">
        <v>86956.84</v>
      </c>
      <c r="Q132" s="386">
        <v>1283071.6100000001</v>
      </c>
      <c r="R132" s="386">
        <v>92281.59</v>
      </c>
      <c r="S132" s="386">
        <v>1283071.6100000001</v>
      </c>
      <c r="T132" s="386">
        <v>97606.34</v>
      </c>
      <c r="U132" s="386">
        <v>1283071.6100000001</v>
      </c>
      <c r="V132" s="386">
        <v>102931.09</v>
      </c>
      <c r="W132" s="386">
        <v>1283071.6100000001</v>
      </c>
      <c r="X132" s="386">
        <v>108255.84</v>
      </c>
      <c r="Y132" s="386">
        <v>1283071.6100000001</v>
      </c>
      <c r="Z132" s="386">
        <v>113580.59</v>
      </c>
      <c r="AA132" s="386">
        <v>1283071.6100000001</v>
      </c>
      <c r="AB132" s="386">
        <v>118905.34</v>
      </c>
      <c r="AC132" s="386">
        <v>1283046.32</v>
      </c>
      <c r="AD132" s="386">
        <v>124230.09</v>
      </c>
      <c r="AE132" s="386">
        <f t="shared" si="5"/>
        <v>1281729.3529166665</v>
      </c>
      <c r="AF132" s="386">
        <f t="shared" si="5"/>
        <v>92291.564583333326</v>
      </c>
    </row>
    <row r="133" spans="1:32">
      <c r="A133" s="380">
        <v>124</v>
      </c>
      <c r="C133" s="14" t="s">
        <v>906</v>
      </c>
      <c r="D133" s="14" t="s">
        <v>885</v>
      </c>
      <c r="E133" s="386">
        <v>2994409.61</v>
      </c>
      <c r="F133" s="386">
        <v>2994409.62</v>
      </c>
      <c r="G133" s="386">
        <v>2994409.6100000003</v>
      </c>
      <c r="H133" s="386">
        <v>2994409.62</v>
      </c>
      <c r="I133" s="386">
        <v>2994409.6100000003</v>
      </c>
      <c r="J133" s="386">
        <v>2994409.62</v>
      </c>
      <c r="K133" s="386">
        <v>2994409.6100000003</v>
      </c>
      <c r="L133" s="386">
        <v>2994409.62</v>
      </c>
      <c r="M133" s="386">
        <v>2994409.6100000003</v>
      </c>
      <c r="N133" s="386">
        <v>2994409.62</v>
      </c>
      <c r="O133" s="386">
        <v>2994409.6100000003</v>
      </c>
      <c r="P133" s="386">
        <v>2994409.62</v>
      </c>
      <c r="Q133" s="386">
        <v>2994409.6100000003</v>
      </c>
      <c r="R133" s="386">
        <v>2994409.62</v>
      </c>
      <c r="S133" s="386">
        <v>2994409.6100000003</v>
      </c>
      <c r="T133" s="386">
        <v>2994409.62</v>
      </c>
      <c r="U133" s="386">
        <v>2994409.6100000003</v>
      </c>
      <c r="V133" s="386">
        <v>2994409.62</v>
      </c>
      <c r="W133" s="386">
        <v>2994409.6100000003</v>
      </c>
      <c r="X133" s="386">
        <v>2994409.62</v>
      </c>
      <c r="Y133" s="386">
        <v>2994409.6100000003</v>
      </c>
      <c r="Z133" s="386">
        <v>2994409.62</v>
      </c>
      <c r="AA133" s="386">
        <v>2994409.6100000003</v>
      </c>
      <c r="AB133" s="386">
        <v>2994409.62</v>
      </c>
      <c r="AC133" s="386">
        <v>2994409.6100000003</v>
      </c>
      <c r="AD133" s="386">
        <v>2994409.61</v>
      </c>
      <c r="AE133" s="386">
        <f t="shared" si="5"/>
        <v>2994409.61</v>
      </c>
      <c r="AF133" s="386">
        <f t="shared" si="5"/>
        <v>2994409.6195833343</v>
      </c>
    </row>
    <row r="134" spans="1:32">
      <c r="A134" s="380">
        <v>125</v>
      </c>
      <c r="C134" s="14" t="s">
        <v>907</v>
      </c>
      <c r="D134" s="14" t="s">
        <v>885</v>
      </c>
      <c r="E134" s="386">
        <v>7723.92</v>
      </c>
      <c r="F134" s="386">
        <v>6066.64</v>
      </c>
      <c r="G134" s="386">
        <v>7723.92</v>
      </c>
      <c r="H134" s="386">
        <v>6086.92</v>
      </c>
      <c r="I134" s="386">
        <v>7723.92</v>
      </c>
      <c r="J134" s="386">
        <v>6107.2000000000007</v>
      </c>
      <c r="K134" s="386">
        <v>7723.92</v>
      </c>
      <c r="L134" s="386">
        <v>6127.4800000000005</v>
      </c>
      <c r="M134" s="386">
        <v>7723.92</v>
      </c>
      <c r="N134" s="386">
        <v>6147.76</v>
      </c>
      <c r="O134" s="386">
        <v>7723.92</v>
      </c>
      <c r="P134" s="386">
        <v>6168.0400000000009</v>
      </c>
      <c r="Q134" s="386">
        <v>7723.92</v>
      </c>
      <c r="R134" s="386">
        <v>6188.3200000000006</v>
      </c>
      <c r="S134" s="386">
        <v>7723.92</v>
      </c>
      <c r="T134" s="386">
        <v>6208.6</v>
      </c>
      <c r="U134" s="386">
        <v>7723.92</v>
      </c>
      <c r="V134" s="386">
        <v>6228.880000000001</v>
      </c>
      <c r="W134" s="386">
        <v>7723.92</v>
      </c>
      <c r="X134" s="386">
        <v>6249.1600000000008</v>
      </c>
      <c r="Y134" s="386">
        <v>7723.92</v>
      </c>
      <c r="Z134" s="386">
        <v>6269.4400000000005</v>
      </c>
      <c r="AA134" s="386">
        <v>7723.92</v>
      </c>
      <c r="AB134" s="386">
        <v>6289.72</v>
      </c>
      <c r="AC134" s="386">
        <v>7723.92</v>
      </c>
      <c r="AD134" s="386">
        <v>6310</v>
      </c>
      <c r="AE134" s="386">
        <f t="shared" si="5"/>
        <v>7723.9199999999992</v>
      </c>
      <c r="AF134" s="386">
        <f t="shared" si="5"/>
        <v>6188.32</v>
      </c>
    </row>
    <row r="135" spans="1:32">
      <c r="A135" s="380">
        <v>126</v>
      </c>
      <c r="C135" s="14" t="s">
        <v>908</v>
      </c>
      <c r="D135" s="14" t="s">
        <v>885</v>
      </c>
      <c r="E135" s="386">
        <v>2035982.23</v>
      </c>
      <c r="F135" s="386">
        <v>789500.16999999993</v>
      </c>
      <c r="G135" s="386">
        <v>1936459.93</v>
      </c>
      <c r="H135" s="386">
        <v>732671.35</v>
      </c>
      <c r="I135" s="386">
        <v>1936326.94</v>
      </c>
      <c r="J135" s="386">
        <v>742595.7</v>
      </c>
      <c r="K135" s="386">
        <v>1865255.93</v>
      </c>
      <c r="L135" s="386">
        <v>712500.19000000006</v>
      </c>
      <c r="M135" s="386">
        <v>1834253.2400000002</v>
      </c>
      <c r="N135" s="386">
        <v>702060.94</v>
      </c>
      <c r="O135" s="386">
        <v>1854822.48</v>
      </c>
      <c r="P135" s="386">
        <v>704963.83000000007</v>
      </c>
      <c r="Q135" s="386">
        <v>1854822.48</v>
      </c>
      <c r="R135" s="386">
        <v>714469.79</v>
      </c>
      <c r="S135" s="386">
        <v>1854822.48</v>
      </c>
      <c r="T135" s="386">
        <v>723975.74</v>
      </c>
      <c r="U135" s="386">
        <v>1985144.93</v>
      </c>
      <c r="V135" s="386">
        <v>733481.70000000007</v>
      </c>
      <c r="W135" s="386">
        <v>1987264.6500000001</v>
      </c>
      <c r="X135" s="386">
        <v>716590.36</v>
      </c>
      <c r="Y135" s="386">
        <v>2017208.58</v>
      </c>
      <c r="Z135" s="386">
        <v>717755.64999999991</v>
      </c>
      <c r="AA135" s="386">
        <v>1958953.4500000002</v>
      </c>
      <c r="AB135" s="386">
        <v>676442.58000000007</v>
      </c>
      <c r="AC135" s="386">
        <v>2137291.48</v>
      </c>
      <c r="AD135" s="386">
        <v>686482.22</v>
      </c>
      <c r="AE135" s="386">
        <f t="shared" si="5"/>
        <v>1930997.6620833334</v>
      </c>
      <c r="AF135" s="386">
        <f t="shared" si="5"/>
        <v>717958.25208333333</v>
      </c>
    </row>
    <row r="136" spans="1:32">
      <c r="A136" s="380">
        <v>127</v>
      </c>
      <c r="C136" s="14" t="s">
        <v>909</v>
      </c>
      <c r="D136" s="14" t="s">
        <v>885</v>
      </c>
      <c r="E136" s="386">
        <v>43088.19</v>
      </c>
      <c r="F136" s="386">
        <v>18335.93</v>
      </c>
      <c r="G136" s="386">
        <v>43088.19</v>
      </c>
      <c r="H136" s="386">
        <v>18527.669999999998</v>
      </c>
      <c r="I136" s="386">
        <v>43088.19</v>
      </c>
      <c r="J136" s="386">
        <v>18719.41</v>
      </c>
      <c r="K136" s="386">
        <v>43088.19</v>
      </c>
      <c r="L136" s="386">
        <v>18911.150000000001</v>
      </c>
      <c r="M136" s="386">
        <v>43088.19</v>
      </c>
      <c r="N136" s="386">
        <v>19102.89</v>
      </c>
      <c r="O136" s="386">
        <v>43088.19</v>
      </c>
      <c r="P136" s="386">
        <v>19294.63</v>
      </c>
      <c r="Q136" s="386">
        <v>43088.19</v>
      </c>
      <c r="R136" s="386">
        <v>19486.37</v>
      </c>
      <c r="S136" s="386">
        <v>43088.19</v>
      </c>
      <c r="T136" s="386">
        <v>19678.11</v>
      </c>
      <c r="U136" s="386">
        <v>43088.19</v>
      </c>
      <c r="V136" s="386">
        <v>19869.849999999999</v>
      </c>
      <c r="W136" s="386">
        <v>43088.19</v>
      </c>
      <c r="X136" s="386">
        <v>20061.59</v>
      </c>
      <c r="Y136" s="386">
        <v>43088.19</v>
      </c>
      <c r="Z136" s="386">
        <v>20253.330000000002</v>
      </c>
      <c r="AA136" s="386">
        <v>52521.200000000004</v>
      </c>
      <c r="AB136" s="386">
        <v>20445.07</v>
      </c>
      <c r="AC136" s="386">
        <v>52364.869999999995</v>
      </c>
      <c r="AD136" s="386">
        <v>20678.79</v>
      </c>
      <c r="AE136" s="386">
        <f t="shared" si="5"/>
        <v>44260.802499999998</v>
      </c>
      <c r="AF136" s="386">
        <f t="shared" si="5"/>
        <v>19488.119166666667</v>
      </c>
    </row>
    <row r="137" spans="1:32">
      <c r="A137" s="380">
        <v>128</v>
      </c>
      <c r="C137" s="14" t="s">
        <v>910</v>
      </c>
      <c r="D137" s="14" t="s">
        <v>885</v>
      </c>
      <c r="E137" s="386">
        <v>2441513.96</v>
      </c>
      <c r="F137" s="386">
        <v>533803.03</v>
      </c>
      <c r="G137" s="386">
        <v>2469880.0099999998</v>
      </c>
      <c r="H137" s="386">
        <v>541046.18999999994</v>
      </c>
      <c r="I137" s="386">
        <v>2477713.0299999998</v>
      </c>
      <c r="J137" s="386">
        <v>548373.5</v>
      </c>
      <c r="K137" s="386">
        <v>2481346.0699999998</v>
      </c>
      <c r="L137" s="386">
        <v>552265.71</v>
      </c>
      <c r="M137" s="386">
        <v>2505573.58</v>
      </c>
      <c r="N137" s="386">
        <v>559627.04</v>
      </c>
      <c r="O137" s="386">
        <v>2533156.7800000003</v>
      </c>
      <c r="P137" s="386">
        <v>567060.24</v>
      </c>
      <c r="Q137" s="386">
        <v>2543109.75</v>
      </c>
      <c r="R137" s="386">
        <v>574575.27</v>
      </c>
      <c r="S137" s="386">
        <v>2543109.75</v>
      </c>
      <c r="T137" s="386">
        <v>582119.83000000007</v>
      </c>
      <c r="U137" s="386">
        <v>2543109.75</v>
      </c>
      <c r="V137" s="386">
        <v>589664.39</v>
      </c>
      <c r="W137" s="386">
        <v>2550851.14</v>
      </c>
      <c r="X137" s="386">
        <v>597208.94999999995</v>
      </c>
      <c r="Y137" s="386">
        <v>2662728.4500000002</v>
      </c>
      <c r="Z137" s="386">
        <v>604776.48</v>
      </c>
      <c r="AA137" s="386">
        <v>2663853.04</v>
      </c>
      <c r="AB137" s="386">
        <v>612675.91</v>
      </c>
      <c r="AC137" s="386">
        <v>2695786.5</v>
      </c>
      <c r="AD137" s="386">
        <v>620578.67000000004</v>
      </c>
      <c r="AE137" s="386">
        <f t="shared" si="5"/>
        <v>2545256.7983333333</v>
      </c>
      <c r="AF137" s="386">
        <f t="shared" si="5"/>
        <v>575548.69666666666</v>
      </c>
    </row>
    <row r="138" spans="1:32">
      <c r="A138" s="380">
        <v>129</v>
      </c>
      <c r="C138" s="14" t="s">
        <v>911</v>
      </c>
      <c r="D138" s="14" t="s">
        <v>885</v>
      </c>
      <c r="E138" s="386">
        <v>90630.82</v>
      </c>
      <c r="F138" s="386">
        <v>42766.710000000006</v>
      </c>
      <c r="G138" s="386">
        <v>90630.82</v>
      </c>
      <c r="H138" s="386">
        <v>43114.130000000005</v>
      </c>
      <c r="I138" s="386">
        <v>90630.82</v>
      </c>
      <c r="J138" s="386">
        <v>43461.55</v>
      </c>
      <c r="K138" s="386">
        <v>84472.540000000008</v>
      </c>
      <c r="L138" s="386">
        <v>37650.69</v>
      </c>
      <c r="M138" s="386">
        <v>84472.540000000008</v>
      </c>
      <c r="N138" s="386">
        <v>37974.5</v>
      </c>
      <c r="O138" s="386">
        <v>84472.540000000008</v>
      </c>
      <c r="P138" s="386">
        <v>38298.31</v>
      </c>
      <c r="Q138" s="386">
        <v>84472.540000000008</v>
      </c>
      <c r="R138" s="386">
        <v>38622.120000000003</v>
      </c>
      <c r="S138" s="386">
        <v>84472.540000000008</v>
      </c>
      <c r="T138" s="386">
        <v>38945.93</v>
      </c>
      <c r="U138" s="386">
        <v>84472.540000000008</v>
      </c>
      <c r="V138" s="386">
        <v>39269.74</v>
      </c>
      <c r="W138" s="386">
        <v>84472.540000000008</v>
      </c>
      <c r="X138" s="386">
        <v>39593.550000000003</v>
      </c>
      <c r="Y138" s="386">
        <v>84472.540000000008</v>
      </c>
      <c r="Z138" s="386">
        <v>39917.360000000001</v>
      </c>
      <c r="AA138" s="386">
        <v>84472.540000000008</v>
      </c>
      <c r="AB138" s="386">
        <v>40241.17</v>
      </c>
      <c r="AC138" s="386">
        <v>84472.540000000008</v>
      </c>
      <c r="AD138" s="386">
        <v>40564.979999999996</v>
      </c>
      <c r="AE138" s="386">
        <f t="shared" si="5"/>
        <v>85755.515000000029</v>
      </c>
      <c r="AF138" s="386">
        <f t="shared" si="5"/>
        <v>39896.241249999992</v>
      </c>
    </row>
    <row r="139" spans="1:32">
      <c r="A139" s="380">
        <v>130</v>
      </c>
      <c r="C139" s="14" t="s">
        <v>912</v>
      </c>
      <c r="D139" s="14" t="s">
        <v>885</v>
      </c>
      <c r="E139" s="386">
        <v>-96696.89</v>
      </c>
      <c r="F139" s="386">
        <v>-34308.04</v>
      </c>
      <c r="G139" s="386">
        <v>-94673.540000000008</v>
      </c>
      <c r="H139" s="386">
        <v>-34725.449999999997</v>
      </c>
      <c r="I139" s="386">
        <v>-94673.540000000008</v>
      </c>
      <c r="J139" s="386">
        <v>-35134.120000000003</v>
      </c>
      <c r="K139" s="386">
        <v>-94673.540000000008</v>
      </c>
      <c r="L139" s="386">
        <v>-35542.79</v>
      </c>
      <c r="M139" s="386">
        <v>-94673.540000000008</v>
      </c>
      <c r="N139" s="386">
        <v>-35951.460000000006</v>
      </c>
      <c r="O139" s="386">
        <v>-94673.540000000008</v>
      </c>
      <c r="P139" s="386">
        <v>-36360.129999999997</v>
      </c>
      <c r="Q139" s="386">
        <v>-94673.540000000008</v>
      </c>
      <c r="R139" s="386">
        <v>-36768.800000000003</v>
      </c>
      <c r="S139" s="386">
        <v>-94673.540000000008</v>
      </c>
      <c r="T139" s="386">
        <v>-37177.47</v>
      </c>
      <c r="U139" s="386">
        <v>-94673.540000000008</v>
      </c>
      <c r="V139" s="386">
        <v>-37586.14</v>
      </c>
      <c r="W139" s="386">
        <v>-94673.540000000008</v>
      </c>
      <c r="X139" s="386">
        <v>-37994.810000000005</v>
      </c>
      <c r="Y139" s="386">
        <v>-94673.540000000008</v>
      </c>
      <c r="Z139" s="386">
        <v>-38403.479999999996</v>
      </c>
      <c r="AA139" s="386">
        <v>-94673.540000000008</v>
      </c>
      <c r="AB139" s="386">
        <v>-38812.15</v>
      </c>
      <c r="AC139" s="386">
        <v>-94673.540000000008</v>
      </c>
      <c r="AD139" s="386">
        <v>-51325.86</v>
      </c>
      <c r="AE139" s="386">
        <f t="shared" ref="AE139:AF147" si="6">+(E139+AC139+(+G139+I139+K139+M139+O139+Q139+S139+U139+W139+Y139+AA139)*2)/24</f>
        <v>-94757.846250000017</v>
      </c>
      <c r="AF139" s="386">
        <f t="shared" si="6"/>
        <v>-37272.8125</v>
      </c>
    </row>
    <row r="140" spans="1:32">
      <c r="A140" s="380">
        <v>131</v>
      </c>
      <c r="C140" s="14" t="s">
        <v>913</v>
      </c>
      <c r="D140" s="14" t="s">
        <v>885</v>
      </c>
      <c r="E140" s="386">
        <v>0</v>
      </c>
      <c r="F140" s="386">
        <v>-12105.03</v>
      </c>
      <c r="G140" s="386">
        <v>0</v>
      </c>
      <c r="H140" s="386">
        <v>-12105.03</v>
      </c>
      <c r="I140" s="386">
        <v>0</v>
      </c>
      <c r="J140" s="386">
        <v>-12105.03</v>
      </c>
      <c r="K140" s="386">
        <v>0</v>
      </c>
      <c r="L140" s="386">
        <v>-12105.03</v>
      </c>
      <c r="M140" s="386">
        <v>0</v>
      </c>
      <c r="N140" s="386">
        <v>-12105.03</v>
      </c>
      <c r="O140" s="386">
        <v>0</v>
      </c>
      <c r="P140" s="386">
        <v>-12105.03</v>
      </c>
      <c r="Q140" s="386">
        <v>0</v>
      </c>
      <c r="R140" s="386">
        <v>-12105.03</v>
      </c>
      <c r="S140" s="386">
        <v>0</v>
      </c>
      <c r="T140" s="386">
        <v>-12105.03</v>
      </c>
      <c r="U140" s="386">
        <v>0</v>
      </c>
      <c r="V140" s="386">
        <v>-12105.03</v>
      </c>
      <c r="W140" s="386">
        <v>0</v>
      </c>
      <c r="X140" s="386">
        <v>-12105.03</v>
      </c>
      <c r="Y140" s="386">
        <v>0</v>
      </c>
      <c r="Z140" s="386">
        <v>-12105.03</v>
      </c>
      <c r="AA140" s="386">
        <v>0</v>
      </c>
      <c r="AB140" s="386">
        <v>-12105.03</v>
      </c>
      <c r="AC140" s="386">
        <v>0</v>
      </c>
      <c r="AD140" s="386">
        <v>1.0000000000005116E-2</v>
      </c>
      <c r="AE140" s="386">
        <f t="shared" si="6"/>
        <v>0</v>
      </c>
      <c r="AF140" s="386">
        <f t="shared" si="6"/>
        <v>-11600.653333333335</v>
      </c>
    </row>
    <row r="141" spans="1:32">
      <c r="A141" s="380">
        <v>132</v>
      </c>
      <c r="C141" s="14" t="s">
        <v>914</v>
      </c>
      <c r="D141" s="14" t="s">
        <v>885</v>
      </c>
      <c r="E141" s="386">
        <v>20451.79</v>
      </c>
      <c r="F141" s="386">
        <v>5127.5300000000007</v>
      </c>
      <c r="G141" s="386">
        <v>20451.79</v>
      </c>
      <c r="H141" s="386">
        <v>5287.22</v>
      </c>
      <c r="I141" s="386">
        <v>20451.79</v>
      </c>
      <c r="J141" s="386">
        <v>5446.91</v>
      </c>
      <c r="K141" s="386">
        <v>20451.79</v>
      </c>
      <c r="L141" s="386">
        <v>5606.6</v>
      </c>
      <c r="M141" s="386">
        <v>20451.79</v>
      </c>
      <c r="N141" s="386">
        <v>5766.29</v>
      </c>
      <c r="O141" s="386">
        <v>20451.79</v>
      </c>
      <c r="P141" s="386">
        <v>5925.98</v>
      </c>
      <c r="Q141" s="386">
        <v>19861.97</v>
      </c>
      <c r="R141" s="386">
        <v>6085.67</v>
      </c>
      <c r="S141" s="386">
        <v>19861.97</v>
      </c>
      <c r="T141" s="386">
        <v>6240.76</v>
      </c>
      <c r="U141" s="386">
        <v>19861.97</v>
      </c>
      <c r="V141" s="386">
        <v>6395.8499999999995</v>
      </c>
      <c r="W141" s="386">
        <v>19861.97</v>
      </c>
      <c r="X141" s="386">
        <v>6550.9400000000005</v>
      </c>
      <c r="Y141" s="386">
        <v>19861.97</v>
      </c>
      <c r="Z141" s="386">
        <v>6706.0300000000007</v>
      </c>
      <c r="AA141" s="386">
        <v>19861.97</v>
      </c>
      <c r="AB141" s="386">
        <v>6861.1200000000008</v>
      </c>
      <c r="AC141" s="386">
        <v>19861.97</v>
      </c>
      <c r="AD141" s="386">
        <v>7016.21</v>
      </c>
      <c r="AE141" s="386">
        <f t="shared" si="6"/>
        <v>20132.304166666669</v>
      </c>
      <c r="AF141" s="386">
        <f t="shared" si="6"/>
        <v>6078.7699999999995</v>
      </c>
    </row>
    <row r="142" spans="1:32">
      <c r="A142" s="380">
        <v>133</v>
      </c>
      <c r="C142" s="14" t="s">
        <v>915</v>
      </c>
      <c r="D142" s="14" t="s">
        <v>885</v>
      </c>
      <c r="E142" s="386">
        <v>755929.80999999994</v>
      </c>
      <c r="F142" s="386">
        <v>661285.87</v>
      </c>
      <c r="G142" s="386">
        <v>755929.81</v>
      </c>
      <c r="H142" s="386">
        <v>661367.76</v>
      </c>
      <c r="I142" s="386">
        <v>755929.81</v>
      </c>
      <c r="J142" s="386">
        <v>661449.65</v>
      </c>
      <c r="K142" s="386">
        <v>755929.81</v>
      </c>
      <c r="L142" s="386">
        <v>661531.54</v>
      </c>
      <c r="M142" s="386">
        <v>755929.81</v>
      </c>
      <c r="N142" s="386">
        <v>661613.42999999993</v>
      </c>
      <c r="O142" s="386">
        <v>755929.81</v>
      </c>
      <c r="P142" s="386">
        <v>661695.31999999995</v>
      </c>
      <c r="Q142" s="386">
        <v>755929.81</v>
      </c>
      <c r="R142" s="386">
        <v>661777.21</v>
      </c>
      <c r="S142" s="386">
        <v>755929.81</v>
      </c>
      <c r="T142" s="386">
        <v>661859.1</v>
      </c>
      <c r="U142" s="386">
        <v>755929.81</v>
      </c>
      <c r="V142" s="386">
        <v>661940.99</v>
      </c>
      <c r="W142" s="386">
        <v>755929.81</v>
      </c>
      <c r="X142" s="386">
        <v>662022.88</v>
      </c>
      <c r="Y142" s="386">
        <v>755929.81</v>
      </c>
      <c r="Z142" s="386">
        <v>662104.77</v>
      </c>
      <c r="AA142" s="386">
        <v>755929.81</v>
      </c>
      <c r="AB142" s="386">
        <v>662186.66</v>
      </c>
      <c r="AC142" s="386">
        <v>1168410.55</v>
      </c>
      <c r="AD142" s="386">
        <v>662268.55000000005</v>
      </c>
      <c r="AE142" s="386">
        <f t="shared" si="6"/>
        <v>773116.50750000018</v>
      </c>
      <c r="AF142" s="386">
        <f t="shared" si="6"/>
        <v>661777.21000000008</v>
      </c>
    </row>
    <row r="143" spans="1:32">
      <c r="A143" s="380">
        <v>134</v>
      </c>
      <c r="C143" s="14" t="s">
        <v>916</v>
      </c>
      <c r="D143" s="14" t="s">
        <v>885</v>
      </c>
      <c r="E143" s="386">
        <v>134305.54</v>
      </c>
      <c r="F143" s="386">
        <v>-34004.65</v>
      </c>
      <c r="G143" s="386">
        <v>134305.54</v>
      </c>
      <c r="H143" s="386">
        <v>-32977.21</v>
      </c>
      <c r="I143" s="386">
        <v>134305.54</v>
      </c>
      <c r="J143" s="386">
        <v>-31949.770000000004</v>
      </c>
      <c r="K143" s="386">
        <v>134305.54</v>
      </c>
      <c r="L143" s="386">
        <v>-30922.33</v>
      </c>
      <c r="M143" s="386">
        <v>134305.54</v>
      </c>
      <c r="N143" s="386">
        <v>-29894.890000000003</v>
      </c>
      <c r="O143" s="386">
        <v>134305.54</v>
      </c>
      <c r="P143" s="386">
        <v>-28867.45</v>
      </c>
      <c r="Q143" s="386">
        <v>134305.54</v>
      </c>
      <c r="R143" s="386">
        <v>-27840.01</v>
      </c>
      <c r="S143" s="386">
        <v>134305.54</v>
      </c>
      <c r="T143" s="386">
        <v>-26812.57</v>
      </c>
      <c r="U143" s="386">
        <v>134305.54</v>
      </c>
      <c r="V143" s="386">
        <v>-25785.129999999997</v>
      </c>
      <c r="W143" s="386">
        <v>134305.54</v>
      </c>
      <c r="X143" s="386">
        <v>-24757.690000000002</v>
      </c>
      <c r="Y143" s="386">
        <v>134305.54</v>
      </c>
      <c r="Z143" s="386">
        <v>-23730.25</v>
      </c>
      <c r="AA143" s="386">
        <v>134305.54</v>
      </c>
      <c r="AB143" s="386">
        <v>-22702.81</v>
      </c>
      <c r="AC143" s="386">
        <v>134305.54</v>
      </c>
      <c r="AD143" s="386">
        <v>-21675.370000000003</v>
      </c>
      <c r="AE143" s="386">
        <f t="shared" si="6"/>
        <v>134305.54</v>
      </c>
      <c r="AF143" s="386">
        <f t="shared" si="6"/>
        <v>-27840.010000000006</v>
      </c>
    </row>
    <row r="144" spans="1:32">
      <c r="A144" s="380">
        <v>135</v>
      </c>
      <c r="C144" s="14" t="s">
        <v>917</v>
      </c>
      <c r="D144" s="14" t="s">
        <v>885</v>
      </c>
      <c r="E144" s="386">
        <v>59484.53</v>
      </c>
      <c r="F144" s="386">
        <v>18006.25</v>
      </c>
      <c r="G144" s="386">
        <v>59484.530000000006</v>
      </c>
      <c r="H144" s="386">
        <v>18527.240000000002</v>
      </c>
      <c r="I144" s="386">
        <v>59484.530000000006</v>
      </c>
      <c r="J144" s="386">
        <v>19048.23</v>
      </c>
      <c r="K144" s="386">
        <v>59484.530000000006</v>
      </c>
      <c r="L144" s="386">
        <v>19569.22</v>
      </c>
      <c r="M144" s="386">
        <v>59484.530000000006</v>
      </c>
      <c r="N144" s="386">
        <v>20090.21</v>
      </c>
      <c r="O144" s="386">
        <v>59484.530000000006</v>
      </c>
      <c r="P144" s="386">
        <v>20611.2</v>
      </c>
      <c r="Q144" s="386">
        <v>59484.530000000006</v>
      </c>
      <c r="R144" s="386">
        <v>21132.190000000002</v>
      </c>
      <c r="S144" s="386">
        <v>59484.530000000006</v>
      </c>
      <c r="T144" s="386">
        <v>21653.18</v>
      </c>
      <c r="U144" s="386">
        <v>59484.530000000006</v>
      </c>
      <c r="V144" s="386">
        <v>22174.170000000002</v>
      </c>
      <c r="W144" s="386">
        <v>59484.530000000006</v>
      </c>
      <c r="X144" s="386">
        <v>22695.16</v>
      </c>
      <c r="Y144" s="386">
        <v>59484.530000000006</v>
      </c>
      <c r="Z144" s="386">
        <v>23216.15</v>
      </c>
      <c r="AA144" s="386">
        <v>59484.530000000006</v>
      </c>
      <c r="AB144" s="386">
        <v>23737.14</v>
      </c>
      <c r="AC144" s="386">
        <v>59484.530000000006</v>
      </c>
      <c r="AD144" s="386">
        <v>24258.129999999997</v>
      </c>
      <c r="AE144" s="386">
        <f t="shared" si="6"/>
        <v>59484.530000000021</v>
      </c>
      <c r="AF144" s="386">
        <f t="shared" si="6"/>
        <v>21132.190000000002</v>
      </c>
    </row>
    <row r="145" spans="1:32">
      <c r="A145" s="380">
        <v>136</v>
      </c>
      <c r="C145" s="14" t="s">
        <v>918</v>
      </c>
      <c r="D145" s="14" t="s">
        <v>885</v>
      </c>
      <c r="E145" s="386">
        <v>17021371.539999999</v>
      </c>
      <c r="F145" s="386">
        <v>-4862761.5600000005</v>
      </c>
      <c r="G145" s="386">
        <v>17412554.27</v>
      </c>
      <c r="H145" s="386">
        <v>-4765377.12</v>
      </c>
      <c r="I145" s="386">
        <v>17672094.510000002</v>
      </c>
      <c r="J145" s="386">
        <v>-4656210.95</v>
      </c>
      <c r="K145" s="386">
        <v>18683811.460000001</v>
      </c>
      <c r="L145" s="386">
        <v>-4554812.99</v>
      </c>
      <c r="M145" s="386">
        <v>20220243.52</v>
      </c>
      <c r="N145" s="386">
        <v>-4250271.2699999996</v>
      </c>
      <c r="O145" s="386">
        <v>20744219.199999999</v>
      </c>
      <c r="P145" s="386">
        <v>-4134519.9699999997</v>
      </c>
      <c r="Q145" s="386">
        <v>21913827.629999999</v>
      </c>
      <c r="R145" s="386">
        <v>-4016222.31</v>
      </c>
      <c r="S145" s="386">
        <v>22160868.489999998</v>
      </c>
      <c r="T145" s="386">
        <v>-7188191.3700000001</v>
      </c>
      <c r="U145" s="386">
        <v>22823927.759999998</v>
      </c>
      <c r="V145" s="386">
        <v>-7061413.1799999997</v>
      </c>
      <c r="W145" s="386">
        <v>23098590.809999999</v>
      </c>
      <c r="X145" s="386">
        <v>-6930365.79</v>
      </c>
      <c r="Y145" s="386">
        <v>23580421.120000001</v>
      </c>
      <c r="Z145" s="386">
        <v>-6798365.2600000007</v>
      </c>
      <c r="AA145" s="386">
        <v>23884955.82</v>
      </c>
      <c r="AB145" s="386">
        <v>-6663829.2800000003</v>
      </c>
      <c r="AC145" s="386">
        <v>21564736.030000001</v>
      </c>
      <c r="AD145" s="386">
        <v>-7585645.2999999998</v>
      </c>
      <c r="AE145" s="386">
        <f t="shared" si="6"/>
        <v>20957380.697916668</v>
      </c>
      <c r="AF145" s="386">
        <f t="shared" si="6"/>
        <v>-5603648.5766666653</v>
      </c>
    </row>
    <row r="146" spans="1:32">
      <c r="A146" s="380">
        <v>137</v>
      </c>
      <c r="C146" s="14" t="s">
        <v>919</v>
      </c>
      <c r="D146" s="14" t="s">
        <v>885</v>
      </c>
      <c r="E146" s="386">
        <v>47999110.489999995</v>
      </c>
      <c r="F146" s="386">
        <v>13548823.51</v>
      </c>
      <c r="G146" s="386">
        <v>48009282.969999999</v>
      </c>
      <c r="H146" s="386">
        <v>13474287.790000001</v>
      </c>
      <c r="I146" s="386">
        <v>48089973.710000001</v>
      </c>
      <c r="J146" s="386">
        <v>13437449.34</v>
      </c>
      <c r="K146" s="386">
        <v>48071645.740000002</v>
      </c>
      <c r="L146" s="386">
        <v>13436451.07</v>
      </c>
      <c r="M146" s="386">
        <v>46600891.990000002</v>
      </c>
      <c r="N146" s="386">
        <v>12994044.439999999</v>
      </c>
      <c r="O146" s="386">
        <v>46481176.849999994</v>
      </c>
      <c r="P146" s="386">
        <v>12910434.1</v>
      </c>
      <c r="Q146" s="386">
        <v>46438987.949999996</v>
      </c>
      <c r="R146" s="386">
        <v>12858897.640000001</v>
      </c>
      <c r="S146" s="386">
        <v>43339141.289999999</v>
      </c>
      <c r="T146" s="386">
        <v>11874761.520000001</v>
      </c>
      <c r="U146" s="386">
        <v>43721819.159999996</v>
      </c>
      <c r="V146" s="386">
        <v>11856747.109999999</v>
      </c>
      <c r="W146" s="386">
        <v>43804745.420000002</v>
      </c>
      <c r="X146" s="386">
        <v>11939454.220000001</v>
      </c>
      <c r="Y146" s="386">
        <v>44252641.890000001</v>
      </c>
      <c r="Z146" s="386">
        <v>11918561.15</v>
      </c>
      <c r="AA146" s="386">
        <v>44159593.710000001</v>
      </c>
      <c r="AB146" s="386">
        <v>11831499.850000001</v>
      </c>
      <c r="AC146" s="386">
        <v>43437209.129999995</v>
      </c>
      <c r="AD146" s="386">
        <v>11331238.5</v>
      </c>
      <c r="AE146" s="386">
        <f t="shared" si="6"/>
        <v>45724005.040833332</v>
      </c>
      <c r="AF146" s="386">
        <f t="shared" si="6"/>
        <v>12581051.602916665</v>
      </c>
    </row>
    <row r="147" spans="1:32">
      <c r="A147" s="380">
        <v>138</v>
      </c>
      <c r="C147" s="14" t="s">
        <v>920</v>
      </c>
      <c r="D147" s="14" t="s">
        <v>885</v>
      </c>
      <c r="E147" s="386">
        <v>11160435.100000001</v>
      </c>
      <c r="F147" s="386">
        <v>3817599.66</v>
      </c>
      <c r="G147" s="386">
        <v>11147001.08</v>
      </c>
      <c r="H147" s="386">
        <v>3784245.81</v>
      </c>
      <c r="I147" s="386">
        <v>11166514.960000001</v>
      </c>
      <c r="J147" s="386">
        <v>3768799.29</v>
      </c>
      <c r="K147" s="386">
        <v>11197446</v>
      </c>
      <c r="L147" s="386">
        <v>3764153.41</v>
      </c>
      <c r="M147" s="386">
        <v>11194610.42</v>
      </c>
      <c r="N147" s="386">
        <v>3758857.4299999997</v>
      </c>
      <c r="O147" s="386">
        <v>11200511.59</v>
      </c>
      <c r="P147" s="386">
        <v>3729989</v>
      </c>
      <c r="Q147" s="386">
        <v>11198864.199999999</v>
      </c>
      <c r="R147" s="386">
        <v>3712882.8200000003</v>
      </c>
      <c r="S147" s="386">
        <v>11244447.940000001</v>
      </c>
      <c r="T147" s="386">
        <v>3706207.75</v>
      </c>
      <c r="U147" s="386">
        <v>11329959.15</v>
      </c>
      <c r="V147" s="386">
        <v>3702227.91</v>
      </c>
      <c r="W147" s="386">
        <v>11395118.559999999</v>
      </c>
      <c r="X147" s="386">
        <v>3724132.5</v>
      </c>
      <c r="Y147" s="386">
        <v>11443243.83</v>
      </c>
      <c r="Z147" s="386">
        <v>3722911.8699999996</v>
      </c>
      <c r="AA147" s="386">
        <v>11489303.620000001</v>
      </c>
      <c r="AB147" s="386">
        <v>3685039.1999999997</v>
      </c>
      <c r="AC147" s="386">
        <v>11519764.66</v>
      </c>
      <c r="AD147" s="386">
        <v>3690670.4400000004</v>
      </c>
      <c r="AE147" s="386">
        <f t="shared" si="6"/>
        <v>11278926.769166669</v>
      </c>
      <c r="AF147" s="386">
        <f t="shared" si="6"/>
        <v>3734465.17</v>
      </c>
    </row>
    <row r="148" spans="1:32" ht="16.2">
      <c r="A148" s="380">
        <v>139</v>
      </c>
      <c r="B148" s="387" t="s">
        <v>881</v>
      </c>
      <c r="C148" s="388"/>
      <c r="D148" s="387" t="s">
        <v>921</v>
      </c>
      <c r="E148" s="389">
        <f t="shared" ref="E148:AF148" si="7">SUM(E94:E147)</f>
        <v>134383391.37</v>
      </c>
      <c r="F148" s="389">
        <f t="shared" si="7"/>
        <v>42166042.000000015</v>
      </c>
      <c r="G148" s="389">
        <f t="shared" si="7"/>
        <v>134719534.23000002</v>
      </c>
      <c r="H148" s="389">
        <f t="shared" si="7"/>
        <v>42438843.960000016</v>
      </c>
      <c r="I148" s="389">
        <f t="shared" si="7"/>
        <v>135087471.58000001</v>
      </c>
      <c r="J148" s="389">
        <f t="shared" si="7"/>
        <v>42846116.970000006</v>
      </c>
      <c r="K148" s="389">
        <f t="shared" si="7"/>
        <v>135982515.55000001</v>
      </c>
      <c r="L148" s="389">
        <f t="shared" si="7"/>
        <v>43130080.810000002</v>
      </c>
      <c r="M148" s="389">
        <f t="shared" si="7"/>
        <v>136140201.81999999</v>
      </c>
      <c r="N148" s="389">
        <f t="shared" si="7"/>
        <v>43314657.590000004</v>
      </c>
      <c r="O148" s="389">
        <f t="shared" si="7"/>
        <v>136621408.73999998</v>
      </c>
      <c r="P148" s="389">
        <f t="shared" si="7"/>
        <v>43656049.939999998</v>
      </c>
      <c r="Q148" s="389">
        <f t="shared" si="7"/>
        <v>137756040.33999997</v>
      </c>
      <c r="R148" s="389">
        <f t="shared" si="7"/>
        <v>44054576.300000004</v>
      </c>
      <c r="S148" s="389">
        <f t="shared" si="7"/>
        <v>134966712.62</v>
      </c>
      <c r="T148" s="389">
        <f t="shared" si="7"/>
        <v>40240929.200000003</v>
      </c>
      <c r="U148" s="389">
        <f t="shared" si="7"/>
        <v>136228936.41</v>
      </c>
      <c r="V148" s="389">
        <f t="shared" si="7"/>
        <v>40694995.439999998</v>
      </c>
      <c r="W148" s="389">
        <f t="shared" si="7"/>
        <v>137280502.25999999</v>
      </c>
      <c r="X148" s="389">
        <f t="shared" si="7"/>
        <v>41253544.970000006</v>
      </c>
      <c r="Y148" s="389">
        <f t="shared" si="7"/>
        <v>138400175.55000001</v>
      </c>
      <c r="Z148" s="389">
        <f t="shared" si="7"/>
        <v>41708111.350000001</v>
      </c>
      <c r="AA148" s="389">
        <f t="shared" si="7"/>
        <v>138777723.23000002</v>
      </c>
      <c r="AB148" s="389">
        <f t="shared" si="7"/>
        <v>42019372.900000013</v>
      </c>
      <c r="AC148" s="389">
        <f t="shared" si="7"/>
        <v>137725802.91999999</v>
      </c>
      <c r="AD148" s="389">
        <f t="shared" si="7"/>
        <v>40957731.18</v>
      </c>
      <c r="AE148" s="389">
        <f t="shared" si="7"/>
        <v>136501318.28958336</v>
      </c>
      <c r="AF148" s="389">
        <f t="shared" si="7"/>
        <v>42243263.835000008</v>
      </c>
    </row>
    <row r="149" spans="1:32" ht="16.2">
      <c r="A149" s="380">
        <v>140</v>
      </c>
      <c r="B149" s="1911" t="s">
        <v>922</v>
      </c>
      <c r="C149" s="1911"/>
      <c r="D149" s="390"/>
      <c r="E149" s="391"/>
      <c r="F149" s="391"/>
      <c r="G149" s="391"/>
      <c r="H149" s="391"/>
      <c r="I149" s="391"/>
      <c r="J149" s="391"/>
      <c r="K149" s="391"/>
      <c r="L149" s="391"/>
      <c r="M149" s="391"/>
      <c r="N149" s="391"/>
      <c r="O149" s="391"/>
      <c r="P149" s="391"/>
      <c r="Q149" s="391"/>
      <c r="R149" s="391"/>
      <c r="S149" s="391"/>
      <c r="T149" s="391"/>
      <c r="U149" s="391"/>
      <c r="V149" s="391"/>
      <c r="W149" s="391"/>
      <c r="X149" s="391"/>
      <c r="Y149" s="391"/>
      <c r="Z149" s="391"/>
      <c r="AA149" s="391"/>
      <c r="AB149" s="391"/>
      <c r="AC149" s="391"/>
      <c r="AD149" s="391"/>
      <c r="AE149" s="391"/>
      <c r="AF149" s="391"/>
    </row>
    <row r="150" spans="1:32">
      <c r="A150" s="380">
        <v>141</v>
      </c>
      <c r="C150" s="14" t="s">
        <v>923</v>
      </c>
      <c r="E150" s="386">
        <v>87719.71</v>
      </c>
      <c r="F150" s="386">
        <v>31955.280000000002</v>
      </c>
      <c r="G150" s="386">
        <v>87719.71</v>
      </c>
      <c r="H150" s="386">
        <v>32026.15</v>
      </c>
      <c r="I150" s="386">
        <v>87719.71</v>
      </c>
      <c r="J150" s="386">
        <v>32097.010000000002</v>
      </c>
      <c r="K150" s="386">
        <v>87719.71</v>
      </c>
      <c r="L150" s="386">
        <v>32167.88</v>
      </c>
      <c r="M150" s="386">
        <v>87719.71</v>
      </c>
      <c r="N150" s="386">
        <v>32238.74</v>
      </c>
      <c r="O150" s="386">
        <v>87719.71</v>
      </c>
      <c r="P150" s="386">
        <v>32309.61</v>
      </c>
      <c r="Q150" s="386">
        <v>87719.71</v>
      </c>
      <c r="R150" s="386">
        <v>32380.47</v>
      </c>
      <c r="S150" s="386">
        <v>87719.71</v>
      </c>
      <c r="T150" s="386">
        <v>32451.34</v>
      </c>
      <c r="U150" s="386">
        <v>87719.71</v>
      </c>
      <c r="V150" s="386">
        <v>32522.2</v>
      </c>
      <c r="W150" s="386">
        <v>87719.71</v>
      </c>
      <c r="X150" s="386">
        <v>32593.07</v>
      </c>
      <c r="Y150" s="386">
        <v>87719.71</v>
      </c>
      <c r="Z150" s="386">
        <v>32663.93</v>
      </c>
      <c r="AA150" s="386">
        <v>87719.71</v>
      </c>
      <c r="AB150" s="386">
        <v>32734.799999999999</v>
      </c>
      <c r="AC150" s="386">
        <v>86636.74</v>
      </c>
      <c r="AD150" s="386">
        <v>32361.68</v>
      </c>
      <c r="AE150" s="386">
        <f t="shared" ref="AE150:AF152" si="8">+(E150+AC150+(+G150+I150+K150+M150+O150+Q150+S150+U150+W150+Y150+AA150)*2)/24</f>
        <v>87674.586249999993</v>
      </c>
      <c r="AF150" s="386">
        <f t="shared" si="8"/>
        <v>32361.973333333332</v>
      </c>
    </row>
    <row r="151" spans="1:32">
      <c r="A151" s="380">
        <v>142</v>
      </c>
      <c r="C151" s="14" t="s">
        <v>924</v>
      </c>
      <c r="E151" s="386">
        <v>0</v>
      </c>
      <c r="F151" s="386">
        <v>0</v>
      </c>
      <c r="G151" s="386">
        <v>0</v>
      </c>
      <c r="H151" s="386">
        <v>0</v>
      </c>
      <c r="I151" s="386">
        <v>0</v>
      </c>
      <c r="J151" s="386">
        <v>0</v>
      </c>
      <c r="K151" s="386">
        <v>0</v>
      </c>
      <c r="L151" s="386">
        <v>0</v>
      </c>
      <c r="M151" s="386">
        <v>0</v>
      </c>
      <c r="N151" s="386">
        <v>0</v>
      </c>
      <c r="O151" s="386">
        <v>0</v>
      </c>
      <c r="P151" s="386">
        <v>0</v>
      </c>
      <c r="Q151" s="386">
        <v>0</v>
      </c>
      <c r="R151" s="386">
        <v>0</v>
      </c>
      <c r="S151" s="386">
        <v>0</v>
      </c>
      <c r="T151" s="386">
        <v>0</v>
      </c>
      <c r="U151" s="386">
        <v>0</v>
      </c>
      <c r="V151" s="386">
        <v>0</v>
      </c>
      <c r="W151" s="386">
        <v>0</v>
      </c>
      <c r="X151" s="386">
        <v>0</v>
      </c>
      <c r="Y151" s="386">
        <v>0</v>
      </c>
      <c r="Z151" s="386">
        <v>0</v>
      </c>
      <c r="AA151" s="386">
        <v>0</v>
      </c>
      <c r="AB151" s="386">
        <v>0</v>
      </c>
      <c r="AC151" s="386">
        <v>0</v>
      </c>
      <c r="AD151" s="386">
        <v>0</v>
      </c>
      <c r="AE151" s="386">
        <f t="shared" si="8"/>
        <v>0</v>
      </c>
      <c r="AF151" s="386">
        <f t="shared" si="8"/>
        <v>0</v>
      </c>
    </row>
    <row r="152" spans="1:32">
      <c r="A152" s="380">
        <v>143</v>
      </c>
      <c r="C152" s="14" t="s">
        <v>925</v>
      </c>
      <c r="E152" s="386">
        <v>22097038.48</v>
      </c>
      <c r="F152" s="386">
        <v>4372545.04</v>
      </c>
      <c r="G152" s="386">
        <v>22097038.48</v>
      </c>
      <c r="H152" s="386">
        <v>4398067.97</v>
      </c>
      <c r="I152" s="386">
        <v>22097038.48</v>
      </c>
      <c r="J152" s="386">
        <v>4423590.9000000004</v>
      </c>
      <c r="K152" s="386">
        <v>22097038.48</v>
      </c>
      <c r="L152" s="386">
        <v>4449113.83</v>
      </c>
      <c r="M152" s="386">
        <v>22097038.48</v>
      </c>
      <c r="N152" s="386">
        <v>4474636.7699999996</v>
      </c>
      <c r="O152" s="386">
        <v>22097038.48</v>
      </c>
      <c r="P152" s="386">
        <v>4500159.7</v>
      </c>
      <c r="Q152" s="386">
        <v>22097038.48</v>
      </c>
      <c r="R152" s="386">
        <v>4525682.63</v>
      </c>
      <c r="S152" s="386">
        <v>22097038.48</v>
      </c>
      <c r="T152" s="386">
        <v>4551205.54</v>
      </c>
      <c r="U152" s="386">
        <v>22097038.48</v>
      </c>
      <c r="V152" s="386">
        <v>4576728.4800000004</v>
      </c>
      <c r="W152" s="386">
        <v>22097038.48</v>
      </c>
      <c r="X152" s="386">
        <v>4602251.42</v>
      </c>
      <c r="Y152" s="386">
        <v>22097038.48</v>
      </c>
      <c r="Z152" s="386">
        <v>4627774.33</v>
      </c>
      <c r="AA152" s="386">
        <v>22097038.48</v>
      </c>
      <c r="AB152" s="386">
        <v>4653297.25</v>
      </c>
      <c r="AC152" s="386">
        <v>26251194.289999999</v>
      </c>
      <c r="AD152" s="386">
        <v>4656844.2300000004</v>
      </c>
      <c r="AE152" s="386">
        <f t="shared" si="8"/>
        <v>22270128.305416662</v>
      </c>
      <c r="AF152" s="386">
        <f t="shared" si="8"/>
        <v>4524766.9545833329</v>
      </c>
    </row>
    <row r="153" spans="1:32" ht="16.2">
      <c r="A153" s="380">
        <v>144</v>
      </c>
      <c r="B153" s="1912" t="s">
        <v>922</v>
      </c>
      <c r="C153" s="1912"/>
      <c r="D153" s="387"/>
      <c r="E153" s="389">
        <f>SUM(E150:E152)</f>
        <v>22184758.190000001</v>
      </c>
      <c r="F153" s="389">
        <f t="shared" ref="F153:AF153" si="9">SUM(F150:F152)</f>
        <v>4404500.32</v>
      </c>
      <c r="G153" s="389">
        <f t="shared" si="9"/>
        <v>22184758.190000001</v>
      </c>
      <c r="H153" s="389">
        <f t="shared" si="9"/>
        <v>4430094.12</v>
      </c>
      <c r="I153" s="389">
        <f t="shared" si="9"/>
        <v>22184758.190000001</v>
      </c>
      <c r="J153" s="389">
        <f t="shared" si="9"/>
        <v>4455687.91</v>
      </c>
      <c r="K153" s="389">
        <f t="shared" si="9"/>
        <v>22184758.190000001</v>
      </c>
      <c r="L153" s="389">
        <f t="shared" si="9"/>
        <v>4481281.71</v>
      </c>
      <c r="M153" s="389">
        <f t="shared" si="9"/>
        <v>22184758.190000001</v>
      </c>
      <c r="N153" s="389">
        <f t="shared" si="9"/>
        <v>4506875.51</v>
      </c>
      <c r="O153" s="389">
        <f t="shared" si="9"/>
        <v>22184758.190000001</v>
      </c>
      <c r="P153" s="389">
        <f t="shared" si="9"/>
        <v>4532469.3100000005</v>
      </c>
      <c r="Q153" s="389">
        <f t="shared" si="9"/>
        <v>22184758.190000001</v>
      </c>
      <c r="R153" s="389">
        <f t="shared" si="9"/>
        <v>4558063.0999999996</v>
      </c>
      <c r="S153" s="389">
        <f t="shared" si="9"/>
        <v>22184758.190000001</v>
      </c>
      <c r="T153" s="389">
        <f t="shared" si="9"/>
        <v>4583656.88</v>
      </c>
      <c r="U153" s="389">
        <f t="shared" si="9"/>
        <v>22184758.190000001</v>
      </c>
      <c r="V153" s="389">
        <f t="shared" si="9"/>
        <v>4609250.6800000006</v>
      </c>
      <c r="W153" s="389">
        <f t="shared" si="9"/>
        <v>22184758.190000001</v>
      </c>
      <c r="X153" s="389">
        <f t="shared" si="9"/>
        <v>4634844.49</v>
      </c>
      <c r="Y153" s="389">
        <f t="shared" si="9"/>
        <v>22184758.190000001</v>
      </c>
      <c r="Z153" s="389">
        <f t="shared" si="9"/>
        <v>4660438.26</v>
      </c>
      <c r="AA153" s="389">
        <f t="shared" si="9"/>
        <v>22184758.190000001</v>
      </c>
      <c r="AB153" s="389">
        <f t="shared" si="9"/>
        <v>4686032.05</v>
      </c>
      <c r="AC153" s="389">
        <f t="shared" si="9"/>
        <v>26337831.029999997</v>
      </c>
      <c r="AD153" s="389">
        <f t="shared" si="9"/>
        <v>4689205.91</v>
      </c>
      <c r="AE153" s="389">
        <f t="shared" si="9"/>
        <v>22357802.891666662</v>
      </c>
      <c r="AF153" s="389">
        <f t="shared" si="9"/>
        <v>4557128.9279166665</v>
      </c>
    </row>
    <row r="154" spans="1:32">
      <c r="A154" s="380">
        <v>145</v>
      </c>
    </row>
    <row r="155" spans="1:32" ht="16.8" thickBot="1">
      <c r="A155" s="380">
        <v>146</v>
      </c>
      <c r="B155" s="392"/>
      <c r="C155" s="393" t="s">
        <v>926</v>
      </c>
      <c r="D155" s="392"/>
      <c r="E155" s="144">
        <f t="shared" ref="E155:AF155" si="10">SUM(E153,E148,E92,E47)</f>
        <v>1077226743.8999999</v>
      </c>
      <c r="F155" s="144">
        <f t="shared" si="10"/>
        <v>490935882.09999996</v>
      </c>
      <c r="G155" s="144">
        <f t="shared" si="10"/>
        <v>1081560217.4599998</v>
      </c>
      <c r="H155" s="144">
        <f t="shared" si="10"/>
        <v>493107419.64999986</v>
      </c>
      <c r="I155" s="144">
        <f t="shared" si="10"/>
        <v>1083611349.3599997</v>
      </c>
      <c r="J155" s="144">
        <f t="shared" si="10"/>
        <v>495107405.38999999</v>
      </c>
      <c r="K155" s="144">
        <f t="shared" si="10"/>
        <v>1087256406.2399998</v>
      </c>
      <c r="L155" s="144">
        <f t="shared" si="10"/>
        <v>497302605.19999993</v>
      </c>
      <c r="M155" s="144">
        <f t="shared" si="10"/>
        <v>1092877865.8399997</v>
      </c>
      <c r="N155" s="144">
        <f t="shared" si="10"/>
        <v>499612533.12000006</v>
      </c>
      <c r="O155" s="144">
        <f t="shared" si="10"/>
        <v>1097878956.9999995</v>
      </c>
      <c r="P155" s="144">
        <f t="shared" si="10"/>
        <v>501747734.64999998</v>
      </c>
      <c r="Q155" s="144">
        <f t="shared" si="10"/>
        <v>1105057401.5999997</v>
      </c>
      <c r="R155" s="144">
        <f t="shared" si="10"/>
        <v>504191621.81000006</v>
      </c>
      <c r="S155" s="144">
        <f t="shared" si="10"/>
        <v>1105475242.7299998</v>
      </c>
      <c r="T155" s="144">
        <f t="shared" si="10"/>
        <v>502359336.15000004</v>
      </c>
      <c r="U155" s="144">
        <f t="shared" si="10"/>
        <v>1109924586.79</v>
      </c>
      <c r="V155" s="144">
        <f t="shared" si="10"/>
        <v>504900056.22000003</v>
      </c>
      <c r="W155" s="144">
        <f t="shared" si="10"/>
        <v>1116902344.1899998</v>
      </c>
      <c r="X155" s="144">
        <f t="shared" si="10"/>
        <v>507268162.17000008</v>
      </c>
      <c r="Y155" s="144">
        <f t="shared" si="10"/>
        <v>1126455397.8599997</v>
      </c>
      <c r="Z155" s="144">
        <f t="shared" si="10"/>
        <v>509790469.87999988</v>
      </c>
      <c r="AA155" s="144">
        <f t="shared" si="10"/>
        <v>1132468897.4099996</v>
      </c>
      <c r="AB155" s="144">
        <f t="shared" si="10"/>
        <v>511853411.42999995</v>
      </c>
      <c r="AC155" s="144">
        <f t="shared" si="10"/>
        <v>1148216101.98</v>
      </c>
      <c r="AD155" s="144">
        <f t="shared" si="10"/>
        <v>512376596.41999996</v>
      </c>
      <c r="AE155" s="144">
        <f t="shared" si="10"/>
        <v>1104349174.1183331</v>
      </c>
      <c r="AF155" s="144">
        <f t="shared" si="10"/>
        <v>502408082.9108333</v>
      </c>
    </row>
    <row r="156" spans="1:32" ht="16.2" thickTop="1">
      <c r="A156" s="380">
        <v>147</v>
      </c>
      <c r="F156" s="365"/>
      <c r="H156" s="365"/>
      <c r="J156" s="365"/>
      <c r="L156" s="365"/>
      <c r="N156" s="365"/>
      <c r="P156" s="365"/>
      <c r="R156" s="365"/>
      <c r="T156" s="365"/>
    </row>
    <row r="157" spans="1:32">
      <c r="A157" s="380">
        <v>148</v>
      </c>
      <c r="F157" s="365"/>
      <c r="H157" s="365"/>
      <c r="I157" s="365"/>
      <c r="J157" s="365"/>
      <c r="K157" s="365"/>
      <c r="L157" s="365"/>
      <c r="M157" s="365"/>
      <c r="N157" s="365"/>
      <c r="O157" s="365"/>
      <c r="P157" s="365"/>
      <c r="Q157" s="365"/>
      <c r="R157" s="365"/>
      <c r="S157" s="365"/>
      <c r="T157" s="365"/>
      <c r="X157" s="394"/>
      <c r="Y157" s="394"/>
      <c r="Z157" s="394"/>
      <c r="AC157" s="725"/>
      <c r="AD157" s="725"/>
      <c r="AE157" s="365"/>
    </row>
    <row r="158" spans="1:32" ht="30">
      <c r="A158" s="380">
        <v>149</v>
      </c>
      <c r="B158" s="395" t="s">
        <v>1071</v>
      </c>
      <c r="D158" s="396"/>
      <c r="X158" s="394"/>
      <c r="AA158" s="397"/>
      <c r="AB158" s="397"/>
      <c r="AC158" s="725"/>
      <c r="AD158" s="725"/>
      <c r="AE158" s="365"/>
      <c r="AF158" s="365"/>
    </row>
    <row r="159" spans="1:32">
      <c r="A159" s="380">
        <v>150</v>
      </c>
    </row>
    <row r="160" spans="1:32">
      <c r="A160" s="380">
        <v>151</v>
      </c>
      <c r="Q160" s="365"/>
    </row>
    <row r="161" spans="1:32">
      <c r="A161" s="380">
        <v>152</v>
      </c>
      <c r="D161" s="397" t="s">
        <v>927</v>
      </c>
      <c r="F161" s="365">
        <f>E92</f>
        <v>716908411.13999987</v>
      </c>
      <c r="H161" s="365">
        <f>G92</f>
        <v>719814865.54999983</v>
      </c>
      <c r="J161" s="365">
        <f>I92</f>
        <v>719822123.01999986</v>
      </c>
      <c r="L161" s="365">
        <f>K92</f>
        <v>721408629.44999981</v>
      </c>
      <c r="N161" s="365">
        <f>M92</f>
        <v>726009290.69999981</v>
      </c>
      <c r="P161" s="365">
        <f>O92</f>
        <v>729343349.84999967</v>
      </c>
      <c r="R161" s="365">
        <f>Q92</f>
        <v>732720558.29999971</v>
      </c>
      <c r="T161" s="365">
        <f>S92</f>
        <v>735226566.68999982</v>
      </c>
      <c r="V161" s="365">
        <f>U92</f>
        <v>737790044.5799998</v>
      </c>
      <c r="X161" s="365">
        <f>W92</f>
        <v>743022076.07999969</v>
      </c>
      <c r="Z161" s="365">
        <f>Y92</f>
        <v>748441437.37999976</v>
      </c>
      <c r="AB161" s="365">
        <f>AA92</f>
        <v>753183631.21999967</v>
      </c>
      <c r="AD161" s="365">
        <f>AC92</f>
        <v>764082473.55999994</v>
      </c>
    </row>
    <row r="162" spans="1:32">
      <c r="A162" s="380">
        <v>153</v>
      </c>
      <c r="D162" s="397" t="s">
        <v>928</v>
      </c>
      <c r="E162" s="232">
        <v>0.74850000000000005</v>
      </c>
      <c r="F162" s="365">
        <f>E162*SUM(E94:E144)</f>
        <v>43564551.96864</v>
      </c>
      <c r="G162" s="232">
        <f>+'State Allocation Formulas'!C21</f>
        <v>0.75170000000000003</v>
      </c>
      <c r="H162" s="365">
        <f>G162*SUM(G94:G144)</f>
        <v>43711878.115547001</v>
      </c>
      <c r="I162" s="232">
        <f>+G162</f>
        <v>0.75170000000000003</v>
      </c>
      <c r="J162" s="365">
        <f>I162*SUM(I94:I144)</f>
        <v>43718036.410280004</v>
      </c>
      <c r="K162" s="232">
        <f>+I162</f>
        <v>0.75170000000000003</v>
      </c>
      <c r="L162" s="365">
        <f>K162*SUM(K94:K144)</f>
        <v>43620859.603495002</v>
      </c>
      <c r="M162" s="232">
        <f>+K162</f>
        <v>0.75170000000000003</v>
      </c>
      <c r="N162" s="365">
        <f>M162*SUM(M94:M144)</f>
        <v>43692153.492513001</v>
      </c>
      <c r="O162" s="232">
        <f>+M162</f>
        <v>0.75170000000000003</v>
      </c>
      <c r="P162" s="365">
        <f>O162*SUM(O94:O144)</f>
        <v>43745558.176869996</v>
      </c>
      <c r="Q162" s="232">
        <f>+O162</f>
        <v>0.75170000000000003</v>
      </c>
      <c r="R162" s="365">
        <f>Q162*SUM(Q94:Q144)</f>
        <v>43752217.832952</v>
      </c>
      <c r="S162" s="232">
        <f>+Q162</f>
        <v>0.75170000000000003</v>
      </c>
      <c r="T162" s="365">
        <f>S162*SUM(S94:S144)</f>
        <v>43765669.008330002</v>
      </c>
      <c r="U162" s="232">
        <f>+S162</f>
        <v>0.75170000000000003</v>
      </c>
      <c r="V162" s="365">
        <f>U162*SUM(U94:U144)</f>
        <v>43864123.246578</v>
      </c>
      <c r="W162" s="232">
        <f>+U162</f>
        <v>0.75170000000000003</v>
      </c>
      <c r="X162" s="365">
        <f>W162*SUM(W94:W144)</f>
        <v>44336805.083198994</v>
      </c>
      <c r="Y162" s="232">
        <f>+W162</f>
        <v>0.75170000000000003</v>
      </c>
      <c r="Z162" s="365">
        <f>Y162*SUM(Y94:Y144)</f>
        <v>44443412.109306999</v>
      </c>
      <c r="AA162" s="232">
        <f>+Y162</f>
        <v>0.75170000000000003</v>
      </c>
      <c r="AB162" s="365">
        <f>AA162*SUM(AA94:AA144)</f>
        <v>44533617.139136001</v>
      </c>
      <c r="AC162" s="232">
        <f>+AA162</f>
        <v>0.75170000000000003</v>
      </c>
      <c r="AD162" s="365">
        <f>AC162*SUM(AC94:AC144)</f>
        <v>46007116.783269994</v>
      </c>
      <c r="AE162" s="365"/>
    </row>
    <row r="163" spans="1:32">
      <c r="A163" s="380">
        <v>154</v>
      </c>
      <c r="D163" s="397" t="s">
        <v>929</v>
      </c>
      <c r="E163" s="232">
        <v>0.74490000000000001</v>
      </c>
      <c r="F163" s="365">
        <f>SUM(E145:E147)*E163</f>
        <v>56747165.170136996</v>
      </c>
      <c r="G163" s="232">
        <f>+'State Allocation Formulas'!C16</f>
        <v>0.74299999999999999</v>
      </c>
      <c r="H163" s="365">
        <f>SUM(G145:G147)*G163</f>
        <v>56890646.871759996</v>
      </c>
      <c r="I163" s="232">
        <f>+G163</f>
        <v>0.74299999999999999</v>
      </c>
      <c r="J163" s="365">
        <f>SUM(I145:I147)*I163</f>
        <v>57157937.302740008</v>
      </c>
      <c r="K163" s="232">
        <f>+I163</f>
        <v>0.74299999999999999</v>
      </c>
      <c r="L163" s="365">
        <f>SUM(K145:K147)*K163</f>
        <v>57919007.077600002</v>
      </c>
      <c r="M163" s="232">
        <f>+K163</f>
        <v>0.74299999999999999</v>
      </c>
      <c r="N163" s="365">
        <f>SUM(M145:M147)*M163</f>
        <v>57965699.225990005</v>
      </c>
      <c r="O163" s="232">
        <f>+M163</f>
        <v>0.74299999999999999</v>
      </c>
      <c r="P163" s="365">
        <f>SUM(O145:O147)*O163</f>
        <v>58270449.37652</v>
      </c>
      <c r="Q163" s="232">
        <f>+O163</f>
        <v>0.74299999999999999</v>
      </c>
      <c r="R163" s="365">
        <f>SUM(Q145:Q147)*Q163</f>
        <v>59106898.076540001</v>
      </c>
      <c r="S163" s="232">
        <f>+Q163</f>
        <v>0.74299999999999999</v>
      </c>
      <c r="T163" s="365">
        <f>SUM(S145:S147)*S163</f>
        <v>57021132.085960001</v>
      </c>
      <c r="U163" s="232">
        <f>+S163</f>
        <v>0.74299999999999999</v>
      </c>
      <c r="V163" s="365">
        <f>SUM(U145:U147)*U163</f>
        <v>57861649.610009991</v>
      </c>
      <c r="W163" s="232">
        <f>+U163</f>
        <v>0.74299999999999999</v>
      </c>
      <c r="X163" s="365">
        <f>SUM(W145:W147)*W163</f>
        <v>58175751.908970006</v>
      </c>
      <c r="Y163" s="232">
        <f>+W163</f>
        <v>0.74299999999999999</v>
      </c>
      <c r="Z163" s="365">
        <f>SUM(Y145:Y147)*Y163</f>
        <v>58902295.98212</v>
      </c>
      <c r="AA163" s="232">
        <f>+Y163</f>
        <v>0.74299999999999999</v>
      </c>
      <c r="AB163" s="365">
        <f>SUM(AA145:AA147)*AA163</f>
        <v>59093652.890450001</v>
      </c>
      <c r="AC163" s="232">
        <f>+AA163</f>
        <v>0.74299999999999999</v>
      </c>
      <c r="AD163" s="365">
        <f>SUM(AC145:AC147)*AC163</f>
        <v>56855630.396259993</v>
      </c>
    </row>
    <row r="164" spans="1:32">
      <c r="A164" s="380">
        <v>155</v>
      </c>
      <c r="F164" s="365"/>
      <c r="H164" s="365"/>
      <c r="J164" s="365"/>
      <c r="L164" s="365"/>
      <c r="N164" s="365"/>
      <c r="P164" s="365"/>
      <c r="R164" s="365"/>
      <c r="T164" s="365"/>
      <c r="V164" s="365"/>
      <c r="X164" s="365"/>
      <c r="Z164" s="365"/>
      <c r="AB164" s="365"/>
      <c r="AD164" s="365"/>
    </row>
    <row r="165" spans="1:32">
      <c r="A165" s="380">
        <v>156</v>
      </c>
      <c r="D165" s="397" t="s">
        <v>930</v>
      </c>
      <c r="F165" s="365">
        <f>SUM(F161:F163)</f>
        <v>817220128.27877688</v>
      </c>
      <c r="H165" s="365">
        <f>SUM(H161:H163)</f>
        <v>820417390.5373069</v>
      </c>
      <c r="J165" s="365">
        <f>SUM(J161:J163)</f>
        <v>820698096.73301983</v>
      </c>
      <c r="L165" s="365">
        <f>SUM(L161:L163)</f>
        <v>822948496.13109481</v>
      </c>
      <c r="N165" s="365">
        <f>SUM(N161:N163)</f>
        <v>827667143.41850281</v>
      </c>
      <c r="P165" s="365">
        <f>SUM(P161:P163)</f>
        <v>831359357.40338969</v>
      </c>
      <c r="R165" s="365">
        <f>SUM(R161:R163)</f>
        <v>835579674.20949173</v>
      </c>
      <c r="T165" s="365">
        <f>SUM(T161:T163)</f>
        <v>836013367.78428984</v>
      </c>
      <c r="V165" s="365">
        <f>SUM(V161:V163)</f>
        <v>839515817.43658781</v>
      </c>
      <c r="X165" s="365">
        <f>SUM(X161:X163)</f>
        <v>845534633.07216871</v>
      </c>
      <c r="Z165" s="365">
        <f>SUM(Z161:Z163)</f>
        <v>851787145.47142684</v>
      </c>
      <c r="AB165" s="365">
        <f>SUM(AB161:AB163)</f>
        <v>856810901.24958563</v>
      </c>
      <c r="AD165" s="365">
        <f>SUM(AD161:AD163)</f>
        <v>866945220.73952997</v>
      </c>
      <c r="AE165" s="14" t="s">
        <v>938</v>
      </c>
      <c r="AF165" s="386">
        <f>+(F165+AD165+(+H165+J165+L165+N165+P165+R165+T165+V165+X165+Z165+AB165)*2)/24</f>
        <v>835867891.49633491</v>
      </c>
    </row>
    <row r="166" spans="1:32">
      <c r="A166" s="380">
        <v>157</v>
      </c>
      <c r="AB166" s="365"/>
      <c r="AD166" s="365"/>
    </row>
    <row r="167" spans="1:32">
      <c r="A167" s="380">
        <v>158</v>
      </c>
      <c r="D167" s="397" t="s">
        <v>927</v>
      </c>
      <c r="F167" s="365">
        <f>F92</f>
        <v>349691372.54999995</v>
      </c>
      <c r="H167" s="365">
        <f>H92</f>
        <v>351122100.51999992</v>
      </c>
      <c r="J167" s="365">
        <f>J92</f>
        <v>352161619.25</v>
      </c>
      <c r="L167" s="365">
        <f>L92</f>
        <v>353579319.95999998</v>
      </c>
      <c r="N167" s="365">
        <f>N92</f>
        <v>355202929.90000004</v>
      </c>
      <c r="P167" s="365">
        <f>P92</f>
        <v>356554963.54000002</v>
      </c>
      <c r="R167" s="365">
        <f>R92</f>
        <v>358089078.43000007</v>
      </c>
      <c r="T167" s="365">
        <f>T92</f>
        <v>359533201.34000003</v>
      </c>
      <c r="V167" s="365">
        <f>V92</f>
        <v>361133539.03000003</v>
      </c>
      <c r="X167" s="365">
        <f>X92</f>
        <v>362566654.5</v>
      </c>
      <c r="Z167" s="365">
        <f>Z92</f>
        <v>364082428.88999987</v>
      </c>
      <c r="AB167" s="365">
        <f>AB92</f>
        <v>365355850.14999998</v>
      </c>
      <c r="AD167" s="365">
        <f>AD92</f>
        <v>366495933.66000003</v>
      </c>
    </row>
    <row r="168" spans="1:32">
      <c r="A168" s="380">
        <v>159</v>
      </c>
      <c r="D168" s="397" t="s">
        <v>928</v>
      </c>
      <c r="F168" s="365">
        <f>E162*SUM(F94:F144)</f>
        <v>22202291.72191501</v>
      </c>
      <c r="H168" s="365">
        <f>G162*SUM(H94:H144)</f>
        <v>22510173.278716009</v>
      </c>
      <c r="J168" s="365">
        <f>I162*SUM(J94:J144)</f>
        <v>22773562.802293006</v>
      </c>
      <c r="L168" s="365">
        <f>K162*SUM(L94:L144)</f>
        <v>22915040.281844005</v>
      </c>
      <c r="N168" s="365">
        <f>M162*SUM(N94:N144)</f>
        <v>23161400.688383002</v>
      </c>
      <c r="P168" s="365">
        <f>O162*SUM(P94:P144)</f>
        <v>23415565.357076999</v>
      </c>
      <c r="R168" s="365">
        <f>Q162*SUM(R94:R144)</f>
        <v>23677811.943355002</v>
      </c>
      <c r="T168" s="365">
        <f>S162*SUM(T94:T144)</f>
        <v>23940255.332210001</v>
      </c>
      <c r="V168" s="365">
        <f>U162*SUM(V94:V144)</f>
        <v>24202810.837119997</v>
      </c>
      <c r="X168" s="365">
        <f>W162*SUM(X94:X144)</f>
        <v>24445527.580868002</v>
      </c>
      <c r="Z168" s="365">
        <f>Y162*SUM(Z94:Z144)</f>
        <v>24704623.198603004</v>
      </c>
      <c r="AB168" s="365">
        <f>AA162*SUM(AB94:AB144)</f>
        <v>24931380.674821008</v>
      </c>
      <c r="AD168" s="365">
        <f>AC162*SUM(AD94:AD144)</f>
        <v>25198087.149818003</v>
      </c>
    </row>
    <row r="169" spans="1:32">
      <c r="A169" s="380">
        <v>160</v>
      </c>
      <c r="D169" s="397" t="s">
        <v>929</v>
      </c>
      <c r="F169" s="365">
        <f>SUM(F145:F147)*E163</f>
        <v>9313977.5332890004</v>
      </c>
      <c r="H169" s="365">
        <f>SUM(H145:H147)*G163</f>
        <v>9282415.2646400016</v>
      </c>
      <c r="J169" s="365">
        <f>SUM(J145:J147)*I163</f>
        <v>9324677.9962399993</v>
      </c>
      <c r="L169" s="365">
        <f>SUM(L145:L147)*K163</f>
        <v>9395823.0770699997</v>
      </c>
      <c r="N169" s="365">
        <f>SUM(N145:N147)*M163</f>
        <v>9289454.5357999988</v>
      </c>
      <c r="P169" s="365">
        <f>SUM(P145:P147)*O163</f>
        <v>9291886.0255899988</v>
      </c>
      <c r="R169" s="365">
        <f>SUM(R145:R147)*Q163</f>
        <v>9328779.7054500002</v>
      </c>
      <c r="T169" s="365">
        <f>SUM(T145:T147)*S163</f>
        <v>6235833.9797000019</v>
      </c>
      <c r="V169" s="365">
        <f>SUM(V145:V147)*U163</f>
        <v>6313688.4471199997</v>
      </c>
      <c r="X169" s="365">
        <f>SUM(X145:X147)*W163</f>
        <v>6488783.15099</v>
      </c>
      <c r="Z169" s="365">
        <f>SUM(Z145:Z147)*Y163</f>
        <v>6570429.06568</v>
      </c>
      <c r="AB169" s="365">
        <f>SUM(AB145:AB147)*AA163</f>
        <v>6577563.3591100005</v>
      </c>
      <c r="AD169" s="365">
        <f>SUM(AD145:AD147)*AC163</f>
        <v>5525143.8845200008</v>
      </c>
    </row>
    <row r="170" spans="1:32">
      <c r="A170" s="380">
        <v>161</v>
      </c>
      <c r="F170" s="365"/>
      <c r="H170" s="365"/>
      <c r="J170" s="365"/>
      <c r="L170" s="365"/>
      <c r="N170" s="365"/>
      <c r="P170" s="365"/>
      <c r="R170" s="365"/>
      <c r="T170" s="365"/>
      <c r="V170" s="365"/>
      <c r="X170" s="365"/>
      <c r="Z170" s="365"/>
      <c r="AB170" s="365"/>
      <c r="AD170" s="365"/>
    </row>
    <row r="171" spans="1:32">
      <c r="A171" s="380">
        <v>162</v>
      </c>
      <c r="D171" s="397" t="s">
        <v>931</v>
      </c>
      <c r="F171" s="365">
        <f>SUM(F167:F169)</f>
        <v>381207641.80520397</v>
      </c>
      <c r="H171" s="365">
        <f>SUM(H167:H169)</f>
        <v>382914689.06335592</v>
      </c>
      <c r="J171" s="365">
        <f>SUM(J167:J169)</f>
        <v>384259860.04853302</v>
      </c>
      <c r="L171" s="365">
        <f>SUM(L167:L169)</f>
        <v>385890183.318914</v>
      </c>
      <c r="N171" s="365">
        <f>SUM(N167:N169)</f>
        <v>387653785.124183</v>
      </c>
      <c r="P171" s="365">
        <f>SUM(P167:P169)</f>
        <v>389262414.92266703</v>
      </c>
      <c r="R171" s="365">
        <f>SUM(R167:R169)</f>
        <v>391095670.07880509</v>
      </c>
      <c r="T171" s="365">
        <f>SUM(T167:T169)</f>
        <v>389709290.65191007</v>
      </c>
      <c r="V171" s="365">
        <f>SUM(V167:V169)</f>
        <v>391650038.31424004</v>
      </c>
      <c r="X171" s="365">
        <f>SUM(X167:X169)</f>
        <v>393500965.23185802</v>
      </c>
      <c r="Z171" s="365">
        <f>SUM(Z167:Z169)</f>
        <v>395357481.15428293</v>
      </c>
      <c r="AB171" s="365">
        <f>SUM(AB167:AB169)</f>
        <v>396864794.18393099</v>
      </c>
      <c r="AD171" s="365">
        <f>SUM(AD167:AD169)</f>
        <v>397219164.69433802</v>
      </c>
      <c r="AE171" s="14" t="s">
        <v>939</v>
      </c>
      <c r="AF171" s="386">
        <f>+(F171+AD171+(+H171+J171+L171+N171+P171+R171+T171+V171+X171+Z171+AB171)*2)/24</f>
        <v>389781047.94520426</v>
      </c>
    </row>
  </sheetData>
  <mergeCells count="17">
    <mergeCell ref="M2:X2"/>
    <mergeCell ref="M3:X3"/>
    <mergeCell ref="M4:X4"/>
    <mergeCell ref="M5:X5"/>
    <mergeCell ref="Y1:AF1"/>
    <mergeCell ref="Y2:AF2"/>
    <mergeCell ref="Y3:AF3"/>
    <mergeCell ref="Y4:AF4"/>
    <mergeCell ref="Y5:AF5"/>
    <mergeCell ref="M1:X1"/>
    <mergeCell ref="B149:C149"/>
    <mergeCell ref="B153:C153"/>
    <mergeCell ref="A1:L1"/>
    <mergeCell ref="A2:L2"/>
    <mergeCell ref="A3:L3"/>
    <mergeCell ref="A4:L4"/>
    <mergeCell ref="A5:L5"/>
  </mergeCells>
  <phoneticPr fontId="141" type="noConversion"/>
  <printOptions horizontalCentered="1"/>
  <pageMargins left="0.7" right="0.7" top="0.75" bottom="0.75" header="0.3" footer="0.3"/>
  <pageSetup scale="47" orientation="landscape" r:id="rId1"/>
  <headerFooter scaleWithDoc="0" alignWithMargins="0">
    <oddHeader>&amp;RPage &amp;P of &amp;N</oddHeader>
    <oddFooter>&amp;LElectronic Tab Name:&amp;A</oddFooter>
  </headerFooter>
  <rowBreaks count="3" manualBreakCount="3">
    <brk id="47" max="16383" man="1"/>
    <brk id="92" max="16383" man="1"/>
    <brk id="131"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7" tint="0.79998168889431442"/>
  </sheetPr>
  <dimension ref="A1:BD88"/>
  <sheetViews>
    <sheetView view="pageBreakPreview" zoomScale="80" zoomScaleNormal="100" zoomScaleSheetLayoutView="80" workbookViewId="0">
      <pane xSplit="9" ySplit="5" topLeftCell="AC6" activePane="bottomRight" state="frozen"/>
      <selection activeCell="F27" sqref="F27"/>
      <selection pane="topRight" activeCell="F27" sqref="F27"/>
      <selection pane="bottomLeft" activeCell="F27" sqref="F27"/>
      <selection pane="bottomRight" activeCell="F27" sqref="F27"/>
    </sheetView>
  </sheetViews>
  <sheetFormatPr defaultColWidth="9.109375" defaultRowHeight="15.6"/>
  <cols>
    <col min="1" max="1" width="9.44140625" style="16" bestFit="1" customWidth="1"/>
    <col min="2" max="2" width="42.33203125" style="3" bestFit="1" customWidth="1"/>
    <col min="3" max="3" width="9.109375" style="3"/>
    <col min="4" max="4" width="4.5546875" style="3" customWidth="1"/>
    <col min="5" max="9" width="9.109375" style="3"/>
    <col min="10" max="10" width="21.33203125" style="3" bestFit="1" customWidth="1"/>
    <col min="11" max="12" width="20.44140625" style="3" bestFit="1" customWidth="1"/>
    <col min="13" max="13" width="21.88671875" style="3" bestFit="1" customWidth="1"/>
    <col min="14" max="14" width="20.44140625" style="3" bestFit="1" customWidth="1"/>
    <col min="15" max="15" width="19.88671875" style="3" bestFit="1" customWidth="1"/>
    <col min="16" max="16" width="21.33203125" style="3" bestFit="1" customWidth="1"/>
    <col min="17" max="18" width="20.44140625" style="3" bestFit="1" customWidth="1"/>
    <col min="19" max="19" width="20.5546875" style="3" bestFit="1" customWidth="1"/>
    <col min="20" max="21" width="19.88671875" style="3" bestFit="1" customWidth="1"/>
    <col min="22" max="22" width="20.44140625" style="3" bestFit="1" customWidth="1"/>
    <col min="23" max="23" width="19.88671875" style="3" bestFit="1" customWidth="1"/>
    <col min="24" max="24" width="20.44140625" style="3" bestFit="1" customWidth="1"/>
    <col min="25" max="25" width="21.88671875" style="3" bestFit="1" customWidth="1"/>
    <col min="26" max="27" width="20.44140625" style="3" bestFit="1" customWidth="1"/>
    <col min="28" max="28" width="20.5546875" style="3" bestFit="1" customWidth="1"/>
    <col min="29" max="30" width="20.44140625" style="3" bestFit="1" customWidth="1"/>
    <col min="31" max="31" width="20.5546875" style="3" bestFit="1" customWidth="1"/>
    <col min="32" max="32" width="19.44140625" style="3" bestFit="1" customWidth="1"/>
    <col min="33" max="34" width="19.88671875" style="3" bestFit="1" customWidth="1"/>
    <col min="35" max="36" width="20.44140625" style="3" bestFit="1" customWidth="1"/>
    <col min="37" max="37" width="21.88671875" style="3" bestFit="1" customWidth="1"/>
    <col min="38" max="38" width="19.88671875" style="3" bestFit="1" customWidth="1"/>
    <col min="39" max="39" width="20.44140625" style="3" bestFit="1" customWidth="1"/>
    <col min="40" max="40" width="21.33203125" style="3" bestFit="1" customWidth="1"/>
    <col min="41" max="41" width="20.44140625" style="3" bestFit="1" customWidth="1"/>
    <col min="42" max="42" width="19.88671875" style="3" bestFit="1" customWidth="1"/>
    <col min="43" max="43" width="21.33203125" style="3" bestFit="1" customWidth="1"/>
    <col min="44" max="44" width="19.88671875" style="3" bestFit="1" customWidth="1"/>
    <col min="45" max="45" width="19.44140625" style="3" bestFit="1" customWidth="1"/>
    <col min="46" max="46" width="21.88671875" style="3" bestFit="1" customWidth="1"/>
    <col min="47" max="47" width="20.44140625" style="3" bestFit="1" customWidth="1"/>
    <col min="48" max="48" width="19.88671875" style="3" bestFit="1" customWidth="1"/>
    <col min="49" max="49" width="20.5546875" style="3" bestFit="1" customWidth="1"/>
    <col min="50" max="51" width="17.5546875" style="3" bestFit="1" customWidth="1"/>
    <col min="52" max="16384" width="9.109375" style="3"/>
  </cols>
  <sheetData>
    <row r="1" spans="1:51">
      <c r="E1" s="1910" t="s">
        <v>52</v>
      </c>
      <c r="F1" s="1910"/>
      <c r="G1" s="1910"/>
      <c r="H1" s="1910"/>
      <c r="I1" s="1910"/>
      <c r="J1" s="1910"/>
      <c r="K1" s="1910"/>
      <c r="R1" s="1910" t="s">
        <v>52</v>
      </c>
      <c r="S1" s="1910"/>
      <c r="T1" s="1910"/>
      <c r="U1" s="1910"/>
      <c r="V1" s="2"/>
      <c r="W1" s="2"/>
      <c r="X1" s="2"/>
      <c r="Y1" s="2"/>
      <c r="AB1" s="1910" t="s">
        <v>52</v>
      </c>
      <c r="AC1" s="1910"/>
      <c r="AD1" s="1910"/>
      <c r="AE1" s="1910"/>
      <c r="AF1" s="1910"/>
      <c r="AG1" s="1910"/>
      <c r="AH1" s="1910"/>
      <c r="AI1" s="1910"/>
      <c r="AJ1" s="1910"/>
      <c r="AK1" s="1910"/>
      <c r="AL1" s="1910"/>
      <c r="AM1" s="1910"/>
      <c r="AN1" s="1910"/>
      <c r="AO1" s="1910"/>
      <c r="AP1" s="1910" t="s">
        <v>52</v>
      </c>
      <c r="AQ1" s="1910"/>
      <c r="AR1" s="1910"/>
      <c r="AS1" s="1910"/>
      <c r="AT1" s="1910"/>
      <c r="AU1" s="1910"/>
      <c r="AV1" s="1910"/>
      <c r="AW1" s="1910"/>
      <c r="AX1" s="1910"/>
      <c r="AY1" s="1910"/>
    </row>
    <row r="2" spans="1:51">
      <c r="E2" s="5"/>
      <c r="F2" s="1910" t="s">
        <v>1824</v>
      </c>
      <c r="G2" s="1910"/>
      <c r="H2" s="1910"/>
      <c r="I2" s="1910"/>
      <c r="J2" s="1910"/>
      <c r="K2" s="5"/>
      <c r="R2" s="1910" t="str">
        <f>+F2</f>
        <v>UG 20_____</v>
      </c>
      <c r="S2" s="1910"/>
      <c r="T2" s="1910"/>
      <c r="U2" s="1910"/>
      <c r="V2" s="2"/>
      <c r="W2" s="2"/>
      <c r="X2" s="2"/>
      <c r="Y2" s="5"/>
      <c r="AA2" s="5"/>
      <c r="AB2" s="1910" t="str">
        <f>+R2</f>
        <v>UG 20_____</v>
      </c>
      <c r="AC2" s="1910"/>
      <c r="AD2" s="1910"/>
      <c r="AE2" s="1910"/>
      <c r="AF2" s="1910"/>
      <c r="AG2" s="1910"/>
      <c r="AH2" s="1910"/>
      <c r="AI2" s="1910"/>
      <c r="AJ2" s="1910"/>
      <c r="AK2" s="1910"/>
      <c r="AL2" s="1910"/>
      <c r="AM2" s="1910"/>
      <c r="AN2" s="1910"/>
      <c r="AO2" s="1910"/>
      <c r="AP2" s="1910" t="str">
        <f>+AB2</f>
        <v>UG 20_____</v>
      </c>
      <c r="AQ2" s="1910"/>
      <c r="AR2" s="1910"/>
      <c r="AS2" s="1910"/>
      <c r="AT2" s="1910"/>
      <c r="AU2" s="1910"/>
      <c r="AV2" s="1910"/>
      <c r="AW2" s="1910"/>
      <c r="AX2" s="1910"/>
      <c r="AY2" s="1910"/>
    </row>
    <row r="3" spans="1:51">
      <c r="E3" s="5"/>
      <c r="F3" s="1910" t="s">
        <v>1304</v>
      </c>
      <c r="G3" s="1910"/>
      <c r="H3" s="1910"/>
      <c r="I3" s="1910"/>
      <c r="J3" s="1910"/>
      <c r="K3" s="5"/>
      <c r="R3" s="1910" t="str">
        <f>+F3</f>
        <v>MCP WP-1.4</v>
      </c>
      <c r="S3" s="1910"/>
      <c r="T3" s="1910"/>
      <c r="U3" s="1910"/>
      <c r="V3" s="2"/>
      <c r="W3" s="2"/>
      <c r="X3" s="2"/>
      <c r="Y3" s="5"/>
      <c r="AA3" s="5"/>
      <c r="AB3" s="1910" t="str">
        <f>+R3</f>
        <v>MCP WP-1.4</v>
      </c>
      <c r="AC3" s="1910"/>
      <c r="AD3" s="1910"/>
      <c r="AE3" s="1910"/>
      <c r="AF3" s="1910"/>
      <c r="AG3" s="1910"/>
      <c r="AH3" s="1910"/>
      <c r="AI3" s="1910"/>
      <c r="AJ3" s="1910"/>
      <c r="AK3" s="1910"/>
      <c r="AL3" s="1910"/>
      <c r="AM3" s="1910"/>
      <c r="AN3" s="1910"/>
      <c r="AO3" s="1910"/>
      <c r="AP3" s="1910" t="str">
        <f>+AB3</f>
        <v>MCP WP-1.4</v>
      </c>
      <c r="AQ3" s="1910"/>
      <c r="AR3" s="1910"/>
      <c r="AS3" s="1910"/>
      <c r="AT3" s="1910"/>
      <c r="AU3" s="1910"/>
      <c r="AV3" s="1910"/>
      <c r="AW3" s="1910"/>
      <c r="AX3" s="1910"/>
      <c r="AY3" s="1910"/>
    </row>
    <row r="4" spans="1:51">
      <c r="E4" s="1910" t="s">
        <v>1028</v>
      </c>
      <c r="F4" s="1910"/>
      <c r="G4" s="1910"/>
      <c r="H4" s="1910"/>
      <c r="I4" s="1910"/>
      <c r="J4" s="1910"/>
      <c r="K4" s="1910"/>
      <c r="R4" s="1910" t="s">
        <v>1028</v>
      </c>
      <c r="S4" s="1910"/>
      <c r="T4" s="1910"/>
      <c r="U4" s="1910"/>
      <c r="V4" s="2"/>
      <c r="W4" s="2"/>
      <c r="X4" s="2"/>
      <c r="Y4" s="2"/>
      <c r="AB4" s="1910" t="s">
        <v>1028</v>
      </c>
      <c r="AC4" s="1910"/>
      <c r="AD4" s="1910"/>
      <c r="AE4" s="1910"/>
      <c r="AF4" s="1910"/>
      <c r="AG4" s="1910"/>
      <c r="AH4" s="1910"/>
      <c r="AI4" s="1910"/>
      <c r="AJ4" s="1910"/>
      <c r="AK4" s="1910"/>
      <c r="AL4" s="1910"/>
      <c r="AM4" s="1910"/>
      <c r="AN4" s="1910"/>
      <c r="AO4" s="1910"/>
      <c r="AP4" s="1910" t="s">
        <v>1028</v>
      </c>
      <c r="AQ4" s="1910"/>
      <c r="AR4" s="1910"/>
      <c r="AS4" s="1910"/>
      <c r="AT4" s="1910"/>
      <c r="AU4" s="1910"/>
      <c r="AV4" s="1910"/>
      <c r="AW4" s="1910"/>
      <c r="AX4" s="1910"/>
      <c r="AY4" s="1910"/>
    </row>
    <row r="5" spans="1:51">
      <c r="F5" s="1910" t="s">
        <v>1823</v>
      </c>
      <c r="G5" s="1910"/>
      <c r="H5" s="1910"/>
      <c r="I5" s="1910"/>
      <c r="J5" s="1910"/>
      <c r="R5" s="1910" t="str">
        <f>+F5</f>
        <v>Twelve Months Ended December 31, 2019</v>
      </c>
      <c r="S5" s="1910"/>
      <c r="T5" s="1910"/>
      <c r="U5" s="1910"/>
      <c r="V5" s="2"/>
      <c r="W5" s="2"/>
      <c r="X5" s="2"/>
      <c r="AB5" s="1910" t="str">
        <f>+R5</f>
        <v>Twelve Months Ended December 31, 2019</v>
      </c>
      <c r="AC5" s="1910"/>
      <c r="AD5" s="1910"/>
      <c r="AE5" s="1910"/>
      <c r="AF5" s="1910"/>
      <c r="AG5" s="1910"/>
      <c r="AH5" s="1910"/>
      <c r="AI5" s="1910"/>
      <c r="AJ5" s="1910"/>
      <c r="AK5" s="1910"/>
      <c r="AL5" s="1910"/>
      <c r="AM5" s="1910"/>
      <c r="AN5" s="1910"/>
      <c r="AO5" s="1910"/>
      <c r="AP5" s="1910" t="str">
        <f>+AB5</f>
        <v>Twelve Months Ended December 31, 2019</v>
      </c>
      <c r="AQ5" s="1910"/>
      <c r="AR5" s="1910"/>
      <c r="AS5" s="1910"/>
      <c r="AT5" s="1910"/>
      <c r="AU5" s="1910"/>
      <c r="AV5" s="1910"/>
      <c r="AW5" s="1910"/>
      <c r="AX5" s="1910"/>
      <c r="AY5" s="1910"/>
    </row>
    <row r="8" spans="1:51" s="16" customFormat="1" ht="16.2" thickBot="1">
      <c r="A8" s="16" t="s">
        <v>649</v>
      </c>
      <c r="B8" s="16" t="s">
        <v>778</v>
      </c>
      <c r="C8" s="16" t="s">
        <v>776</v>
      </c>
      <c r="E8" s="16" t="s">
        <v>777</v>
      </c>
      <c r="F8" s="16" t="s">
        <v>780</v>
      </c>
      <c r="G8" s="16" t="s">
        <v>781</v>
      </c>
      <c r="H8" s="16" t="s">
        <v>782</v>
      </c>
      <c r="I8" s="16" t="s">
        <v>783</v>
      </c>
      <c r="J8" s="16" t="s">
        <v>784</v>
      </c>
      <c r="K8" s="16" t="s">
        <v>785</v>
      </c>
      <c r="L8" s="16" t="s">
        <v>786</v>
      </c>
      <c r="M8" s="16" t="s">
        <v>787</v>
      </c>
      <c r="N8" s="16" t="s">
        <v>942</v>
      </c>
      <c r="O8" s="16" t="s">
        <v>789</v>
      </c>
      <c r="P8" s="16" t="s">
        <v>790</v>
      </c>
      <c r="Q8" s="16" t="s">
        <v>791</v>
      </c>
      <c r="R8" s="16" t="s">
        <v>995</v>
      </c>
      <c r="S8" s="16" t="s">
        <v>996</v>
      </c>
      <c r="T8" s="16" t="s">
        <v>997</v>
      </c>
      <c r="U8" s="16" t="s">
        <v>998</v>
      </c>
      <c r="V8" s="16" t="s">
        <v>999</v>
      </c>
      <c r="W8" s="16" t="s">
        <v>1000</v>
      </c>
      <c r="X8" s="16" t="s">
        <v>1001</v>
      </c>
      <c r="Y8" s="16" t="s">
        <v>1002</v>
      </c>
      <c r="Z8" s="16" t="s">
        <v>1003</v>
      </c>
      <c r="AA8" s="16" t="s">
        <v>1004</v>
      </c>
      <c r="AB8" s="16" t="s">
        <v>1005</v>
      </c>
      <c r="AC8" s="16" t="s">
        <v>740</v>
      </c>
      <c r="AD8" s="16" t="s">
        <v>1006</v>
      </c>
      <c r="AE8" s="16" t="s">
        <v>1007</v>
      </c>
      <c r="AF8" s="16" t="s">
        <v>1008</v>
      </c>
      <c r="AG8" s="16" t="s">
        <v>1009</v>
      </c>
      <c r="AH8" s="16" t="s">
        <v>1011</v>
      </c>
      <c r="AI8" s="16" t="s">
        <v>1012</v>
      </c>
      <c r="AJ8" s="16" t="s">
        <v>1013</v>
      </c>
      <c r="AK8" s="16" t="s">
        <v>1014</v>
      </c>
      <c r="AL8" s="16" t="s">
        <v>1015</v>
      </c>
      <c r="AM8" s="16" t="s">
        <v>1016</v>
      </c>
      <c r="AN8" s="16" t="s">
        <v>1017</v>
      </c>
      <c r="AO8" s="16" t="s">
        <v>1018</v>
      </c>
      <c r="AP8" s="16" t="s">
        <v>1019</v>
      </c>
      <c r="AQ8" s="16" t="s">
        <v>1020</v>
      </c>
      <c r="AR8" s="16" t="s">
        <v>1021</v>
      </c>
      <c r="AS8" s="16" t="s">
        <v>1022</v>
      </c>
      <c r="AT8" s="16" t="s">
        <v>1023</v>
      </c>
      <c r="AU8" s="16" t="s">
        <v>881</v>
      </c>
      <c r="AV8" s="16" t="s">
        <v>1024</v>
      </c>
      <c r="AW8" s="16" t="s">
        <v>1025</v>
      </c>
      <c r="AX8" s="16" t="s">
        <v>1026</v>
      </c>
      <c r="AY8" s="16" t="s">
        <v>1027</v>
      </c>
    </row>
    <row r="9" spans="1:51">
      <c r="A9" s="16">
        <v>1</v>
      </c>
      <c r="B9" s="1924" t="s">
        <v>1070</v>
      </c>
      <c r="C9" s="1925"/>
      <c r="D9" s="1925"/>
      <c r="E9" s="1926"/>
      <c r="F9" s="1933" t="s">
        <v>360</v>
      </c>
      <c r="G9" s="1933"/>
      <c r="H9" s="1933"/>
      <c r="I9" s="1934"/>
      <c r="J9" s="145" t="s">
        <v>740</v>
      </c>
      <c r="K9" s="146" t="s">
        <v>940</v>
      </c>
      <c r="L9" s="147" t="s">
        <v>941</v>
      </c>
      <c r="M9" s="145" t="s">
        <v>740</v>
      </c>
      <c r="N9" s="146" t="s">
        <v>940</v>
      </c>
      <c r="O9" s="147" t="s">
        <v>941</v>
      </c>
      <c r="P9" s="145" t="s">
        <v>740</v>
      </c>
      <c r="Q9" s="146" t="s">
        <v>940</v>
      </c>
      <c r="R9" s="147" t="s">
        <v>941</v>
      </c>
      <c r="S9" s="145" t="s">
        <v>740</v>
      </c>
      <c r="T9" s="146" t="s">
        <v>940</v>
      </c>
      <c r="U9" s="147" t="s">
        <v>941</v>
      </c>
      <c r="V9" s="145" t="s">
        <v>740</v>
      </c>
      <c r="W9" s="146" t="s">
        <v>940</v>
      </c>
      <c r="X9" s="147" t="s">
        <v>941</v>
      </c>
      <c r="Y9" s="145" t="s">
        <v>740</v>
      </c>
      <c r="Z9" s="146" t="s">
        <v>940</v>
      </c>
      <c r="AA9" s="147" t="s">
        <v>941</v>
      </c>
      <c r="AB9" s="145" t="s">
        <v>740</v>
      </c>
      <c r="AC9" s="146" t="s">
        <v>940</v>
      </c>
      <c r="AD9" s="147" t="s">
        <v>941</v>
      </c>
      <c r="AE9" s="145" t="s">
        <v>740</v>
      </c>
      <c r="AF9" s="146" t="s">
        <v>940</v>
      </c>
      <c r="AG9" s="147" t="s">
        <v>941</v>
      </c>
      <c r="AH9" s="145" t="s">
        <v>740</v>
      </c>
      <c r="AI9" s="146" t="s">
        <v>940</v>
      </c>
      <c r="AJ9" s="147" t="s">
        <v>941</v>
      </c>
      <c r="AK9" s="145" t="s">
        <v>740</v>
      </c>
      <c r="AL9" s="146" t="s">
        <v>940</v>
      </c>
      <c r="AM9" s="147" t="s">
        <v>941</v>
      </c>
      <c r="AN9" s="145" t="s">
        <v>740</v>
      </c>
      <c r="AO9" s="146" t="s">
        <v>940</v>
      </c>
      <c r="AP9" s="147" t="s">
        <v>941</v>
      </c>
      <c r="AQ9" s="145" t="s">
        <v>740</v>
      </c>
      <c r="AR9" s="146" t="s">
        <v>940</v>
      </c>
      <c r="AS9" s="147" t="s">
        <v>941</v>
      </c>
      <c r="AT9" s="145" t="s">
        <v>740</v>
      </c>
      <c r="AU9" s="146" t="s">
        <v>940</v>
      </c>
      <c r="AV9" s="147" t="s">
        <v>941</v>
      </c>
      <c r="AW9" s="148" t="s">
        <v>980</v>
      </c>
      <c r="AX9" s="148" t="s">
        <v>93</v>
      </c>
      <c r="AY9" s="148" t="s">
        <v>70</v>
      </c>
    </row>
    <row r="10" spans="1:51">
      <c r="A10" s="16">
        <v>2</v>
      </c>
      <c r="B10" s="1927"/>
      <c r="C10" s="1928"/>
      <c r="D10" s="1928"/>
      <c r="E10" s="1929"/>
      <c r="F10" s="1913" t="s">
        <v>361</v>
      </c>
      <c r="G10" s="1913"/>
      <c r="H10" s="1913"/>
      <c r="I10" s="1914"/>
      <c r="J10" s="691" t="s">
        <v>1305</v>
      </c>
      <c r="K10" s="682" t="s">
        <v>1305</v>
      </c>
      <c r="L10" s="692" t="s">
        <v>1305</v>
      </c>
      <c r="M10" s="691" t="s">
        <v>1827</v>
      </c>
      <c r="N10" s="682" t="s">
        <v>1827</v>
      </c>
      <c r="O10" s="682" t="s">
        <v>1827</v>
      </c>
      <c r="P10" s="691" t="s">
        <v>1827</v>
      </c>
      <c r="Q10" s="682" t="s">
        <v>1827</v>
      </c>
      <c r="R10" s="682" t="s">
        <v>1827</v>
      </c>
      <c r="S10" s="691" t="s">
        <v>1827</v>
      </c>
      <c r="T10" s="682" t="s">
        <v>1827</v>
      </c>
      <c r="U10" s="682" t="s">
        <v>1827</v>
      </c>
      <c r="V10" s="691" t="s">
        <v>1827</v>
      </c>
      <c r="W10" s="682" t="s">
        <v>1827</v>
      </c>
      <c r="X10" s="682" t="s">
        <v>1827</v>
      </c>
      <c r="Y10" s="691" t="s">
        <v>1827</v>
      </c>
      <c r="Z10" s="682" t="s">
        <v>1827</v>
      </c>
      <c r="AA10" s="682" t="s">
        <v>1827</v>
      </c>
      <c r="AB10" s="691" t="s">
        <v>1827</v>
      </c>
      <c r="AC10" s="691" t="s">
        <v>1827</v>
      </c>
      <c r="AD10" s="691" t="s">
        <v>1827</v>
      </c>
      <c r="AE10" s="691" t="s">
        <v>1827</v>
      </c>
      <c r="AF10" s="691" t="s">
        <v>1827</v>
      </c>
      <c r="AG10" s="691" t="s">
        <v>1827</v>
      </c>
      <c r="AH10" s="691" t="s">
        <v>1827</v>
      </c>
      <c r="AI10" s="691" t="s">
        <v>1827</v>
      </c>
      <c r="AJ10" s="691" t="s">
        <v>1827</v>
      </c>
      <c r="AK10" s="691" t="s">
        <v>1827</v>
      </c>
      <c r="AL10" s="691" t="s">
        <v>1827</v>
      </c>
      <c r="AM10" s="691" t="s">
        <v>1827</v>
      </c>
      <c r="AN10" s="691" t="s">
        <v>1827</v>
      </c>
      <c r="AO10" s="682" t="s">
        <v>1827</v>
      </c>
      <c r="AP10" s="682" t="s">
        <v>1827</v>
      </c>
      <c r="AQ10" s="691" t="s">
        <v>1827</v>
      </c>
      <c r="AR10" s="682" t="s">
        <v>1827</v>
      </c>
      <c r="AS10" s="682" t="s">
        <v>1827</v>
      </c>
      <c r="AT10" s="691" t="s">
        <v>1827</v>
      </c>
      <c r="AU10" s="682" t="s">
        <v>1827</v>
      </c>
      <c r="AV10" s="682" t="s">
        <v>1827</v>
      </c>
    </row>
    <row r="11" spans="1:51">
      <c r="A11" s="16">
        <v>3</v>
      </c>
      <c r="B11" s="1927"/>
      <c r="C11" s="1928"/>
      <c r="D11" s="1928"/>
      <c r="E11" s="1929"/>
      <c r="F11" s="1913" t="s">
        <v>362</v>
      </c>
      <c r="G11" s="1913"/>
      <c r="H11" s="1913"/>
      <c r="I11" s="1914"/>
      <c r="J11" s="149" t="s">
        <v>942</v>
      </c>
      <c r="K11" s="150" t="s">
        <v>942</v>
      </c>
      <c r="L11" s="151" t="s">
        <v>942</v>
      </c>
      <c r="M11" s="149" t="s">
        <v>942</v>
      </c>
      <c r="N11" s="150" t="s">
        <v>942</v>
      </c>
      <c r="O11" s="151" t="s">
        <v>942</v>
      </c>
      <c r="P11" s="149" t="s">
        <v>942</v>
      </c>
      <c r="Q11" s="150" t="s">
        <v>942</v>
      </c>
      <c r="R11" s="151" t="s">
        <v>942</v>
      </c>
      <c r="S11" s="149" t="s">
        <v>942</v>
      </c>
      <c r="T11" s="150" t="s">
        <v>942</v>
      </c>
      <c r="U11" s="151" t="s">
        <v>942</v>
      </c>
      <c r="V11" s="149" t="s">
        <v>942</v>
      </c>
      <c r="W11" s="150" t="s">
        <v>942</v>
      </c>
      <c r="X11" s="151" t="s">
        <v>942</v>
      </c>
      <c r="Y11" s="149" t="s">
        <v>942</v>
      </c>
      <c r="Z11" s="150" t="s">
        <v>942</v>
      </c>
      <c r="AA11" s="151" t="s">
        <v>942</v>
      </c>
      <c r="AB11" s="149" t="s">
        <v>942</v>
      </c>
      <c r="AC11" s="150" t="s">
        <v>942</v>
      </c>
      <c r="AD11" s="151" t="s">
        <v>942</v>
      </c>
      <c r="AE11" s="149" t="s">
        <v>942</v>
      </c>
      <c r="AF11" s="150" t="s">
        <v>942</v>
      </c>
      <c r="AG11" s="151" t="s">
        <v>942</v>
      </c>
      <c r="AH11" s="149" t="s">
        <v>942</v>
      </c>
      <c r="AI11" s="150" t="s">
        <v>942</v>
      </c>
      <c r="AJ11" s="151" t="s">
        <v>942</v>
      </c>
      <c r="AK11" s="149" t="s">
        <v>942</v>
      </c>
      <c r="AL11" s="150" t="s">
        <v>942</v>
      </c>
      <c r="AM11" s="151" t="s">
        <v>942</v>
      </c>
      <c r="AN11" s="149" t="s">
        <v>942</v>
      </c>
      <c r="AO11" s="150" t="s">
        <v>942</v>
      </c>
      <c r="AP11" s="151" t="s">
        <v>942</v>
      </c>
      <c r="AQ11" s="149" t="s">
        <v>942</v>
      </c>
      <c r="AR11" s="150" t="s">
        <v>942</v>
      </c>
      <c r="AS11" s="151" t="s">
        <v>942</v>
      </c>
      <c r="AT11" s="149" t="s">
        <v>942</v>
      </c>
      <c r="AU11" s="150" t="s">
        <v>942</v>
      </c>
      <c r="AV11" s="151" t="s">
        <v>942</v>
      </c>
      <c r="AX11" s="148" t="s">
        <v>356</v>
      </c>
    </row>
    <row r="12" spans="1:51">
      <c r="A12" s="133">
        <v>4</v>
      </c>
      <c r="B12" s="1927"/>
      <c r="C12" s="1928"/>
      <c r="D12" s="1928"/>
      <c r="E12" s="1929"/>
      <c r="F12" s="1913" t="s">
        <v>363</v>
      </c>
      <c r="G12" s="1913"/>
      <c r="H12" s="1913"/>
      <c r="I12" s="1914"/>
      <c r="J12" s="149" t="s">
        <v>460</v>
      </c>
      <c r="K12" s="150" t="s">
        <v>460</v>
      </c>
      <c r="L12" s="151" t="s">
        <v>460</v>
      </c>
      <c r="M12" s="149" t="s">
        <v>515</v>
      </c>
      <c r="N12" s="150" t="s">
        <v>515</v>
      </c>
      <c r="O12" s="151" t="s">
        <v>515</v>
      </c>
      <c r="P12" s="149" t="s">
        <v>549</v>
      </c>
      <c r="Q12" s="150" t="s">
        <v>549</v>
      </c>
      <c r="R12" s="151" t="s">
        <v>549</v>
      </c>
      <c r="S12" s="149" t="s">
        <v>550</v>
      </c>
      <c r="T12" s="150" t="s">
        <v>550</v>
      </c>
      <c r="U12" s="151" t="s">
        <v>550</v>
      </c>
      <c r="V12" s="149" t="s">
        <v>943</v>
      </c>
      <c r="W12" s="150" t="s">
        <v>943</v>
      </c>
      <c r="X12" s="151" t="s">
        <v>943</v>
      </c>
      <c r="Y12" s="149" t="s">
        <v>944</v>
      </c>
      <c r="Z12" s="150" t="s">
        <v>944</v>
      </c>
      <c r="AA12" s="151" t="s">
        <v>944</v>
      </c>
      <c r="AB12" s="149" t="s">
        <v>945</v>
      </c>
      <c r="AC12" s="150" t="s">
        <v>945</v>
      </c>
      <c r="AD12" s="151" t="s">
        <v>945</v>
      </c>
      <c r="AE12" s="149" t="s">
        <v>946</v>
      </c>
      <c r="AF12" s="150" t="s">
        <v>946</v>
      </c>
      <c r="AG12" s="151" t="s">
        <v>946</v>
      </c>
      <c r="AH12" s="149" t="s">
        <v>376</v>
      </c>
      <c r="AI12" s="150" t="s">
        <v>376</v>
      </c>
      <c r="AJ12" s="151" t="s">
        <v>376</v>
      </c>
      <c r="AK12" s="149" t="s">
        <v>947</v>
      </c>
      <c r="AL12" s="150" t="s">
        <v>947</v>
      </c>
      <c r="AM12" s="151" t="s">
        <v>947</v>
      </c>
      <c r="AN12" s="149" t="s">
        <v>948</v>
      </c>
      <c r="AO12" s="150" t="s">
        <v>948</v>
      </c>
      <c r="AP12" s="151" t="s">
        <v>948</v>
      </c>
      <c r="AQ12" s="149" t="s">
        <v>949</v>
      </c>
      <c r="AR12" s="150" t="s">
        <v>949</v>
      </c>
      <c r="AS12" s="151" t="s">
        <v>949</v>
      </c>
      <c r="AT12" s="149" t="s">
        <v>460</v>
      </c>
      <c r="AU12" s="150" t="s">
        <v>460</v>
      </c>
      <c r="AV12" s="151" t="s">
        <v>460</v>
      </c>
    </row>
    <row r="13" spans="1:51" ht="16.2" thickBot="1">
      <c r="A13" s="133">
        <v>5</v>
      </c>
      <c r="B13" s="1930"/>
      <c r="C13" s="1931"/>
      <c r="D13" s="1931"/>
      <c r="E13" s="1932"/>
      <c r="F13" s="1913" t="s">
        <v>364</v>
      </c>
      <c r="G13" s="1913"/>
      <c r="H13" s="1913"/>
      <c r="I13" s="1914"/>
      <c r="J13" s="149" t="s">
        <v>712</v>
      </c>
      <c r="K13" s="150" t="s">
        <v>712</v>
      </c>
      <c r="L13" s="151" t="s">
        <v>712</v>
      </c>
      <c r="M13" s="149" t="s">
        <v>712</v>
      </c>
      <c r="N13" s="150" t="s">
        <v>712</v>
      </c>
      <c r="O13" s="151" t="s">
        <v>712</v>
      </c>
      <c r="P13" s="149" t="s">
        <v>712</v>
      </c>
      <c r="Q13" s="150" t="s">
        <v>712</v>
      </c>
      <c r="R13" s="151" t="s">
        <v>712</v>
      </c>
      <c r="S13" s="149" t="s">
        <v>712</v>
      </c>
      <c r="T13" s="150" t="s">
        <v>712</v>
      </c>
      <c r="U13" s="151" t="s">
        <v>712</v>
      </c>
      <c r="V13" s="149" t="s">
        <v>712</v>
      </c>
      <c r="W13" s="150" t="s">
        <v>712</v>
      </c>
      <c r="X13" s="151" t="s">
        <v>712</v>
      </c>
      <c r="Y13" s="149" t="s">
        <v>712</v>
      </c>
      <c r="Z13" s="150" t="s">
        <v>712</v>
      </c>
      <c r="AA13" s="151" t="s">
        <v>712</v>
      </c>
      <c r="AB13" s="149" t="s">
        <v>712</v>
      </c>
      <c r="AC13" s="150" t="s">
        <v>712</v>
      </c>
      <c r="AD13" s="151" t="s">
        <v>712</v>
      </c>
      <c r="AE13" s="149" t="s">
        <v>712</v>
      </c>
      <c r="AF13" s="150" t="s">
        <v>712</v>
      </c>
      <c r="AG13" s="151" t="s">
        <v>712</v>
      </c>
      <c r="AH13" s="149" t="s">
        <v>712</v>
      </c>
      <c r="AI13" s="150" t="s">
        <v>712</v>
      </c>
      <c r="AJ13" s="151" t="s">
        <v>712</v>
      </c>
      <c r="AK13" s="149" t="s">
        <v>712</v>
      </c>
      <c r="AL13" s="150" t="s">
        <v>712</v>
      </c>
      <c r="AM13" s="151" t="s">
        <v>712</v>
      </c>
      <c r="AN13" s="149" t="s">
        <v>712</v>
      </c>
      <c r="AO13" s="150" t="s">
        <v>712</v>
      </c>
      <c r="AP13" s="151" t="s">
        <v>712</v>
      </c>
      <c r="AQ13" s="149" t="s">
        <v>712</v>
      </c>
      <c r="AR13" s="150" t="s">
        <v>712</v>
      </c>
      <c r="AS13" s="151" t="s">
        <v>712</v>
      </c>
      <c r="AT13" s="149" t="s">
        <v>712</v>
      </c>
      <c r="AU13" s="150" t="s">
        <v>712</v>
      </c>
      <c r="AV13" s="151" t="s">
        <v>712</v>
      </c>
    </row>
    <row r="14" spans="1:51">
      <c r="A14" s="133">
        <v>6</v>
      </c>
      <c r="B14" s="152"/>
      <c r="C14" s="153"/>
      <c r="D14" s="153"/>
      <c r="E14" s="153"/>
      <c r="F14" s="153"/>
      <c r="G14" s="153"/>
      <c r="H14" s="153"/>
      <c r="I14" s="154"/>
      <c r="J14" s="152"/>
      <c r="K14" s="153"/>
      <c r="L14" s="154"/>
      <c r="M14" s="152"/>
      <c r="N14" s="153"/>
      <c r="O14" s="154"/>
      <c r="P14" s="152"/>
      <c r="Q14" s="153"/>
      <c r="R14" s="154"/>
      <c r="S14" s="152"/>
      <c r="T14" s="153"/>
      <c r="U14" s="154"/>
      <c r="V14" s="152"/>
      <c r="W14" s="153"/>
      <c r="X14" s="154"/>
      <c r="Y14" s="152"/>
      <c r="Z14" s="153"/>
      <c r="AA14" s="154"/>
      <c r="AB14" s="152"/>
      <c r="AC14" s="153"/>
      <c r="AD14" s="154"/>
      <c r="AE14" s="152"/>
      <c r="AF14" s="153"/>
      <c r="AG14" s="154"/>
      <c r="AH14" s="152"/>
      <c r="AI14" s="153"/>
      <c r="AJ14" s="154"/>
      <c r="AK14" s="152"/>
      <c r="AL14" s="153"/>
      <c r="AM14" s="154"/>
      <c r="AN14" s="152"/>
      <c r="AO14" s="153"/>
      <c r="AP14" s="154"/>
      <c r="AQ14" s="152"/>
      <c r="AR14" s="153"/>
      <c r="AS14" s="154"/>
      <c r="AT14" s="152"/>
      <c r="AU14" s="153"/>
      <c r="AV14" s="154"/>
      <c r="AW14" s="154"/>
      <c r="AX14" s="154"/>
      <c r="AY14" s="154"/>
    </row>
    <row r="15" spans="1:51" ht="31.2">
      <c r="A15" s="133">
        <v>7</v>
      </c>
      <c r="B15" s="156"/>
      <c r="C15" s="157" t="s">
        <v>950</v>
      </c>
      <c r="D15" s="157"/>
      <c r="E15" s="157" t="s">
        <v>951</v>
      </c>
      <c r="F15" s="157" t="s">
        <v>952</v>
      </c>
      <c r="G15" s="157" t="s">
        <v>953</v>
      </c>
      <c r="H15" s="157" t="s">
        <v>954</v>
      </c>
      <c r="I15" s="158" t="s">
        <v>955</v>
      </c>
      <c r="J15" s="156"/>
      <c r="K15" s="159"/>
      <c r="L15" s="160"/>
      <c r="M15" s="156"/>
      <c r="N15" s="159"/>
      <c r="O15" s="160"/>
      <c r="P15" s="156"/>
      <c r="Q15" s="159"/>
      <c r="R15" s="160"/>
      <c r="S15" s="156"/>
      <c r="T15" s="159"/>
      <c r="U15" s="160"/>
      <c r="V15" s="156"/>
      <c r="W15" s="159"/>
      <c r="X15" s="160"/>
      <c r="Y15" s="156"/>
      <c r="Z15" s="159"/>
      <c r="AA15" s="160"/>
      <c r="AB15" s="156"/>
      <c r="AC15" s="159"/>
      <c r="AD15" s="160"/>
      <c r="AE15" s="156"/>
      <c r="AF15" s="159"/>
      <c r="AG15" s="160"/>
      <c r="AH15" s="156"/>
      <c r="AI15" s="159"/>
      <c r="AJ15" s="160"/>
      <c r="AK15" s="156"/>
      <c r="AL15" s="159"/>
      <c r="AM15" s="160"/>
      <c r="AN15" s="156"/>
      <c r="AO15" s="159"/>
      <c r="AP15" s="160"/>
      <c r="AQ15" s="156"/>
      <c r="AR15" s="159"/>
      <c r="AS15" s="160"/>
      <c r="AT15" s="156"/>
      <c r="AU15" s="159"/>
      <c r="AV15" s="160"/>
    </row>
    <row r="16" spans="1:51" ht="16.2">
      <c r="A16" s="133">
        <v>8</v>
      </c>
      <c r="B16" s="1921" t="s">
        <v>957</v>
      </c>
      <c r="C16" s="1922"/>
      <c r="D16" s="1922"/>
      <c r="E16" s="1922"/>
      <c r="F16" s="1922"/>
      <c r="G16" s="1922"/>
      <c r="H16" s="1922"/>
      <c r="I16" s="1923"/>
      <c r="J16" s="161"/>
      <c r="K16" s="162"/>
      <c r="L16" s="163"/>
      <c r="M16" s="161"/>
      <c r="N16" s="162"/>
      <c r="O16" s="163"/>
      <c r="P16" s="161"/>
      <c r="Q16" s="162"/>
      <c r="R16" s="163"/>
      <c r="S16" s="161"/>
      <c r="T16" s="162"/>
      <c r="U16" s="163"/>
      <c r="V16" s="161"/>
      <c r="W16" s="162"/>
      <c r="X16" s="163"/>
      <c r="Y16" s="161"/>
      <c r="Z16" s="162"/>
      <c r="AA16" s="163"/>
      <c r="AB16" s="161"/>
      <c r="AC16" s="162"/>
      <c r="AD16" s="163"/>
      <c r="AE16" s="161"/>
      <c r="AF16" s="162"/>
      <c r="AG16" s="163"/>
      <c r="AH16" s="161"/>
      <c r="AI16" s="162"/>
      <c r="AJ16" s="163"/>
      <c r="AK16" s="161"/>
      <c r="AL16" s="162"/>
      <c r="AM16" s="163"/>
      <c r="AN16" s="161"/>
      <c r="AO16" s="162"/>
      <c r="AP16" s="163"/>
      <c r="AQ16" s="161"/>
      <c r="AR16" s="162"/>
      <c r="AS16" s="163"/>
      <c r="AT16" s="161"/>
      <c r="AU16" s="162"/>
      <c r="AV16" s="163"/>
    </row>
    <row r="17" spans="1:56">
      <c r="A17" s="133">
        <v>9</v>
      </c>
      <c r="B17" s="155" t="s">
        <v>958</v>
      </c>
      <c r="C17" s="150" t="s">
        <v>741</v>
      </c>
      <c r="D17" s="150"/>
      <c r="E17" s="150" t="s">
        <v>959</v>
      </c>
      <c r="F17" s="150" t="s">
        <v>619</v>
      </c>
      <c r="G17" s="150" t="s">
        <v>960</v>
      </c>
      <c r="H17" s="150" t="s">
        <v>369</v>
      </c>
      <c r="I17" s="151" t="s">
        <v>369</v>
      </c>
      <c r="J17" s="161">
        <v>0</v>
      </c>
      <c r="K17" s="162">
        <v>0</v>
      </c>
      <c r="L17" s="163"/>
      <c r="M17" s="161">
        <v>0</v>
      </c>
      <c r="N17" s="162">
        <v>0</v>
      </c>
      <c r="O17" s="163"/>
      <c r="P17" s="161">
        <v>0</v>
      </c>
      <c r="Q17" s="162">
        <v>0</v>
      </c>
      <c r="R17" s="163"/>
      <c r="S17" s="161">
        <v>0</v>
      </c>
      <c r="T17" s="162">
        <v>0</v>
      </c>
      <c r="U17" s="163"/>
      <c r="V17" s="161">
        <v>0</v>
      </c>
      <c r="W17" s="162">
        <v>0</v>
      </c>
      <c r="X17" s="163"/>
      <c r="Y17" s="161">
        <v>0</v>
      </c>
      <c r="Z17" s="162">
        <v>0</v>
      </c>
      <c r="AA17" s="163"/>
      <c r="AB17" s="161">
        <v>0</v>
      </c>
      <c r="AC17" s="162">
        <v>0</v>
      </c>
      <c r="AD17" s="163"/>
      <c r="AE17" s="161">
        <v>0</v>
      </c>
      <c r="AF17" s="162">
        <v>0</v>
      </c>
      <c r="AG17" s="163"/>
      <c r="AH17" s="161">
        <v>0</v>
      </c>
      <c r="AI17" s="162">
        <v>0</v>
      </c>
      <c r="AJ17" s="163"/>
      <c r="AK17" s="161">
        <v>0</v>
      </c>
      <c r="AL17" s="162">
        <v>0</v>
      </c>
      <c r="AM17" s="163"/>
      <c r="AN17" s="161">
        <v>0</v>
      </c>
      <c r="AO17" s="162">
        <v>0</v>
      </c>
      <c r="AP17" s="163"/>
      <c r="AQ17" s="161">
        <v>0</v>
      </c>
      <c r="AR17" s="162">
        <v>0</v>
      </c>
      <c r="AS17" s="163"/>
      <c r="AT17" s="161">
        <v>0</v>
      </c>
      <c r="AU17" s="162">
        <v>0</v>
      </c>
      <c r="AV17" s="163"/>
    </row>
    <row r="18" spans="1:56">
      <c r="A18" s="16">
        <v>10</v>
      </c>
      <c r="B18" s="155" t="s">
        <v>961</v>
      </c>
      <c r="C18" s="150" t="s">
        <v>741</v>
      </c>
      <c r="D18" s="150"/>
      <c r="E18" s="150" t="s">
        <v>369</v>
      </c>
      <c r="F18" s="150" t="s">
        <v>619</v>
      </c>
      <c r="G18" s="150" t="s">
        <v>962</v>
      </c>
      <c r="H18" s="150" t="s">
        <v>369</v>
      </c>
      <c r="I18" s="151" t="s">
        <v>369</v>
      </c>
      <c r="J18" s="161">
        <f>+K18+L18</f>
        <v>-3418947.2399999998</v>
      </c>
      <c r="K18" s="164">
        <v>-3255123.44</v>
      </c>
      <c r="L18" s="163">
        <v>-163823.79999999999</v>
      </c>
      <c r="M18" s="161">
        <f>+N18+O18</f>
        <v>-3302748.8</v>
      </c>
      <c r="N18" s="164">
        <v>-3146448.38</v>
      </c>
      <c r="O18" s="163">
        <v>-156300.42000000001</v>
      </c>
      <c r="P18" s="161">
        <f>+Q18+R18</f>
        <v>-3311183.56</v>
      </c>
      <c r="Q18" s="164">
        <v>-3146448.38</v>
      </c>
      <c r="R18" s="163">
        <v>-164735.18</v>
      </c>
      <c r="S18" s="161">
        <f>+T18+U18</f>
        <v>-3337179.04</v>
      </c>
      <c r="T18" s="164">
        <v>-3146448.38</v>
      </c>
      <c r="U18" s="163">
        <v>-190730.66</v>
      </c>
      <c r="V18" s="161">
        <f>+W18+X18</f>
        <v>-3333157.56</v>
      </c>
      <c r="W18" s="164">
        <v>-3142835.9</v>
      </c>
      <c r="X18" s="163">
        <v>-190321.66</v>
      </c>
      <c r="Y18" s="161">
        <f>+Z18+AA18</f>
        <v>-3338815.94</v>
      </c>
      <c r="Z18" s="164">
        <v>-3142439.63</v>
      </c>
      <c r="AA18" s="163">
        <v>-196376.31</v>
      </c>
      <c r="AB18" s="161">
        <f>+AC18+AD18</f>
        <v>-3338815.94</v>
      </c>
      <c r="AC18" s="164">
        <v>-3142439.63</v>
      </c>
      <c r="AD18" s="163">
        <v>-196376.31</v>
      </c>
      <c r="AE18" s="161">
        <f>+AF18+AG18</f>
        <v>-3336013.46</v>
      </c>
      <c r="AF18" s="164">
        <v>-3142439.63</v>
      </c>
      <c r="AG18" s="163">
        <v>-193573.83</v>
      </c>
      <c r="AH18" s="161">
        <f>+AI18+AJ18</f>
        <v>-3339862.54</v>
      </c>
      <c r="AI18" s="164">
        <v>-3142439.63</v>
      </c>
      <c r="AJ18" s="163">
        <v>-197422.91</v>
      </c>
      <c r="AK18" s="161">
        <f>+AL18+AM18</f>
        <v>-3340258.81</v>
      </c>
      <c r="AL18" s="164">
        <v>-3142835.9</v>
      </c>
      <c r="AM18" s="163">
        <v>-197422.91</v>
      </c>
      <c r="AN18" s="161">
        <f>+AO18+AP18</f>
        <v>-3343673.7199999997</v>
      </c>
      <c r="AO18" s="164">
        <v>-3142835.9</v>
      </c>
      <c r="AP18" s="163">
        <v>-200837.82</v>
      </c>
      <c r="AQ18" s="161">
        <f>+AR18+AS18</f>
        <v>-3349954.61</v>
      </c>
      <c r="AR18" s="164">
        <v>-3142835.9</v>
      </c>
      <c r="AS18" s="163">
        <v>-207118.71</v>
      </c>
      <c r="AT18" s="161">
        <f>+AU18+AV18</f>
        <v>-3349954.61</v>
      </c>
      <c r="AU18" s="164">
        <v>-3142835.9</v>
      </c>
      <c r="AV18" s="163">
        <v>-207118.71</v>
      </c>
      <c r="AW18" s="118">
        <f>+(AT18+J18+(M18+P18+S18+V18+Y18+AB18+AE18+AH18+AK18+AN18+AQ18)*2)/24</f>
        <v>-3338009.575416666</v>
      </c>
      <c r="AX18" s="118">
        <f t="shared" ref="AX18:AY22" si="0">+(AU18+K18+(N18+Q18+T18+W18+Z18+AC18+AF18+AI18+AL18+AO18+AR18)*2)/24</f>
        <v>-3148285.5775000001</v>
      </c>
      <c r="AY18" s="118">
        <f t="shared" si="0"/>
        <v>-189723.99791666667</v>
      </c>
    </row>
    <row r="19" spans="1:56">
      <c r="A19" s="16">
        <v>11</v>
      </c>
      <c r="B19" s="155" t="s">
        <v>963</v>
      </c>
      <c r="C19" s="150" t="s">
        <v>741</v>
      </c>
      <c r="D19" s="150"/>
      <c r="E19" s="150" t="s">
        <v>956</v>
      </c>
      <c r="F19" s="150" t="s">
        <v>619</v>
      </c>
      <c r="G19" s="150" t="s">
        <v>964</v>
      </c>
      <c r="H19" s="150" t="s">
        <v>369</v>
      </c>
      <c r="I19" s="151" t="s">
        <v>369</v>
      </c>
      <c r="J19" s="161">
        <f>+K19+L19</f>
        <v>117299.85</v>
      </c>
      <c r="K19" s="162">
        <v>108675.06</v>
      </c>
      <c r="L19" s="163">
        <v>8624.7900000000009</v>
      </c>
      <c r="M19" s="161">
        <f>+N19+O19</f>
        <v>0</v>
      </c>
      <c r="N19" s="162">
        <v>0</v>
      </c>
      <c r="O19" s="163">
        <v>0</v>
      </c>
      <c r="P19" s="161">
        <v>0</v>
      </c>
      <c r="Q19" s="162">
        <v>0</v>
      </c>
      <c r="R19" s="163">
        <v>0</v>
      </c>
      <c r="S19" s="161">
        <f>+T19+U19</f>
        <v>77103.62</v>
      </c>
      <c r="T19" s="162">
        <v>74253.98</v>
      </c>
      <c r="U19" s="163">
        <v>2849.64</v>
      </c>
      <c r="V19" s="161">
        <f>+W19+X19</f>
        <v>77103.62</v>
      </c>
      <c r="W19" s="162">
        <v>74253.98</v>
      </c>
      <c r="X19" s="163">
        <v>2849.64</v>
      </c>
      <c r="Y19" s="161">
        <f>+Z19+AA19</f>
        <v>77103.62</v>
      </c>
      <c r="Z19" s="162">
        <v>74253.98</v>
      </c>
      <c r="AA19" s="163">
        <v>2849.64</v>
      </c>
      <c r="AB19" s="161">
        <f>+AC19+AD19</f>
        <v>77103.62</v>
      </c>
      <c r="AC19" s="162">
        <v>74253.98</v>
      </c>
      <c r="AD19" s="163">
        <v>2849.64</v>
      </c>
      <c r="AE19" s="161">
        <f>+AF19+AG19</f>
        <v>77103.62</v>
      </c>
      <c r="AF19" s="162">
        <v>74253.98</v>
      </c>
      <c r="AG19" s="163">
        <v>2849.64</v>
      </c>
      <c r="AH19" s="161">
        <f>+AI19+AJ19</f>
        <v>77103.62</v>
      </c>
      <c r="AI19" s="162">
        <v>74253.98</v>
      </c>
      <c r="AJ19" s="163">
        <v>2849.64</v>
      </c>
      <c r="AK19" s="161">
        <f>+AL19+AM19</f>
        <v>140365.51999999999</v>
      </c>
      <c r="AL19" s="162">
        <v>128346.79</v>
      </c>
      <c r="AM19" s="163">
        <v>12018.73</v>
      </c>
      <c r="AN19" s="161">
        <f>+AO19+AP19</f>
        <v>140365.51999999999</v>
      </c>
      <c r="AO19" s="162">
        <v>128346.79</v>
      </c>
      <c r="AP19" s="163">
        <v>12018.73</v>
      </c>
      <c r="AQ19" s="161">
        <f>+AR19+AS19</f>
        <v>140365.51999999999</v>
      </c>
      <c r="AR19" s="162">
        <v>128346.79</v>
      </c>
      <c r="AS19" s="163">
        <v>12018.73</v>
      </c>
      <c r="AT19" s="161">
        <f>+AU19+AV19</f>
        <v>140365.51999999999</v>
      </c>
      <c r="AU19" s="162">
        <v>128346.79</v>
      </c>
      <c r="AV19" s="163">
        <v>12018.73</v>
      </c>
      <c r="AW19" s="118">
        <f>+(AT19+J19+(M19+P19+S19+V19+Y19+AB19+AE19+AH19+AK19+AN19+AQ19)*2)/24</f>
        <v>84379.247083333335</v>
      </c>
      <c r="AX19" s="118">
        <f t="shared" si="0"/>
        <v>79089.597916666666</v>
      </c>
      <c r="AY19" s="118">
        <f t="shared" si="0"/>
        <v>5289.649166666667</v>
      </c>
    </row>
    <row r="20" spans="1:56">
      <c r="A20" s="16">
        <v>12</v>
      </c>
      <c r="B20" s="155" t="s">
        <v>965</v>
      </c>
      <c r="C20" s="150" t="s">
        <v>741</v>
      </c>
      <c r="D20" s="150"/>
      <c r="E20" s="150" t="s">
        <v>956</v>
      </c>
      <c r="F20" s="150" t="s">
        <v>619</v>
      </c>
      <c r="G20" s="150" t="s">
        <v>966</v>
      </c>
      <c r="H20" s="150" t="s">
        <v>369</v>
      </c>
      <c r="I20" s="151" t="s">
        <v>369</v>
      </c>
      <c r="J20" s="165">
        <f>+K20+L20</f>
        <v>0</v>
      </c>
      <c r="K20" s="166">
        <v>0.01</v>
      </c>
      <c r="L20" s="167">
        <v>-0.01</v>
      </c>
      <c r="M20" s="165">
        <f>+N20+O20</f>
        <v>0</v>
      </c>
      <c r="N20" s="166">
        <v>0.01</v>
      </c>
      <c r="O20" s="167">
        <v>-0.01</v>
      </c>
      <c r="P20" s="165">
        <v>0</v>
      </c>
      <c r="Q20" s="166">
        <v>0.01</v>
      </c>
      <c r="R20" s="167">
        <v>-0.01</v>
      </c>
      <c r="S20" s="165">
        <v>0</v>
      </c>
      <c r="T20" s="166">
        <v>0.01</v>
      </c>
      <c r="U20" s="167">
        <v>-0.01</v>
      </c>
      <c r="V20" s="165">
        <v>0</v>
      </c>
      <c r="W20" s="166">
        <v>0.01</v>
      </c>
      <c r="X20" s="167">
        <v>-0.01</v>
      </c>
      <c r="Y20" s="165">
        <v>0</v>
      </c>
      <c r="Z20" s="166">
        <v>0.01</v>
      </c>
      <c r="AA20" s="167">
        <v>-0.01</v>
      </c>
      <c r="AB20" s="165">
        <v>0</v>
      </c>
      <c r="AC20" s="166">
        <v>0.01</v>
      </c>
      <c r="AD20" s="167">
        <v>-0.01</v>
      </c>
      <c r="AE20" s="165">
        <v>0</v>
      </c>
      <c r="AF20" s="166">
        <v>0.01</v>
      </c>
      <c r="AG20" s="167">
        <v>-0.01</v>
      </c>
      <c r="AH20" s="165">
        <f>+AI20+AJ20</f>
        <v>0</v>
      </c>
      <c r="AI20" s="166">
        <v>0.01</v>
      </c>
      <c r="AJ20" s="167">
        <v>-0.01</v>
      </c>
      <c r="AK20" s="165">
        <f>+AL20+AM20</f>
        <v>0</v>
      </c>
      <c r="AL20" s="166">
        <v>0.01</v>
      </c>
      <c r="AM20" s="167">
        <v>-0.01</v>
      </c>
      <c r="AN20" s="165">
        <f>+AO20+AP20</f>
        <v>0</v>
      </c>
      <c r="AO20" s="166">
        <v>0.01</v>
      </c>
      <c r="AP20" s="167">
        <v>-0.01</v>
      </c>
      <c r="AQ20" s="165">
        <f>+AR20+AS20</f>
        <v>0</v>
      </c>
      <c r="AR20" s="166">
        <v>0.01</v>
      </c>
      <c r="AS20" s="167">
        <v>-0.01</v>
      </c>
      <c r="AT20" s="165">
        <f>+AU20+AV20</f>
        <v>0</v>
      </c>
      <c r="AU20" s="166">
        <v>0.01</v>
      </c>
      <c r="AV20" s="167">
        <v>-0.01</v>
      </c>
      <c r="AW20" s="118">
        <f>+(AT20+J20+(M20+P20+S20+V20+Y20+AB20+AE20+AH20+AK20+AN20+AQ20)*2)/24</f>
        <v>0</v>
      </c>
      <c r="AX20" s="118">
        <f t="shared" si="0"/>
        <v>9.9999999999999985E-3</v>
      </c>
      <c r="AY20" s="118">
        <f t="shared" si="0"/>
        <v>-9.9999999999999985E-3</v>
      </c>
    </row>
    <row r="21" spans="1:56">
      <c r="A21" s="133">
        <v>13</v>
      </c>
      <c r="B21" s="155" t="s">
        <v>967</v>
      </c>
      <c r="C21" s="150" t="s">
        <v>741</v>
      </c>
      <c r="D21" s="150"/>
      <c r="E21" s="150" t="s">
        <v>956</v>
      </c>
      <c r="F21" s="150" t="s">
        <v>619</v>
      </c>
      <c r="G21" s="150" t="s">
        <v>968</v>
      </c>
      <c r="H21" s="150" t="s">
        <v>369</v>
      </c>
      <c r="I21" s="151" t="s">
        <v>369</v>
      </c>
      <c r="J21" s="165">
        <f>+K21+L21</f>
        <v>-1014253.48</v>
      </c>
      <c r="K21" s="166">
        <v>-758934.52</v>
      </c>
      <c r="L21" s="167">
        <v>-255318.96</v>
      </c>
      <c r="M21" s="165">
        <f>+N21+O21</f>
        <v>-1014253.48</v>
      </c>
      <c r="N21" s="166">
        <v>-762301.02</v>
      </c>
      <c r="O21" s="167">
        <v>-251952.46</v>
      </c>
      <c r="P21" s="165">
        <f>+Q21+R21</f>
        <v>-1014253.48</v>
      </c>
      <c r="Q21" s="166">
        <v>-762301.02</v>
      </c>
      <c r="R21" s="167">
        <v>-251952.46</v>
      </c>
      <c r="S21" s="165">
        <f>+T21+U21</f>
        <v>-998215.14</v>
      </c>
      <c r="T21" s="166">
        <v>-750245</v>
      </c>
      <c r="U21" s="167">
        <v>-247970.14</v>
      </c>
      <c r="V21" s="165">
        <f>+W21+X21</f>
        <v>-961008.70000000007</v>
      </c>
      <c r="W21" s="166">
        <v>-722276.92</v>
      </c>
      <c r="X21" s="167">
        <v>-238731.78</v>
      </c>
      <c r="Y21" s="165">
        <f>+Z21+AA21</f>
        <v>-961008.70000000007</v>
      </c>
      <c r="Z21" s="166">
        <v>-722276.92</v>
      </c>
      <c r="AA21" s="167">
        <v>-238731.78</v>
      </c>
      <c r="AB21" s="165">
        <f>+AC21+AD21</f>
        <v>-961008.70000000007</v>
      </c>
      <c r="AC21" s="166">
        <v>-722276.92</v>
      </c>
      <c r="AD21" s="167">
        <v>-238731.78</v>
      </c>
      <c r="AE21" s="165">
        <f>+AF21+AG21</f>
        <v>-961008.70000000007</v>
      </c>
      <c r="AF21" s="166">
        <v>-722276.92</v>
      </c>
      <c r="AG21" s="167">
        <v>-238731.78</v>
      </c>
      <c r="AH21" s="165">
        <f>+AI21+AJ21</f>
        <v>-961008.70000000007</v>
      </c>
      <c r="AI21" s="166">
        <v>-722276.92</v>
      </c>
      <c r="AJ21" s="167">
        <v>-238731.78</v>
      </c>
      <c r="AK21" s="165">
        <f>+AL21+AM21</f>
        <v>-940392.64999999991</v>
      </c>
      <c r="AL21" s="166">
        <v>-706779.84</v>
      </c>
      <c r="AM21" s="167">
        <v>-233612.81</v>
      </c>
      <c r="AN21" s="165">
        <f>+AO21+AP21</f>
        <v>-947948.91</v>
      </c>
      <c r="AO21" s="166">
        <v>-712459.88</v>
      </c>
      <c r="AP21" s="167">
        <v>-235489.03</v>
      </c>
      <c r="AQ21" s="165">
        <f>+AR21+AS21</f>
        <v>-956826.3</v>
      </c>
      <c r="AR21" s="166">
        <v>-719133.01</v>
      </c>
      <c r="AS21" s="167">
        <v>-237693.29</v>
      </c>
      <c r="AT21" s="165">
        <f>+AU21+AV21</f>
        <v>-985998.22</v>
      </c>
      <c r="AU21" s="166">
        <v>-741061.54</v>
      </c>
      <c r="AV21" s="167">
        <v>-244936.68</v>
      </c>
      <c r="AW21" s="118">
        <f>+(AT21+J21+(M21+P21+S21+V21+Y21+AB21+AE21+AH21+AK21+AN21+AQ21)*2)/24</f>
        <v>-973088.27583333338</v>
      </c>
      <c r="AX21" s="118">
        <f t="shared" si="0"/>
        <v>-731216.86666666658</v>
      </c>
      <c r="AY21" s="118">
        <f t="shared" si="0"/>
        <v>-241871.40916666665</v>
      </c>
    </row>
    <row r="22" spans="1:56" ht="16.2" thickBot="1">
      <c r="A22" s="133">
        <v>14</v>
      </c>
      <c r="B22" s="155" t="s">
        <v>969</v>
      </c>
      <c r="C22" s="150" t="s">
        <v>741</v>
      </c>
      <c r="D22" s="150"/>
      <c r="E22" s="150" t="s">
        <v>956</v>
      </c>
      <c r="F22" s="150" t="s">
        <v>619</v>
      </c>
      <c r="G22" s="150" t="s">
        <v>970</v>
      </c>
      <c r="H22" s="150" t="s">
        <v>369</v>
      </c>
      <c r="I22" s="151" t="s">
        <v>369</v>
      </c>
      <c r="J22" s="165">
        <f>+K22+L22</f>
        <v>0</v>
      </c>
      <c r="K22" s="166">
        <v>0</v>
      </c>
      <c r="L22" s="167">
        <v>0</v>
      </c>
      <c r="M22" s="165">
        <f>+N22+O22</f>
        <v>0</v>
      </c>
      <c r="N22" s="166">
        <v>0</v>
      </c>
      <c r="O22" s="167">
        <v>0</v>
      </c>
      <c r="P22" s="165">
        <v>0</v>
      </c>
      <c r="Q22" s="166">
        <v>0</v>
      </c>
      <c r="R22" s="167">
        <v>0</v>
      </c>
      <c r="S22" s="165">
        <v>0</v>
      </c>
      <c r="T22" s="166">
        <v>0</v>
      </c>
      <c r="U22" s="167">
        <v>0</v>
      </c>
      <c r="V22" s="165">
        <v>0</v>
      </c>
      <c r="W22" s="166">
        <v>0</v>
      </c>
      <c r="X22" s="167">
        <v>0</v>
      </c>
      <c r="Y22" s="165">
        <v>0</v>
      </c>
      <c r="Z22" s="166">
        <v>0</v>
      </c>
      <c r="AA22" s="167">
        <v>0</v>
      </c>
      <c r="AB22" s="165">
        <v>0</v>
      </c>
      <c r="AC22" s="166">
        <v>0</v>
      </c>
      <c r="AD22" s="167">
        <v>0</v>
      </c>
      <c r="AE22" s="165">
        <v>0</v>
      </c>
      <c r="AF22" s="166">
        <v>0</v>
      </c>
      <c r="AG22" s="167">
        <v>0</v>
      </c>
      <c r="AH22" s="165">
        <f>+AI22+AJ22</f>
        <v>0</v>
      </c>
      <c r="AI22" s="166">
        <v>0</v>
      </c>
      <c r="AJ22" s="167">
        <v>0</v>
      </c>
      <c r="AK22" s="165">
        <f>+AL22+AM22</f>
        <v>0</v>
      </c>
      <c r="AL22" s="166">
        <v>0</v>
      </c>
      <c r="AM22" s="167">
        <v>0</v>
      </c>
      <c r="AN22" s="165">
        <f>+AO22+AP22</f>
        <v>0</v>
      </c>
      <c r="AO22" s="166">
        <v>0</v>
      </c>
      <c r="AP22" s="167">
        <v>0</v>
      </c>
      <c r="AQ22" s="165">
        <f>+AR22+AS22</f>
        <v>0</v>
      </c>
      <c r="AR22" s="166">
        <v>0</v>
      </c>
      <c r="AS22" s="167">
        <v>0</v>
      </c>
      <c r="AT22" s="165">
        <f>+AU22+AV22</f>
        <v>0</v>
      </c>
      <c r="AU22" s="166">
        <v>0</v>
      </c>
      <c r="AV22" s="167">
        <v>0</v>
      </c>
      <c r="AW22" s="168">
        <f>+(AT22+J22+(M22+P22+S22+V22+Y22+AB22+AE22+AH22+AK22+AN22+AQ22)*2)/24</f>
        <v>0</v>
      </c>
      <c r="AX22" s="168">
        <f t="shared" si="0"/>
        <v>0</v>
      </c>
      <c r="AY22" s="168">
        <f t="shared" si="0"/>
        <v>0</v>
      </c>
    </row>
    <row r="23" spans="1:56" ht="16.2" thickBot="1">
      <c r="A23" s="133">
        <v>15</v>
      </c>
      <c r="B23" s="155"/>
      <c r="C23" s="150"/>
      <c r="D23" s="150"/>
      <c r="E23" s="150"/>
      <c r="F23" s="150"/>
      <c r="G23" s="150"/>
      <c r="H23" s="150"/>
      <c r="I23" s="151"/>
      <c r="J23" s="169">
        <f>SUM(J18:J22)</f>
        <v>-4315900.8699999992</v>
      </c>
      <c r="K23" s="170">
        <f>SUM(K17:K22)</f>
        <v>-3905382.89</v>
      </c>
      <c r="L23" s="171">
        <f>SUM(L18:L22)</f>
        <v>-410517.98</v>
      </c>
      <c r="M23" s="169">
        <f>SUM(M17:M22)</f>
        <v>-4317002.2799999993</v>
      </c>
      <c r="N23" s="170">
        <f>SUM(N17:N22)</f>
        <v>-3908749.39</v>
      </c>
      <c r="O23" s="171">
        <f>SUM(O18:O22)</f>
        <v>-408252.89</v>
      </c>
      <c r="P23" s="169">
        <f>SUM(P17:P22)</f>
        <v>-4325437.04</v>
      </c>
      <c r="Q23" s="170">
        <f>SUM(Q17:Q22)</f>
        <v>-3908749.39</v>
      </c>
      <c r="R23" s="171">
        <f>SUM(R18:R22)</f>
        <v>-416687.65</v>
      </c>
      <c r="S23" s="169">
        <f>SUM(S17:S22)</f>
        <v>-4258290.5599999996</v>
      </c>
      <c r="T23" s="170">
        <f>SUM(T17:T22)</f>
        <v>-3822439.39</v>
      </c>
      <c r="U23" s="171">
        <f>SUM(U18:U22)</f>
        <v>-435851.17000000004</v>
      </c>
      <c r="V23" s="169">
        <f>SUM(V17:V22)</f>
        <v>-4217062.6399999997</v>
      </c>
      <c r="W23" s="170">
        <f>SUM(W17:W22)</f>
        <v>-3790858.83</v>
      </c>
      <c r="X23" s="171">
        <f>SUM(X18:X22)</f>
        <v>-426203.81</v>
      </c>
      <c r="Y23" s="169">
        <f>SUM(Y17:Y22)</f>
        <v>-4222721.0199999996</v>
      </c>
      <c r="Z23" s="170">
        <f>SUM(Z17:Z22)</f>
        <v>-3790462.56</v>
      </c>
      <c r="AA23" s="171">
        <f>SUM(AA18:AA22)</f>
        <v>-432258.45999999996</v>
      </c>
      <c r="AB23" s="169">
        <f>SUM(AB17:AB22)</f>
        <v>-4222721.0199999996</v>
      </c>
      <c r="AC23" s="170">
        <f>SUM(AC17:AC22)</f>
        <v>-3790462.56</v>
      </c>
      <c r="AD23" s="171">
        <f>SUM(AD18:AD22)</f>
        <v>-432258.45999999996</v>
      </c>
      <c r="AE23" s="169">
        <f>SUM(AE17:AE22)</f>
        <v>-4219918.54</v>
      </c>
      <c r="AF23" s="170">
        <f>SUM(AF17:AF22)</f>
        <v>-3790462.56</v>
      </c>
      <c r="AG23" s="171">
        <f>SUM(AG18:AG22)</f>
        <v>-429455.98</v>
      </c>
      <c r="AH23" s="169">
        <f>SUM(AH17:AH22)</f>
        <v>-4223767.62</v>
      </c>
      <c r="AI23" s="170">
        <f>SUM(AI17:AI22)</f>
        <v>-3790462.56</v>
      </c>
      <c r="AJ23" s="171">
        <f>SUM(AJ18:AJ22)</f>
        <v>-433305.06</v>
      </c>
      <c r="AK23" s="169">
        <f>SUM(AK17:AK22)</f>
        <v>-4140285.94</v>
      </c>
      <c r="AL23" s="170">
        <f>SUM(AL17:AL22)</f>
        <v>-3721268.94</v>
      </c>
      <c r="AM23" s="171">
        <f>SUM(AM18:AM22)</f>
        <v>-419017</v>
      </c>
      <c r="AN23" s="169">
        <f>SUM(AN17:AN22)</f>
        <v>-4151257.11</v>
      </c>
      <c r="AO23" s="170">
        <f>SUM(AO17:AO22)</f>
        <v>-3726948.98</v>
      </c>
      <c r="AP23" s="171">
        <f>SUM(AP18:AP22)</f>
        <v>-424308.13</v>
      </c>
      <c r="AQ23" s="169">
        <f>SUM(AQ17:AQ22)</f>
        <v>-4166415.3899999997</v>
      </c>
      <c r="AR23" s="170">
        <f>SUM(AR17:AR22)</f>
        <v>-3733622.1100000003</v>
      </c>
      <c r="AS23" s="171">
        <f>SUM(AS18:AS22)</f>
        <v>-432793.28</v>
      </c>
      <c r="AT23" s="169">
        <f>SUM(AT17:AT22)</f>
        <v>-4195587.3099999996</v>
      </c>
      <c r="AU23" s="170">
        <f>SUM(AU17:AU22)</f>
        <v>-3755550.64</v>
      </c>
      <c r="AV23" s="171">
        <f>SUM(AV18:AV22)</f>
        <v>-440036.67</v>
      </c>
      <c r="AW23" s="172">
        <f>SUM(AW18:AW22)</f>
        <v>-4226718.604166666</v>
      </c>
      <c r="AX23" s="717">
        <f>SUM(AX18:AX22)</f>
        <v>-3800412.8362500002</v>
      </c>
      <c r="AY23" s="173">
        <f>SUM(AY18:AY22)</f>
        <v>-426305.76791666669</v>
      </c>
    </row>
    <row r="24" spans="1:56" ht="16.2" thickTop="1">
      <c r="A24" s="133">
        <v>16</v>
      </c>
      <c r="B24" s="155"/>
      <c r="C24" s="150"/>
      <c r="D24" s="150"/>
      <c r="E24" s="150"/>
      <c r="F24" s="150"/>
      <c r="G24" s="150"/>
      <c r="H24" s="150"/>
      <c r="I24" s="151"/>
      <c r="J24" s="161"/>
      <c r="K24" s="162"/>
      <c r="L24" s="163">
        <v>8.7311491370201111E-10</v>
      </c>
      <c r="M24" s="161"/>
      <c r="N24" s="162"/>
      <c r="O24" s="163">
        <v>5.8207660913467407E-10</v>
      </c>
      <c r="P24" s="161"/>
      <c r="Q24" s="162"/>
      <c r="R24" s="163">
        <v>6.9849193096160889E-10</v>
      </c>
      <c r="S24" s="161"/>
      <c r="T24" s="162"/>
      <c r="U24" s="163">
        <v>0</v>
      </c>
      <c r="V24" s="161"/>
      <c r="W24" s="162"/>
      <c r="X24" s="163">
        <v>0</v>
      </c>
      <c r="Y24" s="161"/>
      <c r="Z24" s="162"/>
      <c r="AA24" s="163">
        <v>0</v>
      </c>
      <c r="AB24" s="161"/>
      <c r="AC24" s="162"/>
      <c r="AD24" s="163">
        <v>0</v>
      </c>
      <c r="AE24" s="161"/>
      <c r="AF24" s="162"/>
      <c r="AG24" s="163">
        <v>0</v>
      </c>
      <c r="AH24" s="161"/>
      <c r="AI24" s="162"/>
      <c r="AJ24" s="163">
        <v>0</v>
      </c>
      <c r="AK24" s="161"/>
      <c r="AL24" s="162"/>
      <c r="AM24" s="163">
        <v>4.6566128730773926E-10</v>
      </c>
      <c r="AN24" s="161"/>
      <c r="AO24" s="162"/>
      <c r="AP24" s="163">
        <v>4.6566128730773926E-10</v>
      </c>
      <c r="AQ24" s="161"/>
      <c r="AR24" s="162"/>
      <c r="AS24" s="163">
        <v>6.4028427004814148E-10</v>
      </c>
      <c r="AT24" s="161"/>
      <c r="AU24" s="162"/>
      <c r="AV24" s="163">
        <v>0</v>
      </c>
      <c r="AW24" s="174"/>
      <c r="AX24" s="1935" t="s">
        <v>1986</v>
      </c>
      <c r="AY24" s="1935"/>
      <c r="AZ24" s="1935"/>
      <c r="BA24" s="1935"/>
      <c r="BB24" s="1935"/>
      <c r="BC24" s="1935"/>
      <c r="BD24" s="1935"/>
    </row>
    <row r="25" spans="1:56" ht="16.2">
      <c r="A25" s="133">
        <v>17</v>
      </c>
      <c r="B25" s="1921" t="s">
        <v>971</v>
      </c>
      <c r="C25" s="1922"/>
      <c r="D25" s="1922"/>
      <c r="E25" s="1922"/>
      <c r="F25" s="1922"/>
      <c r="G25" s="1922"/>
      <c r="H25" s="1922"/>
      <c r="I25" s="1923"/>
      <c r="J25" s="175"/>
      <c r="K25" s="176"/>
      <c r="L25" s="177"/>
      <c r="M25" s="175"/>
      <c r="N25" s="176"/>
      <c r="O25" s="177"/>
      <c r="P25" s="175"/>
      <c r="Q25" s="176"/>
      <c r="R25" s="177"/>
      <c r="S25" s="175"/>
      <c r="T25" s="176"/>
      <c r="U25" s="177"/>
      <c r="V25" s="175"/>
      <c r="W25" s="176"/>
      <c r="X25" s="177"/>
      <c r="Y25" s="175"/>
      <c r="Z25" s="176"/>
      <c r="AA25" s="177"/>
      <c r="AB25" s="175"/>
      <c r="AC25" s="176"/>
      <c r="AD25" s="177"/>
      <c r="AE25" s="175"/>
      <c r="AF25" s="176"/>
      <c r="AG25" s="177"/>
      <c r="AH25" s="175"/>
      <c r="AI25" s="176"/>
      <c r="AJ25" s="177"/>
      <c r="AK25" s="175"/>
      <c r="AL25" s="176"/>
      <c r="AM25" s="177"/>
      <c r="AN25" s="175"/>
      <c r="AO25" s="176"/>
      <c r="AP25" s="177"/>
      <c r="AQ25" s="175"/>
      <c r="AR25" s="176"/>
      <c r="AS25" s="177"/>
      <c r="AT25" s="175"/>
      <c r="AU25" s="176"/>
      <c r="AV25" s="177"/>
      <c r="AX25" s="1935"/>
      <c r="AY25" s="1935"/>
      <c r="AZ25" s="1935"/>
      <c r="BA25" s="1935"/>
      <c r="BB25" s="1935"/>
      <c r="BC25" s="1935"/>
      <c r="BD25" s="1935"/>
    </row>
    <row r="26" spans="1:56">
      <c r="A26" s="133">
        <v>18</v>
      </c>
      <c r="B26" s="178" t="s">
        <v>972</v>
      </c>
      <c r="C26" s="150" t="s">
        <v>741</v>
      </c>
      <c r="D26" s="150"/>
      <c r="E26" s="150" t="s">
        <v>956</v>
      </c>
      <c r="F26" s="179" t="s">
        <v>628</v>
      </c>
      <c r="G26" s="179" t="s">
        <v>973</v>
      </c>
      <c r="H26" s="179" t="s">
        <v>369</v>
      </c>
      <c r="I26" s="180" t="s">
        <v>369</v>
      </c>
      <c r="J26" s="181">
        <f>+K26+L26</f>
        <v>-99638867.390000001</v>
      </c>
      <c r="K26" s="673">
        <v>-76751819.560000002</v>
      </c>
      <c r="L26" s="182">
        <v>-22887047.829999998</v>
      </c>
      <c r="M26" s="181">
        <f>+N26+O26</f>
        <v>-99562756.319999993</v>
      </c>
      <c r="N26" s="673">
        <v>-75209706.129999995</v>
      </c>
      <c r="O26" s="182">
        <v>-24353050.190000001</v>
      </c>
      <c r="P26" s="181">
        <f>+Q26+R26</f>
        <v>-99486645.239999995</v>
      </c>
      <c r="Q26" s="673">
        <v>-75152211.819999993</v>
      </c>
      <c r="R26" s="182">
        <v>-24334433.420000002</v>
      </c>
      <c r="S26" s="181">
        <f>+T26+U26</f>
        <v>-99410534.159999996</v>
      </c>
      <c r="T26" s="673">
        <v>-75094717.510000005</v>
      </c>
      <c r="U26" s="182">
        <v>-24315816.649999999</v>
      </c>
      <c r="V26" s="181">
        <f>+W26+X26</f>
        <v>-99334423.089999989</v>
      </c>
      <c r="W26" s="673">
        <v>-75037223.209999993</v>
      </c>
      <c r="X26" s="182">
        <v>-24297199.879999999</v>
      </c>
      <c r="Y26" s="181">
        <v>-1.4901161193847699E-8</v>
      </c>
      <c r="Z26" s="673">
        <v>-9.9999904632568394E-3</v>
      </c>
      <c r="AA26" s="182">
        <v>1.00000016391277E-2</v>
      </c>
      <c r="AB26" s="181">
        <v>-1.4901161193847699E-8</v>
      </c>
      <c r="AC26" s="673">
        <v>-9.9999904632568394E-3</v>
      </c>
      <c r="AD26" s="182">
        <v>1.00000016391277E-2</v>
      </c>
      <c r="AE26" s="181">
        <v>-1.4901161193847699E-8</v>
      </c>
      <c r="AF26" s="673">
        <v>-9.9999904632568394E-3</v>
      </c>
      <c r="AG26" s="182">
        <v>1.00000016391277E-2</v>
      </c>
      <c r="AH26" s="181">
        <v>-1.4901161193847699E-8</v>
      </c>
      <c r="AI26" s="673">
        <v>-9.9999904632568394E-3</v>
      </c>
      <c r="AJ26" s="182">
        <v>1.00000016391277E-2</v>
      </c>
      <c r="AK26" s="181">
        <v>-1.4901161193847699E-8</v>
      </c>
      <c r="AL26" s="673">
        <v>-9.9999904632568394E-3</v>
      </c>
      <c r="AM26" s="182">
        <v>1.00000016391277E-2</v>
      </c>
      <c r="AN26" s="181">
        <v>-1.4901161193847699E-8</v>
      </c>
      <c r="AO26" s="673">
        <v>-9.9999904632568394E-3</v>
      </c>
      <c r="AP26" s="182">
        <v>1.00000016391277E-2</v>
      </c>
      <c r="AQ26" s="181">
        <v>-1.4901161193847699E-8</v>
      </c>
      <c r="AR26" s="673">
        <v>-9.9999904632568394E-3</v>
      </c>
      <c r="AS26" s="182">
        <v>1.00000016391277E-2</v>
      </c>
      <c r="AT26" s="181">
        <v>-1.4901161193847699E-8</v>
      </c>
      <c r="AU26" s="673">
        <v>-9.9999904632568394E-3</v>
      </c>
      <c r="AV26" s="182">
        <v>1.00000016391277E-2</v>
      </c>
      <c r="AW26" s="118">
        <f t="shared" ref="AW26:AW42" si="1">+(AT26+J26+(M26+P26+S26+V26+Y26+AB26+AE26+AH26+AK26+AN26+AQ26)*2)/24</f>
        <v>-37301149.375416666</v>
      </c>
      <c r="AX26" s="118">
        <f t="shared" ref="AX26:AX42" si="2">+(AU26+K26+(N26+Q26+T26+W26+Z26+AC26+AF26+AI26+AL26+AO26+AR26)*2)/24</f>
        <v>-28239147.37708332</v>
      </c>
      <c r="AY26" s="118">
        <f t="shared" ref="AY26:AY42" si="3">+(AV26+L26+(O26+R26+U26+X26+AA26+AD26+AG26+AJ26+AM26+AP26+AS26)*2)/24</f>
        <v>-9062001.9983333293</v>
      </c>
    </row>
    <row r="27" spans="1:56">
      <c r="A27" s="133">
        <v>19</v>
      </c>
      <c r="B27" s="178" t="s">
        <v>972</v>
      </c>
      <c r="C27" s="150" t="s">
        <v>741</v>
      </c>
      <c r="D27" s="150"/>
      <c r="E27" s="150" t="s">
        <v>984</v>
      </c>
      <c r="F27" s="179" t="s">
        <v>628</v>
      </c>
      <c r="G27" s="179" t="s">
        <v>973</v>
      </c>
      <c r="H27" s="179" t="s">
        <v>369</v>
      </c>
      <c r="I27" s="180" t="s">
        <v>369</v>
      </c>
      <c r="J27" s="181">
        <f t="shared" ref="J27:J34" si="4">+K27+L27</f>
        <v>0</v>
      </c>
      <c r="K27" s="673">
        <v>0</v>
      </c>
      <c r="L27" s="182">
        <v>0</v>
      </c>
      <c r="M27" s="181">
        <f t="shared" ref="M27:M34" si="5">+N27+O27</f>
        <v>0</v>
      </c>
      <c r="N27" s="673">
        <v>0</v>
      </c>
      <c r="O27" s="182">
        <v>0</v>
      </c>
      <c r="P27" s="181">
        <f t="shared" ref="P27:P34" si="6">+Q27+R27</f>
        <v>0</v>
      </c>
      <c r="Q27" s="673">
        <v>0</v>
      </c>
      <c r="R27" s="182">
        <v>0</v>
      </c>
      <c r="S27" s="181">
        <f t="shared" ref="S27:S34" si="7">+T27+U27</f>
        <v>0</v>
      </c>
      <c r="T27" s="673">
        <v>0</v>
      </c>
      <c r="U27" s="182">
        <v>0</v>
      </c>
      <c r="V27" s="181">
        <f t="shared" ref="V27:V34" si="8">+W27+X27</f>
        <v>0</v>
      </c>
      <c r="W27" s="673">
        <v>0</v>
      </c>
      <c r="X27" s="182">
        <v>0</v>
      </c>
      <c r="Y27" s="181">
        <f>+Z27+AA27</f>
        <v>-22343046.039999999</v>
      </c>
      <c r="Z27" s="673">
        <v>0</v>
      </c>
      <c r="AA27" s="182">
        <v>-22343046.039999999</v>
      </c>
      <c r="AB27" s="181">
        <f>+AC27+AD27</f>
        <v>-22325913.43</v>
      </c>
      <c r="AC27" s="673">
        <v>0</v>
      </c>
      <c r="AD27" s="182">
        <v>-22325913.43</v>
      </c>
      <c r="AE27" s="181">
        <f>+AF27+AG27</f>
        <v>-22308780.829999998</v>
      </c>
      <c r="AF27" s="673">
        <v>0</v>
      </c>
      <c r="AG27" s="182">
        <v>-22308780.829999998</v>
      </c>
      <c r="AH27" s="181">
        <f>+AI27+AJ27</f>
        <v>-22291648.23</v>
      </c>
      <c r="AI27" s="673">
        <v>0</v>
      </c>
      <c r="AJ27" s="182">
        <v>-22291648.23</v>
      </c>
      <c r="AK27" s="181">
        <f>+AL27+AM27</f>
        <v>-22274515.629999999</v>
      </c>
      <c r="AL27" s="673">
        <v>0</v>
      </c>
      <c r="AM27" s="182">
        <v>-22274515.629999999</v>
      </c>
      <c r="AN27" s="181">
        <f>+AO27+AP27</f>
        <v>-22257383.030000001</v>
      </c>
      <c r="AO27" s="673">
        <v>0</v>
      </c>
      <c r="AP27" s="182">
        <v>-22257383.030000001</v>
      </c>
      <c r="AQ27" s="181">
        <f>+AR27+AS27</f>
        <v>-22454623.309999999</v>
      </c>
      <c r="AR27" s="673">
        <v>0</v>
      </c>
      <c r="AS27" s="182">
        <v>-22454623.309999999</v>
      </c>
      <c r="AT27" s="181">
        <f>+AU27+AV27</f>
        <v>-22776131.02</v>
      </c>
      <c r="AU27" s="673">
        <v>0</v>
      </c>
      <c r="AV27" s="182">
        <v>-22776131.02</v>
      </c>
      <c r="AW27" s="118">
        <f t="shared" si="1"/>
        <v>-13970331.334166666</v>
      </c>
      <c r="AX27" s="118">
        <f t="shared" si="2"/>
        <v>0</v>
      </c>
      <c r="AY27" s="118">
        <f t="shared" si="3"/>
        <v>-13970331.334166666</v>
      </c>
    </row>
    <row r="28" spans="1:56">
      <c r="A28" s="133">
        <v>20</v>
      </c>
      <c r="B28" s="178" t="s">
        <v>972</v>
      </c>
      <c r="C28" s="150" t="s">
        <v>741</v>
      </c>
      <c r="D28" s="150"/>
      <c r="E28" s="150" t="s">
        <v>959</v>
      </c>
      <c r="F28" s="179" t="s">
        <v>628</v>
      </c>
      <c r="G28" s="179" t="s">
        <v>973</v>
      </c>
      <c r="H28" s="179" t="s">
        <v>369</v>
      </c>
      <c r="I28" s="180" t="s">
        <v>369</v>
      </c>
      <c r="J28" s="181">
        <f t="shared" si="4"/>
        <v>0</v>
      </c>
      <c r="K28" s="673">
        <v>0</v>
      </c>
      <c r="L28" s="182">
        <v>0</v>
      </c>
      <c r="M28" s="181">
        <f t="shared" si="5"/>
        <v>0</v>
      </c>
      <c r="N28" s="673">
        <v>0</v>
      </c>
      <c r="O28" s="182">
        <v>0</v>
      </c>
      <c r="P28" s="181">
        <f t="shared" si="6"/>
        <v>0</v>
      </c>
      <c r="Q28" s="673">
        <v>0</v>
      </c>
      <c r="R28" s="182">
        <v>0</v>
      </c>
      <c r="S28" s="181">
        <f t="shared" si="7"/>
        <v>0</v>
      </c>
      <c r="T28" s="673">
        <v>0</v>
      </c>
      <c r="U28" s="182">
        <v>0</v>
      </c>
      <c r="V28" s="181">
        <f t="shared" si="8"/>
        <v>0</v>
      </c>
      <c r="W28" s="673">
        <v>0</v>
      </c>
      <c r="X28" s="182">
        <v>0</v>
      </c>
      <c r="Y28" s="181">
        <f t="shared" ref="Y28:Y34" si="9">+Z28+AA28</f>
        <v>-76915265.980000004</v>
      </c>
      <c r="Z28" s="673">
        <v>-76915265.980000004</v>
      </c>
      <c r="AA28" s="182">
        <v>0</v>
      </c>
      <c r="AB28" s="181">
        <f t="shared" ref="AB28:AB34" si="10">+AC28+AD28</f>
        <v>-76856287.510000005</v>
      </c>
      <c r="AC28" s="673">
        <v>-76856287.510000005</v>
      </c>
      <c r="AD28" s="182">
        <v>0</v>
      </c>
      <c r="AE28" s="181">
        <f t="shared" ref="AE28:AE34" si="11">+AF28+AG28</f>
        <v>-76797309.040000007</v>
      </c>
      <c r="AF28" s="673">
        <v>-76797309.040000007</v>
      </c>
      <c r="AG28" s="182">
        <v>0</v>
      </c>
      <c r="AH28" s="181">
        <f t="shared" ref="AH28:AH34" si="12">+AI28+AJ28</f>
        <v>-76738330.569999993</v>
      </c>
      <c r="AI28" s="673">
        <v>-76738330.569999993</v>
      </c>
      <c r="AJ28" s="182">
        <v>0</v>
      </c>
      <c r="AK28" s="181">
        <f t="shared" ref="AK28:AK34" si="13">+AL28+AM28</f>
        <v>-76679352.090000004</v>
      </c>
      <c r="AL28" s="673">
        <v>-76679352.090000004</v>
      </c>
      <c r="AM28" s="182">
        <v>0</v>
      </c>
      <c r="AN28" s="181">
        <f t="shared" ref="AN28:AN34" si="14">+AO28+AP28</f>
        <v>-76620373.620000005</v>
      </c>
      <c r="AO28" s="673">
        <v>-76620373.620000005</v>
      </c>
      <c r="AP28" s="182">
        <v>0</v>
      </c>
      <c r="AQ28" s="181">
        <f t="shared" ref="AQ28:AQ34" si="15">+AR28+AS28</f>
        <v>-77299367.390000001</v>
      </c>
      <c r="AR28" s="673">
        <v>-77299367.390000001</v>
      </c>
      <c r="AS28" s="182">
        <v>0</v>
      </c>
      <c r="AT28" s="181">
        <f t="shared" ref="AT28:AT34" si="16">+AU28+AV28</f>
        <v>-78406148.049999997</v>
      </c>
      <c r="AU28" s="673">
        <v>-78406148.049999997</v>
      </c>
      <c r="AV28" s="182">
        <v>0</v>
      </c>
      <c r="AW28" s="118">
        <f t="shared" si="1"/>
        <v>-48092446.685416669</v>
      </c>
      <c r="AX28" s="118">
        <f t="shared" si="2"/>
        <v>-48092446.685416669</v>
      </c>
      <c r="AY28" s="118">
        <f t="shared" si="3"/>
        <v>0</v>
      </c>
    </row>
    <row r="29" spans="1:56">
      <c r="A29" s="133">
        <v>21</v>
      </c>
      <c r="B29" s="178" t="s">
        <v>974</v>
      </c>
      <c r="C29" s="150" t="s">
        <v>741</v>
      </c>
      <c r="D29" s="150"/>
      <c r="E29" s="150" t="s">
        <v>956</v>
      </c>
      <c r="F29" s="179" t="s">
        <v>629</v>
      </c>
      <c r="G29" s="179" t="s">
        <v>975</v>
      </c>
      <c r="H29" s="179" t="s">
        <v>369</v>
      </c>
      <c r="I29" s="180" t="s">
        <v>369</v>
      </c>
      <c r="J29" s="181">
        <f t="shared" si="4"/>
        <v>-153482.01</v>
      </c>
      <c r="K29" s="673">
        <v>-118227.19</v>
      </c>
      <c r="L29" s="182">
        <v>-35254.82</v>
      </c>
      <c r="M29" s="181">
        <f t="shared" si="5"/>
        <v>-152777.97</v>
      </c>
      <c r="N29" s="673">
        <v>-115408.48</v>
      </c>
      <c r="O29" s="182">
        <v>-37369.49</v>
      </c>
      <c r="P29" s="181">
        <f t="shared" si="6"/>
        <v>-152073.93</v>
      </c>
      <c r="Q29" s="673">
        <v>-114876.65</v>
      </c>
      <c r="R29" s="182">
        <v>-37197.279999999999</v>
      </c>
      <c r="S29" s="181">
        <f t="shared" si="7"/>
        <v>-151369.9</v>
      </c>
      <c r="T29" s="673">
        <v>-114344.83</v>
      </c>
      <c r="U29" s="182">
        <v>-37025.07</v>
      </c>
      <c r="V29" s="181">
        <f t="shared" si="8"/>
        <v>-150665.85999999999</v>
      </c>
      <c r="W29" s="673">
        <v>-113813</v>
      </c>
      <c r="X29" s="182">
        <v>-36852.86</v>
      </c>
      <c r="Y29" s="181">
        <f t="shared" si="9"/>
        <v>2.1827898863402417E-11</v>
      </c>
      <c r="Z29" s="673">
        <v>-9.9999999802094005E-3</v>
      </c>
      <c r="AA29" s="182">
        <v>1.0000000002037299E-2</v>
      </c>
      <c r="AB29" s="181">
        <f t="shared" si="10"/>
        <v>2.1827898863402417E-11</v>
      </c>
      <c r="AC29" s="673">
        <v>-9.9999999802094005E-3</v>
      </c>
      <c r="AD29" s="182">
        <v>1.0000000002037299E-2</v>
      </c>
      <c r="AE29" s="181">
        <f t="shared" si="11"/>
        <v>2.1827898863402417E-11</v>
      </c>
      <c r="AF29" s="673">
        <v>-9.9999999802094005E-3</v>
      </c>
      <c r="AG29" s="182">
        <v>1.0000000002037299E-2</v>
      </c>
      <c r="AH29" s="181">
        <f t="shared" si="12"/>
        <v>2.1827898863402417E-11</v>
      </c>
      <c r="AI29" s="673">
        <v>-9.9999999802094005E-3</v>
      </c>
      <c r="AJ29" s="182">
        <v>1.0000000002037299E-2</v>
      </c>
      <c r="AK29" s="181">
        <f t="shared" si="13"/>
        <v>2.1827898863402417E-11</v>
      </c>
      <c r="AL29" s="673">
        <v>-9.9999999802094005E-3</v>
      </c>
      <c r="AM29" s="182">
        <v>1.0000000002037299E-2</v>
      </c>
      <c r="AN29" s="181">
        <f t="shared" si="14"/>
        <v>2.1827898863402417E-11</v>
      </c>
      <c r="AO29" s="673">
        <v>-9.9999999802094005E-3</v>
      </c>
      <c r="AP29" s="182">
        <v>1.0000000002037299E-2</v>
      </c>
      <c r="AQ29" s="181">
        <f t="shared" si="15"/>
        <v>2.1827898863402417E-11</v>
      </c>
      <c r="AR29" s="673">
        <v>-9.9999999802094005E-3</v>
      </c>
      <c r="AS29" s="182">
        <v>1.0000000002037299E-2</v>
      </c>
      <c r="AT29" s="181">
        <f t="shared" si="16"/>
        <v>2.1827898863402417E-11</v>
      </c>
      <c r="AU29" s="673">
        <v>-9.9999999802094005E-3</v>
      </c>
      <c r="AV29" s="182">
        <v>1.0000000002037299E-2</v>
      </c>
      <c r="AW29" s="373">
        <f t="shared" si="1"/>
        <v>-56969.05541666667</v>
      </c>
      <c r="AX29" s="374">
        <f t="shared" si="2"/>
        <v>-43129.719166666669</v>
      </c>
      <c r="AY29" s="374">
        <f t="shared" si="3"/>
        <v>-13839.336249999995</v>
      </c>
    </row>
    <row r="30" spans="1:56">
      <c r="A30" s="133">
        <v>22</v>
      </c>
      <c r="B30" s="178" t="s">
        <v>974</v>
      </c>
      <c r="C30" s="150" t="s">
        <v>741</v>
      </c>
      <c r="D30" s="150"/>
      <c r="E30" s="150" t="s">
        <v>984</v>
      </c>
      <c r="F30" s="179" t="s">
        <v>629</v>
      </c>
      <c r="G30" s="179" t="s">
        <v>975</v>
      </c>
      <c r="H30" s="179" t="s">
        <v>369</v>
      </c>
      <c r="I30" s="180" t="s">
        <v>369</v>
      </c>
      <c r="J30" s="181">
        <f t="shared" si="4"/>
        <v>0</v>
      </c>
      <c r="K30" s="673">
        <v>0</v>
      </c>
      <c r="L30" s="182">
        <v>0</v>
      </c>
      <c r="M30" s="181">
        <f t="shared" si="5"/>
        <v>0</v>
      </c>
      <c r="N30" s="673">
        <v>0</v>
      </c>
      <c r="O30" s="182">
        <v>0</v>
      </c>
      <c r="P30" s="181">
        <f t="shared" si="6"/>
        <v>0</v>
      </c>
      <c r="Q30" s="673">
        <v>0</v>
      </c>
      <c r="R30" s="182">
        <v>0</v>
      </c>
      <c r="S30" s="181">
        <f t="shared" si="7"/>
        <v>0</v>
      </c>
      <c r="T30" s="673">
        <v>0</v>
      </c>
      <c r="U30" s="182">
        <v>0</v>
      </c>
      <c r="V30" s="181">
        <f t="shared" si="8"/>
        <v>0</v>
      </c>
      <c r="W30" s="673">
        <v>0</v>
      </c>
      <c r="X30" s="182">
        <v>0</v>
      </c>
      <c r="Y30" s="181">
        <f t="shared" si="9"/>
        <v>-36680.65</v>
      </c>
      <c r="Z30" s="673">
        <v>0</v>
      </c>
      <c r="AA30" s="182">
        <v>-36680.65</v>
      </c>
      <c r="AB30" s="181">
        <f t="shared" si="10"/>
        <v>-36508.44</v>
      </c>
      <c r="AC30" s="673">
        <v>0</v>
      </c>
      <c r="AD30" s="182">
        <v>-36508.44</v>
      </c>
      <c r="AE30" s="181">
        <f t="shared" si="11"/>
        <v>-36336.230000000003</v>
      </c>
      <c r="AF30" s="673">
        <v>0</v>
      </c>
      <c r="AG30" s="182">
        <v>-36336.230000000003</v>
      </c>
      <c r="AH30" s="181">
        <f t="shared" si="12"/>
        <v>-36164.019999999997</v>
      </c>
      <c r="AI30" s="673">
        <v>0</v>
      </c>
      <c r="AJ30" s="182">
        <v>-36164.019999999997</v>
      </c>
      <c r="AK30" s="181">
        <f t="shared" si="13"/>
        <v>-35991.82</v>
      </c>
      <c r="AL30" s="673">
        <v>0</v>
      </c>
      <c r="AM30" s="182">
        <v>-35991.82</v>
      </c>
      <c r="AN30" s="181">
        <f t="shared" si="14"/>
        <v>-35819.61</v>
      </c>
      <c r="AO30" s="673">
        <v>0</v>
      </c>
      <c r="AP30" s="182">
        <v>-35819.61</v>
      </c>
      <c r="AQ30" s="181">
        <f t="shared" si="15"/>
        <v>-35647.4</v>
      </c>
      <c r="AR30" s="673">
        <v>0</v>
      </c>
      <c r="AS30" s="182">
        <v>-35647.4</v>
      </c>
      <c r="AT30" s="181">
        <f t="shared" si="16"/>
        <v>-35475.199999999997</v>
      </c>
      <c r="AU30" s="673">
        <v>0</v>
      </c>
      <c r="AV30" s="182">
        <v>-35475.199999999997</v>
      </c>
      <c r="AW30" s="373">
        <f t="shared" si="1"/>
        <v>-22573.814166666667</v>
      </c>
      <c r="AX30" s="374">
        <f t="shared" si="2"/>
        <v>0</v>
      </c>
      <c r="AY30" s="374">
        <f t="shared" si="3"/>
        <v>-22573.814166666667</v>
      </c>
    </row>
    <row r="31" spans="1:56">
      <c r="A31" s="133">
        <v>23</v>
      </c>
      <c r="B31" s="178" t="s">
        <v>974</v>
      </c>
      <c r="C31" s="150" t="s">
        <v>741</v>
      </c>
      <c r="D31" s="150"/>
      <c r="E31" s="150" t="s">
        <v>959</v>
      </c>
      <c r="F31" s="179" t="s">
        <v>629</v>
      </c>
      <c r="G31" s="179" t="s">
        <v>975</v>
      </c>
      <c r="H31" s="179" t="s">
        <v>369</v>
      </c>
      <c r="I31" s="180" t="s">
        <v>369</v>
      </c>
      <c r="J31" s="181">
        <f t="shared" si="4"/>
        <v>0</v>
      </c>
      <c r="K31" s="673">
        <v>0</v>
      </c>
      <c r="L31" s="182">
        <v>0</v>
      </c>
      <c r="M31" s="181">
        <f t="shared" si="5"/>
        <v>0</v>
      </c>
      <c r="N31" s="673">
        <v>0</v>
      </c>
      <c r="O31" s="182">
        <v>0</v>
      </c>
      <c r="P31" s="181">
        <f t="shared" si="6"/>
        <v>0</v>
      </c>
      <c r="Q31" s="673">
        <v>0</v>
      </c>
      <c r="R31" s="182">
        <v>0</v>
      </c>
      <c r="S31" s="181">
        <f t="shared" si="7"/>
        <v>0</v>
      </c>
      <c r="T31" s="673">
        <v>0</v>
      </c>
      <c r="U31" s="182">
        <v>0</v>
      </c>
      <c r="V31" s="181">
        <f t="shared" si="8"/>
        <v>0</v>
      </c>
      <c r="W31" s="673">
        <v>0</v>
      </c>
      <c r="X31" s="182">
        <v>0</v>
      </c>
      <c r="Y31" s="181">
        <f t="shared" si="9"/>
        <v>-113281.17</v>
      </c>
      <c r="Z31" s="673">
        <v>-113281.17</v>
      </c>
      <c r="AA31" s="182">
        <v>0</v>
      </c>
      <c r="AB31" s="181">
        <f t="shared" si="10"/>
        <v>-112749.34</v>
      </c>
      <c r="AC31" s="673">
        <v>-112749.34</v>
      </c>
      <c r="AD31" s="182">
        <v>0</v>
      </c>
      <c r="AE31" s="181">
        <f t="shared" si="11"/>
        <v>-112217.51</v>
      </c>
      <c r="AF31" s="673">
        <v>-112217.51</v>
      </c>
      <c r="AG31" s="182">
        <v>0</v>
      </c>
      <c r="AH31" s="181">
        <f t="shared" si="12"/>
        <v>-111685.68</v>
      </c>
      <c r="AI31" s="673">
        <v>-111685.68</v>
      </c>
      <c r="AJ31" s="182">
        <v>0</v>
      </c>
      <c r="AK31" s="181">
        <f t="shared" si="13"/>
        <v>-111153.85</v>
      </c>
      <c r="AL31" s="673">
        <v>-111153.85</v>
      </c>
      <c r="AM31" s="182">
        <v>0</v>
      </c>
      <c r="AN31" s="181">
        <f t="shared" si="14"/>
        <v>-110622.02</v>
      </c>
      <c r="AO31" s="673">
        <v>-110622.02</v>
      </c>
      <c r="AP31" s="182">
        <v>0</v>
      </c>
      <c r="AQ31" s="181">
        <f t="shared" si="15"/>
        <v>-110090.19</v>
      </c>
      <c r="AR31" s="673">
        <v>-110090.19</v>
      </c>
      <c r="AS31" s="182">
        <v>0</v>
      </c>
      <c r="AT31" s="181">
        <f t="shared" si="16"/>
        <v>-109558.36</v>
      </c>
      <c r="AU31" s="673">
        <v>-109558.36</v>
      </c>
      <c r="AV31" s="182">
        <v>0</v>
      </c>
      <c r="AW31" s="373">
        <f t="shared" si="1"/>
        <v>-69714.911666666667</v>
      </c>
      <c r="AX31" s="374">
        <f t="shared" si="2"/>
        <v>-69714.911666666667</v>
      </c>
      <c r="AY31" s="374">
        <f t="shared" si="3"/>
        <v>0</v>
      </c>
    </row>
    <row r="32" spans="1:56">
      <c r="A32" s="133">
        <v>24</v>
      </c>
      <c r="B32" s="178" t="s">
        <v>1306</v>
      </c>
      <c r="C32" s="150" t="s">
        <v>741</v>
      </c>
      <c r="D32" s="150"/>
      <c r="E32" s="150" t="s">
        <v>956</v>
      </c>
      <c r="F32" s="179" t="s">
        <v>456</v>
      </c>
      <c r="G32" s="179" t="s">
        <v>1311</v>
      </c>
      <c r="H32" s="179" t="s">
        <v>369</v>
      </c>
      <c r="I32" s="180" t="s">
        <v>369</v>
      </c>
      <c r="J32" s="181">
        <f t="shared" si="4"/>
        <v>680831.94</v>
      </c>
      <c r="K32" s="673">
        <v>524444.86</v>
      </c>
      <c r="L32" s="182">
        <v>156387.07999999999</v>
      </c>
      <c r="M32" s="181">
        <f t="shared" si="5"/>
        <v>681059.07000000007</v>
      </c>
      <c r="N32" s="673">
        <v>514472.02</v>
      </c>
      <c r="O32" s="182">
        <v>166587.04999999999</v>
      </c>
      <c r="P32" s="181">
        <f t="shared" si="6"/>
        <v>682798.39999999991</v>
      </c>
      <c r="Q32" s="673">
        <v>515785.91</v>
      </c>
      <c r="R32" s="182">
        <v>167012.49</v>
      </c>
      <c r="S32" s="181">
        <f t="shared" si="7"/>
        <v>672259.39</v>
      </c>
      <c r="T32" s="673">
        <v>507824.74</v>
      </c>
      <c r="U32" s="182">
        <v>164434.65</v>
      </c>
      <c r="V32" s="181">
        <f t="shared" si="8"/>
        <v>671430.12</v>
      </c>
      <c r="W32" s="673">
        <v>507198.31</v>
      </c>
      <c r="X32" s="182">
        <v>164231.81</v>
      </c>
      <c r="Y32" s="181">
        <f t="shared" si="9"/>
        <v>0</v>
      </c>
      <c r="Z32" s="673">
        <v>0</v>
      </c>
      <c r="AA32" s="182">
        <v>0</v>
      </c>
      <c r="AB32" s="181">
        <f t="shared" si="10"/>
        <v>0</v>
      </c>
      <c r="AC32" s="673">
        <v>0</v>
      </c>
      <c r="AD32" s="182">
        <v>0</v>
      </c>
      <c r="AE32" s="181">
        <f t="shared" si="11"/>
        <v>0</v>
      </c>
      <c r="AF32" s="673">
        <v>0</v>
      </c>
      <c r="AG32" s="182">
        <v>0</v>
      </c>
      <c r="AH32" s="181">
        <f t="shared" si="12"/>
        <v>0</v>
      </c>
      <c r="AI32" s="673">
        <v>0</v>
      </c>
      <c r="AJ32" s="182">
        <v>0</v>
      </c>
      <c r="AK32" s="181">
        <f t="shared" si="13"/>
        <v>0</v>
      </c>
      <c r="AL32" s="673">
        <v>0</v>
      </c>
      <c r="AM32" s="182">
        <v>0</v>
      </c>
      <c r="AN32" s="181">
        <f t="shared" si="14"/>
        <v>0</v>
      </c>
      <c r="AO32" s="673">
        <v>0</v>
      </c>
      <c r="AP32" s="182">
        <v>0</v>
      </c>
      <c r="AQ32" s="181">
        <f t="shared" si="15"/>
        <v>0</v>
      </c>
      <c r="AR32" s="673">
        <v>0</v>
      </c>
      <c r="AS32" s="182">
        <v>0</v>
      </c>
      <c r="AT32" s="181">
        <f t="shared" si="16"/>
        <v>0</v>
      </c>
      <c r="AU32" s="673">
        <v>0</v>
      </c>
      <c r="AV32" s="182">
        <v>0</v>
      </c>
      <c r="AW32" s="373">
        <f t="shared" si="1"/>
        <v>253996.91250000001</v>
      </c>
      <c r="AX32" s="374">
        <f t="shared" si="2"/>
        <v>192291.95083333334</v>
      </c>
      <c r="AY32" s="374">
        <f t="shared" si="3"/>
        <v>61704.96166666667</v>
      </c>
    </row>
    <row r="33" spans="1:51">
      <c r="A33" s="133">
        <v>25</v>
      </c>
      <c r="B33" s="178" t="s">
        <v>1306</v>
      </c>
      <c r="C33" s="150" t="s">
        <v>741</v>
      </c>
      <c r="D33" s="150"/>
      <c r="E33" s="150" t="s">
        <v>984</v>
      </c>
      <c r="F33" s="179" t="s">
        <v>456</v>
      </c>
      <c r="G33" s="179" t="s">
        <v>1311</v>
      </c>
      <c r="H33" s="179" t="s">
        <v>369</v>
      </c>
      <c r="I33" s="180" t="s">
        <v>369</v>
      </c>
      <c r="J33" s="181">
        <f t="shared" si="4"/>
        <v>0</v>
      </c>
      <c r="K33" s="673">
        <v>0</v>
      </c>
      <c r="L33" s="182">
        <v>0</v>
      </c>
      <c r="M33" s="181">
        <f t="shared" si="5"/>
        <v>0</v>
      </c>
      <c r="N33" s="673">
        <v>0</v>
      </c>
      <c r="O33" s="182">
        <v>0</v>
      </c>
      <c r="P33" s="181">
        <f t="shared" si="6"/>
        <v>0</v>
      </c>
      <c r="Q33" s="673">
        <v>0</v>
      </c>
      <c r="R33" s="182">
        <v>0</v>
      </c>
      <c r="S33" s="181">
        <f t="shared" si="7"/>
        <v>0</v>
      </c>
      <c r="T33" s="673">
        <v>0</v>
      </c>
      <c r="U33" s="182">
        <v>0</v>
      </c>
      <c r="V33" s="181">
        <f t="shared" si="8"/>
        <v>0</v>
      </c>
      <c r="W33" s="673">
        <v>0</v>
      </c>
      <c r="X33" s="182">
        <v>0</v>
      </c>
      <c r="Y33" s="181">
        <f t="shared" si="9"/>
        <v>39907.08</v>
      </c>
      <c r="Z33" s="673">
        <v>0</v>
      </c>
      <c r="AA33" s="182">
        <v>39907.08</v>
      </c>
      <c r="AB33" s="181">
        <f t="shared" si="10"/>
        <v>39907.08</v>
      </c>
      <c r="AC33" s="673">
        <v>0</v>
      </c>
      <c r="AD33" s="182">
        <v>39907.08</v>
      </c>
      <c r="AE33" s="181">
        <f t="shared" si="11"/>
        <v>39329.18</v>
      </c>
      <c r="AF33" s="673">
        <v>0</v>
      </c>
      <c r="AG33" s="182">
        <v>39329.18</v>
      </c>
      <c r="AH33" s="181">
        <f t="shared" si="12"/>
        <v>40122.9</v>
      </c>
      <c r="AI33" s="673">
        <v>0</v>
      </c>
      <c r="AJ33" s="182">
        <v>40122.9</v>
      </c>
      <c r="AK33" s="181">
        <f t="shared" si="13"/>
        <v>38232.14</v>
      </c>
      <c r="AL33" s="673">
        <v>0</v>
      </c>
      <c r="AM33" s="182">
        <v>38232.14</v>
      </c>
      <c r="AN33" s="181">
        <f t="shared" si="14"/>
        <v>38936.33</v>
      </c>
      <c r="AO33" s="673">
        <v>0</v>
      </c>
      <c r="AP33" s="182">
        <v>38936.33</v>
      </c>
      <c r="AQ33" s="181">
        <f t="shared" si="15"/>
        <v>40231.5</v>
      </c>
      <c r="AR33" s="673">
        <v>0</v>
      </c>
      <c r="AS33" s="182">
        <v>40231.5</v>
      </c>
      <c r="AT33" s="181">
        <f t="shared" si="16"/>
        <v>40231.5</v>
      </c>
      <c r="AU33" s="673">
        <v>0</v>
      </c>
      <c r="AV33" s="182">
        <v>40231.5</v>
      </c>
      <c r="AW33" s="373">
        <f t="shared" si="1"/>
        <v>24731.83</v>
      </c>
      <c r="AX33" s="374">
        <f t="shared" si="2"/>
        <v>0</v>
      </c>
      <c r="AY33" s="374">
        <f t="shared" si="3"/>
        <v>24731.83</v>
      </c>
    </row>
    <row r="34" spans="1:51">
      <c r="A34" s="133">
        <v>26</v>
      </c>
      <c r="B34" s="178" t="s">
        <v>1306</v>
      </c>
      <c r="C34" s="150" t="s">
        <v>741</v>
      </c>
      <c r="D34" s="150"/>
      <c r="E34" s="150" t="s">
        <v>959</v>
      </c>
      <c r="F34" s="179" t="s">
        <v>456</v>
      </c>
      <c r="G34" s="179" t="s">
        <v>1311</v>
      </c>
      <c r="H34" s="179" t="s">
        <v>369</v>
      </c>
      <c r="I34" s="180" t="s">
        <v>369</v>
      </c>
      <c r="J34" s="181">
        <f t="shared" si="4"/>
        <v>0</v>
      </c>
      <c r="K34" s="673">
        <v>0</v>
      </c>
      <c r="L34" s="182">
        <v>0</v>
      </c>
      <c r="M34" s="181">
        <f t="shared" si="5"/>
        <v>0</v>
      </c>
      <c r="N34" s="673">
        <v>0</v>
      </c>
      <c r="O34" s="182">
        <v>0</v>
      </c>
      <c r="P34" s="181">
        <f t="shared" si="6"/>
        <v>0</v>
      </c>
      <c r="Q34" s="673">
        <v>0</v>
      </c>
      <c r="R34" s="182">
        <v>0</v>
      </c>
      <c r="S34" s="181">
        <f t="shared" si="7"/>
        <v>0</v>
      </c>
      <c r="T34" s="673">
        <v>0</v>
      </c>
      <c r="U34" s="182">
        <v>0</v>
      </c>
      <c r="V34" s="181">
        <f t="shared" si="8"/>
        <v>0</v>
      </c>
      <c r="W34" s="673">
        <v>0</v>
      </c>
      <c r="X34" s="182">
        <v>0</v>
      </c>
      <c r="Y34" s="181">
        <f t="shared" si="9"/>
        <v>632689.85</v>
      </c>
      <c r="Z34" s="673">
        <v>632689.85</v>
      </c>
      <c r="AA34" s="182">
        <v>0</v>
      </c>
      <c r="AB34" s="181">
        <f t="shared" si="10"/>
        <v>632689.85</v>
      </c>
      <c r="AC34" s="673">
        <v>632689.85</v>
      </c>
      <c r="AD34" s="182">
        <v>0</v>
      </c>
      <c r="AE34" s="181">
        <f t="shared" si="11"/>
        <v>632689.85</v>
      </c>
      <c r="AF34" s="673">
        <v>632689.85</v>
      </c>
      <c r="AG34" s="182">
        <v>0</v>
      </c>
      <c r="AH34" s="181">
        <f t="shared" si="12"/>
        <v>632689.85</v>
      </c>
      <c r="AI34" s="673">
        <v>632689.85</v>
      </c>
      <c r="AJ34" s="182">
        <v>0</v>
      </c>
      <c r="AK34" s="181">
        <f t="shared" si="13"/>
        <v>621617.1</v>
      </c>
      <c r="AL34" s="673">
        <v>621617.1</v>
      </c>
      <c r="AM34" s="182">
        <v>0</v>
      </c>
      <c r="AN34" s="181">
        <f t="shared" si="14"/>
        <v>621617.1</v>
      </c>
      <c r="AO34" s="673">
        <v>621617.1</v>
      </c>
      <c r="AP34" s="182">
        <v>0</v>
      </c>
      <c r="AQ34" s="181">
        <f t="shared" si="15"/>
        <v>621617.1</v>
      </c>
      <c r="AR34" s="673">
        <v>621617.1</v>
      </c>
      <c r="AS34" s="182">
        <v>0</v>
      </c>
      <c r="AT34" s="181">
        <f t="shared" si="16"/>
        <v>621617.1</v>
      </c>
      <c r="AU34" s="673">
        <v>621617.1</v>
      </c>
      <c r="AV34" s="182">
        <v>0</v>
      </c>
      <c r="AW34" s="373">
        <f t="shared" si="1"/>
        <v>392201.60416666669</v>
      </c>
      <c r="AX34" s="374">
        <f t="shared" si="2"/>
        <v>392201.60416666669</v>
      </c>
      <c r="AY34" s="374">
        <f t="shared" si="3"/>
        <v>0</v>
      </c>
    </row>
    <row r="35" spans="1:51">
      <c r="A35" s="133">
        <v>27</v>
      </c>
      <c r="B35" s="178" t="s">
        <v>1307</v>
      </c>
      <c r="C35" s="150" t="s">
        <v>741</v>
      </c>
      <c r="D35" s="150"/>
      <c r="E35" s="150" t="s">
        <v>959</v>
      </c>
      <c r="F35" s="179" t="s">
        <v>628</v>
      </c>
      <c r="G35" s="179" t="s">
        <v>1312</v>
      </c>
      <c r="H35" s="179" t="s">
        <v>369</v>
      </c>
      <c r="I35" s="180" t="s">
        <v>369</v>
      </c>
      <c r="J35" s="375">
        <v>0</v>
      </c>
      <c r="K35" s="674">
        <v>0</v>
      </c>
      <c r="L35" s="376">
        <v>0</v>
      </c>
      <c r="M35" s="375">
        <v>0</v>
      </c>
      <c r="N35" s="674">
        <v>0</v>
      </c>
      <c r="O35" s="376">
        <v>0</v>
      </c>
      <c r="P35" s="375">
        <v>0</v>
      </c>
      <c r="Q35" s="674">
        <v>0</v>
      </c>
      <c r="R35" s="376">
        <v>0</v>
      </c>
      <c r="S35" s="375">
        <v>0</v>
      </c>
      <c r="T35" s="674">
        <v>0</v>
      </c>
      <c r="U35" s="376">
        <v>0</v>
      </c>
      <c r="V35" s="375">
        <v>0</v>
      </c>
      <c r="W35" s="674">
        <v>0</v>
      </c>
      <c r="X35" s="376">
        <v>0</v>
      </c>
      <c r="Y35" s="375">
        <v>0</v>
      </c>
      <c r="Z35" s="674">
        <v>0</v>
      </c>
      <c r="AA35" s="376">
        <v>0</v>
      </c>
      <c r="AB35" s="375">
        <v>0</v>
      </c>
      <c r="AC35" s="674">
        <v>0</v>
      </c>
      <c r="AD35" s="376">
        <v>0</v>
      </c>
      <c r="AE35" s="375">
        <v>0</v>
      </c>
      <c r="AF35" s="674">
        <v>0</v>
      </c>
      <c r="AG35" s="376">
        <v>0</v>
      </c>
      <c r="AH35" s="375">
        <v>0</v>
      </c>
      <c r="AI35" s="674">
        <v>0</v>
      </c>
      <c r="AJ35" s="376">
        <v>0</v>
      </c>
      <c r="AK35" s="375">
        <v>0</v>
      </c>
      <c r="AL35" s="674">
        <v>0</v>
      </c>
      <c r="AM35" s="376">
        <v>0</v>
      </c>
      <c r="AN35" s="375">
        <v>0</v>
      </c>
      <c r="AO35" s="674">
        <v>0</v>
      </c>
      <c r="AP35" s="376">
        <v>0</v>
      </c>
      <c r="AQ35" s="375">
        <v>0</v>
      </c>
      <c r="AR35" s="674">
        <v>0</v>
      </c>
      <c r="AS35" s="376">
        <v>0</v>
      </c>
      <c r="AT35" s="375">
        <v>0</v>
      </c>
      <c r="AU35" s="674">
        <v>0</v>
      </c>
      <c r="AV35" s="376">
        <v>0</v>
      </c>
      <c r="AW35" s="373">
        <f t="shared" si="1"/>
        <v>0</v>
      </c>
      <c r="AX35" s="374">
        <f t="shared" si="2"/>
        <v>0</v>
      </c>
      <c r="AY35" s="374">
        <f t="shared" si="3"/>
        <v>0</v>
      </c>
    </row>
    <row r="36" spans="1:51">
      <c r="A36" s="133">
        <v>28</v>
      </c>
      <c r="B36" s="178" t="s">
        <v>1308</v>
      </c>
      <c r="C36" s="150" t="s">
        <v>741</v>
      </c>
      <c r="D36" s="150"/>
      <c r="E36" s="150" t="s">
        <v>959</v>
      </c>
      <c r="F36" s="179" t="s">
        <v>456</v>
      </c>
      <c r="G36" s="179" t="s">
        <v>1313</v>
      </c>
      <c r="H36" s="179" t="s">
        <v>369</v>
      </c>
      <c r="I36" s="180" t="s">
        <v>369</v>
      </c>
      <c r="J36" s="375">
        <f t="shared" ref="J36:J42" si="17">+K36+L36</f>
        <v>248712.88</v>
      </c>
      <c r="K36" s="674">
        <v>248712.88</v>
      </c>
      <c r="L36" s="376">
        <v>0</v>
      </c>
      <c r="M36" s="375">
        <f t="shared" ref="M36:M42" si="18">+N36+O36</f>
        <v>246409.98</v>
      </c>
      <c r="N36" s="674">
        <v>246409.98</v>
      </c>
      <c r="O36" s="376">
        <v>0</v>
      </c>
      <c r="P36" s="375">
        <f t="shared" ref="P36:P42" si="19">+Q36+R36</f>
        <v>244107.08</v>
      </c>
      <c r="Q36" s="674">
        <v>244107.08</v>
      </c>
      <c r="R36" s="376">
        <v>0</v>
      </c>
      <c r="S36" s="375">
        <f t="shared" ref="S36:S42" si="20">+T36+U36</f>
        <v>241804.19</v>
      </c>
      <c r="T36" s="674">
        <v>241804.19</v>
      </c>
      <c r="U36" s="376">
        <v>0</v>
      </c>
      <c r="V36" s="375">
        <f t="shared" ref="V36:V42" si="21">+W36+X36</f>
        <v>239501.29</v>
      </c>
      <c r="W36" s="674">
        <v>239501.29</v>
      </c>
      <c r="X36" s="376">
        <v>0</v>
      </c>
      <c r="Y36" s="375">
        <f t="shared" ref="Y36:Y42" si="22">+Z36+AA36</f>
        <v>237198.39</v>
      </c>
      <c r="Z36" s="674">
        <v>237198.39</v>
      </c>
      <c r="AA36" s="376">
        <v>0</v>
      </c>
      <c r="AB36" s="375">
        <f t="shared" ref="AB36:AB42" si="23">+AC36+AD36</f>
        <v>234895.5</v>
      </c>
      <c r="AC36" s="674">
        <v>234895.5</v>
      </c>
      <c r="AD36" s="376">
        <v>0</v>
      </c>
      <c r="AE36" s="375">
        <f t="shared" ref="AE36:AE42" si="24">+AF36+AG36</f>
        <v>232592.6</v>
      </c>
      <c r="AF36" s="674">
        <v>232592.6</v>
      </c>
      <c r="AG36" s="376">
        <v>0</v>
      </c>
      <c r="AH36" s="375">
        <f t="shared" ref="AH36:AH42" si="25">+AI36+AJ36</f>
        <v>230289.7</v>
      </c>
      <c r="AI36" s="674">
        <v>230289.7</v>
      </c>
      <c r="AJ36" s="376">
        <v>0</v>
      </c>
      <c r="AK36" s="375">
        <f t="shared" ref="AK36:AK42" si="26">+AL36+AM36</f>
        <v>227986.81</v>
      </c>
      <c r="AL36" s="674">
        <v>227986.81</v>
      </c>
      <c r="AM36" s="376">
        <v>0</v>
      </c>
      <c r="AN36" s="375">
        <f t="shared" ref="AN36:AN42" si="27">+AO36+AP36</f>
        <v>225683.91</v>
      </c>
      <c r="AO36" s="674">
        <v>225683.91</v>
      </c>
      <c r="AP36" s="376">
        <v>0</v>
      </c>
      <c r="AQ36" s="375">
        <f t="shared" ref="AQ36:AQ42" si="28">+AR36+AS36</f>
        <v>223381.01</v>
      </c>
      <c r="AR36" s="674">
        <v>223381.01</v>
      </c>
      <c r="AS36" s="376">
        <v>0</v>
      </c>
      <c r="AT36" s="375">
        <f t="shared" ref="AT36:AT42" si="29">+AU36+AV36</f>
        <v>221078.12</v>
      </c>
      <c r="AU36" s="674">
        <v>221078.12</v>
      </c>
      <c r="AV36" s="376">
        <v>0</v>
      </c>
      <c r="AW36" s="373">
        <f t="shared" si="1"/>
        <v>234895.49666666667</v>
      </c>
      <c r="AX36" s="374">
        <f t="shared" si="2"/>
        <v>234895.49666666667</v>
      </c>
      <c r="AY36" s="374">
        <f t="shared" si="3"/>
        <v>0</v>
      </c>
    </row>
    <row r="37" spans="1:51">
      <c r="A37" s="133">
        <v>29</v>
      </c>
      <c r="B37" s="178" t="s">
        <v>1308</v>
      </c>
      <c r="C37" s="150" t="s">
        <v>741</v>
      </c>
      <c r="D37" s="150"/>
      <c r="E37" s="150" t="s">
        <v>984</v>
      </c>
      <c r="F37" s="179" t="s">
        <v>456</v>
      </c>
      <c r="G37" s="179" t="s">
        <v>1313</v>
      </c>
      <c r="H37" s="179"/>
      <c r="I37" s="180"/>
      <c r="J37" s="377">
        <f t="shared" si="17"/>
        <v>65440.960000000101</v>
      </c>
      <c r="K37" s="675">
        <v>0</v>
      </c>
      <c r="L37" s="183">
        <v>65440.960000000101</v>
      </c>
      <c r="M37" s="377">
        <f t="shared" si="18"/>
        <v>64077.61</v>
      </c>
      <c r="N37" s="675">
        <v>0</v>
      </c>
      <c r="O37" s="183">
        <v>64077.61</v>
      </c>
      <c r="P37" s="377">
        <f t="shared" si="19"/>
        <v>62714.26</v>
      </c>
      <c r="Q37" s="675">
        <v>0</v>
      </c>
      <c r="R37" s="183">
        <v>62714.26</v>
      </c>
      <c r="S37" s="377">
        <f t="shared" si="20"/>
        <v>61350.9</v>
      </c>
      <c r="T37" s="675">
        <v>0</v>
      </c>
      <c r="U37" s="183">
        <v>61350.9</v>
      </c>
      <c r="V37" s="377">
        <f t="shared" si="21"/>
        <v>59987.55</v>
      </c>
      <c r="W37" s="675">
        <v>0</v>
      </c>
      <c r="X37" s="183">
        <v>59987.55</v>
      </c>
      <c r="Y37" s="377">
        <f t="shared" si="22"/>
        <v>58624.2</v>
      </c>
      <c r="Z37" s="675">
        <v>0</v>
      </c>
      <c r="AA37" s="183">
        <v>58624.2</v>
      </c>
      <c r="AB37" s="377">
        <f t="shared" si="23"/>
        <v>57260.84</v>
      </c>
      <c r="AC37" s="675">
        <v>0</v>
      </c>
      <c r="AD37" s="183">
        <v>57260.84</v>
      </c>
      <c r="AE37" s="377">
        <f t="shared" si="24"/>
        <v>55897.49</v>
      </c>
      <c r="AF37" s="675">
        <v>0</v>
      </c>
      <c r="AG37" s="183">
        <v>55897.49</v>
      </c>
      <c r="AH37" s="377">
        <f t="shared" si="25"/>
        <v>54534.14</v>
      </c>
      <c r="AI37" s="675">
        <v>0</v>
      </c>
      <c r="AJ37" s="183">
        <v>54534.14</v>
      </c>
      <c r="AK37" s="377">
        <f t="shared" si="26"/>
        <v>53170.78</v>
      </c>
      <c r="AL37" s="675">
        <v>0</v>
      </c>
      <c r="AM37" s="183">
        <v>53170.78</v>
      </c>
      <c r="AN37" s="377">
        <f t="shared" si="27"/>
        <v>51807.43</v>
      </c>
      <c r="AO37" s="675">
        <v>0</v>
      </c>
      <c r="AP37" s="183">
        <v>51807.43</v>
      </c>
      <c r="AQ37" s="377">
        <f t="shared" si="28"/>
        <v>50444.08</v>
      </c>
      <c r="AR37" s="675">
        <v>0</v>
      </c>
      <c r="AS37" s="183">
        <v>50444.08</v>
      </c>
      <c r="AT37" s="377">
        <f t="shared" si="29"/>
        <v>49080.72</v>
      </c>
      <c r="AU37" s="675">
        <v>0</v>
      </c>
      <c r="AV37" s="183">
        <v>49080.72</v>
      </c>
      <c r="AW37" s="373">
        <f t="shared" si="1"/>
        <v>57260.843333333345</v>
      </c>
      <c r="AX37" s="374">
        <f t="shared" si="2"/>
        <v>0</v>
      </c>
      <c r="AY37" s="374">
        <f t="shared" si="3"/>
        <v>57260.843333333345</v>
      </c>
    </row>
    <row r="38" spans="1:51">
      <c r="A38" s="133">
        <v>30</v>
      </c>
      <c r="B38" s="178" t="s">
        <v>1307</v>
      </c>
      <c r="C38" s="150" t="s">
        <v>741</v>
      </c>
      <c r="D38" s="150"/>
      <c r="E38" s="150" t="s">
        <v>984</v>
      </c>
      <c r="F38" s="179" t="s">
        <v>628</v>
      </c>
      <c r="G38" s="179" t="s">
        <v>1312</v>
      </c>
      <c r="H38" s="179"/>
      <c r="I38" s="180"/>
      <c r="J38" s="377">
        <f t="shared" si="17"/>
        <v>0</v>
      </c>
      <c r="K38" s="675">
        <v>0</v>
      </c>
      <c r="L38" s="183">
        <v>0</v>
      </c>
      <c r="M38" s="377">
        <f t="shared" si="18"/>
        <v>0</v>
      </c>
      <c r="N38" s="675">
        <v>0</v>
      </c>
      <c r="O38" s="183">
        <v>0</v>
      </c>
      <c r="P38" s="377">
        <f t="shared" si="19"/>
        <v>0</v>
      </c>
      <c r="Q38" s="675">
        <v>0</v>
      </c>
      <c r="R38" s="183">
        <v>0</v>
      </c>
      <c r="S38" s="377">
        <f t="shared" si="20"/>
        <v>0</v>
      </c>
      <c r="T38" s="675">
        <v>0</v>
      </c>
      <c r="U38" s="183">
        <v>0</v>
      </c>
      <c r="V38" s="377">
        <f t="shared" si="21"/>
        <v>0</v>
      </c>
      <c r="W38" s="675">
        <v>0</v>
      </c>
      <c r="X38" s="183">
        <v>0</v>
      </c>
      <c r="Y38" s="377">
        <f t="shared" si="22"/>
        <v>0</v>
      </c>
      <c r="Z38" s="675">
        <v>0</v>
      </c>
      <c r="AA38" s="183">
        <v>0</v>
      </c>
      <c r="AB38" s="377">
        <f t="shared" si="23"/>
        <v>0</v>
      </c>
      <c r="AC38" s="675">
        <v>0</v>
      </c>
      <c r="AD38" s="183">
        <v>0</v>
      </c>
      <c r="AE38" s="377">
        <f t="shared" si="24"/>
        <v>0</v>
      </c>
      <c r="AF38" s="675">
        <v>0</v>
      </c>
      <c r="AG38" s="183">
        <v>0</v>
      </c>
      <c r="AH38" s="377">
        <f t="shared" si="25"/>
        <v>0</v>
      </c>
      <c r="AI38" s="675">
        <v>0</v>
      </c>
      <c r="AJ38" s="183">
        <v>0</v>
      </c>
      <c r="AK38" s="377">
        <f t="shared" si="26"/>
        <v>0</v>
      </c>
      <c r="AL38" s="675">
        <v>0</v>
      </c>
      <c r="AM38" s="183">
        <v>0</v>
      </c>
      <c r="AN38" s="377">
        <f t="shared" si="27"/>
        <v>0</v>
      </c>
      <c r="AO38" s="675">
        <v>0</v>
      </c>
      <c r="AP38" s="183">
        <v>0</v>
      </c>
      <c r="AQ38" s="377">
        <f t="shared" si="28"/>
        <v>0</v>
      </c>
      <c r="AR38" s="675">
        <v>0</v>
      </c>
      <c r="AS38" s="183">
        <v>0</v>
      </c>
      <c r="AT38" s="377">
        <f t="shared" si="29"/>
        <v>0</v>
      </c>
      <c r="AU38" s="675">
        <v>0</v>
      </c>
      <c r="AV38" s="183">
        <v>0</v>
      </c>
      <c r="AW38" s="373">
        <f t="shared" si="1"/>
        <v>0</v>
      </c>
      <c r="AX38" s="374">
        <f t="shared" si="2"/>
        <v>0</v>
      </c>
      <c r="AY38" s="374">
        <f t="shared" si="3"/>
        <v>0</v>
      </c>
    </row>
    <row r="39" spans="1:51">
      <c r="A39" s="133">
        <v>31</v>
      </c>
      <c r="B39" s="178" t="s">
        <v>976</v>
      </c>
      <c r="C39" s="150" t="s">
        <v>741</v>
      </c>
      <c r="D39" s="150"/>
      <c r="E39" s="150" t="s">
        <v>984</v>
      </c>
      <c r="F39" s="179" t="s">
        <v>628</v>
      </c>
      <c r="G39" s="179" t="s">
        <v>977</v>
      </c>
      <c r="H39" s="179"/>
      <c r="I39" s="180"/>
      <c r="J39" s="377">
        <f t="shared" si="17"/>
        <v>-4420542.34</v>
      </c>
      <c r="K39" s="675">
        <v>0</v>
      </c>
      <c r="L39" s="183">
        <v>-4420542.34</v>
      </c>
      <c r="M39" s="377">
        <f t="shared" si="18"/>
        <v>-4433550.5599999996</v>
      </c>
      <c r="N39" s="675">
        <v>0</v>
      </c>
      <c r="O39" s="183">
        <v>-4433550.5599999996</v>
      </c>
      <c r="P39" s="377">
        <f t="shared" si="19"/>
        <v>-4446558.79</v>
      </c>
      <c r="Q39" s="675">
        <v>0</v>
      </c>
      <c r="R39" s="183">
        <v>-4446558.79</v>
      </c>
      <c r="S39" s="377">
        <f t="shared" si="20"/>
        <v>-4459567.03</v>
      </c>
      <c r="T39" s="675">
        <v>0</v>
      </c>
      <c r="U39" s="183">
        <v>-4459567.03</v>
      </c>
      <c r="V39" s="377">
        <f t="shared" si="21"/>
        <v>-4472575.25</v>
      </c>
      <c r="W39" s="675">
        <v>0</v>
      </c>
      <c r="X39" s="183">
        <v>-4472575.25</v>
      </c>
      <c r="Y39" s="377">
        <f t="shared" si="22"/>
        <v>-4485583.4800000004</v>
      </c>
      <c r="Z39" s="675">
        <v>0</v>
      </c>
      <c r="AA39" s="183">
        <v>-4485583.4800000004</v>
      </c>
      <c r="AB39" s="377">
        <f t="shared" si="23"/>
        <v>-4498591.7</v>
      </c>
      <c r="AC39" s="675">
        <v>0</v>
      </c>
      <c r="AD39" s="183">
        <v>-4498591.7</v>
      </c>
      <c r="AE39" s="377">
        <f t="shared" si="24"/>
        <v>-4511599.92</v>
      </c>
      <c r="AF39" s="675">
        <v>0</v>
      </c>
      <c r="AG39" s="183">
        <v>-4511599.92</v>
      </c>
      <c r="AH39" s="377">
        <f t="shared" si="25"/>
        <v>-4524608.1500000004</v>
      </c>
      <c r="AI39" s="675">
        <v>0</v>
      </c>
      <c r="AJ39" s="183">
        <v>-4524608.1500000004</v>
      </c>
      <c r="AK39" s="377">
        <f t="shared" si="26"/>
        <v>-4537616.3899999997</v>
      </c>
      <c r="AL39" s="675">
        <v>0</v>
      </c>
      <c r="AM39" s="183">
        <v>-4537616.3899999997</v>
      </c>
      <c r="AN39" s="377">
        <f t="shared" si="27"/>
        <v>-4550624.6100000003</v>
      </c>
      <c r="AO39" s="675">
        <v>0</v>
      </c>
      <c r="AP39" s="183">
        <v>-4550624.6100000003</v>
      </c>
      <c r="AQ39" s="377">
        <f t="shared" si="28"/>
        <v>-4641330.5999999996</v>
      </c>
      <c r="AR39" s="675">
        <v>0</v>
      </c>
      <c r="AS39" s="183">
        <v>-4641330.5999999996</v>
      </c>
      <c r="AT39" s="377">
        <f t="shared" si="29"/>
        <v>-4791249.5199999996</v>
      </c>
      <c r="AU39" s="675">
        <v>0</v>
      </c>
      <c r="AV39" s="183">
        <v>-4791249.5199999996</v>
      </c>
      <c r="AW39" s="373">
        <f t="shared" si="1"/>
        <v>-4514008.5341666667</v>
      </c>
      <c r="AX39" s="374">
        <f t="shared" si="2"/>
        <v>0</v>
      </c>
      <c r="AY39" s="374">
        <f t="shared" si="3"/>
        <v>-4514008.5341666667</v>
      </c>
    </row>
    <row r="40" spans="1:51">
      <c r="A40" s="133">
        <v>32</v>
      </c>
      <c r="B40" s="178" t="s">
        <v>978</v>
      </c>
      <c r="C40" s="150" t="s">
        <v>741</v>
      </c>
      <c r="D40" s="150"/>
      <c r="E40" s="150" t="s">
        <v>984</v>
      </c>
      <c r="F40" s="179" t="s">
        <v>629</v>
      </c>
      <c r="G40" s="179" t="s">
        <v>979</v>
      </c>
      <c r="H40" s="179"/>
      <c r="I40" s="180"/>
      <c r="J40" s="377">
        <f t="shared" si="17"/>
        <v>-13433.67</v>
      </c>
      <c r="K40" s="675">
        <v>0</v>
      </c>
      <c r="L40" s="183">
        <v>-13433.67</v>
      </c>
      <c r="M40" s="377">
        <f t="shared" si="18"/>
        <v>-13372.05</v>
      </c>
      <c r="N40" s="675">
        <v>0</v>
      </c>
      <c r="O40" s="183">
        <v>-13372.05</v>
      </c>
      <c r="P40" s="377">
        <f t="shared" si="19"/>
        <v>-13310.43</v>
      </c>
      <c r="Q40" s="675">
        <v>0</v>
      </c>
      <c r="R40" s="183">
        <v>-13310.43</v>
      </c>
      <c r="S40" s="377">
        <f t="shared" si="20"/>
        <v>-13248.81</v>
      </c>
      <c r="T40" s="675">
        <v>0</v>
      </c>
      <c r="U40" s="183">
        <v>-13248.81</v>
      </c>
      <c r="V40" s="377">
        <f t="shared" si="21"/>
        <v>-13187.19</v>
      </c>
      <c r="W40" s="675">
        <v>0</v>
      </c>
      <c r="X40" s="183">
        <v>-13187.19</v>
      </c>
      <c r="Y40" s="377">
        <f t="shared" si="22"/>
        <v>-13125.57</v>
      </c>
      <c r="Z40" s="675">
        <v>0</v>
      </c>
      <c r="AA40" s="183">
        <v>-13125.57</v>
      </c>
      <c r="AB40" s="377">
        <f t="shared" si="23"/>
        <v>-13063.95</v>
      </c>
      <c r="AC40" s="675">
        <v>0</v>
      </c>
      <c r="AD40" s="183">
        <v>-13063.95</v>
      </c>
      <c r="AE40" s="377">
        <f t="shared" si="24"/>
        <v>-13002.33</v>
      </c>
      <c r="AF40" s="675">
        <v>0</v>
      </c>
      <c r="AG40" s="183">
        <v>-13002.33</v>
      </c>
      <c r="AH40" s="377">
        <f t="shared" si="25"/>
        <v>-12940.71</v>
      </c>
      <c r="AI40" s="675">
        <v>0</v>
      </c>
      <c r="AJ40" s="183">
        <v>-12940.71</v>
      </c>
      <c r="AK40" s="377">
        <f t="shared" si="26"/>
        <v>-12879.09</v>
      </c>
      <c r="AL40" s="675">
        <v>0</v>
      </c>
      <c r="AM40" s="183">
        <v>-12879.09</v>
      </c>
      <c r="AN40" s="377">
        <f t="shared" si="27"/>
        <v>-12817.47</v>
      </c>
      <c r="AO40" s="675">
        <v>0</v>
      </c>
      <c r="AP40" s="183">
        <v>-12817.47</v>
      </c>
      <c r="AQ40" s="377">
        <f t="shared" si="28"/>
        <v>-12755.85</v>
      </c>
      <c r="AR40" s="675">
        <v>0</v>
      </c>
      <c r="AS40" s="183">
        <v>-12755.85</v>
      </c>
      <c r="AT40" s="377">
        <f t="shared" si="29"/>
        <v>-12694.23</v>
      </c>
      <c r="AU40" s="675">
        <v>0</v>
      </c>
      <c r="AV40" s="183">
        <v>-12694.23</v>
      </c>
      <c r="AW40" s="373">
        <f t="shared" si="1"/>
        <v>-13063.950000000003</v>
      </c>
      <c r="AX40" s="374">
        <f t="shared" si="2"/>
        <v>0</v>
      </c>
      <c r="AY40" s="374">
        <f t="shared" si="3"/>
        <v>-13063.950000000003</v>
      </c>
    </row>
    <row r="41" spans="1:51">
      <c r="A41" s="133">
        <v>33</v>
      </c>
      <c r="B41" s="178" t="s">
        <v>1309</v>
      </c>
      <c r="C41" s="150" t="s">
        <v>741</v>
      </c>
      <c r="D41" s="150"/>
      <c r="E41" s="150" t="s">
        <v>984</v>
      </c>
      <c r="F41" s="179" t="s">
        <v>456</v>
      </c>
      <c r="G41" s="179" t="s">
        <v>1314</v>
      </c>
      <c r="H41" s="179"/>
      <c r="I41" s="180"/>
      <c r="J41" s="377">
        <f t="shared" si="17"/>
        <v>59590.47</v>
      </c>
      <c r="K41" s="675">
        <v>0</v>
      </c>
      <c r="L41" s="183">
        <v>59590.47</v>
      </c>
      <c r="M41" s="377">
        <f t="shared" si="18"/>
        <v>59610.35</v>
      </c>
      <c r="N41" s="675">
        <v>0</v>
      </c>
      <c r="O41" s="183">
        <v>59610.35</v>
      </c>
      <c r="P41" s="377">
        <f t="shared" si="19"/>
        <v>59762.59</v>
      </c>
      <c r="Q41" s="675">
        <v>0</v>
      </c>
      <c r="R41" s="183">
        <v>59762.59</v>
      </c>
      <c r="S41" s="377">
        <f t="shared" si="20"/>
        <v>58840.15</v>
      </c>
      <c r="T41" s="675">
        <v>0</v>
      </c>
      <c r="U41" s="183">
        <v>58840.15</v>
      </c>
      <c r="V41" s="377">
        <f t="shared" si="21"/>
        <v>58767.57</v>
      </c>
      <c r="W41" s="675">
        <v>0</v>
      </c>
      <c r="X41" s="183">
        <v>58767.57</v>
      </c>
      <c r="Y41" s="377">
        <f t="shared" si="22"/>
        <v>58869.7</v>
      </c>
      <c r="Z41" s="675">
        <v>0</v>
      </c>
      <c r="AA41" s="183">
        <v>58869.7</v>
      </c>
      <c r="AB41" s="377">
        <f t="shared" si="23"/>
        <v>58869.7</v>
      </c>
      <c r="AC41" s="675">
        <v>0</v>
      </c>
      <c r="AD41" s="183">
        <v>58869.7</v>
      </c>
      <c r="AE41" s="377">
        <f t="shared" si="24"/>
        <v>58819.12</v>
      </c>
      <c r="AF41" s="675">
        <v>0</v>
      </c>
      <c r="AG41" s="183">
        <v>58819.12</v>
      </c>
      <c r="AH41" s="377">
        <f t="shared" si="25"/>
        <v>58888.59</v>
      </c>
      <c r="AI41" s="675">
        <v>0</v>
      </c>
      <c r="AJ41" s="183">
        <v>58888.59</v>
      </c>
      <c r="AK41" s="377">
        <f t="shared" si="26"/>
        <v>57753.95</v>
      </c>
      <c r="AL41" s="675">
        <v>0</v>
      </c>
      <c r="AM41" s="183">
        <v>57753.95</v>
      </c>
      <c r="AN41" s="377">
        <f t="shared" si="27"/>
        <v>57815.58</v>
      </c>
      <c r="AO41" s="675">
        <v>0</v>
      </c>
      <c r="AP41" s="183">
        <v>57815.58</v>
      </c>
      <c r="AQ41" s="377">
        <f t="shared" si="28"/>
        <v>57928.94</v>
      </c>
      <c r="AR41" s="675">
        <v>0</v>
      </c>
      <c r="AS41" s="183">
        <v>57928.94</v>
      </c>
      <c r="AT41" s="377">
        <f t="shared" si="29"/>
        <v>57928.94</v>
      </c>
      <c r="AU41" s="675">
        <v>0</v>
      </c>
      <c r="AV41" s="183">
        <v>57928.94</v>
      </c>
      <c r="AW41" s="373">
        <f t="shared" si="1"/>
        <v>58723.828749999993</v>
      </c>
      <c r="AX41" s="374">
        <f t="shared" si="2"/>
        <v>0</v>
      </c>
      <c r="AY41" s="374">
        <f t="shared" si="3"/>
        <v>58723.828749999993</v>
      </c>
    </row>
    <row r="42" spans="1:51">
      <c r="A42" s="133">
        <v>34</v>
      </c>
      <c r="B42" s="178" t="s">
        <v>1310</v>
      </c>
      <c r="C42" s="150" t="s">
        <v>741</v>
      </c>
      <c r="D42" s="150"/>
      <c r="E42" s="150" t="s">
        <v>984</v>
      </c>
      <c r="F42" s="179" t="s">
        <v>456</v>
      </c>
      <c r="G42" s="179" t="s">
        <v>1315</v>
      </c>
      <c r="H42" s="179"/>
      <c r="I42" s="180"/>
      <c r="J42" s="377">
        <f t="shared" si="17"/>
        <v>-2574.25</v>
      </c>
      <c r="K42" s="675">
        <v>0</v>
      </c>
      <c r="L42" s="183">
        <v>-2574.25</v>
      </c>
      <c r="M42" s="377">
        <f t="shared" si="18"/>
        <v>-2526.58</v>
      </c>
      <c r="N42" s="675">
        <v>0</v>
      </c>
      <c r="O42" s="183">
        <v>-2526.58</v>
      </c>
      <c r="P42" s="377">
        <f t="shared" si="19"/>
        <v>-2478.91</v>
      </c>
      <c r="Q42" s="675">
        <v>0</v>
      </c>
      <c r="R42" s="183">
        <v>-2478.91</v>
      </c>
      <c r="S42" s="377">
        <f t="shared" si="20"/>
        <v>-2431.2399999999998</v>
      </c>
      <c r="T42" s="675">
        <v>0</v>
      </c>
      <c r="U42" s="183">
        <v>-2431.2399999999998</v>
      </c>
      <c r="V42" s="377">
        <f t="shared" si="21"/>
        <v>-2383.5700000000002</v>
      </c>
      <c r="W42" s="675">
        <v>0</v>
      </c>
      <c r="X42" s="183">
        <v>-2383.5700000000002</v>
      </c>
      <c r="Y42" s="377">
        <f t="shared" si="22"/>
        <v>-2335.9</v>
      </c>
      <c r="Z42" s="675">
        <v>0</v>
      </c>
      <c r="AA42" s="183">
        <v>-2335.9</v>
      </c>
      <c r="AB42" s="377">
        <f t="shared" si="23"/>
        <v>-2288.2199999999998</v>
      </c>
      <c r="AC42" s="675">
        <v>0</v>
      </c>
      <c r="AD42" s="183">
        <v>-2288.2199999999998</v>
      </c>
      <c r="AE42" s="377">
        <f t="shared" si="24"/>
        <v>-2240.5500000000002</v>
      </c>
      <c r="AF42" s="675">
        <v>0</v>
      </c>
      <c r="AG42" s="183">
        <v>-2240.5500000000002</v>
      </c>
      <c r="AH42" s="377">
        <f t="shared" si="25"/>
        <v>-2192.88</v>
      </c>
      <c r="AI42" s="675">
        <v>0</v>
      </c>
      <c r="AJ42" s="183">
        <v>-2192.88</v>
      </c>
      <c r="AK42" s="377">
        <f t="shared" si="26"/>
        <v>-2145.21</v>
      </c>
      <c r="AL42" s="675">
        <v>0</v>
      </c>
      <c r="AM42" s="183">
        <v>-2145.21</v>
      </c>
      <c r="AN42" s="377">
        <f t="shared" si="27"/>
        <v>-2097.54</v>
      </c>
      <c r="AO42" s="675">
        <v>0</v>
      </c>
      <c r="AP42" s="183">
        <v>-2097.54</v>
      </c>
      <c r="AQ42" s="377">
        <f t="shared" si="28"/>
        <v>-2049.87</v>
      </c>
      <c r="AR42" s="675">
        <v>0</v>
      </c>
      <c r="AS42" s="183">
        <v>-2049.87</v>
      </c>
      <c r="AT42" s="377">
        <f t="shared" si="29"/>
        <v>-2002.19</v>
      </c>
      <c r="AU42" s="675">
        <v>0</v>
      </c>
      <c r="AV42" s="183">
        <v>-2002.19</v>
      </c>
      <c r="AW42" s="373">
        <f t="shared" si="1"/>
        <v>-2288.2241666666664</v>
      </c>
      <c r="AX42" s="374">
        <f t="shared" si="2"/>
        <v>0</v>
      </c>
      <c r="AY42" s="374">
        <f t="shared" si="3"/>
        <v>-2288.2241666666664</v>
      </c>
    </row>
    <row r="43" spans="1:51" ht="16.2" thickBot="1">
      <c r="A43" s="133">
        <v>35</v>
      </c>
      <c r="B43" s="155"/>
      <c r="C43" s="150"/>
      <c r="D43" s="150"/>
      <c r="E43" s="150"/>
      <c r="F43" s="150"/>
      <c r="G43" s="150"/>
      <c r="H43" s="150"/>
      <c r="I43" s="151"/>
      <c r="J43" s="169">
        <f t="shared" ref="J43:AV43" si="30">SUM(J26:J42)</f>
        <v>-103174323.41000003</v>
      </c>
      <c r="K43" s="169">
        <f t="shared" si="30"/>
        <v>-76096889.010000005</v>
      </c>
      <c r="L43" s="169">
        <f t="shared" si="30"/>
        <v>-27077434.400000002</v>
      </c>
      <c r="M43" s="169">
        <f t="shared" si="30"/>
        <v>-103113826.47</v>
      </c>
      <c r="N43" s="169">
        <f t="shared" si="30"/>
        <v>-74564232.609999999</v>
      </c>
      <c r="O43" s="169">
        <f t="shared" si="30"/>
        <v>-28549593.859999996</v>
      </c>
      <c r="P43" s="169">
        <f t="shared" si="30"/>
        <v>-103051684.97</v>
      </c>
      <c r="Q43" s="169">
        <f t="shared" si="30"/>
        <v>-74507195.480000004</v>
      </c>
      <c r="R43" s="169">
        <f t="shared" si="30"/>
        <v>-28544489.490000002</v>
      </c>
      <c r="S43" s="169">
        <f t="shared" si="30"/>
        <v>-103002896.50999999</v>
      </c>
      <c r="T43" s="169">
        <f t="shared" si="30"/>
        <v>-74459433.410000011</v>
      </c>
      <c r="U43" s="169">
        <f t="shared" si="30"/>
        <v>-28543463.100000001</v>
      </c>
      <c r="V43" s="169">
        <f t="shared" si="30"/>
        <v>-102943548.42999998</v>
      </c>
      <c r="W43" s="169">
        <f t="shared" si="30"/>
        <v>-74404336.609999985</v>
      </c>
      <c r="X43" s="169">
        <f t="shared" si="30"/>
        <v>-28539211.82</v>
      </c>
      <c r="Y43" s="169">
        <f t="shared" si="30"/>
        <v>-102882029.57000002</v>
      </c>
      <c r="Z43" s="169">
        <f t="shared" si="30"/>
        <v>-76158658.930000007</v>
      </c>
      <c r="AA43" s="169">
        <f t="shared" si="30"/>
        <v>-26723370.639999997</v>
      </c>
      <c r="AB43" s="169">
        <f t="shared" si="30"/>
        <v>-102821779.62000003</v>
      </c>
      <c r="AC43" s="169">
        <f t="shared" si="30"/>
        <v>-76101451.520000011</v>
      </c>
      <c r="AD43" s="169">
        <f t="shared" si="30"/>
        <v>-26720328.099999998</v>
      </c>
      <c r="AE43" s="169">
        <f t="shared" si="30"/>
        <v>-102762158.17000003</v>
      </c>
      <c r="AF43" s="169">
        <f t="shared" si="30"/>
        <v>-76044244.12000002</v>
      </c>
      <c r="AG43" s="169">
        <f t="shared" si="30"/>
        <v>-26717914.049999997</v>
      </c>
      <c r="AH43" s="169">
        <f t="shared" si="30"/>
        <v>-102701045.06</v>
      </c>
      <c r="AI43" s="169">
        <f t="shared" si="30"/>
        <v>-75987036.719999999</v>
      </c>
      <c r="AJ43" s="169">
        <f t="shared" si="30"/>
        <v>-26714008.339999996</v>
      </c>
      <c r="AK43" s="169">
        <f t="shared" si="30"/>
        <v>-102654893.3</v>
      </c>
      <c r="AL43" s="169">
        <f t="shared" si="30"/>
        <v>-75940902.049999997</v>
      </c>
      <c r="AM43" s="169">
        <f t="shared" si="30"/>
        <v>-26713991.249999996</v>
      </c>
      <c r="AN43" s="169">
        <f t="shared" si="30"/>
        <v>-102593877.55000003</v>
      </c>
      <c r="AO43" s="169">
        <f t="shared" si="30"/>
        <v>-75883694.650000006</v>
      </c>
      <c r="AP43" s="169">
        <f t="shared" si="30"/>
        <v>-26710182.899999999</v>
      </c>
      <c r="AQ43" s="169">
        <f t="shared" si="30"/>
        <v>-103562261.98000002</v>
      </c>
      <c r="AR43" s="169">
        <f t="shared" si="30"/>
        <v>-76564459.489999995</v>
      </c>
      <c r="AS43" s="169">
        <f t="shared" si="30"/>
        <v>-26997802.489999995</v>
      </c>
      <c r="AT43" s="169">
        <f t="shared" si="30"/>
        <v>-105143322.19000001</v>
      </c>
      <c r="AU43" s="169">
        <f t="shared" si="30"/>
        <v>-77673011.209999993</v>
      </c>
      <c r="AV43" s="169">
        <f t="shared" si="30"/>
        <v>-27470310.979999997</v>
      </c>
      <c r="AW43" s="378">
        <f>SUM(AW25:AW42)</f>
        <v>-103020735.36916667</v>
      </c>
      <c r="AX43" s="475">
        <f>SUM(AX25:AX42)</f>
        <v>-75625049.641666636</v>
      </c>
      <c r="AY43" s="379">
        <f>SUM(AY25:AY42)</f>
        <v>-27395685.727499995</v>
      </c>
    </row>
    <row r="44" spans="1:51" s="14" customFormat="1" ht="17.399999999999999" thickTop="1" thickBot="1">
      <c r="A44" s="683">
        <v>30</v>
      </c>
      <c r="B44" s="451" t="s">
        <v>993</v>
      </c>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row>
    <row r="45" spans="1:51" s="14" customFormat="1">
      <c r="A45" s="683">
        <v>31</v>
      </c>
      <c r="B45" s="14" t="s">
        <v>1364</v>
      </c>
      <c r="C45" s="452" t="s">
        <v>741</v>
      </c>
      <c r="E45" s="452"/>
      <c r="F45" s="453">
        <v>1900</v>
      </c>
      <c r="G45" s="453" t="s">
        <v>985</v>
      </c>
      <c r="H45" s="452"/>
      <c r="I45" s="452"/>
      <c r="J45" s="454">
        <v>-7249.34</v>
      </c>
      <c r="K45" s="455"/>
      <c r="L45" s="456"/>
      <c r="M45" s="455">
        <v>-7165.15</v>
      </c>
      <c r="N45" s="455"/>
      <c r="O45" s="456"/>
      <c r="P45" s="455">
        <v>-7080.94</v>
      </c>
      <c r="Q45" s="455"/>
      <c r="R45" s="456"/>
      <c r="S45" s="455">
        <v>-6996.75</v>
      </c>
      <c r="T45" s="455"/>
      <c r="U45" s="456"/>
      <c r="V45" s="455">
        <v>-6912.56</v>
      </c>
      <c r="W45" s="455"/>
      <c r="X45" s="456"/>
      <c r="Y45" s="455">
        <v>-6828.37</v>
      </c>
      <c r="Z45" s="455"/>
      <c r="AA45" s="456"/>
      <c r="AB45" s="455">
        <v>-6744.18</v>
      </c>
      <c r="AC45" s="455"/>
      <c r="AD45" s="456"/>
      <c r="AE45" s="455">
        <v>-6659.99</v>
      </c>
      <c r="AF45" s="455"/>
      <c r="AG45" s="456"/>
      <c r="AH45" s="455">
        <v>-6575.8</v>
      </c>
      <c r="AI45" s="455"/>
      <c r="AJ45" s="456"/>
      <c r="AK45" s="455">
        <v>-6491.61</v>
      </c>
      <c r="AL45" s="455"/>
      <c r="AM45" s="456"/>
      <c r="AN45" s="455">
        <v>-6407.42</v>
      </c>
      <c r="AO45" s="455"/>
      <c r="AP45" s="456"/>
      <c r="AQ45" s="455">
        <v>-6323.23</v>
      </c>
      <c r="AR45" s="455"/>
      <c r="AS45" s="456"/>
      <c r="AT45" s="455">
        <v>-6239.04</v>
      </c>
      <c r="AU45" s="455"/>
      <c r="AV45" s="456"/>
      <c r="AW45" s="457">
        <f t="shared" ref="AW45:AW72" si="31">+(AT45+J45+(M45+P45+S45+V45+Y45+AB45+AE45+AH45+AK45+AN45+AQ45)*2)/24</f>
        <v>-6744.1824999999999</v>
      </c>
      <c r="AX45" s="452"/>
      <c r="AY45" s="452"/>
    </row>
    <row r="46" spans="1:51" s="14" customFormat="1">
      <c r="A46" s="683">
        <v>32</v>
      </c>
      <c r="B46" s="14" t="s">
        <v>1365</v>
      </c>
      <c r="C46" s="452" t="s">
        <v>741</v>
      </c>
      <c r="E46" s="452"/>
      <c r="F46" s="453" t="s">
        <v>456</v>
      </c>
      <c r="G46" s="453" t="s">
        <v>986</v>
      </c>
      <c r="H46" s="452"/>
      <c r="I46" s="452"/>
      <c r="J46" s="458">
        <v>2574.23</v>
      </c>
      <c r="K46" s="459"/>
      <c r="L46" s="460"/>
      <c r="M46" s="459">
        <v>2526.5500000000002</v>
      </c>
      <c r="N46" s="459"/>
      <c r="O46" s="460"/>
      <c r="P46" s="459">
        <v>2478.9</v>
      </c>
      <c r="Q46" s="459"/>
      <c r="R46" s="460"/>
      <c r="S46" s="459">
        <v>2431.23</v>
      </c>
      <c r="T46" s="459"/>
      <c r="U46" s="460"/>
      <c r="V46" s="459">
        <v>2383.5700000000002</v>
      </c>
      <c r="W46" s="459"/>
      <c r="X46" s="460"/>
      <c r="Y46" s="459">
        <v>2335.9</v>
      </c>
      <c r="Z46" s="459"/>
      <c r="AA46" s="460"/>
      <c r="AB46" s="459">
        <v>2288.2199999999998</v>
      </c>
      <c r="AC46" s="459"/>
      <c r="AD46" s="460"/>
      <c r="AE46" s="459">
        <v>2240.5700000000002</v>
      </c>
      <c r="AF46" s="459"/>
      <c r="AG46" s="460"/>
      <c r="AH46" s="459">
        <v>2192.91</v>
      </c>
      <c r="AI46" s="459"/>
      <c r="AJ46" s="460"/>
      <c r="AK46" s="459">
        <v>2145.2199999999998</v>
      </c>
      <c r="AL46" s="459"/>
      <c r="AM46" s="460"/>
      <c r="AN46" s="459">
        <v>2097.56</v>
      </c>
      <c r="AO46" s="459"/>
      <c r="AP46" s="460"/>
      <c r="AQ46" s="459">
        <v>2049.87</v>
      </c>
      <c r="AR46" s="459"/>
      <c r="AS46" s="460"/>
      <c r="AT46" s="459">
        <v>2002.16</v>
      </c>
      <c r="AU46" s="459"/>
      <c r="AV46" s="460"/>
      <c r="AW46" s="461">
        <f t="shared" si="31"/>
        <v>2288.2245833333332</v>
      </c>
      <c r="AX46" s="452"/>
      <c r="AY46" s="452"/>
    </row>
    <row r="47" spans="1:51" s="14" customFormat="1">
      <c r="A47" s="133">
        <v>34</v>
      </c>
      <c r="B47" s="14" t="s">
        <v>1366</v>
      </c>
      <c r="C47" s="452" t="s">
        <v>741</v>
      </c>
      <c r="E47" s="452"/>
      <c r="F47" s="453" t="s">
        <v>456</v>
      </c>
      <c r="G47" s="453" t="s">
        <v>987</v>
      </c>
      <c r="H47" s="452"/>
      <c r="I47" s="452"/>
      <c r="J47" s="458">
        <v>1007436.65</v>
      </c>
      <c r="K47" s="459"/>
      <c r="L47" s="460"/>
      <c r="M47" s="459">
        <v>1007188.66</v>
      </c>
      <c r="N47" s="459"/>
      <c r="O47" s="460"/>
      <c r="P47" s="459">
        <v>1005952.68</v>
      </c>
      <c r="Q47" s="459"/>
      <c r="R47" s="460"/>
      <c r="S47" s="459">
        <v>1003898.25</v>
      </c>
      <c r="T47" s="459"/>
      <c r="U47" s="460"/>
      <c r="V47" s="459">
        <v>1001032.56</v>
      </c>
      <c r="W47" s="459"/>
      <c r="X47" s="460"/>
      <c r="Y47" s="459">
        <v>418897.9</v>
      </c>
      <c r="Z47" s="459"/>
      <c r="AA47" s="460"/>
      <c r="AB47" s="459">
        <v>408252.29</v>
      </c>
      <c r="AC47" s="459"/>
      <c r="AD47" s="460"/>
      <c r="AE47" s="459">
        <v>407353.09</v>
      </c>
      <c r="AF47" s="459"/>
      <c r="AG47" s="460"/>
      <c r="AH47" s="459">
        <v>405581.88</v>
      </c>
      <c r="AI47" s="459"/>
      <c r="AJ47" s="460"/>
      <c r="AK47" s="459">
        <v>404369.91999999998</v>
      </c>
      <c r="AL47" s="459"/>
      <c r="AM47" s="460"/>
      <c r="AN47" s="459">
        <v>401034.88</v>
      </c>
      <c r="AO47" s="459"/>
      <c r="AP47" s="460"/>
      <c r="AQ47" s="459">
        <v>399699.02</v>
      </c>
      <c r="AR47" s="459"/>
      <c r="AS47" s="460"/>
      <c r="AT47" s="459">
        <v>329517.43</v>
      </c>
      <c r="AU47" s="459"/>
      <c r="AV47" s="460"/>
      <c r="AW47" s="461">
        <f t="shared" si="31"/>
        <v>627644.84749999992</v>
      </c>
      <c r="AX47" s="452"/>
      <c r="AY47" s="452"/>
    </row>
    <row r="48" spans="1:51" s="14" customFormat="1">
      <c r="A48" s="133">
        <v>35</v>
      </c>
      <c r="B48" s="14" t="s">
        <v>1367</v>
      </c>
      <c r="C48" s="452" t="s">
        <v>741</v>
      </c>
      <c r="E48" s="452"/>
      <c r="F48" s="453" t="s">
        <v>456</v>
      </c>
      <c r="G48" s="453" t="s">
        <v>187</v>
      </c>
      <c r="H48" s="452"/>
      <c r="I48" s="452"/>
      <c r="J48" s="458">
        <v>145396.82</v>
      </c>
      <c r="K48" s="459"/>
      <c r="L48" s="460"/>
      <c r="M48" s="459">
        <v>148421.38</v>
      </c>
      <c r="N48" s="459"/>
      <c r="O48" s="460"/>
      <c r="P48" s="459">
        <v>128771.35</v>
      </c>
      <c r="Q48" s="459"/>
      <c r="R48" s="460"/>
      <c r="S48" s="459">
        <v>129857.41</v>
      </c>
      <c r="T48" s="459"/>
      <c r="U48" s="460"/>
      <c r="V48" s="459">
        <v>112857.27</v>
      </c>
      <c r="W48" s="459"/>
      <c r="X48" s="460"/>
      <c r="Y48" s="459">
        <v>114490.48</v>
      </c>
      <c r="Z48" s="459"/>
      <c r="AA48" s="460"/>
      <c r="AB48" s="459">
        <v>117214.76</v>
      </c>
      <c r="AC48" s="459"/>
      <c r="AD48" s="460"/>
      <c r="AE48" s="459">
        <v>119154.55</v>
      </c>
      <c r="AF48" s="459"/>
      <c r="AG48" s="460"/>
      <c r="AH48" s="459">
        <v>121273.61</v>
      </c>
      <c r="AI48" s="459"/>
      <c r="AJ48" s="460"/>
      <c r="AK48" s="459">
        <v>120858.67</v>
      </c>
      <c r="AL48" s="459"/>
      <c r="AM48" s="460"/>
      <c r="AN48" s="459">
        <v>120291.11</v>
      </c>
      <c r="AO48" s="459"/>
      <c r="AP48" s="460"/>
      <c r="AQ48" s="459">
        <v>100655.08</v>
      </c>
      <c r="AR48" s="459"/>
      <c r="AS48" s="460"/>
      <c r="AT48" s="459">
        <v>152233.85999999999</v>
      </c>
      <c r="AU48" s="459"/>
      <c r="AV48" s="460"/>
      <c r="AW48" s="461">
        <f t="shared" si="31"/>
        <v>123555.08416666668</v>
      </c>
      <c r="AX48" s="452"/>
      <c r="AY48" s="452"/>
    </row>
    <row r="49" spans="1:51" s="14" customFormat="1">
      <c r="A49" s="133">
        <v>36</v>
      </c>
      <c r="B49" s="14" t="s">
        <v>1368</v>
      </c>
      <c r="C49" s="452" t="s">
        <v>741</v>
      </c>
      <c r="E49" s="452"/>
      <c r="F49" s="453" t="s">
        <v>456</v>
      </c>
      <c r="G49" s="453" t="s">
        <v>988</v>
      </c>
      <c r="H49" s="452"/>
      <c r="I49" s="452"/>
      <c r="J49" s="458">
        <v>-82824.95</v>
      </c>
      <c r="K49" s="459"/>
      <c r="L49" s="460"/>
      <c r="M49" s="459">
        <v>-81863.039999999994</v>
      </c>
      <c r="N49" s="459"/>
      <c r="O49" s="460"/>
      <c r="P49" s="459">
        <v>-80901.16</v>
      </c>
      <c r="Q49" s="459"/>
      <c r="R49" s="460"/>
      <c r="S49" s="459">
        <v>-79939.23</v>
      </c>
      <c r="T49" s="459"/>
      <c r="U49" s="460"/>
      <c r="V49" s="459">
        <v>-78977.33</v>
      </c>
      <c r="W49" s="459"/>
      <c r="X49" s="460"/>
      <c r="Y49" s="459">
        <v>-78015.429999999993</v>
      </c>
      <c r="Z49" s="459"/>
      <c r="AA49" s="460"/>
      <c r="AB49" s="459">
        <v>-77053.539999999994</v>
      </c>
      <c r="AC49" s="459"/>
      <c r="AD49" s="460"/>
      <c r="AE49" s="459">
        <v>-76091.649999999994</v>
      </c>
      <c r="AF49" s="459"/>
      <c r="AG49" s="460"/>
      <c r="AH49" s="459">
        <v>-75129.75</v>
      </c>
      <c r="AI49" s="459"/>
      <c r="AJ49" s="460"/>
      <c r="AK49" s="459">
        <v>-74167.83</v>
      </c>
      <c r="AL49" s="459"/>
      <c r="AM49" s="460"/>
      <c r="AN49" s="459">
        <v>-73205.919999999998</v>
      </c>
      <c r="AO49" s="459"/>
      <c r="AP49" s="460"/>
      <c r="AQ49" s="459">
        <v>-72244.02</v>
      </c>
      <c r="AR49" s="459"/>
      <c r="AS49" s="460"/>
      <c r="AT49" s="459">
        <v>-71282.13</v>
      </c>
      <c r="AU49" s="459"/>
      <c r="AV49" s="460"/>
      <c r="AW49" s="461">
        <f t="shared" si="31"/>
        <v>-77053.536666666667</v>
      </c>
      <c r="AX49" s="452"/>
      <c r="AY49" s="452"/>
    </row>
    <row r="50" spans="1:51" s="14" customFormat="1">
      <c r="A50" s="133">
        <v>37</v>
      </c>
      <c r="B50" s="14" t="s">
        <v>1369</v>
      </c>
      <c r="C50" s="452" t="s">
        <v>741</v>
      </c>
      <c r="E50" s="452"/>
      <c r="F50" s="453" t="s">
        <v>456</v>
      </c>
      <c r="G50" s="453" t="s">
        <v>989</v>
      </c>
      <c r="H50" s="452"/>
      <c r="I50" s="452"/>
      <c r="J50" s="458">
        <v>-314153.82</v>
      </c>
      <c r="K50" s="459"/>
      <c r="L50" s="460"/>
      <c r="M50" s="459">
        <v>-310487.56</v>
      </c>
      <c r="N50" s="459"/>
      <c r="O50" s="460"/>
      <c r="P50" s="459">
        <v>-306821.32</v>
      </c>
      <c r="Q50" s="459"/>
      <c r="R50" s="460"/>
      <c r="S50" s="459">
        <v>-303155.03999999998</v>
      </c>
      <c r="T50" s="459"/>
      <c r="U50" s="460"/>
      <c r="V50" s="459">
        <v>-299488.8</v>
      </c>
      <c r="W50" s="459"/>
      <c r="X50" s="460"/>
      <c r="Y50" s="459">
        <v>-295822.51</v>
      </c>
      <c r="Z50" s="459"/>
      <c r="AA50" s="460"/>
      <c r="AB50" s="459">
        <v>-292156.31</v>
      </c>
      <c r="AC50" s="459"/>
      <c r="AD50" s="460"/>
      <c r="AE50" s="459">
        <v>-288490.09000000003</v>
      </c>
      <c r="AF50" s="459"/>
      <c r="AG50" s="460"/>
      <c r="AH50" s="459">
        <v>-284823.81</v>
      </c>
      <c r="AI50" s="459"/>
      <c r="AJ50" s="460"/>
      <c r="AK50" s="459">
        <v>-281157.56</v>
      </c>
      <c r="AL50" s="459"/>
      <c r="AM50" s="460"/>
      <c r="AN50" s="459">
        <v>-277491.31</v>
      </c>
      <c r="AO50" s="459"/>
      <c r="AP50" s="460"/>
      <c r="AQ50" s="459">
        <v>-273824.98</v>
      </c>
      <c r="AR50" s="459"/>
      <c r="AS50" s="460"/>
      <c r="AT50" s="459">
        <v>-270158.8</v>
      </c>
      <c r="AU50" s="459"/>
      <c r="AV50" s="460"/>
      <c r="AW50" s="461">
        <f t="shared" si="31"/>
        <v>-292156.3</v>
      </c>
      <c r="AX50" s="452"/>
      <c r="AY50" s="452"/>
    </row>
    <row r="51" spans="1:51" s="14" customFormat="1">
      <c r="A51" s="133">
        <v>39</v>
      </c>
      <c r="B51" s="14" t="s">
        <v>1370</v>
      </c>
      <c r="C51" s="452" t="s">
        <v>741</v>
      </c>
      <c r="E51" s="452"/>
      <c r="F51" s="453" t="s">
        <v>456</v>
      </c>
      <c r="G51" s="453" t="s">
        <v>990</v>
      </c>
      <c r="H51" s="452"/>
      <c r="I51" s="452"/>
      <c r="J51" s="458">
        <v>11510145.4</v>
      </c>
      <c r="K51" s="459"/>
      <c r="L51" s="460"/>
      <c r="M51" s="459">
        <v>11507312.039999999</v>
      </c>
      <c r="N51" s="459"/>
      <c r="O51" s="460"/>
      <c r="P51" s="459">
        <v>11493190.75</v>
      </c>
      <c r="Q51" s="459"/>
      <c r="R51" s="460"/>
      <c r="S51" s="459">
        <v>11469718.529999999</v>
      </c>
      <c r="T51" s="459"/>
      <c r="U51" s="460"/>
      <c r="V51" s="459">
        <v>11436977.539999999</v>
      </c>
      <c r="W51" s="459"/>
      <c r="X51" s="460"/>
      <c r="Y51" s="459">
        <v>4785984.6900000004</v>
      </c>
      <c r="Z51" s="459"/>
      <c r="AA51" s="460"/>
      <c r="AB51" s="459">
        <v>4664356.68</v>
      </c>
      <c r="AC51" s="459"/>
      <c r="AD51" s="460"/>
      <c r="AE51" s="459">
        <v>4654083.1500000004</v>
      </c>
      <c r="AF51" s="459"/>
      <c r="AG51" s="460"/>
      <c r="AH51" s="459">
        <v>4633846.72</v>
      </c>
      <c r="AI51" s="459"/>
      <c r="AJ51" s="460"/>
      <c r="AK51" s="459">
        <v>4619999.8499999996</v>
      </c>
      <c r="AL51" s="459"/>
      <c r="AM51" s="460"/>
      <c r="AN51" s="459">
        <v>4581896.46</v>
      </c>
      <c r="AO51" s="459"/>
      <c r="AP51" s="460"/>
      <c r="AQ51" s="459">
        <v>4566634.12</v>
      </c>
      <c r="AR51" s="459"/>
      <c r="AS51" s="460"/>
      <c r="AT51" s="459">
        <v>3764796.5</v>
      </c>
      <c r="AU51" s="459"/>
      <c r="AV51" s="460"/>
      <c r="AW51" s="461">
        <f t="shared" si="31"/>
        <v>7170955.9566666661</v>
      </c>
      <c r="AX51" s="452"/>
      <c r="AY51" s="452"/>
    </row>
    <row r="52" spans="1:51" s="14" customFormat="1">
      <c r="A52" s="133">
        <v>40</v>
      </c>
      <c r="B52" s="14" t="s">
        <v>1371</v>
      </c>
      <c r="C52" s="452" t="s">
        <v>741</v>
      </c>
      <c r="E52" s="452"/>
      <c r="F52" s="453" t="s">
        <v>456</v>
      </c>
      <c r="G52" s="453" t="s">
        <v>1137</v>
      </c>
      <c r="H52" s="452"/>
      <c r="I52" s="452"/>
      <c r="J52" s="462">
        <v>1661184.9</v>
      </c>
      <c r="K52" s="459"/>
      <c r="L52" s="460"/>
      <c r="M52" s="462">
        <v>1695741.01</v>
      </c>
      <c r="N52" s="459"/>
      <c r="O52" s="460"/>
      <c r="P52" s="462">
        <v>1471236.01</v>
      </c>
      <c r="Q52" s="459"/>
      <c r="R52" s="460"/>
      <c r="S52" s="462">
        <v>1483644.41</v>
      </c>
      <c r="T52" s="459"/>
      <c r="U52" s="460"/>
      <c r="V52" s="462">
        <v>1289414.67</v>
      </c>
      <c r="W52" s="459"/>
      <c r="X52" s="460"/>
      <c r="Y52" s="462">
        <v>1308074.3700000001</v>
      </c>
      <c r="Z52" s="459"/>
      <c r="AA52" s="460"/>
      <c r="AB52" s="462">
        <v>1339199.76</v>
      </c>
      <c r="AC52" s="459"/>
      <c r="AD52" s="460"/>
      <c r="AE52" s="462">
        <v>1361362.4</v>
      </c>
      <c r="AF52" s="459"/>
      <c r="AG52" s="460"/>
      <c r="AH52" s="462">
        <v>1385573.15</v>
      </c>
      <c r="AI52" s="459"/>
      <c r="AJ52" s="460"/>
      <c r="AK52" s="462">
        <v>1380832.33</v>
      </c>
      <c r="AL52" s="459"/>
      <c r="AM52" s="460"/>
      <c r="AN52" s="462">
        <v>1374347.93</v>
      </c>
      <c r="AO52" s="459"/>
      <c r="AP52" s="460"/>
      <c r="AQ52" s="462">
        <v>1150002.48</v>
      </c>
      <c r="AR52" s="459"/>
      <c r="AS52" s="460"/>
      <c r="AT52" s="462">
        <v>1739299.2</v>
      </c>
      <c r="AU52" s="459"/>
      <c r="AV52" s="459"/>
      <c r="AW52" s="463">
        <f t="shared" si="31"/>
        <v>1411639.2141666666</v>
      </c>
      <c r="AX52" s="452"/>
      <c r="AY52" s="452"/>
    </row>
    <row r="53" spans="1:51" s="14" customFormat="1">
      <c r="A53" s="133">
        <v>41</v>
      </c>
      <c r="C53" s="452"/>
      <c r="E53" s="452"/>
      <c r="F53" s="452"/>
      <c r="G53" s="452"/>
      <c r="H53" s="452"/>
      <c r="I53" s="452"/>
      <c r="J53" s="458">
        <f>SUM(J45:J52)</f>
        <v>13922509.890000001</v>
      </c>
      <c r="K53" s="459"/>
      <c r="L53" s="460"/>
      <c r="M53" s="459">
        <f>SUM(M45:M52)</f>
        <v>13961673.889999999</v>
      </c>
      <c r="N53" s="459"/>
      <c r="O53" s="459"/>
      <c r="P53" s="459">
        <f>SUM(P45:P52)</f>
        <v>13706826.27</v>
      </c>
      <c r="Q53" s="459"/>
      <c r="R53" s="459"/>
      <c r="S53" s="459">
        <f>SUM(S45:S52)</f>
        <v>13699458.809999999</v>
      </c>
      <c r="T53" s="459"/>
      <c r="U53" s="459"/>
      <c r="V53" s="459">
        <f>SUM(V45:V52)</f>
        <v>13457286.92</v>
      </c>
      <c r="W53" s="459"/>
      <c r="X53" s="459"/>
      <c r="Y53" s="459">
        <f>SUM(Y45:Y52)</f>
        <v>6249117.0300000003</v>
      </c>
      <c r="Z53" s="459"/>
      <c r="AA53" s="459"/>
      <c r="AB53" s="459">
        <f>SUM(AB45:AB52)</f>
        <v>6155357.6799999997</v>
      </c>
      <c r="AC53" s="459"/>
      <c r="AD53" s="459"/>
      <c r="AE53" s="459">
        <f>SUM(AE45:AE52)</f>
        <v>6172952.0300000012</v>
      </c>
      <c r="AF53" s="459"/>
      <c r="AG53" s="459"/>
      <c r="AH53" s="459">
        <f>SUM(AH45:AH52)</f>
        <v>6181938.9100000001</v>
      </c>
      <c r="AI53" s="459"/>
      <c r="AJ53" s="459"/>
      <c r="AK53" s="459">
        <f>SUM(AK45:AK52)</f>
        <v>6166388.9899999993</v>
      </c>
      <c r="AL53" s="459"/>
      <c r="AM53" s="459"/>
      <c r="AN53" s="459">
        <f>SUM(AN45:AN52)</f>
        <v>6122563.29</v>
      </c>
      <c r="AO53" s="459"/>
      <c r="AP53" s="459"/>
      <c r="AQ53" s="459">
        <f>SUM(AQ45:AQ52)</f>
        <v>5866648.3399999999</v>
      </c>
      <c r="AR53" s="459"/>
      <c r="AS53" s="459"/>
      <c r="AT53" s="459">
        <f>SUM(AT45:AT52)</f>
        <v>5640169.1799999997</v>
      </c>
      <c r="AU53" s="459"/>
      <c r="AV53" s="459"/>
      <c r="AW53" s="461">
        <f t="shared" si="31"/>
        <v>8960129.3079166654</v>
      </c>
      <c r="AX53" s="452"/>
      <c r="AY53" s="452"/>
    </row>
    <row r="54" spans="1:51" s="14" customFormat="1">
      <c r="A54" s="133">
        <v>42</v>
      </c>
      <c r="C54" s="452"/>
      <c r="E54" s="452"/>
      <c r="F54" s="452"/>
      <c r="G54" s="452"/>
      <c r="H54" s="452"/>
      <c r="I54" s="452"/>
      <c r="J54" s="458"/>
      <c r="K54" s="459"/>
      <c r="L54" s="460"/>
      <c r="M54" s="459"/>
      <c r="N54" s="459"/>
      <c r="O54" s="460"/>
      <c r="P54" s="459"/>
      <c r="Q54" s="459"/>
      <c r="R54" s="460"/>
      <c r="S54" s="459"/>
      <c r="T54" s="459"/>
      <c r="U54" s="460"/>
      <c r="V54" s="459"/>
      <c r="W54" s="459"/>
      <c r="X54" s="460"/>
      <c r="Y54" s="459"/>
      <c r="Z54" s="459"/>
      <c r="AA54" s="460"/>
      <c r="AB54" s="459"/>
      <c r="AC54" s="459"/>
      <c r="AD54" s="460"/>
      <c r="AE54" s="459"/>
      <c r="AF54" s="459"/>
      <c r="AG54" s="460"/>
      <c r="AH54" s="459"/>
      <c r="AI54" s="459"/>
      <c r="AJ54" s="460"/>
      <c r="AK54" s="459"/>
      <c r="AL54" s="459"/>
      <c r="AM54" s="460"/>
      <c r="AN54" s="459"/>
      <c r="AO54" s="459"/>
      <c r="AP54" s="460"/>
      <c r="AQ54" s="459"/>
      <c r="AR54" s="459"/>
      <c r="AS54" s="460"/>
      <c r="AT54" s="459"/>
      <c r="AU54" s="459"/>
      <c r="AV54" s="460"/>
      <c r="AW54" s="461"/>
      <c r="AX54" s="452"/>
      <c r="AY54" s="452"/>
    </row>
    <row r="55" spans="1:51" s="14" customFormat="1">
      <c r="A55" s="133">
        <v>43</v>
      </c>
      <c r="B55" s="14" t="s">
        <v>1364</v>
      </c>
      <c r="C55" s="452" t="s">
        <v>741</v>
      </c>
      <c r="E55" s="452"/>
      <c r="F55" s="452" t="s">
        <v>628</v>
      </c>
      <c r="G55" s="452" t="s">
        <v>985</v>
      </c>
      <c r="H55" s="452"/>
      <c r="I55" s="452"/>
      <c r="J55" s="458">
        <v>895436.16</v>
      </c>
      <c r="K55" s="459"/>
      <c r="L55" s="460"/>
      <c r="M55" s="459">
        <v>891841.56</v>
      </c>
      <c r="N55" s="459"/>
      <c r="O55" s="460"/>
      <c r="P55" s="459">
        <v>888246.94</v>
      </c>
      <c r="Q55" s="459"/>
      <c r="R55" s="460"/>
      <c r="S55" s="459">
        <v>884652.33</v>
      </c>
      <c r="T55" s="459"/>
      <c r="U55" s="460"/>
      <c r="V55" s="459">
        <v>881057.7</v>
      </c>
      <c r="W55" s="459"/>
      <c r="X55" s="460"/>
      <c r="Y55" s="459">
        <v>877463.1</v>
      </c>
      <c r="Z55" s="459"/>
      <c r="AA55" s="460"/>
      <c r="AB55" s="459">
        <v>873868.48</v>
      </c>
      <c r="AC55" s="459"/>
      <c r="AD55" s="460"/>
      <c r="AE55" s="459">
        <v>870273.95</v>
      </c>
      <c r="AF55" s="459"/>
      <c r="AG55" s="460"/>
      <c r="AH55" s="459">
        <v>866679.33</v>
      </c>
      <c r="AI55" s="459"/>
      <c r="AJ55" s="460"/>
      <c r="AK55" s="459">
        <v>863084.72</v>
      </c>
      <c r="AL55" s="459"/>
      <c r="AM55" s="460"/>
      <c r="AN55" s="459">
        <v>859490.1</v>
      </c>
      <c r="AO55" s="459"/>
      <c r="AP55" s="460"/>
      <c r="AQ55" s="459">
        <v>855502.51</v>
      </c>
      <c r="AR55" s="459"/>
      <c r="AS55" s="460"/>
      <c r="AT55" s="459">
        <v>850011.25</v>
      </c>
      <c r="AU55" s="459"/>
      <c r="AV55" s="460"/>
      <c r="AW55" s="461">
        <f t="shared" si="31"/>
        <v>873740.36874999991</v>
      </c>
      <c r="AX55" s="452"/>
      <c r="AY55" s="452"/>
    </row>
    <row r="56" spans="1:51" s="14" customFormat="1">
      <c r="A56" s="133">
        <v>44</v>
      </c>
      <c r="B56" s="14" t="s">
        <v>1365</v>
      </c>
      <c r="C56" s="452" t="s">
        <v>741</v>
      </c>
      <c r="E56" s="452"/>
      <c r="F56" s="452" t="s">
        <v>628</v>
      </c>
      <c r="G56" s="452" t="s">
        <v>986</v>
      </c>
      <c r="H56" s="452"/>
      <c r="I56" s="452"/>
      <c r="J56" s="458">
        <v>-798533.89</v>
      </c>
      <c r="K56" s="459"/>
      <c r="L56" s="460"/>
      <c r="M56" s="459">
        <v>-793515.04</v>
      </c>
      <c r="N56" s="459"/>
      <c r="O56" s="460"/>
      <c r="P56" s="459">
        <v>-788496.17</v>
      </c>
      <c r="Q56" s="459"/>
      <c r="R56" s="460"/>
      <c r="S56" s="459">
        <v>-783477.27</v>
      </c>
      <c r="T56" s="459"/>
      <c r="U56" s="460"/>
      <c r="V56" s="459">
        <v>-778458.43</v>
      </c>
      <c r="W56" s="459"/>
      <c r="X56" s="460"/>
      <c r="Y56" s="459">
        <v>-773439.56</v>
      </c>
      <c r="Z56" s="459"/>
      <c r="AA56" s="460"/>
      <c r="AB56" s="459">
        <v>-768420.69</v>
      </c>
      <c r="AC56" s="459"/>
      <c r="AD56" s="460"/>
      <c r="AE56" s="459">
        <v>-763401.51</v>
      </c>
      <c r="AF56" s="459"/>
      <c r="AG56" s="460"/>
      <c r="AH56" s="459">
        <v>-758382.62</v>
      </c>
      <c r="AI56" s="459"/>
      <c r="AJ56" s="460"/>
      <c r="AK56" s="459">
        <v>-753363.76</v>
      </c>
      <c r="AL56" s="459"/>
      <c r="AM56" s="460"/>
      <c r="AN56" s="459">
        <v>-748344.91</v>
      </c>
      <c r="AO56" s="459"/>
      <c r="AP56" s="460"/>
      <c r="AQ56" s="459">
        <v>-751585.57</v>
      </c>
      <c r="AR56" s="459"/>
      <c r="AS56" s="460"/>
      <c r="AT56" s="459">
        <v>-748372.32</v>
      </c>
      <c r="AU56" s="459"/>
      <c r="AV56" s="460"/>
      <c r="AW56" s="461">
        <f t="shared" si="31"/>
        <v>-769528.21958333335</v>
      </c>
      <c r="AX56" s="452"/>
      <c r="AY56" s="452"/>
    </row>
    <row r="57" spans="1:51" s="14" customFormat="1">
      <c r="A57" s="133">
        <v>46</v>
      </c>
      <c r="B57" s="14" t="s">
        <v>1366</v>
      </c>
      <c r="C57" s="452" t="s">
        <v>741</v>
      </c>
      <c r="E57" s="452"/>
      <c r="F57" s="452" t="s">
        <v>628</v>
      </c>
      <c r="G57" s="452" t="s">
        <v>987</v>
      </c>
      <c r="H57" s="452"/>
      <c r="I57" s="452"/>
      <c r="J57" s="458">
        <v>492728.47</v>
      </c>
      <c r="K57" s="459"/>
      <c r="L57" s="460"/>
      <c r="M57" s="459">
        <v>491067.3</v>
      </c>
      <c r="N57" s="459"/>
      <c r="O57" s="460"/>
      <c r="P57" s="459">
        <v>491190.19</v>
      </c>
      <c r="Q57" s="459"/>
      <c r="R57" s="460"/>
      <c r="S57" s="459">
        <v>494874.48</v>
      </c>
      <c r="T57" s="459"/>
      <c r="U57" s="460"/>
      <c r="V57" s="459">
        <v>495326.42</v>
      </c>
      <c r="W57" s="459"/>
      <c r="X57" s="460"/>
      <c r="Y57" s="459">
        <v>494892.02</v>
      </c>
      <c r="Z57" s="459"/>
      <c r="AA57" s="460"/>
      <c r="AB57" s="459">
        <v>494416.3</v>
      </c>
      <c r="AC57" s="459"/>
      <c r="AD57" s="460"/>
      <c r="AE57" s="459">
        <v>494046.33</v>
      </c>
      <c r="AF57" s="459"/>
      <c r="AG57" s="460"/>
      <c r="AH57" s="459">
        <v>499096.44</v>
      </c>
      <c r="AI57" s="459"/>
      <c r="AJ57" s="460"/>
      <c r="AK57" s="459">
        <v>500831.95</v>
      </c>
      <c r="AL57" s="459"/>
      <c r="AM57" s="460"/>
      <c r="AN57" s="459">
        <v>501238.35</v>
      </c>
      <c r="AO57" s="459"/>
      <c r="AP57" s="460"/>
      <c r="AQ57" s="459">
        <v>428206.76</v>
      </c>
      <c r="AR57" s="459"/>
      <c r="AS57" s="460"/>
      <c r="AT57" s="459">
        <v>505732.86</v>
      </c>
      <c r="AU57" s="459"/>
      <c r="AV57" s="460"/>
      <c r="AW57" s="461">
        <f t="shared" si="31"/>
        <v>490368.1004166666</v>
      </c>
      <c r="AX57" s="452"/>
      <c r="AY57" s="452"/>
    </row>
    <row r="58" spans="1:51" s="14" customFormat="1">
      <c r="A58" s="133">
        <v>47</v>
      </c>
      <c r="B58" s="14" t="s">
        <v>1367</v>
      </c>
      <c r="C58" s="452" t="s">
        <v>741</v>
      </c>
      <c r="E58" s="452"/>
      <c r="F58" s="452" t="s">
        <v>628</v>
      </c>
      <c r="G58" s="452" t="s">
        <v>187</v>
      </c>
      <c r="H58" s="452"/>
      <c r="I58" s="452"/>
      <c r="J58" s="458">
        <v>0</v>
      </c>
      <c r="K58" s="459"/>
      <c r="L58" s="460"/>
      <c r="M58" s="459">
        <v>0</v>
      </c>
      <c r="N58" s="459"/>
      <c r="O58" s="460"/>
      <c r="P58" s="459">
        <v>0</v>
      </c>
      <c r="Q58" s="459"/>
      <c r="R58" s="460"/>
      <c r="S58" s="459">
        <v>0</v>
      </c>
      <c r="T58" s="459"/>
      <c r="U58" s="460"/>
      <c r="V58" s="459">
        <v>0</v>
      </c>
      <c r="W58" s="459"/>
      <c r="X58" s="460"/>
      <c r="Y58" s="459">
        <v>0</v>
      </c>
      <c r="Z58" s="459"/>
      <c r="AA58" s="460"/>
      <c r="AB58" s="459">
        <v>0</v>
      </c>
      <c r="AC58" s="459"/>
      <c r="AD58" s="460"/>
      <c r="AE58" s="459">
        <v>0</v>
      </c>
      <c r="AF58" s="459"/>
      <c r="AG58" s="460"/>
      <c r="AH58" s="459">
        <v>0</v>
      </c>
      <c r="AI58" s="459"/>
      <c r="AJ58" s="460"/>
      <c r="AK58" s="459">
        <v>0</v>
      </c>
      <c r="AL58" s="459"/>
      <c r="AM58" s="460"/>
      <c r="AN58" s="459">
        <v>0</v>
      </c>
      <c r="AO58" s="459"/>
      <c r="AP58" s="460"/>
      <c r="AQ58" s="459">
        <v>0</v>
      </c>
      <c r="AR58" s="459"/>
      <c r="AS58" s="460"/>
      <c r="AT58" s="459">
        <v>0</v>
      </c>
      <c r="AU58" s="459"/>
      <c r="AV58" s="460"/>
      <c r="AW58" s="461">
        <f t="shared" si="31"/>
        <v>0</v>
      </c>
      <c r="AX58" s="452"/>
      <c r="AY58" s="452"/>
    </row>
    <row r="59" spans="1:51" s="14" customFormat="1">
      <c r="A59" s="133">
        <v>48</v>
      </c>
      <c r="B59" s="14" t="s">
        <v>1368</v>
      </c>
      <c r="C59" s="452" t="s">
        <v>741</v>
      </c>
      <c r="E59" s="452"/>
      <c r="F59" s="452" t="s">
        <v>628</v>
      </c>
      <c r="G59" s="452" t="s">
        <v>988</v>
      </c>
      <c r="H59" s="452"/>
      <c r="I59" s="452"/>
      <c r="J59" s="458">
        <v>10230519.77</v>
      </c>
      <c r="K59" s="459"/>
      <c r="L59" s="460"/>
      <c r="M59" s="459">
        <v>10189450.65</v>
      </c>
      <c r="N59" s="459"/>
      <c r="O59" s="460"/>
      <c r="P59" s="459">
        <v>10148381.529999999</v>
      </c>
      <c r="Q59" s="459"/>
      <c r="R59" s="460"/>
      <c r="S59" s="459">
        <v>10107312.4</v>
      </c>
      <c r="T59" s="459"/>
      <c r="U59" s="460"/>
      <c r="V59" s="459">
        <v>10066243.27</v>
      </c>
      <c r="W59" s="459"/>
      <c r="X59" s="460"/>
      <c r="Y59" s="459">
        <v>10025174.17</v>
      </c>
      <c r="Z59" s="459"/>
      <c r="AA59" s="460"/>
      <c r="AB59" s="459">
        <v>9984105.0199999996</v>
      </c>
      <c r="AC59" s="459"/>
      <c r="AD59" s="460"/>
      <c r="AE59" s="459">
        <v>9943036.9100000001</v>
      </c>
      <c r="AF59" s="459"/>
      <c r="AG59" s="460"/>
      <c r="AH59" s="459">
        <v>9901967.7899999991</v>
      </c>
      <c r="AI59" s="459"/>
      <c r="AJ59" s="460"/>
      <c r="AK59" s="459">
        <v>9860898.6600000001</v>
      </c>
      <c r="AL59" s="459"/>
      <c r="AM59" s="460"/>
      <c r="AN59" s="459">
        <v>9819829.5399999991</v>
      </c>
      <c r="AO59" s="459"/>
      <c r="AP59" s="460"/>
      <c r="AQ59" s="459">
        <v>9774270.3900000006</v>
      </c>
      <c r="AR59" s="459"/>
      <c r="AS59" s="460"/>
      <c r="AT59" s="459">
        <v>9711531.8900000006</v>
      </c>
      <c r="AU59" s="459"/>
      <c r="AV59" s="460"/>
      <c r="AW59" s="461">
        <f t="shared" si="31"/>
        <v>9982641.3466666639</v>
      </c>
      <c r="AX59" s="452"/>
      <c r="AY59" s="452"/>
    </row>
    <row r="60" spans="1:51" s="14" customFormat="1">
      <c r="A60" s="133">
        <v>49</v>
      </c>
      <c r="B60" s="14" t="s">
        <v>1369</v>
      </c>
      <c r="C60" s="452" t="s">
        <v>741</v>
      </c>
      <c r="E60" s="452"/>
      <c r="F60" s="452" t="s">
        <v>628</v>
      </c>
      <c r="G60" s="452" t="s">
        <v>989</v>
      </c>
      <c r="H60" s="452"/>
      <c r="I60" s="452"/>
      <c r="J60" s="458">
        <v>39297042.920000002</v>
      </c>
      <c r="K60" s="459"/>
      <c r="L60" s="460"/>
      <c r="M60" s="459">
        <v>39137349.799999997</v>
      </c>
      <c r="N60" s="459"/>
      <c r="O60" s="460"/>
      <c r="P60" s="459">
        <v>38977656.649999999</v>
      </c>
      <c r="Q60" s="459"/>
      <c r="R60" s="460"/>
      <c r="S60" s="459">
        <v>38817963.509999998</v>
      </c>
      <c r="T60" s="459"/>
      <c r="U60" s="460"/>
      <c r="V60" s="459">
        <v>38658270.439999998</v>
      </c>
      <c r="W60" s="459"/>
      <c r="X60" s="460"/>
      <c r="Y60" s="459">
        <v>38498577.340000004</v>
      </c>
      <c r="Z60" s="459"/>
      <c r="AA60" s="460"/>
      <c r="AB60" s="459">
        <v>38338884.200000003</v>
      </c>
      <c r="AC60" s="459"/>
      <c r="AD60" s="460"/>
      <c r="AE60" s="459">
        <v>38179194.590000004</v>
      </c>
      <c r="AF60" s="459"/>
      <c r="AG60" s="460"/>
      <c r="AH60" s="459">
        <v>38019501.460000001</v>
      </c>
      <c r="AI60" s="459"/>
      <c r="AJ60" s="460"/>
      <c r="AK60" s="459">
        <v>37859808.329999998</v>
      </c>
      <c r="AL60" s="459"/>
      <c r="AM60" s="460"/>
      <c r="AN60" s="459">
        <v>37700115.229999997</v>
      </c>
      <c r="AO60" s="459"/>
      <c r="AP60" s="460"/>
      <c r="AQ60" s="459">
        <v>37530125.719999999</v>
      </c>
      <c r="AR60" s="459"/>
      <c r="AS60" s="460"/>
      <c r="AT60" s="459">
        <v>37290719.920000002</v>
      </c>
      <c r="AU60" s="459"/>
      <c r="AV60" s="460"/>
      <c r="AW60" s="461">
        <f t="shared" si="31"/>
        <v>38334277.390833333</v>
      </c>
      <c r="AX60" s="452"/>
      <c r="AY60" s="452"/>
    </row>
    <row r="61" spans="1:51" s="14" customFormat="1">
      <c r="A61" s="133">
        <v>51</v>
      </c>
      <c r="B61" s="14" t="s">
        <v>1370</v>
      </c>
      <c r="C61" s="452" t="s">
        <v>741</v>
      </c>
      <c r="E61" s="452"/>
      <c r="F61" s="452" t="s">
        <v>628</v>
      </c>
      <c r="G61" s="452" t="s">
        <v>990</v>
      </c>
      <c r="H61" s="452"/>
      <c r="I61" s="452"/>
      <c r="J61" s="458">
        <v>347877.73</v>
      </c>
      <c r="K61" s="459"/>
      <c r="L61" s="460"/>
      <c r="M61" s="459">
        <v>328898.68</v>
      </c>
      <c r="N61" s="459"/>
      <c r="O61" s="460"/>
      <c r="P61" s="459">
        <v>330302.68</v>
      </c>
      <c r="Q61" s="459"/>
      <c r="R61" s="460"/>
      <c r="S61" s="459">
        <v>372396.35</v>
      </c>
      <c r="T61" s="459"/>
      <c r="U61" s="460"/>
      <c r="V61" s="459">
        <v>377559.63</v>
      </c>
      <c r="W61" s="459"/>
      <c r="X61" s="460"/>
      <c r="Y61" s="459">
        <v>372596.72</v>
      </c>
      <c r="Z61" s="459"/>
      <c r="AA61" s="460"/>
      <c r="AB61" s="459">
        <v>367161.58</v>
      </c>
      <c r="AC61" s="459"/>
      <c r="AD61" s="460"/>
      <c r="AE61" s="459">
        <v>362934.5</v>
      </c>
      <c r="AF61" s="459"/>
      <c r="AG61" s="460"/>
      <c r="AH61" s="459">
        <v>420633.06</v>
      </c>
      <c r="AI61" s="459"/>
      <c r="AJ61" s="460"/>
      <c r="AK61" s="459">
        <v>440461.47</v>
      </c>
      <c r="AL61" s="459"/>
      <c r="AM61" s="460"/>
      <c r="AN61" s="459">
        <v>445104.75</v>
      </c>
      <c r="AO61" s="459"/>
      <c r="AP61" s="460"/>
      <c r="AQ61" s="459">
        <v>-389294.49</v>
      </c>
      <c r="AR61" s="459"/>
      <c r="AS61" s="460"/>
      <c r="AT61" s="459">
        <v>496455.14</v>
      </c>
      <c r="AU61" s="459"/>
      <c r="AV61" s="460"/>
      <c r="AW61" s="461">
        <f t="shared" si="31"/>
        <v>320910.11374999996</v>
      </c>
      <c r="AX61" s="452"/>
      <c r="AY61" s="452"/>
    </row>
    <row r="62" spans="1:51" s="14" customFormat="1">
      <c r="A62" s="133">
        <v>52</v>
      </c>
      <c r="B62" s="14" t="s">
        <v>1371</v>
      </c>
      <c r="C62" s="452" t="s">
        <v>741</v>
      </c>
      <c r="E62" s="452"/>
      <c r="F62" s="452" t="s">
        <v>628</v>
      </c>
      <c r="G62" s="452" t="s">
        <v>1137</v>
      </c>
      <c r="H62" s="452"/>
      <c r="I62" s="452"/>
      <c r="J62" s="462">
        <v>0</v>
      </c>
      <c r="K62" s="459"/>
      <c r="L62" s="460"/>
      <c r="M62" s="458">
        <v>0</v>
      </c>
      <c r="N62" s="459"/>
      <c r="O62" s="460"/>
      <c r="P62" s="462">
        <v>0</v>
      </c>
      <c r="Q62" s="459"/>
      <c r="R62" s="460"/>
      <c r="S62" s="462">
        <v>0</v>
      </c>
      <c r="T62" s="459"/>
      <c r="U62" s="460"/>
      <c r="V62" s="462">
        <v>0</v>
      </c>
      <c r="W62" s="459"/>
      <c r="X62" s="460"/>
      <c r="Y62" s="462">
        <v>0</v>
      </c>
      <c r="Z62" s="459"/>
      <c r="AA62" s="460"/>
      <c r="AB62" s="462">
        <v>0</v>
      </c>
      <c r="AC62" s="459"/>
      <c r="AD62" s="460"/>
      <c r="AE62" s="462">
        <v>0</v>
      </c>
      <c r="AF62" s="459"/>
      <c r="AG62" s="460"/>
      <c r="AH62" s="462">
        <v>0</v>
      </c>
      <c r="AI62" s="459"/>
      <c r="AJ62" s="460"/>
      <c r="AK62" s="462">
        <v>0</v>
      </c>
      <c r="AL62" s="459"/>
      <c r="AM62" s="460"/>
      <c r="AN62" s="462">
        <v>0</v>
      </c>
      <c r="AO62" s="459"/>
      <c r="AP62" s="460"/>
      <c r="AQ62" s="462">
        <v>0</v>
      </c>
      <c r="AR62" s="459"/>
      <c r="AS62" s="460"/>
      <c r="AT62" s="462">
        <v>0</v>
      </c>
      <c r="AU62" s="459"/>
      <c r="AV62" s="460"/>
      <c r="AW62" s="464">
        <f t="shared" si="31"/>
        <v>0</v>
      </c>
      <c r="AX62" s="452"/>
      <c r="AY62" s="452"/>
    </row>
    <row r="63" spans="1:51" s="14" customFormat="1">
      <c r="A63" s="133">
        <v>53</v>
      </c>
      <c r="C63" s="452"/>
      <c r="E63" s="452"/>
      <c r="F63" s="452"/>
      <c r="G63" s="452"/>
      <c r="H63" s="452"/>
      <c r="I63" s="452"/>
      <c r="J63" s="458">
        <f>SUM(J55:J62)</f>
        <v>50465071.159999996</v>
      </c>
      <c r="K63" s="459"/>
      <c r="L63" s="459"/>
      <c r="M63" s="465">
        <f>SUM(M55:M62)</f>
        <v>50245092.949999996</v>
      </c>
      <c r="N63" s="459"/>
      <c r="O63" s="459"/>
      <c r="P63" s="459">
        <f>SUM(P55:P62)</f>
        <v>50047281.82</v>
      </c>
      <c r="Q63" s="459"/>
      <c r="R63" s="459"/>
      <c r="S63" s="459">
        <f>SUM(S55:S62)</f>
        <v>49893721.799999997</v>
      </c>
      <c r="T63" s="459"/>
      <c r="U63" s="459"/>
      <c r="V63" s="459">
        <f>SUM(V55:V62)</f>
        <v>49699999.030000001</v>
      </c>
      <c r="W63" s="459"/>
      <c r="X63" s="459"/>
      <c r="Y63" s="459">
        <f>SUM(Y55:Y62)</f>
        <v>49495263.790000007</v>
      </c>
      <c r="Z63" s="459"/>
      <c r="AA63" s="459"/>
      <c r="AB63" s="459">
        <f>SUM(AB55:AB62)</f>
        <v>49290014.890000001</v>
      </c>
      <c r="AC63" s="459"/>
      <c r="AD63" s="459"/>
      <c r="AE63" s="459">
        <f>SUM(AE55:AE62)</f>
        <v>49086084.770000003</v>
      </c>
      <c r="AF63" s="459"/>
      <c r="AG63" s="459"/>
      <c r="AH63" s="459">
        <f>SUM(AH55:AH62)</f>
        <v>48949495.460000001</v>
      </c>
      <c r="AI63" s="459"/>
      <c r="AJ63" s="459"/>
      <c r="AK63" s="459">
        <f>SUM(AK55:AK62)</f>
        <v>48771721.369999997</v>
      </c>
      <c r="AL63" s="459"/>
      <c r="AM63" s="459"/>
      <c r="AN63" s="459">
        <f>SUM(AN55:AN62)</f>
        <v>48577433.059999995</v>
      </c>
      <c r="AO63" s="459"/>
      <c r="AP63" s="459"/>
      <c r="AQ63" s="459">
        <f>SUM(AQ55:AQ62)</f>
        <v>47447225.32</v>
      </c>
      <c r="AR63" s="459"/>
      <c r="AS63" s="459"/>
      <c r="AT63" s="459">
        <f>SUM(AT55:AT62)</f>
        <v>48106078.740000002</v>
      </c>
      <c r="AU63" s="459"/>
      <c r="AV63" s="459"/>
      <c r="AW63" s="461">
        <f>SUM(AW55:AW62)</f>
        <v>49232409.100833334</v>
      </c>
      <c r="AX63" s="452"/>
      <c r="AY63" s="452"/>
    </row>
    <row r="64" spans="1:51" s="14" customFormat="1">
      <c r="A64" s="133">
        <v>54</v>
      </c>
      <c r="C64" s="452"/>
      <c r="E64" s="452"/>
      <c r="F64" s="452"/>
      <c r="G64" s="452"/>
      <c r="H64" s="452"/>
      <c r="I64" s="452"/>
      <c r="J64" s="458"/>
      <c r="K64" s="459"/>
      <c r="L64" s="460"/>
      <c r="M64" s="459"/>
      <c r="N64" s="459"/>
      <c r="O64" s="460"/>
      <c r="P64" s="459"/>
      <c r="Q64" s="459"/>
      <c r="R64" s="460"/>
      <c r="S64" s="459"/>
      <c r="T64" s="459"/>
      <c r="U64" s="460"/>
      <c r="V64" s="459"/>
      <c r="W64" s="459"/>
      <c r="X64" s="460"/>
      <c r="Y64" s="459"/>
      <c r="Z64" s="459"/>
      <c r="AA64" s="460"/>
      <c r="AB64" s="459"/>
      <c r="AC64" s="459"/>
      <c r="AD64" s="460"/>
      <c r="AE64" s="459"/>
      <c r="AF64" s="459"/>
      <c r="AG64" s="460"/>
      <c r="AH64" s="459"/>
      <c r="AI64" s="459"/>
      <c r="AJ64" s="460"/>
      <c r="AK64" s="459"/>
      <c r="AL64" s="459"/>
      <c r="AM64" s="460"/>
      <c r="AN64" s="459"/>
      <c r="AO64" s="459"/>
      <c r="AP64" s="460"/>
      <c r="AQ64" s="459"/>
      <c r="AR64" s="459"/>
      <c r="AS64" s="460"/>
      <c r="AT64" s="459"/>
      <c r="AU64" s="459"/>
      <c r="AV64" s="460"/>
      <c r="AW64" s="461"/>
      <c r="AX64" s="452"/>
      <c r="AY64" s="452"/>
    </row>
    <row r="65" spans="1:51" s="14" customFormat="1">
      <c r="A65" s="133">
        <v>55</v>
      </c>
      <c r="B65" s="14" t="s">
        <v>1364</v>
      </c>
      <c r="C65" s="452" t="s">
        <v>741</v>
      </c>
      <c r="E65" s="452"/>
      <c r="F65" s="452" t="s">
        <v>629</v>
      </c>
      <c r="G65" s="452" t="s">
        <v>985</v>
      </c>
      <c r="H65" s="452"/>
      <c r="I65" s="459"/>
      <c r="J65" s="458">
        <v>167522.1</v>
      </c>
      <c r="K65" s="459"/>
      <c r="L65" s="460"/>
      <c r="M65" s="459">
        <v>165691.44</v>
      </c>
      <c r="N65" s="459"/>
      <c r="O65" s="460"/>
      <c r="P65" s="459">
        <v>163860.78</v>
      </c>
      <c r="Q65" s="459"/>
      <c r="R65" s="460"/>
      <c r="S65" s="459">
        <v>162030.10999999999</v>
      </c>
      <c r="T65" s="459"/>
      <c r="U65" s="460"/>
      <c r="V65" s="459">
        <v>160199.45000000001</v>
      </c>
      <c r="W65" s="459"/>
      <c r="X65" s="460"/>
      <c r="Y65" s="459">
        <v>158368.76999999999</v>
      </c>
      <c r="Z65" s="459"/>
      <c r="AA65" s="460"/>
      <c r="AB65" s="459">
        <v>156538.10999999999</v>
      </c>
      <c r="AC65" s="459"/>
      <c r="AD65" s="460"/>
      <c r="AE65" s="459">
        <v>154707.46</v>
      </c>
      <c r="AF65" s="459"/>
      <c r="AG65" s="460"/>
      <c r="AH65" s="459">
        <v>152876.79</v>
      </c>
      <c r="AI65" s="459"/>
      <c r="AJ65" s="460"/>
      <c r="AK65" s="459">
        <v>151046.13</v>
      </c>
      <c r="AL65" s="459"/>
      <c r="AM65" s="460"/>
      <c r="AN65" s="459">
        <v>149215.47</v>
      </c>
      <c r="AO65" s="459"/>
      <c r="AP65" s="460"/>
      <c r="AQ65" s="459">
        <v>147384.79999999999</v>
      </c>
      <c r="AR65" s="459"/>
      <c r="AS65" s="460"/>
      <c r="AT65" s="459">
        <v>145554.14000000001</v>
      </c>
      <c r="AU65" s="459"/>
      <c r="AV65" s="460"/>
      <c r="AW65" s="461">
        <f t="shared" si="31"/>
        <v>156538.11916666667</v>
      </c>
      <c r="AX65" s="452"/>
      <c r="AY65" s="452"/>
    </row>
    <row r="66" spans="1:51" s="14" customFormat="1">
      <c r="A66" s="133">
        <v>56</v>
      </c>
      <c r="B66" s="14" t="s">
        <v>1365</v>
      </c>
      <c r="C66" s="452" t="s">
        <v>741</v>
      </c>
      <c r="E66" s="452"/>
      <c r="F66" s="452" t="s">
        <v>629</v>
      </c>
      <c r="G66" s="452" t="s">
        <v>986</v>
      </c>
      <c r="H66" s="452"/>
      <c r="I66" s="459"/>
      <c r="J66" s="458">
        <v>-94506.66</v>
      </c>
      <c r="K66" s="459"/>
      <c r="L66" s="460"/>
      <c r="M66" s="459">
        <v>-92537.75</v>
      </c>
      <c r="N66" s="459"/>
      <c r="O66" s="460"/>
      <c r="P66" s="459">
        <v>-90568.86</v>
      </c>
      <c r="Q66" s="459"/>
      <c r="R66" s="460"/>
      <c r="S66" s="459">
        <v>-88599.98</v>
      </c>
      <c r="T66" s="459"/>
      <c r="U66" s="460"/>
      <c r="V66" s="459">
        <v>-86631.06</v>
      </c>
      <c r="W66" s="459"/>
      <c r="X66" s="460"/>
      <c r="Y66" s="459">
        <v>-84662.19</v>
      </c>
      <c r="Z66" s="459"/>
      <c r="AA66" s="460"/>
      <c r="AB66" s="459">
        <v>-82693.31</v>
      </c>
      <c r="AC66" s="459"/>
      <c r="AD66" s="460"/>
      <c r="AE66" s="459">
        <v>-80724.41</v>
      </c>
      <c r="AF66" s="459"/>
      <c r="AG66" s="460"/>
      <c r="AH66" s="459">
        <v>-78755.520000000004</v>
      </c>
      <c r="AI66" s="459"/>
      <c r="AJ66" s="460"/>
      <c r="AK66" s="459">
        <v>-76786.63</v>
      </c>
      <c r="AL66" s="459"/>
      <c r="AM66" s="460"/>
      <c r="AN66" s="459">
        <v>-74817.77</v>
      </c>
      <c r="AO66" s="459"/>
      <c r="AP66" s="460"/>
      <c r="AQ66" s="459">
        <v>-72848.850000000006</v>
      </c>
      <c r="AR66" s="459"/>
      <c r="AS66" s="460"/>
      <c r="AT66" s="459">
        <v>-70879.97</v>
      </c>
      <c r="AU66" s="459"/>
      <c r="AV66" s="460"/>
      <c r="AW66" s="461">
        <f t="shared" si="31"/>
        <v>-82693.303750000006</v>
      </c>
      <c r="AX66" s="452"/>
      <c r="AY66" s="452"/>
    </row>
    <row r="67" spans="1:51" s="14" customFormat="1">
      <c r="A67" s="133">
        <v>58</v>
      </c>
      <c r="B67" s="14" t="s">
        <v>1366</v>
      </c>
      <c r="C67" s="452" t="s">
        <v>741</v>
      </c>
      <c r="E67" s="452"/>
      <c r="F67" s="452" t="s">
        <v>629</v>
      </c>
      <c r="G67" s="452" t="s">
        <v>987</v>
      </c>
      <c r="H67" s="452"/>
      <c r="I67" s="459"/>
      <c r="J67" s="458">
        <v>-3065780.91</v>
      </c>
      <c r="K67" s="459"/>
      <c r="L67" s="460"/>
      <c r="M67" s="459">
        <v>-3181548.37</v>
      </c>
      <c r="N67" s="459"/>
      <c r="O67" s="460"/>
      <c r="P67" s="459">
        <v>-3564694.16</v>
      </c>
      <c r="Q67" s="459"/>
      <c r="R67" s="460"/>
      <c r="S67" s="459">
        <v>-3952969.04</v>
      </c>
      <c r="T67" s="459"/>
      <c r="U67" s="460"/>
      <c r="V67" s="459">
        <v>-3937409.17</v>
      </c>
      <c r="W67" s="459"/>
      <c r="X67" s="460"/>
      <c r="Y67" s="459">
        <v>-3324360.74</v>
      </c>
      <c r="Z67" s="459"/>
      <c r="AA67" s="460"/>
      <c r="AB67" s="459">
        <v>-3364355.18</v>
      </c>
      <c r="AC67" s="459"/>
      <c r="AD67" s="460"/>
      <c r="AE67" s="459">
        <v>-3430173.01</v>
      </c>
      <c r="AF67" s="459"/>
      <c r="AG67" s="460"/>
      <c r="AH67" s="459">
        <v>-3503736.18</v>
      </c>
      <c r="AI67" s="459"/>
      <c r="AJ67" s="460"/>
      <c r="AK67" s="459">
        <v>-3380958.09</v>
      </c>
      <c r="AL67" s="459"/>
      <c r="AM67" s="460"/>
      <c r="AN67" s="459">
        <v>-3390779.09</v>
      </c>
      <c r="AO67" s="459"/>
      <c r="AP67" s="460"/>
      <c r="AQ67" s="459">
        <v>-3320611.22</v>
      </c>
      <c r="AR67" s="459"/>
      <c r="AS67" s="460"/>
      <c r="AT67" s="459">
        <v>-3272468.91</v>
      </c>
      <c r="AU67" s="459"/>
      <c r="AV67" s="460"/>
      <c r="AW67" s="461">
        <f t="shared" si="31"/>
        <v>-3460059.9299999997</v>
      </c>
      <c r="AX67" s="452"/>
      <c r="AY67" s="452"/>
    </row>
    <row r="68" spans="1:51" s="14" customFormat="1">
      <c r="A68" s="133">
        <v>59</v>
      </c>
      <c r="B68" s="14" t="s">
        <v>1367</v>
      </c>
      <c r="C68" s="452" t="s">
        <v>741</v>
      </c>
      <c r="E68" s="452"/>
      <c r="F68" s="452" t="s">
        <v>629</v>
      </c>
      <c r="G68" s="452" t="s">
        <v>187</v>
      </c>
      <c r="H68" s="452"/>
      <c r="I68" s="459"/>
      <c r="J68" s="458">
        <v>0</v>
      </c>
      <c r="K68" s="459"/>
      <c r="L68" s="460"/>
      <c r="M68" s="459">
        <v>0</v>
      </c>
      <c r="N68" s="459"/>
      <c r="O68" s="460"/>
      <c r="P68" s="459">
        <v>0</v>
      </c>
      <c r="Q68" s="459"/>
      <c r="R68" s="460"/>
      <c r="S68" s="459">
        <v>0</v>
      </c>
      <c r="T68" s="459"/>
      <c r="U68" s="460"/>
      <c r="V68" s="459">
        <v>0</v>
      </c>
      <c r="W68" s="459"/>
      <c r="X68" s="460"/>
      <c r="Y68" s="459">
        <v>0</v>
      </c>
      <c r="Z68" s="459"/>
      <c r="AA68" s="460"/>
      <c r="AB68" s="459">
        <v>0</v>
      </c>
      <c r="AC68" s="459"/>
      <c r="AD68" s="460"/>
      <c r="AE68" s="459">
        <v>0</v>
      </c>
      <c r="AF68" s="459"/>
      <c r="AG68" s="460"/>
      <c r="AH68" s="459">
        <v>0</v>
      </c>
      <c r="AI68" s="459"/>
      <c r="AJ68" s="460"/>
      <c r="AK68" s="459">
        <v>0</v>
      </c>
      <c r="AL68" s="459"/>
      <c r="AM68" s="460"/>
      <c r="AN68" s="459">
        <v>0</v>
      </c>
      <c r="AO68" s="459"/>
      <c r="AP68" s="460"/>
      <c r="AQ68" s="459">
        <v>0</v>
      </c>
      <c r="AR68" s="459"/>
      <c r="AS68" s="460"/>
      <c r="AT68" s="459">
        <v>0</v>
      </c>
      <c r="AU68" s="459"/>
      <c r="AV68" s="460"/>
      <c r="AW68" s="461">
        <f t="shared" si="31"/>
        <v>0</v>
      </c>
      <c r="AX68" s="452"/>
      <c r="AY68" s="452"/>
    </row>
    <row r="69" spans="1:51" s="14" customFormat="1">
      <c r="A69" s="133">
        <v>60</v>
      </c>
      <c r="B69" s="14" t="s">
        <v>1368</v>
      </c>
      <c r="C69" s="452" t="s">
        <v>741</v>
      </c>
      <c r="E69" s="452"/>
      <c r="F69" s="452" t="s">
        <v>629</v>
      </c>
      <c r="G69" s="452" t="s">
        <v>988</v>
      </c>
      <c r="H69" s="452"/>
      <c r="I69" s="459"/>
      <c r="J69" s="458">
        <v>1913970.3</v>
      </c>
      <c r="K69" s="459"/>
      <c r="L69" s="460"/>
      <c r="M69" s="459">
        <v>1893054.62</v>
      </c>
      <c r="N69" s="459"/>
      <c r="O69" s="459"/>
      <c r="P69" s="458">
        <v>1872138.94</v>
      </c>
      <c r="Q69" s="459"/>
      <c r="R69" s="460"/>
      <c r="S69" s="459">
        <v>1851223.29</v>
      </c>
      <c r="T69" s="459"/>
      <c r="U69" s="460"/>
      <c r="V69" s="459">
        <v>1830307.64</v>
      </c>
      <c r="W69" s="459"/>
      <c r="X69" s="460"/>
      <c r="Y69" s="459">
        <v>1809391.99</v>
      </c>
      <c r="Z69" s="459"/>
      <c r="AA69" s="460"/>
      <c r="AB69" s="459">
        <v>1788476.31</v>
      </c>
      <c r="AC69" s="459"/>
      <c r="AD69" s="460"/>
      <c r="AE69" s="459">
        <v>1767560.66</v>
      </c>
      <c r="AF69" s="459"/>
      <c r="AG69" s="460"/>
      <c r="AH69" s="459">
        <v>1746645</v>
      </c>
      <c r="AI69" s="459"/>
      <c r="AJ69" s="460"/>
      <c r="AK69" s="459">
        <v>1725729.32</v>
      </c>
      <c r="AL69" s="459"/>
      <c r="AM69" s="460"/>
      <c r="AN69" s="459">
        <v>1704813.64</v>
      </c>
      <c r="AO69" s="459"/>
      <c r="AP69" s="460"/>
      <c r="AQ69" s="459">
        <v>1683897.97</v>
      </c>
      <c r="AR69" s="459"/>
      <c r="AS69" s="459"/>
      <c r="AT69" s="458">
        <v>1662982.3</v>
      </c>
      <c r="AU69" s="459"/>
      <c r="AV69" s="460"/>
      <c r="AW69" s="461">
        <f t="shared" si="31"/>
        <v>1788476.3066666666</v>
      </c>
      <c r="AX69" s="452"/>
      <c r="AY69" s="452"/>
    </row>
    <row r="70" spans="1:51" s="14" customFormat="1">
      <c r="A70" s="133">
        <v>61</v>
      </c>
      <c r="B70" s="14" t="s">
        <v>1369</v>
      </c>
      <c r="C70" s="452" t="s">
        <v>741</v>
      </c>
      <c r="E70" s="452"/>
      <c r="F70" s="452" t="s">
        <v>629</v>
      </c>
      <c r="G70" s="452" t="s">
        <v>989</v>
      </c>
      <c r="H70" s="452"/>
      <c r="I70" s="459"/>
      <c r="J70" s="458">
        <v>7294680.6500000004</v>
      </c>
      <c r="K70" s="459"/>
      <c r="L70" s="460"/>
      <c r="M70" s="459">
        <v>7214029.0300000003</v>
      </c>
      <c r="N70" s="459"/>
      <c r="O70" s="459"/>
      <c r="P70" s="458">
        <v>7133377.3700000001</v>
      </c>
      <c r="Q70" s="459"/>
      <c r="R70" s="460"/>
      <c r="S70" s="459">
        <v>7052725.7300000004</v>
      </c>
      <c r="T70" s="459"/>
      <c r="U70" s="460"/>
      <c r="V70" s="459">
        <v>6972074.0999999996</v>
      </c>
      <c r="W70" s="459"/>
      <c r="X70" s="460"/>
      <c r="Y70" s="459">
        <v>6891422.5099999998</v>
      </c>
      <c r="Z70" s="459"/>
      <c r="AA70" s="460"/>
      <c r="AB70" s="459">
        <v>6810770.9199999999</v>
      </c>
      <c r="AC70" s="459"/>
      <c r="AD70" s="460"/>
      <c r="AE70" s="459">
        <v>6730119.3099999996</v>
      </c>
      <c r="AF70" s="459"/>
      <c r="AG70" s="460"/>
      <c r="AH70" s="459">
        <v>6649467.6600000001</v>
      </c>
      <c r="AI70" s="459"/>
      <c r="AJ70" s="460"/>
      <c r="AK70" s="459">
        <v>6568816.04</v>
      </c>
      <c r="AL70" s="459"/>
      <c r="AM70" s="460"/>
      <c r="AN70" s="459">
        <v>6488164.3399999999</v>
      </c>
      <c r="AO70" s="459"/>
      <c r="AP70" s="460"/>
      <c r="AQ70" s="459">
        <v>6407512.7000000002</v>
      </c>
      <c r="AR70" s="459"/>
      <c r="AS70" s="459"/>
      <c r="AT70" s="458">
        <v>6326861.0300000003</v>
      </c>
      <c r="AU70" s="459"/>
      <c r="AV70" s="460"/>
      <c r="AW70" s="461">
        <f t="shared" si="31"/>
        <v>6810770.8791666673</v>
      </c>
      <c r="AX70" s="452"/>
      <c r="AY70" s="452"/>
    </row>
    <row r="71" spans="1:51" s="14" customFormat="1">
      <c r="A71" s="133">
        <v>63</v>
      </c>
      <c r="B71" s="14" t="s">
        <v>1370</v>
      </c>
      <c r="C71" s="452" t="s">
        <v>741</v>
      </c>
      <c r="E71" s="452"/>
      <c r="F71" s="452" t="s">
        <v>629</v>
      </c>
      <c r="G71" s="452" t="s">
        <v>990</v>
      </c>
      <c r="H71" s="452"/>
      <c r="I71" s="459"/>
      <c r="J71" s="458">
        <v>-40255923.640000001</v>
      </c>
      <c r="K71" s="459"/>
      <c r="L71" s="460"/>
      <c r="M71" s="459">
        <v>-41475441.259999998</v>
      </c>
      <c r="N71" s="459"/>
      <c r="O71" s="460"/>
      <c r="P71" s="459">
        <v>-45749804.460000001</v>
      </c>
      <c r="Q71" s="459"/>
      <c r="R71" s="460"/>
      <c r="S71" s="459">
        <v>-50082768.520000003</v>
      </c>
      <c r="T71" s="459"/>
      <c r="U71" s="460"/>
      <c r="V71" s="459">
        <v>-49801847.409999996</v>
      </c>
      <c r="W71" s="459"/>
      <c r="X71" s="460"/>
      <c r="Y71" s="459">
        <v>-42694512.810000002</v>
      </c>
      <c r="Z71" s="459"/>
      <c r="AA71" s="460"/>
      <c r="AB71" s="459">
        <v>-43048310.259999998</v>
      </c>
      <c r="AC71" s="459"/>
      <c r="AD71" s="460"/>
      <c r="AE71" s="459">
        <v>-43697144.140000001</v>
      </c>
      <c r="AF71" s="459"/>
      <c r="AG71" s="460"/>
      <c r="AH71" s="459">
        <v>-44434469.880000003</v>
      </c>
      <c r="AI71" s="459"/>
      <c r="AJ71" s="460"/>
      <c r="AK71" s="459">
        <v>-42928561.740000002</v>
      </c>
      <c r="AL71" s="459"/>
      <c r="AM71" s="460"/>
      <c r="AN71" s="459">
        <v>-42937621.810000002</v>
      </c>
      <c r="AO71" s="459"/>
      <c r="AP71" s="460"/>
      <c r="AQ71" s="459">
        <v>-42032794.729999997</v>
      </c>
      <c r="AR71" s="459"/>
      <c r="AS71" s="459"/>
      <c r="AT71" s="458">
        <v>-41379613.530000001</v>
      </c>
      <c r="AU71" s="459"/>
      <c r="AV71" s="460"/>
      <c r="AW71" s="461">
        <f t="shared" si="31"/>
        <v>-44141753.800416671</v>
      </c>
      <c r="AX71" s="452"/>
      <c r="AY71" s="452"/>
    </row>
    <row r="72" spans="1:51" s="14" customFormat="1" ht="16.2" thickBot="1">
      <c r="A72" s="133">
        <v>64</v>
      </c>
      <c r="B72" s="14" t="s">
        <v>1371</v>
      </c>
      <c r="C72" s="452" t="s">
        <v>741</v>
      </c>
      <c r="E72" s="452"/>
      <c r="F72" s="452" t="s">
        <v>629</v>
      </c>
      <c r="G72" s="452" t="s">
        <v>1137</v>
      </c>
      <c r="H72" s="452"/>
      <c r="I72" s="459"/>
      <c r="J72" s="458">
        <v>0</v>
      </c>
      <c r="K72" s="459"/>
      <c r="L72" s="460"/>
      <c r="M72" s="458">
        <v>0</v>
      </c>
      <c r="N72" s="459"/>
      <c r="O72" s="460"/>
      <c r="P72" s="458">
        <v>0</v>
      </c>
      <c r="Q72" s="459"/>
      <c r="R72" s="460"/>
      <c r="S72" s="458">
        <v>0</v>
      </c>
      <c r="T72" s="459"/>
      <c r="U72" s="460"/>
      <c r="V72" s="458">
        <v>0</v>
      </c>
      <c r="W72" s="459"/>
      <c r="X72" s="460"/>
      <c r="Y72" s="458">
        <v>0</v>
      </c>
      <c r="Z72" s="459"/>
      <c r="AA72" s="460"/>
      <c r="AB72" s="458">
        <v>0</v>
      </c>
      <c r="AC72" s="459"/>
      <c r="AD72" s="460"/>
      <c r="AE72" s="458">
        <v>0</v>
      </c>
      <c r="AF72" s="459"/>
      <c r="AG72" s="460"/>
      <c r="AH72" s="458">
        <v>0</v>
      </c>
      <c r="AI72" s="459"/>
      <c r="AJ72" s="460"/>
      <c r="AK72" s="458">
        <v>0</v>
      </c>
      <c r="AL72" s="459"/>
      <c r="AM72" s="460"/>
      <c r="AN72" s="458">
        <v>0</v>
      </c>
      <c r="AO72" s="459"/>
      <c r="AP72" s="460"/>
      <c r="AQ72" s="458">
        <v>0</v>
      </c>
      <c r="AR72" s="459"/>
      <c r="AS72" s="460"/>
      <c r="AT72" s="458">
        <v>0</v>
      </c>
      <c r="AU72" s="459"/>
      <c r="AV72" s="460"/>
      <c r="AW72" s="461">
        <f t="shared" si="31"/>
        <v>0</v>
      </c>
      <c r="AX72" s="452"/>
      <c r="AY72" s="452"/>
    </row>
    <row r="73" spans="1:51" s="14" customFormat="1">
      <c r="A73" s="133">
        <v>65</v>
      </c>
      <c r="C73" s="452"/>
      <c r="E73" s="452"/>
      <c r="F73" s="452"/>
      <c r="G73" s="452"/>
      <c r="H73" s="452"/>
      <c r="I73" s="452"/>
      <c r="J73" s="466">
        <f>SUM(J65:J72)</f>
        <v>-34040038.159999996</v>
      </c>
      <c r="K73" s="459"/>
      <c r="L73" s="459"/>
      <c r="M73" s="466">
        <f>SUM(M65:M72)</f>
        <v>-35476752.289999999</v>
      </c>
      <c r="N73" s="459"/>
      <c r="O73" s="459"/>
      <c r="P73" s="466">
        <f>SUM(P65:P72)</f>
        <v>-40235690.390000001</v>
      </c>
      <c r="Q73" s="459"/>
      <c r="R73" s="459"/>
      <c r="S73" s="466">
        <f>SUM(S65:S72)</f>
        <v>-45058358.410000004</v>
      </c>
      <c r="T73" s="459"/>
      <c r="U73" s="459"/>
      <c r="V73" s="466">
        <f>SUM(V65:V72)</f>
        <v>-44863306.449999996</v>
      </c>
      <c r="W73" s="459"/>
      <c r="X73" s="459"/>
      <c r="Y73" s="466">
        <f>SUM(Y65:Y72)</f>
        <v>-37244352.469999999</v>
      </c>
      <c r="Z73" s="459"/>
      <c r="AA73" s="459"/>
      <c r="AB73" s="466">
        <f>SUM(AB65:AB72)</f>
        <v>-37739573.409999996</v>
      </c>
      <c r="AC73" s="459"/>
      <c r="AD73" s="459"/>
      <c r="AE73" s="466">
        <f>SUM(AE65:AE72)</f>
        <v>-38555654.130000003</v>
      </c>
      <c r="AF73" s="459"/>
      <c r="AG73" s="459"/>
      <c r="AH73" s="466">
        <v>-2162554.64</v>
      </c>
      <c r="AI73" s="459"/>
      <c r="AJ73" s="459"/>
      <c r="AK73" s="466">
        <v>-2157345.3199999998</v>
      </c>
      <c r="AL73" s="459"/>
      <c r="AM73" s="459"/>
      <c r="AN73" s="466">
        <v>-2157203.5499999998</v>
      </c>
      <c r="AO73" s="459"/>
      <c r="AP73" s="459"/>
      <c r="AQ73" s="466">
        <v>-2157061.7999999998</v>
      </c>
      <c r="AR73" s="459"/>
      <c r="AS73" s="459"/>
      <c r="AT73" s="466">
        <f>SUM(AT65:AT72)</f>
        <v>-36587564.939999998</v>
      </c>
      <c r="AU73" s="459"/>
      <c r="AV73" s="459"/>
      <c r="AW73" s="467">
        <f>SUM(AW65:AW72)</f>
        <v>-38928721.729166672</v>
      </c>
      <c r="AX73" s="452"/>
      <c r="AY73" s="452"/>
    </row>
    <row r="74" spans="1:51" s="14" customFormat="1">
      <c r="A74" s="133">
        <v>66</v>
      </c>
      <c r="B74" s="452"/>
      <c r="C74" s="452"/>
      <c r="D74" s="452"/>
      <c r="E74" s="452"/>
      <c r="F74" s="452"/>
      <c r="G74" s="452"/>
      <c r="H74" s="452"/>
      <c r="I74" s="452"/>
      <c r="J74" s="468"/>
      <c r="K74" s="459"/>
      <c r="L74" s="459"/>
      <c r="M74" s="468"/>
      <c r="N74" s="459"/>
      <c r="O74" s="459"/>
      <c r="P74" s="468"/>
      <c r="Q74" s="459"/>
      <c r="R74" s="459"/>
      <c r="S74" s="468"/>
      <c r="T74" s="459"/>
      <c r="U74" s="459"/>
      <c r="V74" s="468"/>
      <c r="W74" s="459"/>
      <c r="X74" s="459"/>
      <c r="Y74" s="468"/>
      <c r="Z74" s="459"/>
      <c r="AA74" s="459"/>
      <c r="AB74" s="468"/>
      <c r="AC74" s="459"/>
      <c r="AD74" s="459"/>
      <c r="AE74" s="468"/>
      <c r="AF74" s="459"/>
      <c r="AG74" s="459"/>
      <c r="AH74" s="468"/>
      <c r="AI74" s="459"/>
      <c r="AJ74" s="459"/>
      <c r="AK74" s="468"/>
      <c r="AL74" s="459"/>
      <c r="AM74" s="459"/>
      <c r="AN74" s="468"/>
      <c r="AO74" s="459"/>
      <c r="AP74" s="459"/>
      <c r="AQ74" s="468"/>
      <c r="AR74" s="459"/>
      <c r="AS74" s="459"/>
      <c r="AT74" s="468"/>
      <c r="AU74" s="459"/>
      <c r="AV74" s="459"/>
      <c r="AW74" s="468"/>
      <c r="AX74" s="452"/>
      <c r="AY74" s="452"/>
    </row>
    <row r="75" spans="1:51" s="14" customFormat="1">
      <c r="A75" s="133">
        <v>67</v>
      </c>
      <c r="B75" s="452"/>
      <c r="C75" s="452"/>
      <c r="D75" s="452"/>
      <c r="E75" s="452"/>
      <c r="F75" s="452"/>
      <c r="G75" s="452"/>
      <c r="H75" s="452"/>
      <c r="I75" s="452"/>
      <c r="J75" s="469">
        <f>+J43+J53+J63+J73</f>
        <v>-72826780.520000026</v>
      </c>
      <c r="K75" s="470"/>
      <c r="L75" s="470"/>
      <c r="M75" s="469">
        <f>+M43+M53+M63+M73</f>
        <v>-74383811.920000002</v>
      </c>
      <c r="N75" s="470"/>
      <c r="O75" s="470"/>
      <c r="P75" s="469">
        <f>+P43+P53+P63+P73</f>
        <v>-79533267.270000011</v>
      </c>
      <c r="Q75" s="470"/>
      <c r="R75" s="470"/>
      <c r="S75" s="469">
        <f>+S43+S53+S63+S73</f>
        <v>-84468074.310000002</v>
      </c>
      <c r="T75" s="470"/>
      <c r="U75" s="470"/>
      <c r="V75" s="469">
        <f>+V43+V53+V63+V73</f>
        <v>-84649568.929999977</v>
      </c>
      <c r="W75" s="470"/>
      <c r="X75" s="470"/>
      <c r="Y75" s="469">
        <f>+Y43+Y53+Y63+Y73</f>
        <v>-84382001.220000014</v>
      </c>
      <c r="Z75" s="470"/>
      <c r="AA75" s="470"/>
      <c r="AB75" s="469">
        <f>+AB43+AB53+AB63+AB73</f>
        <v>-85115980.460000023</v>
      </c>
      <c r="AC75" s="470"/>
      <c r="AD75" s="470"/>
      <c r="AE75" s="469">
        <f>+AE43+AE53+AE63+AE73</f>
        <v>-86058775.50000003</v>
      </c>
      <c r="AF75" s="470"/>
      <c r="AG75" s="470"/>
      <c r="AH75" s="469">
        <f>+AH43+AH53+AH63+AH73</f>
        <v>-49732165.330000006</v>
      </c>
      <c r="AI75" s="470"/>
      <c r="AJ75" s="470"/>
      <c r="AK75" s="469">
        <f>+AK43+AK53+AK63+AK73</f>
        <v>-49874128.260000005</v>
      </c>
      <c r="AL75" s="470"/>
      <c r="AM75" s="470"/>
      <c r="AN75" s="469">
        <f>+AN43+AN53+AN63+AN73</f>
        <v>-50051084.750000022</v>
      </c>
      <c r="AO75" s="470"/>
      <c r="AP75" s="470"/>
      <c r="AQ75" s="469">
        <f>+AQ43+AQ53+AQ63+AQ73</f>
        <v>-52405450.120000012</v>
      </c>
      <c r="AR75" s="470"/>
      <c r="AS75" s="470"/>
      <c r="AT75" s="469">
        <f>+AT43+AT53+AT63+AT73</f>
        <v>-87984639.210000008</v>
      </c>
      <c r="AU75" s="470"/>
      <c r="AV75" s="470"/>
      <c r="AW75" s="469">
        <f>+AW43+AW53+AW63+AW73</f>
        <v>-83756918.689583331</v>
      </c>
      <c r="AX75" s="452"/>
      <c r="AY75" s="452"/>
    </row>
    <row r="76" spans="1:51" s="14" customFormat="1" ht="16.2" thickBot="1">
      <c r="A76" s="133">
        <v>68</v>
      </c>
      <c r="B76" s="452"/>
      <c r="C76" s="452"/>
      <c r="D76" s="452"/>
      <c r="E76" s="452"/>
      <c r="F76" s="452"/>
      <c r="G76" s="452"/>
      <c r="H76" s="452"/>
      <c r="I76" s="452"/>
      <c r="J76" s="468"/>
      <c r="K76" s="459"/>
      <c r="L76" s="459"/>
      <c r="M76" s="468"/>
      <c r="N76" s="459"/>
      <c r="O76" s="459"/>
      <c r="P76" s="468"/>
      <c r="Q76" s="459"/>
      <c r="R76" s="459"/>
      <c r="S76" s="468"/>
      <c r="T76" s="459"/>
      <c r="U76" s="459"/>
      <c r="V76" s="468"/>
      <c r="W76" s="459"/>
      <c r="X76" s="459"/>
      <c r="Y76" s="468"/>
      <c r="Z76" s="459"/>
      <c r="AA76" s="459"/>
      <c r="AB76" s="468"/>
      <c r="AC76" s="459"/>
      <c r="AD76" s="459"/>
      <c r="AE76" s="468"/>
      <c r="AF76" s="459"/>
      <c r="AG76" s="459"/>
      <c r="AH76" s="468"/>
      <c r="AI76" s="459"/>
      <c r="AJ76" s="459"/>
      <c r="AK76" s="468"/>
      <c r="AL76" s="459"/>
      <c r="AM76" s="459"/>
      <c r="AN76" s="468"/>
      <c r="AO76" s="459"/>
      <c r="AP76" s="460"/>
      <c r="AQ76" s="460"/>
      <c r="AR76" s="459"/>
      <c r="AS76" s="459"/>
      <c r="AT76" s="468"/>
      <c r="AU76" s="459"/>
      <c r="AV76" s="459"/>
      <c r="AW76" s="468"/>
      <c r="AX76" s="452"/>
      <c r="AY76" s="452"/>
    </row>
    <row r="77" spans="1:51" s="14" customFormat="1">
      <c r="A77" s="133">
        <v>69</v>
      </c>
      <c r="B77" s="1915" t="s">
        <v>1070</v>
      </c>
      <c r="C77" s="1916"/>
      <c r="D77" s="1916"/>
      <c r="E77" s="1917"/>
      <c r="F77" s="452"/>
      <c r="G77" s="452" t="s">
        <v>1374</v>
      </c>
      <c r="H77" s="452"/>
      <c r="I77" s="452"/>
      <c r="J77" s="468">
        <f>+J36+J53+J32+J37+J41+J42</f>
        <v>14974511.890000002</v>
      </c>
      <c r="K77" s="458"/>
      <c r="L77" s="459"/>
      <c r="M77" s="458">
        <f>+M36+M53+M32+M37+M41+M42</f>
        <v>15010304.319999998</v>
      </c>
      <c r="N77" s="459"/>
      <c r="O77" s="459"/>
      <c r="P77" s="468">
        <f t="shared" ref="P77:V77" si="32">+P36+P53+P32+P37+P41+P42</f>
        <v>14753729.689999999</v>
      </c>
      <c r="Q77" s="459"/>
      <c r="R77" s="460"/>
      <c r="S77" s="468">
        <f t="shared" si="32"/>
        <v>14731282.199999999</v>
      </c>
      <c r="T77" s="459"/>
      <c r="U77" s="460"/>
      <c r="V77" s="468">
        <f t="shared" si="32"/>
        <v>14484589.879999999</v>
      </c>
      <c r="W77" s="459"/>
      <c r="X77" s="460"/>
      <c r="Y77" s="468">
        <f>+Y36+Y53+Y32+Y37+Y41+Y42+Y33+Y34</f>
        <v>7274070.3499999996</v>
      </c>
      <c r="Z77" s="459"/>
      <c r="AA77" s="460"/>
      <c r="AB77" s="468">
        <f>+AB36+AB53+AB32+AB37+AB41+AB42+AB33+AB34</f>
        <v>7176692.4299999997</v>
      </c>
      <c r="AC77" s="459"/>
      <c r="AD77" s="460"/>
      <c r="AE77" s="468">
        <f>+AE36+AE53+AE32+AE37+AE41+AE42+AE33+AE34</f>
        <v>7190039.7200000007</v>
      </c>
      <c r="AF77" s="459"/>
      <c r="AG77" s="460"/>
      <c r="AH77" s="468">
        <f>+AH36+AH53+AH32+AH37+AH41+AH42+AH33+AH34</f>
        <v>7196271.21</v>
      </c>
      <c r="AI77" s="468"/>
      <c r="AJ77" s="468"/>
      <c r="AK77" s="468">
        <f>+AK36+AK53+AK32+AK37+AK41+AK42+AK33+AK34</f>
        <v>7163004.5599999987</v>
      </c>
      <c r="AL77" s="458"/>
      <c r="AM77" s="460"/>
      <c r="AN77" s="460">
        <f>+AN36+AN53+AN32+AN37+AN41+AN42+AN33+AN34</f>
        <v>7116326.0999999996</v>
      </c>
      <c r="AO77" s="458"/>
      <c r="AP77" s="460"/>
      <c r="AQ77" s="460">
        <f>+AQ36+AQ53+AQ32+AQ37+AQ41+AQ42+AQ33+AQ34</f>
        <v>6858201.0999999996</v>
      </c>
      <c r="AR77" s="468"/>
      <c r="AS77" s="468"/>
      <c r="AT77" s="468">
        <f>+AT36+AT53+AT32+AT37+AT41+AT42+AT33+AT34</f>
        <v>6628103.3699999992</v>
      </c>
      <c r="AU77" s="458"/>
      <c r="AV77" s="460"/>
      <c r="AW77" s="460">
        <f>+AW36+AW53+AW32+AW37+AW41+AW42+AW33+AW34</f>
        <v>9979651.5991666634</v>
      </c>
      <c r="AX77" s="452"/>
      <c r="AY77" s="452"/>
    </row>
    <row r="78" spans="1:51" s="14" customFormat="1">
      <c r="A78" s="133">
        <v>70</v>
      </c>
      <c r="B78" s="1918"/>
      <c r="C78" s="1919"/>
      <c r="D78" s="1919"/>
      <c r="E78" s="1920"/>
      <c r="F78" s="452"/>
      <c r="G78" s="452" t="s">
        <v>991</v>
      </c>
      <c r="H78" s="452"/>
      <c r="I78" s="452"/>
      <c r="J78" s="468">
        <f>+J26+J63+J39</f>
        <v>-53594338.570000008</v>
      </c>
      <c r="K78" s="458"/>
      <c r="L78" s="459"/>
      <c r="M78" s="458">
        <f>+M26+M63+M39</f>
        <v>-53751213.93</v>
      </c>
      <c r="N78" s="459"/>
      <c r="O78" s="460"/>
      <c r="P78" s="468">
        <f t="shared" ref="P78:V78" si="33">+P26+P63+P39</f>
        <v>-53885922.209999993</v>
      </c>
      <c r="Q78" s="459"/>
      <c r="R78" s="460"/>
      <c r="S78" s="468">
        <f t="shared" si="33"/>
        <v>-53976379.390000001</v>
      </c>
      <c r="T78" s="459"/>
      <c r="U78" s="460"/>
      <c r="V78" s="468">
        <f t="shared" si="33"/>
        <v>-54106999.309999987</v>
      </c>
      <c r="W78" s="459"/>
      <c r="X78" s="460"/>
      <c r="Y78" s="468">
        <f>+Y26+Y63+Y39+Y27+Y28</f>
        <v>-54248631.710000016</v>
      </c>
      <c r="Z78" s="459"/>
      <c r="AA78" s="460"/>
      <c r="AB78" s="468">
        <f>+AB26+AB63+AB39+AB27+AB28</f>
        <v>-54390777.750000022</v>
      </c>
      <c r="AC78" s="459"/>
      <c r="AD78" s="460"/>
      <c r="AE78" s="468">
        <f>+AE26+AE63+AE39+AE27+AE28</f>
        <v>-54531605.020000018</v>
      </c>
      <c r="AF78" s="459"/>
      <c r="AG78" s="460"/>
      <c r="AH78" s="468">
        <f>+AH26+AH63+AH39+AH27+AH28</f>
        <v>-54605091.49000001</v>
      </c>
      <c r="AI78" s="468"/>
      <c r="AJ78" s="468"/>
      <c r="AK78" s="468">
        <f>+AK26+AK63+AK39+AK27+AK28</f>
        <v>-54719762.740000024</v>
      </c>
      <c r="AL78" s="458"/>
      <c r="AM78" s="460"/>
      <c r="AN78" s="460">
        <f>+AN26+AN63+AN39+AN27+AN28</f>
        <v>-54850948.200000025</v>
      </c>
      <c r="AO78" s="458"/>
      <c r="AP78" s="460"/>
      <c r="AQ78" s="460">
        <f>+AQ26+AQ63+AQ39+AQ27+AQ28</f>
        <v>-56948095.980000019</v>
      </c>
      <c r="AR78" s="468"/>
      <c r="AS78" s="468"/>
      <c r="AT78" s="468">
        <f>+AT26+AT63+AT39+AT27+AT28</f>
        <v>-57867449.850000009</v>
      </c>
      <c r="AU78" s="458"/>
      <c r="AV78" s="460"/>
      <c r="AW78" s="460">
        <f>+AW26+AW63+AW39+AW27+AW28</f>
        <v>-54645526.828333333</v>
      </c>
      <c r="AX78" s="452"/>
      <c r="AY78" s="452"/>
    </row>
    <row r="79" spans="1:51" s="14" customFormat="1">
      <c r="A79" s="133">
        <v>71</v>
      </c>
      <c r="B79" s="1918"/>
      <c r="C79" s="1919"/>
      <c r="D79" s="1919"/>
      <c r="E79" s="1920"/>
      <c r="F79" s="452"/>
      <c r="G79" s="452" t="s">
        <v>992</v>
      </c>
      <c r="H79" s="452"/>
      <c r="I79" s="452"/>
      <c r="J79" s="686">
        <f>+J73+J29+J40</f>
        <v>-34206953.839999996</v>
      </c>
      <c r="K79" s="686"/>
      <c r="L79" s="687"/>
      <c r="M79" s="686">
        <f>+M73+M29+M40</f>
        <v>-35642902.309999995</v>
      </c>
      <c r="N79" s="471"/>
      <c r="O79" s="460"/>
      <c r="P79" s="685">
        <f t="shared" ref="P79:V79" si="34">+P73+P29+P40</f>
        <v>-40401074.75</v>
      </c>
      <c r="Q79" s="686"/>
      <c r="R79" s="687"/>
      <c r="S79" s="685">
        <f t="shared" si="34"/>
        <v>-45222977.120000005</v>
      </c>
      <c r="T79" s="459"/>
      <c r="U79" s="687"/>
      <c r="V79" s="685">
        <f t="shared" si="34"/>
        <v>-45027159.499999993</v>
      </c>
      <c r="W79" s="686"/>
      <c r="X79" s="460"/>
      <c r="Y79" s="685">
        <f>+Y73+Y29+Y40+Y31+Y30</f>
        <v>-37407439.859999999</v>
      </c>
      <c r="Z79" s="686"/>
      <c r="AA79" s="460"/>
      <c r="AB79" s="685">
        <f>+AB73+AB29+AB40+AB30+AB31</f>
        <v>-37901895.140000001</v>
      </c>
      <c r="AC79" s="686"/>
      <c r="AD79" s="687"/>
      <c r="AE79" s="685">
        <f>+AE73+AE29+AE40+AE30+AE31</f>
        <v>-38717210.199999996</v>
      </c>
      <c r="AF79" s="686"/>
      <c r="AG79" s="460"/>
      <c r="AH79" s="685">
        <f>+AH73+AH29+AH40+AH30+AH31</f>
        <v>-2323345.0500000003</v>
      </c>
      <c r="AI79" s="685"/>
      <c r="AJ79" s="685"/>
      <c r="AK79" s="685">
        <f>+AK73+AK29+AK40+AK30+AK31</f>
        <v>-2317370.0799999996</v>
      </c>
      <c r="AL79" s="686"/>
      <c r="AM79" s="687"/>
      <c r="AN79" s="687">
        <f>+AN73+AN29+AN40+AN30+AN31</f>
        <v>-2316462.65</v>
      </c>
      <c r="AO79" s="686"/>
      <c r="AP79" s="460"/>
      <c r="AQ79" s="687">
        <f>+AQ73+AQ29+AQ40+AQ30+AQ31</f>
        <v>-2315555.2399999998</v>
      </c>
      <c r="AR79" s="685"/>
      <c r="AS79" s="685"/>
      <c r="AT79" s="685">
        <f>+AT73+AT29+AT40+AT30+AT31</f>
        <v>-36745292.729999997</v>
      </c>
      <c r="AU79" s="686"/>
      <c r="AV79" s="460"/>
      <c r="AW79" s="687">
        <f>+AW73+AW29+AW40+AW31+AW30</f>
        <v>-39091043.460416675</v>
      </c>
      <c r="AX79" s="452"/>
      <c r="AY79" s="452"/>
    </row>
    <row r="80" spans="1:51" s="14" customFormat="1" ht="16.2" thickBot="1">
      <c r="A80" s="133">
        <v>72</v>
      </c>
      <c r="B80" s="1918"/>
      <c r="C80" s="1919"/>
      <c r="D80" s="1919"/>
      <c r="E80" s="1920"/>
      <c r="F80" s="452"/>
      <c r="G80" s="452"/>
      <c r="H80" s="452"/>
      <c r="I80" s="452"/>
      <c r="J80" s="684">
        <f>+J77+J78+J79</f>
        <v>-72826780.520000011</v>
      </c>
      <c r="K80" s="473"/>
      <c r="L80" s="473"/>
      <c r="M80" s="472">
        <f>+M77+M78+M79</f>
        <v>-74383811.919999987</v>
      </c>
      <c r="N80" s="473"/>
      <c r="O80" s="689"/>
      <c r="P80" s="688">
        <f>+P77+P78+P79</f>
        <v>-79533267.269999996</v>
      </c>
      <c r="Q80" s="473"/>
      <c r="R80" s="473"/>
      <c r="S80" s="472">
        <f>+S77+S78+S79</f>
        <v>-84468074.310000002</v>
      </c>
      <c r="T80" s="690"/>
      <c r="U80" s="473"/>
      <c r="V80" s="472">
        <f>+V77+V78+V79</f>
        <v>-84649568.929999977</v>
      </c>
      <c r="W80" s="473"/>
      <c r="X80" s="689"/>
      <c r="Y80" s="472">
        <f>+Y77+Y78+Y79</f>
        <v>-84382001.220000014</v>
      </c>
      <c r="Z80" s="473"/>
      <c r="AA80" s="689"/>
      <c r="AB80" s="472">
        <f>+AB77+AB78+AB79</f>
        <v>-85115980.460000023</v>
      </c>
      <c r="AC80" s="473"/>
      <c r="AD80" s="473"/>
      <c r="AE80" s="472">
        <f>+AE77+AE78+AE79</f>
        <v>-86058775.500000015</v>
      </c>
      <c r="AF80" s="473"/>
      <c r="AG80" s="689"/>
      <c r="AH80" s="472">
        <f>+AH77+AH78+AH79</f>
        <v>-49732165.330000006</v>
      </c>
      <c r="AI80" s="473"/>
      <c r="AJ80" s="473"/>
      <c r="AK80" s="472">
        <f>+AK77+AK78+AK79</f>
        <v>-49874128.26000002</v>
      </c>
      <c r="AL80" s="473"/>
      <c r="AM80" s="473"/>
      <c r="AN80" s="472">
        <f>+AN77+AN78+AN79</f>
        <v>-50051084.750000022</v>
      </c>
      <c r="AO80" s="473"/>
      <c r="AP80" s="689"/>
      <c r="AQ80" s="472">
        <f>+AQ77+AQ78+AQ79</f>
        <v>-52405450.12000002</v>
      </c>
      <c r="AR80" s="473"/>
      <c r="AS80" s="473"/>
      <c r="AT80" s="472">
        <f>+AT77+AT78+AT79</f>
        <v>-87984639.210000008</v>
      </c>
      <c r="AU80" s="473"/>
      <c r="AV80" s="689"/>
      <c r="AW80" s="688">
        <f>+AW78+AW79+AW77</f>
        <v>-83756918.689583346</v>
      </c>
      <c r="AX80" s="452"/>
      <c r="AY80" s="452"/>
    </row>
    <row r="81" spans="2:51">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row>
    <row r="82" spans="2:51">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row>
    <row r="83" spans="2:51">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row>
    <row r="84" spans="2:51">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row>
    <row r="85" spans="2:51">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row>
    <row r="86" spans="2:51">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row>
    <row r="87" spans="2:51">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row>
    <row r="88" spans="2:51">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c r="AU88" s="184"/>
      <c r="AV88" s="184"/>
    </row>
  </sheetData>
  <mergeCells count="35">
    <mergeCell ref="AP1:AY1"/>
    <mergeCell ref="AP2:AY2"/>
    <mergeCell ref="AP3:AY3"/>
    <mergeCell ref="AP4:AY4"/>
    <mergeCell ref="AP5:AY5"/>
    <mergeCell ref="AX24:BD25"/>
    <mergeCell ref="R1:U1"/>
    <mergeCell ref="R2:U2"/>
    <mergeCell ref="R3:U3"/>
    <mergeCell ref="R4:U4"/>
    <mergeCell ref="R5:U5"/>
    <mergeCell ref="AK1:AO1"/>
    <mergeCell ref="AK2:AO2"/>
    <mergeCell ref="AB1:AJ1"/>
    <mergeCell ref="AB2:AJ2"/>
    <mergeCell ref="AB3:AJ3"/>
    <mergeCell ref="AK3:AO3"/>
    <mergeCell ref="AK4:AO4"/>
    <mergeCell ref="AK5:AO5"/>
    <mergeCell ref="AB4:AJ4"/>
    <mergeCell ref="AB5:AJ5"/>
    <mergeCell ref="B77:E80"/>
    <mergeCell ref="B16:I16"/>
    <mergeCell ref="B25:I25"/>
    <mergeCell ref="B9:E13"/>
    <mergeCell ref="F9:I9"/>
    <mergeCell ref="F10:I10"/>
    <mergeCell ref="F11:I11"/>
    <mergeCell ref="F12:I12"/>
    <mergeCell ref="F3:J3"/>
    <mergeCell ref="E4:K4"/>
    <mergeCell ref="F5:J5"/>
    <mergeCell ref="F13:I13"/>
    <mergeCell ref="E1:K1"/>
    <mergeCell ref="F2:J2"/>
  </mergeCells>
  <phoneticPr fontId="141" type="noConversion"/>
  <printOptions horizontalCentered="1"/>
  <pageMargins left="0.7" right="0.7" top="0.75" bottom="0.75" header="0.3" footer="0.3"/>
  <pageSetup paperSize="17" scale="49" orientation="landscape" r:id="rId1"/>
  <headerFooter scaleWithDoc="0" alignWithMargins="0">
    <oddHeader>&amp;RPage &amp;P of &amp;N</oddHeader>
    <oddFooter>&amp;LElectronic Tab Name:&amp;A</oddFooter>
  </headerFooter>
  <rowBreaks count="1" manualBreakCount="1">
    <brk id="43" max="16383" man="1"/>
  </rowBreaks>
  <colBreaks count="3" manualBreakCount="3">
    <brk id="15" max="1048575" man="1"/>
    <brk id="27" max="1048575" man="1"/>
    <brk id="3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7" tint="0.79998168889431442"/>
  </sheetPr>
  <dimension ref="B1:R17"/>
  <sheetViews>
    <sheetView view="pageBreakPreview" zoomScale="80" zoomScaleNormal="100" zoomScaleSheetLayoutView="80" workbookViewId="0">
      <selection activeCell="R13" sqref="R13"/>
    </sheetView>
  </sheetViews>
  <sheetFormatPr defaultColWidth="9.109375" defaultRowHeight="15.6"/>
  <cols>
    <col min="1" max="1" width="1.44140625" style="3" customWidth="1"/>
    <col min="2" max="2" width="2.5546875" style="3" customWidth="1"/>
    <col min="3" max="3" width="10.5546875" style="5" bestFit="1" customWidth="1"/>
    <col min="4" max="4" width="43" style="3" bestFit="1" customWidth="1"/>
    <col min="5" max="5" width="4.109375" style="3" customWidth="1"/>
    <col min="6" max="6" width="17.5546875" style="3" bestFit="1" customWidth="1"/>
    <col min="7" max="7" width="6" style="3" customWidth="1"/>
    <col min="8" max="8" width="10.109375" style="3" bestFit="1" customWidth="1"/>
    <col min="9" max="9" width="5.109375" style="3" customWidth="1"/>
    <col min="10" max="10" width="13.6640625" style="3" bestFit="1" customWidth="1"/>
    <col min="11" max="12" width="9.109375" style="3"/>
    <col min="13" max="13" width="9" style="3" bestFit="1" customWidth="1"/>
    <col min="14" max="14" width="16.5546875" style="3" bestFit="1" customWidth="1"/>
    <col min="15" max="17" width="9.109375" style="3"/>
    <col min="18" max="18" width="12.33203125" style="3" bestFit="1" customWidth="1"/>
    <col min="19" max="16384" width="9.109375" style="3"/>
  </cols>
  <sheetData>
    <row r="1" spans="2:18">
      <c r="B1" s="186"/>
      <c r="C1" s="1910" t="s">
        <v>52</v>
      </c>
      <c r="D1" s="1910"/>
      <c r="E1" s="1910"/>
      <c r="F1" s="1910"/>
      <c r="G1" s="1910"/>
      <c r="H1" s="1910"/>
      <c r="I1" s="1910"/>
      <c r="J1" s="1910"/>
      <c r="K1" s="187"/>
      <c r="L1" s="188"/>
      <c r="M1" s="187"/>
    </row>
    <row r="2" spans="2:18">
      <c r="B2" s="186"/>
      <c r="C2" s="1910" t="s">
        <v>1824</v>
      </c>
      <c r="D2" s="1910"/>
      <c r="E2" s="1910"/>
      <c r="F2" s="1910"/>
      <c r="G2" s="1910"/>
      <c r="H2" s="1910"/>
      <c r="I2" s="1910"/>
      <c r="J2" s="1910"/>
      <c r="K2" s="189"/>
      <c r="L2" s="189"/>
      <c r="M2" s="189"/>
    </row>
    <row r="3" spans="2:18">
      <c r="B3" s="186"/>
      <c r="C3" s="1910" t="s">
        <v>1356</v>
      </c>
      <c r="D3" s="1910"/>
      <c r="E3" s="1910"/>
      <c r="F3" s="1910"/>
      <c r="G3" s="1910"/>
      <c r="H3" s="1910"/>
      <c r="I3" s="1910"/>
      <c r="J3" s="1910"/>
      <c r="K3" s="189"/>
      <c r="L3" s="189"/>
      <c r="M3" s="189"/>
    </row>
    <row r="4" spans="2:18">
      <c r="B4" s="186"/>
      <c r="C4" s="1910" t="s">
        <v>709</v>
      </c>
      <c r="D4" s="1910"/>
      <c r="E4" s="1910"/>
      <c r="F4" s="1910"/>
      <c r="G4" s="1910"/>
      <c r="H4" s="1910"/>
      <c r="I4" s="1910"/>
      <c r="J4" s="1910"/>
      <c r="K4" s="190"/>
      <c r="L4" s="190"/>
      <c r="M4" s="190"/>
    </row>
    <row r="5" spans="2:18">
      <c r="B5" s="186"/>
      <c r="C5" s="1910" t="s">
        <v>1823</v>
      </c>
      <c r="D5" s="1910"/>
      <c r="E5" s="1910"/>
      <c r="F5" s="1910"/>
      <c r="G5" s="1910"/>
      <c r="H5" s="1910"/>
      <c r="I5" s="1910"/>
      <c r="J5" s="1910"/>
      <c r="K5" s="191"/>
      <c r="L5" s="191"/>
      <c r="M5" s="191"/>
    </row>
    <row r="6" spans="2:18">
      <c r="E6" s="1936"/>
      <c r="F6" s="1936"/>
      <c r="G6" s="1936"/>
      <c r="H6" s="1936"/>
      <c r="I6" s="1936"/>
      <c r="J6" s="1936"/>
    </row>
    <row r="7" spans="2:18">
      <c r="B7" s="192"/>
      <c r="C7" s="193"/>
      <c r="D7" s="192"/>
      <c r="E7" s="187"/>
      <c r="F7" s="187"/>
      <c r="G7" s="187"/>
      <c r="H7" s="187"/>
      <c r="I7" s="187"/>
      <c r="J7" s="187"/>
      <c r="K7" s="192"/>
      <c r="L7" s="192"/>
      <c r="M7" s="186"/>
    </row>
    <row r="8" spans="2:18" s="5" customFormat="1">
      <c r="B8" s="194"/>
      <c r="C8" s="195" t="s">
        <v>40</v>
      </c>
      <c r="D8" s="195" t="s">
        <v>778</v>
      </c>
      <c r="E8" s="195"/>
      <c r="F8" s="195" t="s">
        <v>776</v>
      </c>
      <c r="G8" s="195"/>
      <c r="H8" s="195" t="s">
        <v>779</v>
      </c>
      <c r="I8" s="195"/>
      <c r="J8" s="195" t="s">
        <v>780</v>
      </c>
      <c r="K8" s="194"/>
      <c r="L8" s="196"/>
      <c r="M8" s="195"/>
    </row>
    <row r="9" spans="2:18">
      <c r="B9" s="192"/>
      <c r="C9" s="197" t="s">
        <v>775</v>
      </c>
      <c r="D9" s="198" t="s">
        <v>41</v>
      </c>
      <c r="E9" s="199"/>
      <c r="F9" s="199" t="s">
        <v>42</v>
      </c>
      <c r="G9" s="199"/>
      <c r="H9" s="200" t="s">
        <v>43</v>
      </c>
      <c r="I9" s="200"/>
      <c r="J9" s="201" t="s">
        <v>44</v>
      </c>
      <c r="K9" s="192"/>
      <c r="L9" s="192"/>
      <c r="M9" s="186"/>
    </row>
    <row r="10" spans="2:18">
      <c r="B10" s="192"/>
      <c r="C10" s="185"/>
      <c r="D10" s="202"/>
      <c r="E10" s="202"/>
      <c r="F10" s="202"/>
      <c r="G10" s="202"/>
      <c r="H10" s="202"/>
      <c r="I10" s="202"/>
      <c r="J10" s="203" t="s">
        <v>43</v>
      </c>
      <c r="K10" s="192"/>
      <c r="L10" s="1672" t="s">
        <v>2433</v>
      </c>
      <c r="M10" s="1673"/>
      <c r="O10" s="1672" t="s">
        <v>3267</v>
      </c>
      <c r="P10" s="1673"/>
    </row>
    <row r="11" spans="2:18">
      <c r="C11" s="185">
        <v>1</v>
      </c>
      <c r="D11" s="204" t="s">
        <v>45</v>
      </c>
      <c r="E11" s="202"/>
      <c r="F11" s="1705">
        <v>0.50900000000000001</v>
      </c>
      <c r="G11" s="206"/>
      <c r="H11" s="818">
        <f>'Long-Term Debt'!M21</f>
        <v>4.589E-2</v>
      </c>
      <c r="I11" s="208"/>
      <c r="J11" s="1793">
        <f>ROUND(+F11*H11,5)</f>
        <v>2.3359999999999999E-2</v>
      </c>
      <c r="K11" s="192"/>
      <c r="L11" s="1624">
        <f>1-L13</f>
        <v>0.496</v>
      </c>
      <c r="M11" s="1671">
        <v>4.7446000000000002E-2</v>
      </c>
      <c r="N11" s="210"/>
      <c r="O11" s="1624">
        <f>1-O13</f>
        <v>0.496</v>
      </c>
      <c r="P11" s="1671">
        <v>4.589E-2</v>
      </c>
      <c r="R11" s="1822">
        <f>J11</f>
        <v>2.3359999999999999E-2</v>
      </c>
    </row>
    <row r="12" spans="2:18">
      <c r="C12" s="185">
        <v>2</v>
      </c>
      <c r="D12" s="204" t="s">
        <v>46</v>
      </c>
      <c r="E12" s="202"/>
      <c r="F12" s="205">
        <v>0</v>
      </c>
      <c r="G12" s="206"/>
      <c r="H12" s="207">
        <v>0</v>
      </c>
      <c r="I12" s="208"/>
      <c r="J12" s="1793">
        <f>ROUND(+F12*H12,5)</f>
        <v>0</v>
      </c>
      <c r="K12" s="192"/>
      <c r="L12" s="209"/>
      <c r="M12" s="186"/>
      <c r="O12" s="209"/>
      <c r="P12" s="186"/>
    </row>
    <row r="13" spans="2:18">
      <c r="C13" s="185">
        <v>3</v>
      </c>
      <c r="D13" s="204" t="s">
        <v>47</v>
      </c>
      <c r="E13" s="202"/>
      <c r="F13" s="1705">
        <f>1-F11</f>
        <v>0.49099999999999999</v>
      </c>
      <c r="G13" s="206"/>
      <c r="H13" s="818">
        <v>9.4E-2</v>
      </c>
      <c r="I13" s="208"/>
      <c r="J13" s="1793">
        <f>ROUND(+F13*H13,5)</f>
        <v>4.6149999999999997E-2</v>
      </c>
      <c r="K13" s="192"/>
      <c r="L13" s="1624">
        <v>0.504</v>
      </c>
      <c r="M13" s="1671">
        <v>0.10299999999999999</v>
      </c>
      <c r="O13" s="1624">
        <v>0.504</v>
      </c>
      <c r="P13" s="1671">
        <v>9.8000000000000004E-2</v>
      </c>
    </row>
    <row r="14" spans="2:18" ht="16.2" thickBot="1">
      <c r="B14" s="192"/>
      <c r="C14" s="185">
        <v>4</v>
      </c>
      <c r="D14" s="204" t="s">
        <v>48</v>
      </c>
      <c r="E14" s="202"/>
      <c r="F14" s="211">
        <f>SUM(F11:F13)</f>
        <v>1</v>
      </c>
      <c r="G14" s="206"/>
      <c r="H14" s="206"/>
      <c r="I14" s="208"/>
      <c r="J14" s="1794">
        <f>SUM(J11:J13)</f>
        <v>6.9509999999999988E-2</v>
      </c>
      <c r="K14" s="192"/>
      <c r="L14" s="192"/>
      <c r="M14" s="186"/>
    </row>
    <row r="15" spans="2:18" ht="16.2" thickTop="1">
      <c r="B15" s="192"/>
      <c r="C15" s="212"/>
      <c r="D15" s="213"/>
      <c r="E15" s="213"/>
      <c r="F15" s="213"/>
      <c r="G15" s="213"/>
      <c r="H15" s="213"/>
      <c r="I15" s="213"/>
      <c r="J15" s="214"/>
      <c r="K15" s="192"/>
      <c r="L15" s="192"/>
      <c r="M15" s="186"/>
    </row>
    <row r="16" spans="2:18">
      <c r="B16" s="192"/>
      <c r="C16" s="194"/>
      <c r="D16" s="192"/>
      <c r="E16" s="192"/>
      <c r="F16" s="192"/>
      <c r="G16" s="192"/>
      <c r="H16" s="192"/>
      <c r="I16" s="192"/>
      <c r="J16" s="192"/>
      <c r="K16" s="192"/>
      <c r="L16" s="192"/>
      <c r="M16" s="1671"/>
      <c r="N16" s="1789"/>
    </row>
    <row r="17" spans="2:12">
      <c r="B17" s="186"/>
      <c r="C17" s="195"/>
      <c r="D17" s="192" t="s">
        <v>1072</v>
      </c>
      <c r="E17" s="192"/>
      <c r="F17" s="192"/>
      <c r="G17" s="192"/>
      <c r="H17" s="192"/>
      <c r="I17" s="192"/>
      <c r="J17" s="186"/>
      <c r="K17" s="186"/>
      <c r="L17" s="186"/>
    </row>
  </sheetData>
  <mergeCells count="6">
    <mergeCell ref="E6:J6"/>
    <mergeCell ref="C1:J1"/>
    <mergeCell ref="C2:J2"/>
    <mergeCell ref="C3:J3"/>
    <mergeCell ref="C4:J4"/>
    <mergeCell ref="C5:J5"/>
  </mergeCells>
  <printOptions horizontalCentered="1"/>
  <pageMargins left="0.7" right="0.7" top="0.75" bottom="0.75" header="0.3" footer="0.3"/>
  <pageSetup scale="79" orientation="portrait" r:id="rId1"/>
  <headerFooter scaleWithDoc="0" alignWithMargins="0">
    <oddHeader>&amp;RPage &amp;P of &amp;N</oddHeader>
    <oddFooter>&amp;LElectronic Tab Name:&amp;A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B7924-EA95-43F2-9CE1-24CEA77391B1}">
  <sheetPr codeName="Sheet63">
    <tabColor theme="7" tint="0.79998168889431442"/>
    <pageSetUpPr fitToPage="1"/>
  </sheetPr>
  <dimension ref="A1:W41"/>
  <sheetViews>
    <sheetView view="pageBreakPreview" topLeftCell="D3" zoomScale="80" zoomScaleNormal="70" zoomScaleSheetLayoutView="80" zoomScalePageLayoutView="80" workbookViewId="0">
      <selection activeCell="F27" sqref="F27"/>
    </sheetView>
  </sheetViews>
  <sheetFormatPr defaultColWidth="8.88671875" defaultRowHeight="15.6"/>
  <cols>
    <col min="1" max="1" width="6.33203125" style="1628" customWidth="1"/>
    <col min="2" max="2" width="10.33203125" style="1659" customWidth="1"/>
    <col min="3" max="4" width="14.33203125" style="1662" customWidth="1"/>
    <col min="5" max="5" width="11.44140625" style="1659" customWidth="1"/>
    <col min="6" max="6" width="17.44140625" style="1659" customWidth="1"/>
    <col min="7" max="11" width="15.5546875" style="1659" customWidth="1"/>
    <col min="12" max="12" width="13.5546875" style="1659" customWidth="1"/>
    <col min="13" max="13" width="11.5546875" style="1659" customWidth="1"/>
    <col min="14" max="14" width="18.33203125" style="1659" customWidth="1"/>
    <col min="15" max="15" width="15.5546875" style="1659" customWidth="1"/>
    <col min="16" max="16" width="16.6640625" style="1659" bestFit="1" customWidth="1"/>
    <col min="17" max="17" width="6" style="1628" customWidth="1"/>
    <col min="18" max="22" width="8.88671875" style="613"/>
    <col min="23" max="23" width="5.33203125" style="613" customWidth="1"/>
    <col min="24" max="16384" width="8.88671875" style="613"/>
  </cols>
  <sheetData>
    <row r="1" spans="1:23" ht="83.7" customHeight="1">
      <c r="A1" s="1625" t="s">
        <v>2502</v>
      </c>
      <c r="B1" s="1626" t="s">
        <v>3215</v>
      </c>
      <c r="C1" s="1627" t="s">
        <v>3216</v>
      </c>
      <c r="D1" s="1627" t="s">
        <v>3217</v>
      </c>
      <c r="E1" s="1626" t="s">
        <v>3218</v>
      </c>
      <c r="F1" s="1626" t="s">
        <v>3219</v>
      </c>
      <c r="G1" s="1626" t="s">
        <v>3220</v>
      </c>
      <c r="H1" s="1626" t="s">
        <v>3221</v>
      </c>
      <c r="I1" s="1626" t="s">
        <v>3222</v>
      </c>
      <c r="J1" s="1626" t="s">
        <v>3223</v>
      </c>
      <c r="K1" s="1626" t="s">
        <v>3224</v>
      </c>
      <c r="L1" s="1626" t="s">
        <v>3225</v>
      </c>
      <c r="M1" s="1626" t="s">
        <v>3226</v>
      </c>
      <c r="N1" s="1626" t="s">
        <v>3227</v>
      </c>
      <c r="O1" s="1626" t="s">
        <v>3228</v>
      </c>
      <c r="P1" s="1626" t="s">
        <v>3229</v>
      </c>
      <c r="R1" s="1628"/>
      <c r="S1" s="1628"/>
      <c r="T1" s="1628"/>
      <c r="U1" s="1628"/>
      <c r="V1" s="1628"/>
      <c r="W1" s="1628"/>
    </row>
    <row r="2" spans="1:23" ht="30">
      <c r="A2" s="1629" t="s">
        <v>1798</v>
      </c>
      <c r="B2" s="1629" t="s">
        <v>1799</v>
      </c>
      <c r="C2" s="1629" t="s">
        <v>1800</v>
      </c>
      <c r="D2" s="1629" t="s">
        <v>1801</v>
      </c>
      <c r="E2" s="1629" t="s">
        <v>3230</v>
      </c>
      <c r="F2" s="1629" t="s">
        <v>2626</v>
      </c>
      <c r="G2" s="1629" t="s">
        <v>1804</v>
      </c>
      <c r="H2" s="1629" t="s">
        <v>1805</v>
      </c>
      <c r="I2" s="1629" t="s">
        <v>1806</v>
      </c>
      <c r="J2" s="1629" t="s">
        <v>3231</v>
      </c>
      <c r="K2" s="1630" t="s">
        <v>3232</v>
      </c>
      <c r="L2" s="1630" t="s">
        <v>3233</v>
      </c>
      <c r="M2" s="1629" t="s">
        <v>3234</v>
      </c>
      <c r="N2" s="1629" t="s">
        <v>2632</v>
      </c>
      <c r="O2" s="1630" t="s">
        <v>3235</v>
      </c>
      <c r="P2" s="1629" t="s">
        <v>3236</v>
      </c>
      <c r="R2" s="1628"/>
      <c r="S2" s="1628"/>
      <c r="T2" s="1628"/>
      <c r="U2" s="1628"/>
      <c r="V2" s="1628"/>
      <c r="W2" s="1628"/>
    </row>
    <row r="3" spans="1:23" ht="16.8">
      <c r="A3" s="1631"/>
      <c r="B3" s="1937" t="s">
        <v>3237</v>
      </c>
      <c r="C3" s="1937"/>
      <c r="D3" s="1937"/>
      <c r="E3" s="1937"/>
      <c r="F3" s="1631"/>
      <c r="G3" s="1631"/>
      <c r="H3" s="1631"/>
      <c r="I3" s="1631"/>
      <c r="J3" s="1631"/>
      <c r="K3" s="1631"/>
      <c r="L3" s="1631"/>
      <c r="M3" s="1631"/>
      <c r="N3" s="1631"/>
      <c r="O3" s="1631"/>
      <c r="P3" s="1631"/>
      <c r="R3" s="1628"/>
      <c r="S3" s="1628"/>
      <c r="T3" s="1628"/>
      <c r="U3" s="1628"/>
      <c r="V3" s="1628"/>
      <c r="W3" s="1628"/>
    </row>
    <row r="4" spans="1:23">
      <c r="A4" s="1628">
        <v>1</v>
      </c>
      <c r="B4" s="1632">
        <v>4.1099999999999994</v>
      </c>
      <c r="C4" s="1633">
        <v>45892</v>
      </c>
      <c r="D4" s="1633">
        <v>41509</v>
      </c>
      <c r="E4" s="1634">
        <v>12</v>
      </c>
      <c r="F4" s="1635">
        <v>25000</v>
      </c>
      <c r="G4" s="1636">
        <v>151.00800000000001</v>
      </c>
      <c r="H4" s="1636">
        <v>0</v>
      </c>
      <c r="I4" s="1636">
        <v>0</v>
      </c>
      <c r="J4" s="1636">
        <v>0</v>
      </c>
      <c r="K4" s="1636">
        <f t="shared" ref="K4:K18" si="0">F4-SUM(G4:J4)</f>
        <v>24848.991999999998</v>
      </c>
      <c r="L4" s="1632">
        <f t="shared" ref="L4:L18" si="1">(K4/F4)*100</f>
        <v>99.395967999999996</v>
      </c>
      <c r="M4" s="1637">
        <f>YIELD(D4,C4,B4/100,L4,100,2,0)</f>
        <v>4.1745047210538587E-2</v>
      </c>
      <c r="N4" s="1635">
        <v>25000</v>
      </c>
      <c r="O4" s="1636">
        <f t="shared" ref="O4:O18" si="2">M4*N4</f>
        <v>1043.6261802634647</v>
      </c>
      <c r="P4" s="1634">
        <f t="shared" ref="P4:P18" si="3">ROUND((C4-44196)/365,0)</f>
        <v>5</v>
      </c>
      <c r="R4" s="1628"/>
      <c r="S4" s="1628"/>
      <c r="T4" s="1628"/>
      <c r="U4" s="1628"/>
      <c r="V4" s="1628"/>
      <c r="W4" s="1628"/>
    </row>
    <row r="5" spans="1:23">
      <c r="A5" s="1628">
        <f>A4+1</f>
        <v>2</v>
      </c>
      <c r="B5" s="1632">
        <v>7.48</v>
      </c>
      <c r="C5" s="1633">
        <v>46645</v>
      </c>
      <c r="D5" s="1633">
        <v>35688</v>
      </c>
      <c r="E5" s="1634">
        <v>30</v>
      </c>
      <c r="F5" s="1635">
        <v>20000</v>
      </c>
      <c r="G5" s="1636">
        <v>201.40600000000001</v>
      </c>
      <c r="H5" s="1636">
        <v>0</v>
      </c>
      <c r="I5" s="1636">
        <v>0</v>
      </c>
      <c r="J5" s="1636">
        <v>0</v>
      </c>
      <c r="K5" s="1636">
        <f t="shared" si="0"/>
        <v>19798.594000000001</v>
      </c>
      <c r="L5" s="1632">
        <f t="shared" si="1"/>
        <v>98.99297</v>
      </c>
      <c r="M5" s="1637">
        <f t="shared" ref="M5:M18" si="4">YIELD(D5,C5,B5/100,L5,100,2,0)</f>
        <v>7.5653881273777368E-2</v>
      </c>
      <c r="N5" s="1635">
        <v>20000</v>
      </c>
      <c r="O5" s="1636">
        <f t="shared" si="2"/>
        <v>1513.0776254755474</v>
      </c>
      <c r="P5" s="1634">
        <f t="shared" si="3"/>
        <v>7</v>
      </c>
      <c r="R5" s="1628"/>
      <c r="S5" s="1628"/>
      <c r="T5" s="1628"/>
      <c r="U5" s="1628"/>
      <c r="V5" s="1628"/>
      <c r="W5" s="1628"/>
    </row>
    <row r="6" spans="1:23">
      <c r="A6" s="1628">
        <f t="shared" ref="A6:A19" si="5">A5+1</f>
        <v>3</v>
      </c>
      <c r="B6" s="1632">
        <v>4.3600000000000003</v>
      </c>
      <c r="C6" s="1633">
        <v>46988</v>
      </c>
      <c r="D6" s="1633">
        <v>41509</v>
      </c>
      <c r="E6" s="1634">
        <v>15</v>
      </c>
      <c r="F6" s="1635">
        <v>25000</v>
      </c>
      <c r="G6" s="1636">
        <v>151.00800000000001</v>
      </c>
      <c r="H6" s="1636">
        <v>0</v>
      </c>
      <c r="I6" s="1636">
        <v>0</v>
      </c>
      <c r="J6" s="1636">
        <v>0</v>
      </c>
      <c r="K6" s="1636">
        <f t="shared" si="0"/>
        <v>24848.991999999998</v>
      </c>
      <c r="L6" s="1632">
        <f t="shared" si="1"/>
        <v>99.395967999999996</v>
      </c>
      <c r="M6" s="1637">
        <f t="shared" si="4"/>
        <v>4.4154929390743093E-2</v>
      </c>
      <c r="N6" s="1635">
        <v>25000</v>
      </c>
      <c r="O6" s="1636">
        <f t="shared" si="2"/>
        <v>1103.8732347685773</v>
      </c>
      <c r="P6" s="1634">
        <f t="shared" si="3"/>
        <v>8</v>
      </c>
      <c r="R6" s="1628"/>
      <c r="S6" s="1628"/>
      <c r="T6" s="1628"/>
      <c r="U6" s="1628"/>
      <c r="V6" s="1628"/>
      <c r="W6" s="1628"/>
    </row>
    <row r="7" spans="1:23">
      <c r="A7" s="1628">
        <f t="shared" si="5"/>
        <v>4</v>
      </c>
      <c r="B7" s="1632">
        <v>3.62</v>
      </c>
      <c r="C7" s="1633">
        <v>47282</v>
      </c>
      <c r="D7" s="1633">
        <v>43629</v>
      </c>
      <c r="E7" s="1634">
        <v>10</v>
      </c>
      <c r="F7" s="1635">
        <v>25000</v>
      </c>
      <c r="G7" s="1636">
        <v>128.459</v>
      </c>
      <c r="H7" s="1636">
        <v>0</v>
      </c>
      <c r="I7" s="1636">
        <v>0</v>
      </c>
      <c r="J7" s="1636">
        <v>0</v>
      </c>
      <c r="K7" s="1636">
        <f t="shared" si="0"/>
        <v>24871.541000000001</v>
      </c>
      <c r="L7" s="1632">
        <f t="shared" si="1"/>
        <v>99.486164000000002</v>
      </c>
      <c r="M7" s="1637">
        <f t="shared" si="4"/>
        <v>3.6818884939046552E-2</v>
      </c>
      <c r="N7" s="1635">
        <v>25000</v>
      </c>
      <c r="O7" s="1636">
        <f t="shared" si="2"/>
        <v>920.4721234761638</v>
      </c>
      <c r="P7" s="1634">
        <f t="shared" si="3"/>
        <v>8</v>
      </c>
      <c r="R7" s="1628"/>
      <c r="S7" s="1628"/>
      <c r="T7" s="1628"/>
      <c r="U7" s="1628"/>
      <c r="V7" s="1628"/>
      <c r="W7" s="1628"/>
    </row>
    <row r="8" spans="1:23">
      <c r="A8" s="1628">
        <f t="shared" si="5"/>
        <v>5</v>
      </c>
      <c r="B8" s="1638">
        <v>7.0979999999999999</v>
      </c>
      <c r="C8" s="1633">
        <v>47193</v>
      </c>
      <c r="D8" s="1633">
        <v>36235</v>
      </c>
      <c r="E8" s="1634">
        <v>30</v>
      </c>
      <c r="F8" s="1635">
        <v>15000</v>
      </c>
      <c r="G8" s="1636">
        <v>151.05600000000001</v>
      </c>
      <c r="H8" s="1636">
        <v>0</v>
      </c>
      <c r="I8" s="1636">
        <v>0</v>
      </c>
      <c r="J8" s="1636">
        <v>0</v>
      </c>
      <c r="K8" s="1636">
        <f t="shared" si="0"/>
        <v>14848.944</v>
      </c>
      <c r="L8" s="1632">
        <f t="shared" si="1"/>
        <v>98.992959999999997</v>
      </c>
      <c r="M8" s="1637">
        <f t="shared" si="4"/>
        <v>7.1802122796605916E-2</v>
      </c>
      <c r="N8" s="1635">
        <v>15000</v>
      </c>
      <c r="O8" s="1636">
        <f t="shared" si="2"/>
        <v>1077.0318419490886</v>
      </c>
      <c r="P8" s="1634">
        <f t="shared" si="3"/>
        <v>8</v>
      </c>
      <c r="R8" s="1628"/>
      <c r="S8" s="1628"/>
      <c r="T8" s="1628"/>
      <c r="U8" s="1628"/>
      <c r="V8" s="1628"/>
      <c r="W8" s="1628"/>
    </row>
    <row r="9" spans="1:23">
      <c r="A9" s="1628">
        <f t="shared" si="5"/>
        <v>6</v>
      </c>
      <c r="B9" s="1632">
        <v>3.82</v>
      </c>
      <c r="C9" s="1633">
        <v>49108</v>
      </c>
      <c r="D9" s="1633">
        <v>43629</v>
      </c>
      <c r="E9" s="1634">
        <v>15</v>
      </c>
      <c r="F9" s="1635">
        <v>20000</v>
      </c>
      <c r="G9" s="1636">
        <v>102.768</v>
      </c>
      <c r="H9" s="1636">
        <v>0</v>
      </c>
      <c r="I9" s="1636">
        <v>0</v>
      </c>
      <c r="J9" s="1636">
        <v>0</v>
      </c>
      <c r="K9" s="1636">
        <f t="shared" si="0"/>
        <v>19897.232</v>
      </c>
      <c r="L9" s="1632">
        <f t="shared" si="1"/>
        <v>99.486159999999998</v>
      </c>
      <c r="M9" s="1637">
        <f t="shared" si="4"/>
        <v>3.8654624993118565E-2</v>
      </c>
      <c r="N9" s="1635">
        <v>20000</v>
      </c>
      <c r="O9" s="1636">
        <f t="shared" si="2"/>
        <v>773.09249986237126</v>
      </c>
      <c r="P9" s="1634">
        <f t="shared" si="3"/>
        <v>13</v>
      </c>
      <c r="R9" s="1628"/>
      <c r="S9" s="1628"/>
      <c r="T9" s="1628"/>
      <c r="U9" s="1628"/>
      <c r="V9" s="1628"/>
      <c r="W9" s="1628"/>
    </row>
    <row r="10" spans="1:23">
      <c r="A10" s="1639">
        <f t="shared" si="5"/>
        <v>7</v>
      </c>
      <c r="B10" s="1640">
        <v>3.34</v>
      </c>
      <c r="C10" s="1641">
        <f>EOMONTH(D10,E10*12)</f>
        <v>58745</v>
      </c>
      <c r="D10" s="1641">
        <v>44129</v>
      </c>
      <c r="E10" s="1642">
        <v>40</v>
      </c>
      <c r="F10" s="1643">
        <v>25000</v>
      </c>
      <c r="G10" s="1644">
        <f>122636/1000</f>
        <v>122.636</v>
      </c>
      <c r="H10" s="1644">
        <v>0</v>
      </c>
      <c r="I10" s="1644">
        <v>0</v>
      </c>
      <c r="J10" s="1644">
        <v>0</v>
      </c>
      <c r="K10" s="1644">
        <f>F10-SUM(G10:J10)</f>
        <v>24877.364000000001</v>
      </c>
      <c r="L10" s="1640">
        <f>(K10/F10)*100</f>
        <v>99.509456</v>
      </c>
      <c r="M10" s="1645">
        <f t="shared" si="4"/>
        <v>3.3623735539316822E-2</v>
      </c>
      <c r="N10" s="1643">
        <v>25000</v>
      </c>
      <c r="O10" s="1644">
        <f>M10*N10</f>
        <v>840.59338848292055</v>
      </c>
      <c r="P10" s="1642">
        <f t="shared" si="3"/>
        <v>40</v>
      </c>
      <c r="R10" s="1628"/>
      <c r="S10" s="1628"/>
      <c r="T10" s="1628"/>
      <c r="U10" s="1628"/>
      <c r="V10" s="1628"/>
      <c r="W10" s="1628"/>
    </row>
    <row r="11" spans="1:23" s="825" customFormat="1">
      <c r="A11" s="1628">
        <f t="shared" si="5"/>
        <v>8</v>
      </c>
      <c r="B11" s="1632">
        <v>5.79</v>
      </c>
      <c r="C11" s="1633">
        <v>50107</v>
      </c>
      <c r="D11" s="1633">
        <v>39149</v>
      </c>
      <c r="E11" s="1634">
        <v>30</v>
      </c>
      <c r="F11" s="1635">
        <v>40000</v>
      </c>
      <c r="G11" s="1636">
        <v>232.78100000000001</v>
      </c>
      <c r="H11" s="1636">
        <v>0</v>
      </c>
      <c r="I11" s="1636">
        <v>0</v>
      </c>
      <c r="J11" s="1636">
        <v>0</v>
      </c>
      <c r="K11" s="1636">
        <f t="shared" si="0"/>
        <v>39767.218999999997</v>
      </c>
      <c r="L11" s="1632">
        <f t="shared" si="1"/>
        <v>99.4180475</v>
      </c>
      <c r="M11" s="1637">
        <f t="shared" si="4"/>
        <v>5.8312982460403305E-2</v>
      </c>
      <c r="N11" s="1635">
        <v>40000</v>
      </c>
      <c r="O11" s="1636">
        <f t="shared" si="2"/>
        <v>2332.5192984161322</v>
      </c>
      <c r="P11" s="1634">
        <f t="shared" si="3"/>
        <v>16</v>
      </c>
      <c r="Q11" s="1628"/>
      <c r="R11" s="1628"/>
      <c r="S11" s="1628"/>
      <c r="T11" s="1628"/>
      <c r="U11" s="1628"/>
      <c r="V11" s="1628"/>
      <c r="W11" s="1628"/>
    </row>
    <row r="12" spans="1:23" s="825" customFormat="1">
      <c r="A12" s="1628">
        <f t="shared" si="5"/>
        <v>9</v>
      </c>
      <c r="B12" s="1632">
        <v>4.09</v>
      </c>
      <c r="C12" s="1633">
        <v>52925</v>
      </c>
      <c r="D12" s="1633">
        <v>41967</v>
      </c>
      <c r="E12" s="1634">
        <v>30</v>
      </c>
      <c r="F12" s="1635">
        <v>12500</v>
      </c>
      <c r="G12" s="1636">
        <v>62.454999999999998</v>
      </c>
      <c r="H12" s="1636">
        <v>0</v>
      </c>
      <c r="I12" s="1636">
        <v>0</v>
      </c>
      <c r="J12" s="1636">
        <v>0</v>
      </c>
      <c r="K12" s="1636">
        <f t="shared" si="0"/>
        <v>12437.545</v>
      </c>
      <c r="L12" s="1632">
        <f t="shared" si="1"/>
        <v>99.500360000000001</v>
      </c>
      <c r="M12" s="1637">
        <f t="shared" si="4"/>
        <v>4.1191634493380411E-2</v>
      </c>
      <c r="N12" s="1635">
        <v>12500</v>
      </c>
      <c r="O12" s="1636">
        <f t="shared" si="2"/>
        <v>514.89543116725508</v>
      </c>
      <c r="P12" s="1634">
        <f t="shared" si="3"/>
        <v>24</v>
      </c>
      <c r="Q12" s="1628"/>
      <c r="R12" s="1628"/>
      <c r="S12" s="1628"/>
      <c r="T12" s="1628"/>
      <c r="U12" s="1628"/>
      <c r="V12" s="1628"/>
      <c r="W12" s="1628"/>
    </row>
    <row r="13" spans="1:23" s="825" customFormat="1">
      <c r="A13" s="1628">
        <f t="shared" si="5"/>
        <v>10</v>
      </c>
      <c r="B13" s="1632">
        <v>4.09</v>
      </c>
      <c r="C13" s="1633">
        <v>52977</v>
      </c>
      <c r="D13" s="1633">
        <v>42019</v>
      </c>
      <c r="E13" s="1634">
        <v>30</v>
      </c>
      <c r="F13" s="1635">
        <v>12500</v>
      </c>
      <c r="G13" s="1636">
        <v>62.454999999999998</v>
      </c>
      <c r="H13" s="1636">
        <v>0</v>
      </c>
      <c r="I13" s="1636">
        <v>0</v>
      </c>
      <c r="J13" s="1636">
        <v>0</v>
      </c>
      <c r="K13" s="1636">
        <f t="shared" si="0"/>
        <v>12437.545</v>
      </c>
      <c r="L13" s="1632">
        <f t="shared" si="1"/>
        <v>99.500360000000001</v>
      </c>
      <c r="M13" s="1637">
        <f t="shared" si="4"/>
        <v>4.1191634493380411E-2</v>
      </c>
      <c r="N13" s="1635">
        <v>12500</v>
      </c>
      <c r="O13" s="1636">
        <f t="shared" si="2"/>
        <v>514.89543116725508</v>
      </c>
      <c r="P13" s="1634">
        <f t="shared" si="3"/>
        <v>24</v>
      </c>
      <c r="Q13" s="1628"/>
      <c r="R13" s="1628"/>
      <c r="S13" s="1628"/>
      <c r="T13" s="1628"/>
      <c r="U13" s="1628"/>
      <c r="V13" s="1628"/>
      <c r="W13" s="1628"/>
    </row>
    <row r="14" spans="1:23">
      <c r="A14" s="1628">
        <f t="shared" si="5"/>
        <v>11</v>
      </c>
      <c r="B14" s="1632">
        <v>4.26</v>
      </c>
      <c r="C14" s="1633">
        <v>54587</v>
      </c>
      <c r="D14" s="1633">
        <v>43629</v>
      </c>
      <c r="E14" s="1634">
        <v>30</v>
      </c>
      <c r="F14" s="1635">
        <v>30000</v>
      </c>
      <c r="G14" s="1636">
        <v>154.15100000000001</v>
      </c>
      <c r="H14" s="1636">
        <v>0</v>
      </c>
      <c r="I14" s="1636">
        <v>0</v>
      </c>
      <c r="J14" s="1636">
        <v>0</v>
      </c>
      <c r="K14" s="1636">
        <f t="shared" si="0"/>
        <v>29845.848999999998</v>
      </c>
      <c r="L14" s="1632">
        <f t="shared" si="1"/>
        <v>99.486163333333337</v>
      </c>
      <c r="M14" s="1637">
        <f t="shared" si="4"/>
        <v>4.2906132701430066E-2</v>
      </c>
      <c r="N14" s="1635">
        <v>30000</v>
      </c>
      <c r="O14" s="1636">
        <f t="shared" si="2"/>
        <v>1287.1839810429019</v>
      </c>
      <c r="P14" s="1634">
        <f t="shared" si="3"/>
        <v>28</v>
      </c>
      <c r="R14" s="1628"/>
      <c r="S14" s="1628"/>
      <c r="T14" s="1628"/>
      <c r="U14" s="1628"/>
      <c r="V14" s="1628"/>
      <c r="W14" s="1628"/>
    </row>
    <row r="15" spans="1:23">
      <c r="A15" s="1628">
        <f t="shared" si="5"/>
        <v>12</v>
      </c>
      <c r="B15" s="1632">
        <v>3.58</v>
      </c>
      <c r="C15" s="1633">
        <v>54954</v>
      </c>
      <c r="D15" s="1633">
        <v>43971</v>
      </c>
      <c r="E15" s="1634">
        <v>30</v>
      </c>
      <c r="F15" s="1635">
        <v>30000</v>
      </c>
      <c r="G15" s="1636">
        <f>F15*0.005</f>
        <v>150</v>
      </c>
      <c r="H15" s="1636">
        <v>0</v>
      </c>
      <c r="I15" s="1636">
        <v>0</v>
      </c>
      <c r="J15" s="1636">
        <v>0</v>
      </c>
      <c r="K15" s="1636">
        <f t="shared" si="0"/>
        <v>29850</v>
      </c>
      <c r="L15" s="1632">
        <f t="shared" si="1"/>
        <v>99.5</v>
      </c>
      <c r="M15" s="1637">
        <f t="shared" si="4"/>
        <v>3.607276368735203E-2</v>
      </c>
      <c r="N15" s="1635">
        <v>30000</v>
      </c>
      <c r="O15" s="1636">
        <f t="shared" si="2"/>
        <v>1082.182910620561</v>
      </c>
      <c r="P15" s="1634">
        <f t="shared" si="3"/>
        <v>29</v>
      </c>
      <c r="R15" s="1628"/>
      <c r="S15" s="1628"/>
      <c r="T15" s="1628"/>
      <c r="U15" s="1628"/>
      <c r="V15" s="1628"/>
      <c r="W15" s="1628"/>
    </row>
    <row r="16" spans="1:23">
      <c r="A16" s="1628">
        <f t="shared" si="5"/>
        <v>13</v>
      </c>
      <c r="B16" s="1632">
        <v>4.24</v>
      </c>
      <c r="C16" s="1633">
        <v>56577</v>
      </c>
      <c r="D16" s="1633">
        <v>41967</v>
      </c>
      <c r="E16" s="1634">
        <v>40</v>
      </c>
      <c r="F16" s="1635">
        <v>12500</v>
      </c>
      <c r="G16" s="1636">
        <v>61.104999999999997</v>
      </c>
      <c r="H16" s="1636">
        <v>0</v>
      </c>
      <c r="I16" s="1636">
        <v>0</v>
      </c>
      <c r="J16" s="1636">
        <v>0</v>
      </c>
      <c r="K16" s="1636">
        <f t="shared" si="0"/>
        <v>12438.895</v>
      </c>
      <c r="L16" s="1632">
        <f t="shared" si="1"/>
        <v>99.511160000000004</v>
      </c>
      <c r="M16" s="1637">
        <f t="shared" si="4"/>
        <v>4.2655799284283862E-2</v>
      </c>
      <c r="N16" s="1635">
        <v>12500</v>
      </c>
      <c r="O16" s="1636">
        <f t="shared" si="2"/>
        <v>533.19749105354822</v>
      </c>
      <c r="P16" s="1634">
        <f t="shared" si="3"/>
        <v>34</v>
      </c>
      <c r="R16" s="1628"/>
      <c r="S16" s="1628"/>
      <c r="T16" s="1628"/>
      <c r="U16" s="1628"/>
      <c r="V16" s="1628"/>
      <c r="W16" s="1628"/>
    </row>
    <row r="17" spans="1:23">
      <c r="A17" s="1628">
        <f t="shared" si="5"/>
        <v>14</v>
      </c>
      <c r="B17" s="1632">
        <v>4.24</v>
      </c>
      <c r="C17" s="1633">
        <v>56629</v>
      </c>
      <c r="D17" s="1633">
        <v>42019</v>
      </c>
      <c r="E17" s="1634">
        <v>40</v>
      </c>
      <c r="F17" s="1635">
        <v>12500</v>
      </c>
      <c r="G17" s="1636">
        <v>61.104999999999997</v>
      </c>
      <c r="H17" s="1636">
        <v>0</v>
      </c>
      <c r="I17" s="1636">
        <v>0</v>
      </c>
      <c r="J17" s="1636">
        <v>0</v>
      </c>
      <c r="K17" s="1636">
        <f t="shared" si="0"/>
        <v>12438.895</v>
      </c>
      <c r="L17" s="1632">
        <f t="shared" si="1"/>
        <v>99.511160000000004</v>
      </c>
      <c r="M17" s="1637">
        <f t="shared" si="4"/>
        <v>4.2655799284283862E-2</v>
      </c>
      <c r="N17" s="1635">
        <v>12500</v>
      </c>
      <c r="O17" s="1636">
        <f t="shared" si="2"/>
        <v>533.19749105354822</v>
      </c>
      <c r="P17" s="1634">
        <f t="shared" si="3"/>
        <v>34</v>
      </c>
      <c r="R17" s="1628"/>
      <c r="S17" s="1628"/>
      <c r="T17" s="1628"/>
      <c r="U17" s="1628"/>
      <c r="V17" s="1628"/>
      <c r="W17" s="1628"/>
    </row>
    <row r="18" spans="1:23">
      <c r="A18" s="1646">
        <f t="shared" si="5"/>
        <v>15</v>
      </c>
      <c r="B18" s="1647">
        <v>3.78</v>
      </c>
      <c r="C18" s="1648">
        <v>58607</v>
      </c>
      <c r="D18" s="1648">
        <v>43971</v>
      </c>
      <c r="E18" s="1649">
        <v>40</v>
      </c>
      <c r="F18" s="1650">
        <v>20000</v>
      </c>
      <c r="G18" s="1651">
        <f>86376/1000</f>
        <v>86.376000000000005</v>
      </c>
      <c r="H18" s="1651">
        <v>0</v>
      </c>
      <c r="I18" s="1651">
        <v>0</v>
      </c>
      <c r="J18" s="1651">
        <v>0</v>
      </c>
      <c r="K18" s="1651">
        <f t="shared" si="0"/>
        <v>19913.624</v>
      </c>
      <c r="L18" s="1647">
        <f t="shared" si="1"/>
        <v>99.568120000000008</v>
      </c>
      <c r="M18" s="1652">
        <f t="shared" si="4"/>
        <v>3.8009737502309383E-2</v>
      </c>
      <c r="N18" s="1650">
        <v>20000</v>
      </c>
      <c r="O18" s="1651">
        <f t="shared" si="2"/>
        <v>760.19475004618766</v>
      </c>
      <c r="P18" s="1649">
        <f t="shared" si="3"/>
        <v>39</v>
      </c>
      <c r="R18" s="1628"/>
      <c r="S18" s="1628"/>
      <c r="T18" s="1628"/>
      <c r="U18" s="1628"/>
      <c r="V18" s="1628"/>
      <c r="W18" s="1628"/>
    </row>
    <row r="19" spans="1:23" ht="27.75" customHeight="1" thickBot="1">
      <c r="A19" s="1653">
        <f t="shared" si="5"/>
        <v>16</v>
      </c>
      <c r="B19" s="1654"/>
      <c r="C19" s="1655"/>
      <c r="D19" s="1655"/>
      <c r="E19" s="1653"/>
      <c r="F19" s="1656">
        <f>SUM(F4:F18)</f>
        <v>325000</v>
      </c>
      <c r="G19" s="1657"/>
      <c r="H19" s="1657"/>
      <c r="I19" s="1657"/>
      <c r="J19" s="1657"/>
      <c r="K19" s="1657"/>
      <c r="L19" s="1657"/>
      <c r="M19" s="1658">
        <f>O19/N19</f>
        <v>4.563087285798622E-2</v>
      </c>
      <c r="N19" s="1656">
        <f>SUM(N4:N18)</f>
        <v>325000</v>
      </c>
      <c r="O19" s="1656">
        <f>SUM(O4:O18)</f>
        <v>14830.033678845521</v>
      </c>
      <c r="P19" s="1653"/>
      <c r="R19" s="1628"/>
      <c r="S19" s="1628"/>
      <c r="T19" s="1628"/>
      <c r="U19" s="1628"/>
      <c r="V19" s="1628"/>
      <c r="W19" s="1628"/>
    </row>
    <row r="20" spans="1:23">
      <c r="C20" s="1659"/>
      <c r="D20" s="1659"/>
      <c r="G20" s="1660"/>
      <c r="O20" s="1678">
        <f>O21-O19</f>
        <v>84.216321154479374</v>
      </c>
      <c r="P20" s="1659" t="s">
        <v>3251</v>
      </c>
      <c r="R20" s="1628"/>
      <c r="S20" s="1628"/>
      <c r="T20" s="1628"/>
      <c r="U20" s="1628"/>
      <c r="V20" s="1628"/>
      <c r="W20" s="1628"/>
    </row>
    <row r="21" spans="1:23" ht="15.45" customHeight="1" thickBot="1">
      <c r="B21" s="1661" t="s">
        <v>764</v>
      </c>
      <c r="I21" s="1663"/>
      <c r="J21" s="1663"/>
      <c r="K21" s="1663"/>
      <c r="L21" s="1663"/>
      <c r="M21" s="1658">
        <f>O21/N21</f>
        <v>4.589E-2</v>
      </c>
      <c r="N21" s="1656">
        <f>N19</f>
        <v>325000</v>
      </c>
      <c r="O21" s="1656">
        <f>14914250/1000</f>
        <v>14914.25</v>
      </c>
    </row>
    <row r="22" spans="1:23" ht="15.45" customHeight="1">
      <c r="A22" s="1659"/>
      <c r="B22" s="1662" t="s">
        <v>3238</v>
      </c>
      <c r="I22" s="1663"/>
      <c r="J22" s="1663"/>
      <c r="K22" s="1663"/>
      <c r="L22" s="1663"/>
      <c r="M22" s="1663"/>
      <c r="N22" s="1664"/>
      <c r="O22" s="1664"/>
      <c r="Q22" s="1659"/>
    </row>
    <row r="23" spans="1:23" ht="15.45" customHeight="1">
      <c r="A23" s="1659"/>
      <c r="B23" s="1659" t="s">
        <v>3239</v>
      </c>
      <c r="E23" s="1665"/>
      <c r="F23" s="1665"/>
      <c r="G23" s="1665"/>
      <c r="H23" s="1665"/>
      <c r="I23" s="1663"/>
      <c r="J23" s="1663"/>
      <c r="K23" s="1663"/>
      <c r="L23" s="1663"/>
      <c r="M23" s="1663"/>
      <c r="N23" s="1664"/>
      <c r="O23" s="1664"/>
      <c r="Q23" s="1659"/>
    </row>
    <row r="24" spans="1:23" ht="15.45" customHeight="1">
      <c r="A24" s="1659"/>
      <c r="B24" s="1659" t="s">
        <v>3240</v>
      </c>
      <c r="I24" s="1663"/>
      <c r="J24" s="1663"/>
      <c r="K24" s="1663"/>
      <c r="L24" s="1663"/>
      <c r="M24" s="1663"/>
      <c r="N24" s="1663"/>
      <c r="O24" s="1664"/>
      <c r="Q24" s="1659"/>
    </row>
    <row r="25" spans="1:23" ht="15.6" customHeight="1">
      <c r="A25" s="1659"/>
      <c r="I25" s="1663"/>
      <c r="J25" s="1663"/>
      <c r="K25" s="1663"/>
      <c r="L25" s="1663"/>
      <c r="M25" s="1663"/>
      <c r="N25" s="1663"/>
      <c r="O25" s="1664"/>
    </row>
    <row r="26" spans="1:23">
      <c r="B26" s="1628"/>
      <c r="C26" s="1628"/>
      <c r="D26" s="1628"/>
      <c r="E26" s="1628"/>
      <c r="F26" s="1628"/>
      <c r="G26" s="1628"/>
      <c r="H26" s="1628"/>
      <c r="I26" s="1628"/>
      <c r="J26" s="1628"/>
      <c r="K26" s="1628"/>
      <c r="L26" s="1628"/>
      <c r="M26" s="1628"/>
      <c r="N26" s="1664"/>
      <c r="O26" s="1664"/>
      <c r="P26" s="1628"/>
    </row>
    <row r="27" spans="1:23">
      <c r="B27" s="1666"/>
      <c r="C27" s="1667"/>
      <c r="D27" s="1667"/>
      <c r="E27" s="1628"/>
      <c r="F27" s="1628"/>
      <c r="G27" s="1636"/>
      <c r="H27" s="1628"/>
      <c r="I27" s="1628"/>
      <c r="J27" s="1628"/>
      <c r="K27" s="1668"/>
      <c r="L27" s="1628"/>
      <c r="M27" s="1628"/>
      <c r="N27" s="1664"/>
      <c r="O27" s="1664"/>
      <c r="P27" s="1628"/>
    </row>
    <row r="28" spans="1:23">
      <c r="B28" s="1666"/>
      <c r="C28" s="1628"/>
      <c r="D28" s="1628"/>
      <c r="E28" s="1628"/>
      <c r="F28" s="1628"/>
      <c r="G28" s="1628"/>
      <c r="H28" s="1628"/>
      <c r="I28" s="1628"/>
      <c r="J28" s="1628"/>
      <c r="K28" s="1668"/>
      <c r="L28" s="1628"/>
      <c r="M28" s="1628"/>
      <c r="N28" s="1664"/>
      <c r="O28" s="1664"/>
      <c r="P28" s="1628"/>
    </row>
    <row r="29" spans="1:23">
      <c r="B29" s="1628"/>
      <c r="C29" s="1628"/>
      <c r="D29" s="1628"/>
      <c r="E29" s="1628"/>
      <c r="F29" s="1628"/>
      <c r="G29" s="1628"/>
      <c r="K29" s="1668"/>
      <c r="M29" s="1628"/>
      <c r="N29" s="1664"/>
      <c r="O29" s="1664"/>
      <c r="P29" s="1628"/>
    </row>
    <row r="30" spans="1:23">
      <c r="B30" s="1628"/>
      <c r="C30" s="1628"/>
      <c r="D30" s="1628"/>
      <c r="E30" s="1628"/>
      <c r="F30" s="1628"/>
      <c r="G30" s="1628"/>
      <c r="M30" s="1628"/>
      <c r="N30" s="1664"/>
      <c r="O30" s="1664"/>
      <c r="P30" s="1628"/>
    </row>
    <row r="31" spans="1:23">
      <c r="B31" s="1628"/>
      <c r="C31" s="1628"/>
      <c r="D31" s="1628"/>
      <c r="E31" s="1628"/>
      <c r="F31" s="1628"/>
      <c r="G31" s="1628"/>
      <c r="M31" s="1628"/>
      <c r="N31" s="1664"/>
      <c r="O31" s="1664"/>
      <c r="P31" s="1628"/>
    </row>
    <row r="32" spans="1:23">
      <c r="B32" s="1628"/>
      <c r="C32" s="1628"/>
      <c r="D32" s="1628"/>
      <c r="E32" s="1628"/>
      <c r="F32" s="1628"/>
      <c r="G32" s="1628"/>
      <c r="M32" s="1628"/>
      <c r="N32" s="1664"/>
      <c r="O32" s="1664"/>
      <c r="P32" s="1628"/>
    </row>
    <row r="33" spans="1:16">
      <c r="B33" s="1628"/>
      <c r="C33" s="1628"/>
      <c r="D33" s="1628"/>
      <c r="E33" s="1628"/>
      <c r="F33" s="1628"/>
      <c r="G33" s="1628"/>
      <c r="H33" s="1628"/>
      <c r="I33" s="1628"/>
      <c r="J33" s="1628"/>
      <c r="K33" s="1628"/>
      <c r="L33" s="1628"/>
      <c r="M33" s="1628"/>
      <c r="N33" s="1664"/>
      <c r="O33" s="1664"/>
      <c r="P33" s="1628"/>
    </row>
    <row r="34" spans="1:16">
      <c r="A34" s="1669"/>
      <c r="E34" s="1634"/>
      <c r="F34" s="1635"/>
      <c r="L34" s="1632"/>
      <c r="M34" s="1637"/>
      <c r="N34" s="1664"/>
      <c r="O34" s="1664"/>
      <c r="P34" s="1628"/>
    </row>
    <row r="35" spans="1:16">
      <c r="D35" s="1659"/>
      <c r="N35" s="1664"/>
      <c r="O35" s="1664"/>
    </row>
    <row r="36" spans="1:16">
      <c r="D36" s="1659"/>
      <c r="K36" s="1670"/>
      <c r="N36" s="1664"/>
      <c r="O36" s="1664"/>
    </row>
    <row r="37" spans="1:16">
      <c r="C37" s="1659"/>
      <c r="D37" s="1659"/>
      <c r="N37" s="1664"/>
      <c r="O37" s="1664"/>
    </row>
    <row r="38" spans="1:16">
      <c r="C38" s="1659"/>
      <c r="D38" s="1659"/>
      <c r="N38" s="1664"/>
      <c r="O38" s="1664"/>
    </row>
    <row r="39" spans="1:16">
      <c r="C39" s="1659"/>
      <c r="D39" s="1659"/>
    </row>
    <row r="40" spans="1:16">
      <c r="C40" s="1659"/>
      <c r="D40" s="1659"/>
    </row>
    <row r="41" spans="1:16">
      <c r="C41" s="1659"/>
      <c r="D41" s="1659"/>
    </row>
  </sheetData>
  <mergeCells count="1">
    <mergeCell ref="B3:E3"/>
  </mergeCells>
  <pageMargins left="0.7" right="0.7" top="1.0340909090909092" bottom="0.75" header="0.3" footer="0.3"/>
  <pageSetup paperSize="17" scale="87" orientation="landscape" r:id="rId1"/>
  <headerFooter>
    <oddHeader>&amp;L&amp;16&amp;K000000UG 390 CNG GRC 2020&amp;C&amp;"-,Bold"&amp;16&amp;KFF0000For Settlement Purposes Only&amp;"-,Regular"&amp;K01+000
Outstanding Long-Term Debt table
(OPUC Compiled)&amp;R&amp;16Staff/XXXX
Muldoon-Enright/&amp;P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79998168889431442"/>
    <pageSetUpPr fitToPage="1"/>
  </sheetPr>
  <dimension ref="A1:U71"/>
  <sheetViews>
    <sheetView view="pageBreakPreview" topLeftCell="A6" zoomScale="80" zoomScaleNormal="75" zoomScaleSheetLayoutView="80" workbookViewId="0">
      <selection activeCell="C21" sqref="C21:D21"/>
    </sheetView>
  </sheetViews>
  <sheetFormatPr defaultColWidth="17.88671875" defaultRowHeight="13.2"/>
  <cols>
    <col min="1" max="1" width="7.88671875" style="286" bestFit="1" customWidth="1"/>
    <col min="2" max="2" width="17.6640625" style="242" customWidth="1"/>
    <col min="3" max="3" width="11.33203125" style="242" bestFit="1" customWidth="1"/>
    <col min="4" max="4" width="8.6640625" style="242" customWidth="1"/>
    <col min="5" max="5" width="10.44140625" style="242" customWidth="1"/>
    <col min="6" max="6" width="22.44140625" style="242" customWidth="1"/>
    <col min="7" max="7" width="15.109375" style="242" customWidth="1"/>
    <col min="8" max="9" width="15.44140625" style="242" bestFit="1" customWidth="1"/>
    <col min="10" max="10" width="8.33203125" style="242" bestFit="1" customWidth="1"/>
    <col min="11" max="11" width="15.5546875" style="242" bestFit="1" customWidth="1"/>
    <col min="12" max="13" width="11.6640625" style="242" bestFit="1" customWidth="1"/>
    <col min="14" max="14" width="14" style="242" bestFit="1" customWidth="1"/>
    <col min="15" max="15" width="10.88671875" style="242" bestFit="1" customWidth="1"/>
    <col min="16" max="16" width="12" style="242" bestFit="1" customWidth="1"/>
    <col min="17" max="17" width="10.44140625" style="242" bestFit="1" customWidth="1"/>
    <col min="18" max="18" width="13.44140625" style="242" customWidth="1"/>
    <col min="19" max="19" width="15.109375" style="242" customWidth="1"/>
    <col min="20" max="20" width="26.5546875" style="242" customWidth="1"/>
    <col min="21" max="16384" width="17.88671875" style="242"/>
  </cols>
  <sheetData>
    <row r="1" spans="1:20" s="243" customFormat="1" ht="15.6">
      <c r="A1" s="405"/>
      <c r="H1" s="1910" t="s">
        <v>52</v>
      </c>
      <c r="I1" s="1910"/>
      <c r="J1" s="1910"/>
      <c r="K1" s="1910"/>
      <c r="L1" s="1910"/>
      <c r="M1" s="1910"/>
      <c r="N1" s="1910"/>
      <c r="O1" s="1910"/>
      <c r="P1" s="1910"/>
    </row>
    <row r="2" spans="1:20" s="243" customFormat="1" ht="15.6">
      <c r="A2" s="405"/>
      <c r="H2" s="1910" t="s">
        <v>1824</v>
      </c>
      <c r="I2" s="1910"/>
      <c r="J2" s="1910"/>
      <c r="K2" s="1910"/>
      <c r="L2" s="1910"/>
      <c r="M2" s="1910"/>
      <c r="N2" s="1910"/>
      <c r="O2" s="1910"/>
      <c r="P2" s="1910"/>
    </row>
    <row r="3" spans="1:20" s="243" customFormat="1" ht="15.6">
      <c r="A3" s="405"/>
      <c r="B3" s="406"/>
      <c r="H3" s="1910" t="s">
        <v>1357</v>
      </c>
      <c r="I3" s="1910"/>
      <c r="J3" s="1910"/>
      <c r="K3" s="1910"/>
      <c r="L3" s="1910"/>
      <c r="M3" s="1910"/>
      <c r="N3" s="1910"/>
      <c r="O3" s="1910"/>
      <c r="P3" s="1910"/>
    </row>
    <row r="4" spans="1:20" s="243" customFormat="1" ht="15.6">
      <c r="A4" s="405"/>
      <c r="H4" s="1910" t="s">
        <v>1079</v>
      </c>
      <c r="I4" s="1910"/>
      <c r="J4" s="1910"/>
      <c r="K4" s="1910"/>
      <c r="L4" s="1910"/>
      <c r="M4" s="1910"/>
      <c r="N4" s="1910"/>
      <c r="O4" s="1910"/>
      <c r="P4" s="1910"/>
    </row>
    <row r="5" spans="1:20" s="243" customFormat="1" ht="15.6">
      <c r="A5" s="405"/>
      <c r="B5" s="407"/>
      <c r="H5" s="1910" t="s">
        <v>1823</v>
      </c>
      <c r="I5" s="1910"/>
      <c r="J5" s="1910"/>
      <c r="K5" s="1910"/>
      <c r="L5" s="1910"/>
      <c r="M5" s="1910"/>
      <c r="N5" s="1910"/>
      <c r="O5" s="1910"/>
      <c r="P5" s="1910"/>
    </row>
    <row r="6" spans="1:20" s="405" customFormat="1" ht="15.6">
      <c r="B6" s="408" t="s">
        <v>778</v>
      </c>
      <c r="C6" s="405" t="s">
        <v>776</v>
      </c>
      <c r="D6" s="405" t="s">
        <v>777</v>
      </c>
      <c r="E6" s="405" t="s">
        <v>780</v>
      </c>
      <c r="F6" s="405" t="s">
        <v>781</v>
      </c>
      <c r="G6" s="405" t="s">
        <v>782</v>
      </c>
      <c r="H6" s="287" t="s">
        <v>783</v>
      </c>
      <c r="I6" s="287" t="s">
        <v>784</v>
      </c>
      <c r="J6" s="287" t="s">
        <v>785</v>
      </c>
      <c r="K6" s="287" t="s">
        <v>786</v>
      </c>
      <c r="L6" s="287" t="s">
        <v>787</v>
      </c>
      <c r="M6" s="287" t="s">
        <v>788</v>
      </c>
      <c r="N6" s="287" t="s">
        <v>789</v>
      </c>
      <c r="O6" s="287" t="s">
        <v>790</v>
      </c>
      <c r="P6" s="287" t="s">
        <v>791</v>
      </c>
      <c r="Q6" s="405" t="s">
        <v>995</v>
      </c>
      <c r="R6" s="405" t="s">
        <v>996</v>
      </c>
      <c r="S6" s="405" t="s">
        <v>997</v>
      </c>
      <c r="T6" s="405" t="s">
        <v>998</v>
      </c>
    </row>
    <row r="7" spans="1:20" s="243" customFormat="1" ht="14.4" thickBot="1">
      <c r="A7" s="405"/>
      <c r="B7" s="407" t="s">
        <v>1941</v>
      </c>
    </row>
    <row r="8" spans="1:20" s="243" customFormat="1">
      <c r="A8" s="405" t="s">
        <v>649</v>
      </c>
      <c r="B8" s="279"/>
      <c r="C8" s="278"/>
      <c r="D8" s="278"/>
      <c r="E8" s="277"/>
      <c r="F8" s="278"/>
      <c r="G8" s="278"/>
      <c r="H8" s="281"/>
      <c r="I8" s="281"/>
      <c r="J8" s="280"/>
      <c r="K8" s="279"/>
      <c r="L8" s="278"/>
      <c r="M8" s="278"/>
      <c r="N8" s="277"/>
      <c r="O8" s="279"/>
      <c r="P8" s="278"/>
      <c r="Q8" s="277"/>
      <c r="R8" s="279"/>
      <c r="S8" s="278"/>
      <c r="T8" s="277"/>
    </row>
    <row r="9" spans="1:20" s="243" customFormat="1">
      <c r="A9" s="405">
        <v>1</v>
      </c>
      <c r="B9" s="275" t="s">
        <v>52</v>
      </c>
      <c r="C9" s="272"/>
      <c r="D9" s="272"/>
      <c r="E9" s="271"/>
      <c r="F9" s="276" t="s">
        <v>52</v>
      </c>
      <c r="G9" s="272"/>
      <c r="H9" s="274"/>
      <c r="I9" s="274"/>
      <c r="J9" s="273"/>
      <c r="K9" s="275" t="s">
        <v>52</v>
      </c>
      <c r="L9" s="272"/>
      <c r="M9" s="272"/>
      <c r="N9" s="271"/>
      <c r="O9" s="275" t="s">
        <v>52</v>
      </c>
      <c r="P9" s="272"/>
      <c r="Q9" s="271"/>
      <c r="R9" s="275" t="s">
        <v>52</v>
      </c>
      <c r="S9" s="272"/>
      <c r="T9" s="271"/>
    </row>
    <row r="10" spans="1:20" s="243" customFormat="1" ht="15.6">
      <c r="A10" s="405">
        <v>2</v>
      </c>
      <c r="B10" s="275" t="s">
        <v>1067</v>
      </c>
      <c r="C10" s="272"/>
      <c r="D10" s="272"/>
      <c r="E10" s="271"/>
      <c r="F10" s="276" t="s">
        <v>1066</v>
      </c>
      <c r="G10" s="272"/>
      <c r="H10" s="274"/>
      <c r="I10" s="274"/>
      <c r="J10" s="273"/>
      <c r="K10" s="275" t="s">
        <v>1065</v>
      </c>
      <c r="L10" s="272"/>
      <c r="M10" s="272"/>
      <c r="N10" s="271"/>
      <c r="O10" s="275" t="s">
        <v>1064</v>
      </c>
      <c r="P10" s="272"/>
      <c r="Q10" s="271"/>
      <c r="R10" s="275" t="s">
        <v>104</v>
      </c>
      <c r="S10" s="272"/>
      <c r="T10" s="271"/>
    </row>
    <row r="11" spans="1:20" s="243" customFormat="1">
      <c r="A11" s="405">
        <v>3</v>
      </c>
      <c r="B11" s="409">
        <v>2018</v>
      </c>
      <c r="C11" s="272"/>
      <c r="D11" s="272"/>
      <c r="E11" s="271"/>
      <c r="F11" s="410">
        <f>+B11</f>
        <v>2018</v>
      </c>
      <c r="G11" s="272"/>
      <c r="H11" s="274"/>
      <c r="I11" s="274"/>
      <c r="J11" s="273"/>
      <c r="K11" s="411">
        <f>+B11</f>
        <v>2018</v>
      </c>
      <c r="L11" s="272"/>
      <c r="M11" s="272"/>
      <c r="N11" s="271"/>
      <c r="O11" s="411">
        <f>B11</f>
        <v>2018</v>
      </c>
      <c r="P11" s="272"/>
      <c r="Q11" s="271"/>
      <c r="R11" s="411">
        <f>B11</f>
        <v>2018</v>
      </c>
      <c r="S11" s="272"/>
      <c r="T11" s="271"/>
    </row>
    <row r="12" spans="1:20" s="243" customFormat="1">
      <c r="A12" s="405"/>
      <c r="B12" s="252"/>
      <c r="C12" s="251"/>
      <c r="D12" s="251"/>
      <c r="E12" s="250"/>
      <c r="F12" s="251"/>
      <c r="G12" s="251"/>
      <c r="H12" s="257"/>
      <c r="I12" s="257"/>
      <c r="J12" s="256"/>
      <c r="K12" s="252"/>
      <c r="L12" s="251"/>
      <c r="M12" s="251"/>
      <c r="N12" s="250"/>
      <c r="O12" s="252"/>
      <c r="P12" s="251"/>
      <c r="Q12" s="250"/>
      <c r="R12" s="252"/>
      <c r="S12" s="251"/>
      <c r="T12" s="250"/>
    </row>
    <row r="13" spans="1:20" s="243" customFormat="1">
      <c r="A13" s="405">
        <v>4</v>
      </c>
      <c r="B13" s="252"/>
      <c r="C13" s="251"/>
      <c r="D13" s="251"/>
      <c r="E13" s="250"/>
      <c r="F13" s="253" t="s">
        <v>1063</v>
      </c>
      <c r="G13" s="251"/>
      <c r="H13" s="269" t="s">
        <v>359</v>
      </c>
      <c r="I13" s="269" t="s">
        <v>721</v>
      </c>
      <c r="J13" s="256"/>
      <c r="K13" s="252"/>
      <c r="L13" s="251"/>
      <c r="M13" s="251"/>
      <c r="N13" s="250"/>
      <c r="O13" s="252"/>
      <c r="P13" s="251"/>
      <c r="Q13" s="250"/>
      <c r="R13" s="252"/>
      <c r="S13" s="251"/>
      <c r="T13" s="250"/>
    </row>
    <row r="14" spans="1:20" s="243" customFormat="1">
      <c r="A14" s="405">
        <v>5</v>
      </c>
      <c r="B14" s="252"/>
      <c r="C14" s="263" t="s">
        <v>359</v>
      </c>
      <c r="D14" s="263" t="s">
        <v>721</v>
      </c>
      <c r="E14" s="262" t="s">
        <v>51</v>
      </c>
      <c r="F14" s="251"/>
      <c r="G14" s="270"/>
      <c r="H14" s="269" t="s">
        <v>742</v>
      </c>
      <c r="I14" s="269" t="s">
        <v>742</v>
      </c>
      <c r="J14" s="256"/>
      <c r="K14" s="252"/>
      <c r="L14" s="251"/>
      <c r="M14" s="251"/>
      <c r="N14" s="250"/>
      <c r="O14" s="252"/>
      <c r="P14" s="265" t="s">
        <v>1062</v>
      </c>
      <c r="Q14" s="266"/>
      <c r="R14" s="259" t="s">
        <v>1061</v>
      </c>
      <c r="S14" s="251"/>
      <c r="T14" s="250"/>
    </row>
    <row r="15" spans="1:20" s="243" customFormat="1">
      <c r="A15" s="405">
        <v>6</v>
      </c>
      <c r="B15" s="252"/>
      <c r="C15" s="255"/>
      <c r="D15" s="255"/>
      <c r="E15" s="254"/>
      <c r="F15" s="251"/>
      <c r="G15" s="263" t="s">
        <v>1060</v>
      </c>
      <c r="H15" s="268" t="s">
        <v>1059</v>
      </c>
      <c r="I15" s="268" t="s">
        <v>1059</v>
      </c>
      <c r="J15" s="256"/>
      <c r="K15" s="252"/>
      <c r="L15" s="265" t="s">
        <v>359</v>
      </c>
      <c r="M15" s="265" t="s">
        <v>721</v>
      </c>
      <c r="N15" s="266"/>
      <c r="O15" s="252"/>
      <c r="P15" s="263" t="s">
        <v>1058</v>
      </c>
      <c r="Q15" s="262" t="s">
        <v>1051</v>
      </c>
      <c r="R15" s="252"/>
      <c r="S15" s="251"/>
      <c r="T15" s="250"/>
    </row>
    <row r="16" spans="1:20" s="243" customFormat="1">
      <c r="A16" s="405">
        <v>7</v>
      </c>
      <c r="B16" s="259" t="s">
        <v>1057</v>
      </c>
      <c r="C16" s="412">
        <f>Q17</f>
        <v>0.74299999999999999</v>
      </c>
      <c r="D16" s="412">
        <f>E16-C16</f>
        <v>0.25700000000000001</v>
      </c>
      <c r="E16" s="413">
        <v>1</v>
      </c>
      <c r="F16" s="251"/>
      <c r="G16" s="255"/>
      <c r="H16" s="258"/>
      <c r="I16" s="258"/>
      <c r="J16" s="256"/>
      <c r="K16" s="252"/>
      <c r="L16" s="263" t="s">
        <v>1056</v>
      </c>
      <c r="M16" s="263" t="s">
        <v>1056</v>
      </c>
      <c r="N16" s="262" t="s">
        <v>51</v>
      </c>
      <c r="O16" s="252"/>
      <c r="P16" s="255"/>
      <c r="Q16" s="254"/>
      <c r="R16" s="252"/>
      <c r="S16" s="251"/>
      <c r="T16" s="250"/>
    </row>
    <row r="17" spans="1:21" s="243" customFormat="1">
      <c r="A17" s="405">
        <v>8</v>
      </c>
      <c r="B17" s="259" t="s">
        <v>1055</v>
      </c>
      <c r="C17" s="412">
        <f>H39</f>
        <v>0.73719999999999997</v>
      </c>
      <c r="D17" s="412">
        <f>E17-C17</f>
        <v>0.26280000000000003</v>
      </c>
      <c r="E17" s="413">
        <v>1</v>
      </c>
      <c r="F17" s="251"/>
      <c r="G17" s="414">
        <v>43100</v>
      </c>
      <c r="H17" s="415">
        <v>172</v>
      </c>
      <c r="I17" s="415">
        <v>62</v>
      </c>
      <c r="J17" s="256"/>
      <c r="K17" s="252"/>
      <c r="L17" s="255"/>
      <c r="M17" s="255"/>
      <c r="N17" s="254"/>
      <c r="O17" s="259" t="s">
        <v>359</v>
      </c>
      <c r="P17" s="415">
        <f>+P62</f>
        <v>214995.91666666666</v>
      </c>
      <c r="Q17" s="413">
        <f>ROUND(P17/P21,4)</f>
        <v>0.74299999999999999</v>
      </c>
      <c r="R17" s="252"/>
      <c r="S17" s="267">
        <f>R11</f>
        <v>2018</v>
      </c>
      <c r="T17" s="266"/>
    </row>
    <row r="18" spans="1:21" s="243" customFormat="1">
      <c r="A18" s="405">
        <v>9</v>
      </c>
      <c r="B18" s="259" t="s">
        <v>1054</v>
      </c>
      <c r="C18" s="416">
        <f>L25</f>
        <v>0.77490000000000003</v>
      </c>
      <c r="D18" s="416">
        <f>E18-C18</f>
        <v>0.22509999999999997</v>
      </c>
      <c r="E18" s="417">
        <v>1</v>
      </c>
      <c r="F18" s="251"/>
      <c r="G18" s="414">
        <v>43130</v>
      </c>
      <c r="H18" s="415">
        <v>173</v>
      </c>
      <c r="I18" s="415">
        <v>62</v>
      </c>
      <c r="J18" s="256"/>
      <c r="K18" s="259" t="s">
        <v>1053</v>
      </c>
      <c r="L18" s="243">
        <v>780275999</v>
      </c>
      <c r="M18" s="243">
        <v>226716210</v>
      </c>
      <c r="N18" s="418">
        <f>SUM(L18:M18)</f>
        <v>1006992209</v>
      </c>
      <c r="O18" s="259" t="s">
        <v>721</v>
      </c>
      <c r="P18" s="419">
        <f>+Q62</f>
        <v>74376.666666666672</v>
      </c>
      <c r="Q18" s="417">
        <f>Q21-Q17</f>
        <v>0.25700000000000001</v>
      </c>
      <c r="R18" s="252"/>
      <c r="S18" s="265" t="s">
        <v>1030</v>
      </c>
      <c r="T18" s="264" t="s">
        <v>708</v>
      </c>
    </row>
    <row r="19" spans="1:21" s="243" customFormat="1">
      <c r="A19" s="405">
        <v>10</v>
      </c>
      <c r="B19" s="252"/>
      <c r="C19" s="255"/>
      <c r="D19" s="255"/>
      <c r="E19" s="254"/>
      <c r="F19" s="251"/>
      <c r="G19" s="414">
        <v>43158</v>
      </c>
      <c r="H19" s="415">
        <v>173</v>
      </c>
      <c r="I19" s="415">
        <v>60</v>
      </c>
      <c r="J19" s="256"/>
      <c r="K19" s="252"/>
      <c r="L19" s="257"/>
      <c r="M19" s="257"/>
      <c r="N19" s="256"/>
      <c r="O19" s="252"/>
      <c r="P19" s="258"/>
      <c r="Q19" s="254"/>
      <c r="R19" s="252"/>
      <c r="S19" s="263" t="s">
        <v>34</v>
      </c>
      <c r="T19" s="262" t="s">
        <v>1052</v>
      </c>
    </row>
    <row r="20" spans="1:21">
      <c r="A20" s="286">
        <v>11</v>
      </c>
      <c r="B20" s="252"/>
      <c r="C20" s="251"/>
      <c r="D20" s="251"/>
      <c r="E20" s="250"/>
      <c r="F20" s="251"/>
      <c r="G20" s="414">
        <v>43188</v>
      </c>
      <c r="H20" s="415">
        <v>173</v>
      </c>
      <c r="I20" s="415">
        <v>60</v>
      </c>
      <c r="J20" s="256"/>
      <c r="K20" s="252"/>
      <c r="L20" s="258"/>
      <c r="M20" s="258"/>
      <c r="N20" s="420"/>
      <c r="O20" s="252"/>
      <c r="P20" s="257"/>
      <c r="Q20" s="250"/>
      <c r="R20" s="252"/>
      <c r="S20" s="258"/>
      <c r="T20" s="264"/>
    </row>
    <row r="21" spans="1:21">
      <c r="A21" s="286">
        <v>12</v>
      </c>
      <c r="B21" s="259" t="s">
        <v>102</v>
      </c>
      <c r="C21" s="416">
        <f>ROUND(AVERAGE(C16:C18),4)</f>
        <v>0.75170000000000003</v>
      </c>
      <c r="D21" s="416">
        <f>AVERAGE(D16:D18)</f>
        <v>0.24829999999999999</v>
      </c>
      <c r="E21" s="417">
        <f>AVERAGE(E16:E18)</f>
        <v>1</v>
      </c>
      <c r="F21" s="251"/>
      <c r="G21" s="414">
        <v>43218</v>
      </c>
      <c r="H21" s="415">
        <v>172</v>
      </c>
      <c r="I21" s="415">
        <v>60</v>
      </c>
      <c r="J21" s="256"/>
      <c r="K21" s="252"/>
      <c r="L21" s="257"/>
      <c r="M21" s="257"/>
      <c r="N21" s="256"/>
      <c r="O21" s="259" t="s">
        <v>51</v>
      </c>
      <c r="P21" s="421">
        <f>SUM(P16:P19)</f>
        <v>289372.58333333331</v>
      </c>
      <c r="Q21" s="417">
        <v>1</v>
      </c>
      <c r="R21" s="259" t="s">
        <v>359</v>
      </c>
      <c r="S21" s="415">
        <v>302980258</v>
      </c>
      <c r="T21" s="264">
        <f>ROUND(S21/S25,4)</f>
        <v>0.75539999999999996</v>
      </c>
      <c r="U21" s="261"/>
    </row>
    <row r="22" spans="1:21">
      <c r="A22" s="286">
        <v>13</v>
      </c>
      <c r="B22" s="252"/>
      <c r="C22" s="255"/>
      <c r="D22" s="255"/>
      <c r="E22" s="254"/>
      <c r="F22" s="251"/>
      <c r="G22" s="414">
        <v>43248</v>
      </c>
      <c r="H22" s="415">
        <v>172</v>
      </c>
      <c r="I22" s="415">
        <v>59</v>
      </c>
      <c r="J22" s="256"/>
      <c r="K22" s="252"/>
      <c r="L22" s="255"/>
      <c r="M22" s="255"/>
      <c r="N22" s="254"/>
      <c r="O22" s="252"/>
      <c r="P22" s="258"/>
      <c r="Q22" s="254"/>
      <c r="R22" s="259" t="s">
        <v>721</v>
      </c>
      <c r="S22" s="415">
        <v>98079245</v>
      </c>
      <c r="T22" s="262">
        <f>T25-T21</f>
        <v>0.24460000000000004</v>
      </c>
      <c r="U22" s="261"/>
    </row>
    <row r="23" spans="1:21">
      <c r="A23" s="286">
        <v>14</v>
      </c>
      <c r="B23" s="252"/>
      <c r="C23" s="422"/>
      <c r="D23" s="251"/>
      <c r="E23" s="250"/>
      <c r="F23" s="251"/>
      <c r="G23" s="414">
        <v>43278</v>
      </c>
      <c r="H23" s="415">
        <v>179</v>
      </c>
      <c r="I23" s="415">
        <v>62</v>
      </c>
      <c r="J23" s="256"/>
      <c r="K23" s="252"/>
      <c r="L23" s="251"/>
      <c r="M23" s="251"/>
      <c r="N23" s="250"/>
      <c r="O23" s="252"/>
      <c r="P23" s="251"/>
      <c r="Q23" s="250"/>
      <c r="R23" s="252"/>
      <c r="S23" s="258"/>
      <c r="T23" s="264"/>
    </row>
    <row r="24" spans="1:21">
      <c r="A24" s="286">
        <v>15</v>
      </c>
      <c r="B24" s="252"/>
      <c r="C24" s="251"/>
      <c r="D24" s="251"/>
      <c r="E24" s="250"/>
      <c r="F24" s="251"/>
      <c r="G24" s="414">
        <v>43308</v>
      </c>
      <c r="H24" s="415">
        <v>179</v>
      </c>
      <c r="I24" s="415">
        <v>63</v>
      </c>
      <c r="J24" s="256"/>
      <c r="K24" s="252"/>
      <c r="L24" s="251"/>
      <c r="M24" s="251"/>
      <c r="N24" s="250"/>
      <c r="O24" s="252"/>
      <c r="P24" s="251"/>
      <c r="Q24" s="250"/>
      <c r="R24" s="252"/>
      <c r="S24" s="257"/>
      <c r="T24" s="266"/>
    </row>
    <row r="25" spans="1:21">
      <c r="A25" s="286">
        <v>16</v>
      </c>
      <c r="B25" s="252"/>
      <c r="C25" s="251"/>
      <c r="D25" s="251"/>
      <c r="E25" s="250"/>
      <c r="F25" s="251"/>
      <c r="G25" s="414">
        <v>43338</v>
      </c>
      <c r="H25" s="415">
        <v>177</v>
      </c>
      <c r="I25" s="415">
        <v>63</v>
      </c>
      <c r="J25" s="256"/>
      <c r="K25" s="259" t="s">
        <v>1051</v>
      </c>
      <c r="L25" s="416">
        <f>ROUND(L18/N18,4)</f>
        <v>0.77490000000000003</v>
      </c>
      <c r="M25" s="416">
        <f>N25-L25</f>
        <v>0.22509999999999997</v>
      </c>
      <c r="N25" s="417">
        <v>1</v>
      </c>
      <c r="O25" s="252"/>
      <c r="P25" s="251"/>
      <c r="Q25" s="250"/>
      <c r="R25" s="252"/>
      <c r="S25" s="421">
        <f>SUM(S20:S23)</f>
        <v>401059503</v>
      </c>
      <c r="T25" s="262">
        <v>1</v>
      </c>
    </row>
    <row r="26" spans="1:21">
      <c r="A26" s="286">
        <v>17</v>
      </c>
      <c r="B26" s="252"/>
      <c r="C26" s="251"/>
      <c r="D26" s="251"/>
      <c r="E26" s="250"/>
      <c r="F26" s="251"/>
      <c r="G26" s="414">
        <v>43368</v>
      </c>
      <c r="H26" s="415">
        <v>169</v>
      </c>
      <c r="I26" s="415">
        <v>63</v>
      </c>
      <c r="J26" s="256"/>
      <c r="K26" s="252"/>
      <c r="L26" s="255"/>
      <c r="M26" s="255"/>
      <c r="N26" s="254"/>
      <c r="O26" s="252"/>
      <c r="P26" s="251"/>
      <c r="Q26" s="250"/>
      <c r="R26" s="252"/>
      <c r="S26" s="258"/>
      <c r="T26" s="254"/>
    </row>
    <row r="27" spans="1:21">
      <c r="A27" s="286">
        <v>18</v>
      </c>
      <c r="B27" s="252"/>
      <c r="C27" s="251"/>
      <c r="D27" s="251"/>
      <c r="E27" s="250"/>
      <c r="F27" s="251"/>
      <c r="G27" s="414">
        <v>43398</v>
      </c>
      <c r="H27" s="415">
        <v>170</v>
      </c>
      <c r="I27" s="415">
        <v>63</v>
      </c>
      <c r="J27" s="256"/>
      <c r="K27" s="252"/>
      <c r="L27" s="251"/>
      <c r="M27" s="251"/>
      <c r="N27" s="250"/>
      <c r="O27" s="252"/>
      <c r="P27" s="251"/>
      <c r="Q27" s="250"/>
      <c r="R27" s="252"/>
      <c r="S27" s="257"/>
      <c r="T27" s="250"/>
    </row>
    <row r="28" spans="1:21">
      <c r="A28" s="286">
        <v>19</v>
      </c>
      <c r="B28" s="252"/>
      <c r="C28" s="251"/>
      <c r="D28" s="251"/>
      <c r="E28" s="250"/>
      <c r="F28" s="251"/>
      <c r="G28" s="414">
        <v>43428</v>
      </c>
      <c r="H28" s="415">
        <v>176</v>
      </c>
      <c r="I28" s="415">
        <v>65</v>
      </c>
      <c r="J28" s="256"/>
      <c r="K28" s="252"/>
      <c r="L28" s="260"/>
      <c r="M28" s="260"/>
      <c r="N28" s="250"/>
      <c r="O28" s="252"/>
      <c r="P28" s="251"/>
      <c r="Q28" s="250"/>
      <c r="R28" s="252"/>
      <c r="S28" s="251"/>
      <c r="T28" s="250"/>
    </row>
    <row r="29" spans="1:21">
      <c r="A29" s="286">
        <v>20</v>
      </c>
      <c r="B29" s="259" t="s">
        <v>104</v>
      </c>
      <c r="C29" s="416">
        <f>T21</f>
        <v>0.75539999999999996</v>
      </c>
      <c r="D29" s="416">
        <f>E29-C29</f>
        <v>0.24460000000000004</v>
      </c>
      <c r="E29" s="417">
        <v>1</v>
      </c>
      <c r="F29" s="251"/>
      <c r="G29" s="414">
        <v>43458</v>
      </c>
      <c r="H29" s="419">
        <v>174</v>
      </c>
      <c r="I29" s="419">
        <v>65</v>
      </c>
      <c r="J29" s="256"/>
      <c r="K29" s="259"/>
      <c r="L29" s="251"/>
      <c r="M29" s="251"/>
      <c r="N29" s="250"/>
      <c r="O29" s="252"/>
      <c r="P29" s="251"/>
      <c r="Q29" s="250"/>
      <c r="R29" s="252"/>
      <c r="S29" s="251"/>
      <c r="T29" s="250"/>
    </row>
    <row r="30" spans="1:21">
      <c r="A30" s="286">
        <v>21</v>
      </c>
      <c r="B30" s="252"/>
      <c r="C30" s="255"/>
      <c r="D30" s="255"/>
      <c r="E30" s="254"/>
      <c r="F30" s="251"/>
      <c r="G30" s="251"/>
      <c r="H30" s="258"/>
      <c r="I30" s="258" t="s">
        <v>49</v>
      </c>
      <c r="J30" s="256"/>
      <c r="K30" s="252"/>
      <c r="L30" s="251"/>
      <c r="M30" s="251"/>
      <c r="N30" s="250"/>
      <c r="O30" s="252"/>
      <c r="P30" s="251"/>
      <c r="Q30" s="250"/>
      <c r="R30" s="252"/>
      <c r="S30" s="251"/>
      <c r="T30" s="250"/>
    </row>
    <row r="31" spans="1:21">
      <c r="A31" s="286">
        <v>22</v>
      </c>
      <c r="B31" s="252"/>
      <c r="C31" s="251"/>
      <c r="D31" s="251"/>
      <c r="E31" s="250"/>
      <c r="F31" s="251"/>
      <c r="G31" s="251"/>
      <c r="H31" s="257"/>
      <c r="I31" s="257"/>
      <c r="J31" s="256"/>
      <c r="K31" s="252"/>
      <c r="L31" s="251"/>
      <c r="M31" s="251"/>
      <c r="N31" s="250"/>
      <c r="O31" s="252"/>
      <c r="P31" s="251"/>
      <c r="Q31" s="250"/>
      <c r="R31" s="252"/>
      <c r="S31" s="251"/>
      <c r="T31" s="250"/>
    </row>
    <row r="32" spans="1:21">
      <c r="A32" s="286">
        <v>23</v>
      </c>
      <c r="B32" s="252"/>
      <c r="C32" s="251"/>
      <c r="D32" s="251"/>
      <c r="E32" s="250"/>
      <c r="F32" s="251"/>
      <c r="G32" s="251"/>
      <c r="H32" s="423">
        <f>SUM(H16:H30)</f>
        <v>2259</v>
      </c>
      <c r="I32" s="423">
        <f>SUM(I16:I30)</f>
        <v>807</v>
      </c>
      <c r="J32" s="256"/>
      <c r="K32" s="252"/>
      <c r="L32" s="251"/>
      <c r="M32" s="251"/>
      <c r="N32" s="250"/>
      <c r="O32" s="252"/>
      <c r="P32" s="251"/>
      <c r="Q32" s="250"/>
      <c r="R32" s="252"/>
      <c r="S32" s="251"/>
      <c r="T32" s="250"/>
    </row>
    <row r="33" spans="1:20">
      <c r="A33" s="286">
        <v>24</v>
      </c>
      <c r="B33" s="252"/>
      <c r="C33" s="251"/>
      <c r="D33" s="251"/>
      <c r="E33" s="250"/>
      <c r="F33" s="251"/>
      <c r="G33" s="251"/>
      <c r="H33" s="257" t="s">
        <v>49</v>
      </c>
      <c r="I33" s="257" t="s">
        <v>49</v>
      </c>
      <c r="J33" s="256"/>
      <c r="K33" s="252"/>
      <c r="L33" s="251"/>
      <c r="M33" s="251"/>
      <c r="N33" s="250"/>
      <c r="O33" s="252"/>
      <c r="P33" s="251"/>
      <c r="Q33" s="250"/>
      <c r="R33" s="252"/>
      <c r="S33" s="251"/>
      <c r="T33" s="250"/>
    </row>
    <row r="34" spans="1:20">
      <c r="A34" s="286">
        <v>25</v>
      </c>
      <c r="B34" s="259"/>
      <c r="C34" s="424"/>
      <c r="D34" s="412"/>
      <c r="E34" s="413"/>
      <c r="F34" s="251"/>
      <c r="G34" s="251"/>
      <c r="H34" s="257"/>
      <c r="I34" s="257" t="s">
        <v>49</v>
      </c>
      <c r="J34" s="256"/>
      <c r="K34" s="252"/>
      <c r="L34" s="243"/>
      <c r="M34" s="251"/>
      <c r="N34" s="250"/>
      <c r="O34" s="252"/>
      <c r="P34" s="251"/>
      <c r="Q34" s="250"/>
      <c r="R34" s="252"/>
      <c r="S34" s="251"/>
      <c r="T34" s="250"/>
    </row>
    <row r="35" spans="1:20">
      <c r="A35" s="286">
        <v>26</v>
      </c>
      <c r="B35" s="252"/>
      <c r="C35" s="255"/>
      <c r="D35" s="255"/>
      <c r="E35" s="254"/>
      <c r="F35" s="253" t="s">
        <v>1050</v>
      </c>
      <c r="G35" s="251"/>
      <c r="H35" s="421">
        <f>ROUND((SUM(H18:H28)*2+H17+H29)/24,2)</f>
        <v>173.83</v>
      </c>
      <c r="I35" s="421">
        <f>ROUND((SUM(I18:I28)*2+I17+I29)/24,2)</f>
        <v>61.96</v>
      </c>
      <c r="J35" s="425">
        <f>H35+I35</f>
        <v>235.79000000000002</v>
      </c>
      <c r="K35" s="252"/>
      <c r="L35" s="251"/>
      <c r="M35" s="251"/>
      <c r="N35" s="250"/>
      <c r="O35" s="252"/>
      <c r="P35" s="251"/>
      <c r="Q35" s="250"/>
      <c r="R35" s="252"/>
      <c r="S35" s="251"/>
      <c r="T35" s="250"/>
    </row>
    <row r="36" spans="1:20">
      <c r="A36" s="286">
        <v>27</v>
      </c>
      <c r="B36" s="252"/>
      <c r="C36" s="251"/>
      <c r="D36" s="251"/>
      <c r="E36" s="250"/>
      <c r="F36" s="251"/>
      <c r="G36" s="251"/>
      <c r="H36" s="255"/>
      <c r="I36" s="255" t="s">
        <v>49</v>
      </c>
      <c r="J36" s="254"/>
      <c r="K36" s="252"/>
      <c r="L36" s="251"/>
      <c r="M36" s="251"/>
      <c r="N36" s="250"/>
      <c r="O36" s="252"/>
      <c r="P36" s="251"/>
      <c r="Q36" s="250"/>
      <c r="R36" s="252"/>
      <c r="S36" s="251"/>
      <c r="T36" s="250"/>
    </row>
    <row r="37" spans="1:20">
      <c r="A37" s="286">
        <v>28</v>
      </c>
      <c r="B37" s="252"/>
      <c r="C37" s="251"/>
      <c r="D37" s="251"/>
      <c r="E37" s="250"/>
      <c r="F37" s="251"/>
      <c r="G37" s="251"/>
      <c r="H37" s="251"/>
      <c r="I37" s="251"/>
      <c r="J37" s="250"/>
      <c r="K37" s="252"/>
      <c r="L37" s="251"/>
      <c r="M37" s="251"/>
      <c r="N37" s="250"/>
      <c r="O37" s="252"/>
      <c r="P37" s="251"/>
      <c r="Q37" s="250"/>
      <c r="R37" s="252"/>
      <c r="S37" s="251"/>
      <c r="T37" s="250"/>
    </row>
    <row r="38" spans="1:20">
      <c r="A38" s="286">
        <v>29</v>
      </c>
      <c r="B38" s="252"/>
      <c r="C38" s="251"/>
      <c r="D38" s="251"/>
      <c r="E38" s="250"/>
      <c r="F38" s="251"/>
      <c r="G38" s="251"/>
      <c r="H38" s="251"/>
      <c r="I38" s="251"/>
      <c r="J38" s="250"/>
      <c r="K38" s="252"/>
      <c r="L38" s="251"/>
      <c r="M38" s="251"/>
      <c r="N38" s="250"/>
      <c r="O38" s="252"/>
      <c r="P38" s="251"/>
      <c r="Q38" s="250"/>
      <c r="R38" s="252"/>
      <c r="S38" s="251"/>
      <c r="T38" s="250"/>
    </row>
    <row r="39" spans="1:20">
      <c r="A39" s="286">
        <v>30</v>
      </c>
      <c r="B39" s="252"/>
      <c r="C39" s="251"/>
      <c r="D39" s="251"/>
      <c r="E39" s="250"/>
      <c r="F39" s="251"/>
      <c r="G39" s="253" t="s">
        <v>1049</v>
      </c>
      <c r="H39" s="416">
        <f>ROUND(H35/J35,4)</f>
        <v>0.73719999999999997</v>
      </c>
      <c r="I39" s="416">
        <f>J39-H39</f>
        <v>0.26280000000000003</v>
      </c>
      <c r="J39" s="417">
        <v>1</v>
      </c>
      <c r="K39" s="252"/>
      <c r="L39" s="251"/>
      <c r="M39" s="251"/>
      <c r="N39" s="250"/>
      <c r="O39" s="252"/>
      <c r="P39" s="251"/>
      <c r="Q39" s="250"/>
      <c r="R39" s="252"/>
      <c r="S39" s="251"/>
      <c r="T39" s="250"/>
    </row>
    <row r="40" spans="1:20">
      <c r="A40" s="286">
        <v>31</v>
      </c>
      <c r="B40" s="252"/>
      <c r="C40" s="251"/>
      <c r="D40" s="251"/>
      <c r="E40" s="250"/>
      <c r="F40" s="251"/>
      <c r="G40" s="251"/>
      <c r="H40" s="255"/>
      <c r="I40" s="255"/>
      <c r="J40" s="254"/>
      <c r="K40" s="252"/>
      <c r="L40" s="251"/>
      <c r="M40" s="251"/>
      <c r="N40" s="250"/>
      <c r="O40" s="252"/>
      <c r="P40" s="251"/>
      <c r="Q40" s="250"/>
      <c r="R40" s="252"/>
      <c r="S40" s="251"/>
      <c r="T40" s="250"/>
    </row>
    <row r="41" spans="1:20">
      <c r="A41" s="286">
        <v>32</v>
      </c>
      <c r="B41" s="252"/>
      <c r="C41" s="251"/>
      <c r="D41" s="251"/>
      <c r="E41" s="250"/>
      <c r="F41" s="251"/>
      <c r="G41" s="251"/>
      <c r="H41" s="251"/>
      <c r="I41" s="251"/>
      <c r="J41" s="250"/>
      <c r="K41" s="252"/>
      <c r="L41" s="251"/>
      <c r="M41" s="251"/>
      <c r="N41" s="250"/>
      <c r="O41" s="252"/>
      <c r="P41" s="251"/>
      <c r="Q41" s="250"/>
      <c r="R41" s="252"/>
      <c r="S41" s="251"/>
      <c r="T41" s="250"/>
    </row>
    <row r="42" spans="1:20">
      <c r="A42" s="286">
        <v>33</v>
      </c>
      <c r="B42" s="252"/>
      <c r="C42" s="251"/>
      <c r="D42" s="251"/>
      <c r="E42" s="250"/>
      <c r="F42" s="251"/>
      <c r="G42" s="251"/>
      <c r="H42" s="251"/>
      <c r="I42" s="251"/>
      <c r="J42" s="250"/>
      <c r="K42" s="252"/>
      <c r="L42" s="251"/>
      <c r="M42" s="251"/>
      <c r="N42" s="250"/>
      <c r="O42" s="252"/>
      <c r="P42" s="251"/>
      <c r="Q42" s="250"/>
      <c r="R42" s="252"/>
      <c r="S42" s="251"/>
      <c r="T42" s="250"/>
    </row>
    <row r="43" spans="1:20">
      <c r="A43" s="286">
        <v>34</v>
      </c>
      <c r="B43" s="252"/>
      <c r="C43" s="251"/>
      <c r="D43" s="251"/>
      <c r="E43" s="250"/>
      <c r="F43" s="253" t="s">
        <v>1048</v>
      </c>
      <c r="G43" s="251"/>
      <c r="H43" s="251"/>
      <c r="I43" s="251"/>
      <c r="J43" s="250"/>
      <c r="K43" s="252"/>
      <c r="L43" s="251"/>
      <c r="M43" s="251"/>
      <c r="N43" s="250"/>
      <c r="O43" s="252"/>
      <c r="P43" s="251"/>
      <c r="Q43" s="250"/>
      <c r="R43" s="252"/>
      <c r="S43" s="251"/>
      <c r="T43" s="250"/>
    </row>
    <row r="44" spans="1:20">
      <c r="A44" s="286">
        <v>35</v>
      </c>
      <c r="B44" s="252"/>
      <c r="C44" s="251"/>
      <c r="D44" s="251"/>
      <c r="E44" s="250"/>
      <c r="F44" s="253"/>
      <c r="G44" s="251"/>
      <c r="H44" s="251"/>
      <c r="I44" s="251"/>
      <c r="J44" s="250"/>
      <c r="K44" s="252"/>
      <c r="L44" s="251"/>
      <c r="M44" s="251"/>
      <c r="N44" s="250"/>
      <c r="O44" s="252"/>
      <c r="P44" s="251"/>
      <c r="Q44" s="250"/>
      <c r="R44" s="252"/>
      <c r="S44" s="251"/>
      <c r="T44" s="250"/>
    </row>
    <row r="45" spans="1:20" ht="13.8" thickBot="1">
      <c r="A45" s="286">
        <v>36</v>
      </c>
      <c r="B45" s="248"/>
      <c r="C45" s="247"/>
      <c r="D45" s="247"/>
      <c r="E45" s="246"/>
      <c r="F45" s="249"/>
      <c r="G45" s="247"/>
      <c r="H45" s="247"/>
      <c r="I45" s="247"/>
      <c r="J45" s="246"/>
      <c r="K45" s="248"/>
      <c r="L45" s="247"/>
      <c r="M45" s="247"/>
      <c r="N45" s="246"/>
      <c r="O45" s="248"/>
      <c r="P45" s="247"/>
      <c r="Q45" s="246"/>
      <c r="R45" s="248"/>
      <c r="S45" s="247"/>
      <c r="T45" s="246"/>
    </row>
    <row r="46" spans="1:20">
      <c r="A46" s="286">
        <v>37</v>
      </c>
      <c r="B46" s="243"/>
      <c r="C46" s="243"/>
      <c r="D46" s="243"/>
      <c r="E46" s="243"/>
      <c r="F46" s="243"/>
      <c r="G46" s="243"/>
      <c r="H46" s="243"/>
      <c r="I46" s="243"/>
      <c r="J46" s="243"/>
      <c r="K46" s="243"/>
      <c r="L46" s="243"/>
      <c r="M46" s="243"/>
      <c r="N46" s="243"/>
      <c r="O46" s="243"/>
      <c r="P46" s="243"/>
      <c r="Q46" s="243"/>
      <c r="R46" s="243"/>
      <c r="S46" s="243"/>
      <c r="T46" s="243"/>
    </row>
    <row r="47" spans="1:20">
      <c r="A47" s="286">
        <v>38</v>
      </c>
      <c r="B47" s="243"/>
      <c r="C47" s="243"/>
      <c r="D47" s="243"/>
      <c r="E47" s="243"/>
      <c r="F47" s="243"/>
      <c r="G47" s="243"/>
      <c r="H47" s="243"/>
      <c r="I47" s="243"/>
      <c r="J47" s="243"/>
      <c r="K47" s="243"/>
      <c r="L47" s="243"/>
      <c r="M47" s="243"/>
      <c r="N47" s="243"/>
      <c r="O47" s="243"/>
      <c r="P47" s="243"/>
      <c r="Q47" s="243"/>
      <c r="R47" s="243"/>
      <c r="S47" s="243"/>
      <c r="T47" s="243"/>
    </row>
    <row r="48" spans="1:20" ht="15.6">
      <c r="A48" s="286">
        <v>39</v>
      </c>
      <c r="B48" s="243" t="s">
        <v>1047</v>
      </c>
      <c r="C48" s="243"/>
      <c r="D48" s="243"/>
      <c r="E48" s="243"/>
      <c r="F48" s="243"/>
      <c r="G48" s="243"/>
      <c r="H48" s="243"/>
      <c r="I48" s="243"/>
      <c r="J48" s="243"/>
      <c r="K48" s="243"/>
      <c r="L48" s="243"/>
      <c r="M48" s="243"/>
      <c r="N48" s="243"/>
      <c r="O48" s="243"/>
      <c r="P48" s="243"/>
      <c r="Q48" s="243"/>
      <c r="R48" s="243"/>
      <c r="S48" s="243"/>
      <c r="T48" s="243"/>
    </row>
    <row r="49" spans="1:20" ht="15.6">
      <c r="A49" s="286">
        <v>40</v>
      </c>
      <c r="B49" s="243" t="s">
        <v>1046</v>
      </c>
      <c r="C49" s="243"/>
      <c r="D49" s="243"/>
      <c r="E49" s="243"/>
      <c r="F49" s="243"/>
      <c r="G49" s="243"/>
      <c r="H49" s="243"/>
      <c r="I49" s="243"/>
      <c r="J49" s="243"/>
      <c r="K49" s="243"/>
      <c r="L49" s="243"/>
      <c r="M49" s="243"/>
      <c r="N49" s="243"/>
      <c r="O49" s="426">
        <v>2018</v>
      </c>
      <c r="P49" s="427" t="s">
        <v>1045</v>
      </c>
      <c r="Q49" s="427" t="s">
        <v>1044</v>
      </c>
      <c r="R49" s="427" t="s">
        <v>51</v>
      </c>
      <c r="S49" s="243"/>
      <c r="T49" s="243"/>
    </row>
    <row r="50" spans="1:20" ht="15.6">
      <c r="A50" s="286">
        <v>41</v>
      </c>
      <c r="B50" s="243" t="s">
        <v>1043</v>
      </c>
      <c r="C50" s="243"/>
      <c r="D50" s="243"/>
      <c r="E50" s="243"/>
      <c r="F50" s="243"/>
      <c r="G50" s="243"/>
      <c r="H50" s="243"/>
      <c r="I50" s="243"/>
      <c r="J50" s="243"/>
      <c r="K50" s="243"/>
      <c r="L50" s="243"/>
      <c r="M50" s="245"/>
      <c r="N50" s="245"/>
      <c r="O50" s="243" t="s">
        <v>1042</v>
      </c>
      <c r="P50" s="243">
        <v>214279</v>
      </c>
      <c r="Q50" s="243">
        <v>73776</v>
      </c>
      <c r="R50" s="243">
        <f t="shared" ref="R50:R61" si="0">SUM(P50:Q50)</f>
        <v>288055</v>
      </c>
      <c r="S50" s="243" t="s">
        <v>49</v>
      </c>
      <c r="T50" s="243"/>
    </row>
    <row r="51" spans="1:20">
      <c r="B51" s="243"/>
      <c r="C51" s="243"/>
      <c r="D51" s="243"/>
      <c r="E51" s="243"/>
      <c r="F51" s="243"/>
      <c r="G51" s="243"/>
      <c r="H51" s="243"/>
      <c r="I51" s="243"/>
      <c r="J51" s="243"/>
      <c r="K51" s="243"/>
      <c r="L51" s="243"/>
      <c r="M51" s="245"/>
      <c r="N51" s="245"/>
      <c r="O51" s="243" t="s">
        <v>1041</v>
      </c>
      <c r="P51" s="243">
        <v>214536</v>
      </c>
      <c r="Q51" s="243">
        <v>73971</v>
      </c>
      <c r="R51" s="243">
        <f t="shared" si="0"/>
        <v>288507</v>
      </c>
      <c r="S51" s="243"/>
      <c r="T51" s="243"/>
    </row>
    <row r="52" spans="1:20">
      <c r="B52" s="243"/>
      <c r="C52" s="243"/>
      <c r="D52" s="243"/>
      <c r="E52" s="243"/>
      <c r="F52" s="243"/>
      <c r="G52" s="243"/>
      <c r="H52" s="243"/>
      <c r="I52" s="243"/>
      <c r="J52" s="243"/>
      <c r="K52" s="243"/>
      <c r="L52" s="243"/>
      <c r="M52" s="245"/>
      <c r="N52" s="245"/>
      <c r="O52" s="243" t="s">
        <v>1040</v>
      </c>
      <c r="P52" s="243">
        <v>214618</v>
      </c>
      <c r="Q52" s="243">
        <v>74033</v>
      </c>
      <c r="R52" s="243">
        <f t="shared" si="0"/>
        <v>288651</v>
      </c>
      <c r="S52" s="243"/>
      <c r="T52" s="243"/>
    </row>
    <row r="53" spans="1:20">
      <c r="B53" s="243"/>
      <c r="C53" s="243"/>
      <c r="D53" s="243"/>
      <c r="E53" s="243"/>
      <c r="F53" s="243"/>
      <c r="G53" s="243"/>
      <c r="H53" s="243"/>
      <c r="I53" s="243"/>
      <c r="J53" s="243"/>
      <c r="K53" s="243"/>
      <c r="L53" s="243"/>
      <c r="M53" s="245"/>
      <c r="N53" s="245"/>
      <c r="O53" s="243" t="s">
        <v>1039</v>
      </c>
      <c r="P53" s="243">
        <v>214470</v>
      </c>
      <c r="Q53" s="243">
        <v>74085</v>
      </c>
      <c r="R53" s="243">
        <f t="shared" si="0"/>
        <v>288555</v>
      </c>
      <c r="S53" s="243"/>
      <c r="T53" s="243"/>
    </row>
    <row r="54" spans="1:20">
      <c r="B54" s="243"/>
      <c r="C54" s="243"/>
      <c r="D54" s="243"/>
      <c r="E54" s="243"/>
      <c r="F54" s="243"/>
      <c r="G54" s="243"/>
      <c r="H54" s="243"/>
      <c r="I54" s="243"/>
      <c r="J54" s="243"/>
      <c r="K54" s="243"/>
      <c r="L54" s="243"/>
      <c r="M54" s="245"/>
      <c r="N54" s="245"/>
      <c r="O54" s="243" t="s">
        <v>1038</v>
      </c>
      <c r="P54" s="243">
        <v>214194</v>
      </c>
      <c r="Q54" s="243">
        <v>74048</v>
      </c>
      <c r="R54" s="243">
        <f t="shared" si="0"/>
        <v>288242</v>
      </c>
      <c r="S54" s="243"/>
      <c r="T54" s="243"/>
    </row>
    <row r="55" spans="1:20">
      <c r="B55" s="243"/>
      <c r="C55" s="243"/>
      <c r="D55" s="243"/>
      <c r="E55" s="243"/>
      <c r="F55" s="243"/>
      <c r="G55" s="243"/>
      <c r="H55" s="243"/>
      <c r="I55" s="243"/>
      <c r="J55" s="243"/>
      <c r="K55" s="243"/>
      <c r="L55" s="243"/>
      <c r="M55" s="245"/>
      <c r="N55" s="245"/>
      <c r="O55" s="243" t="s">
        <v>1037</v>
      </c>
      <c r="P55" s="243">
        <v>214055</v>
      </c>
      <c r="Q55" s="243">
        <v>74097</v>
      </c>
      <c r="R55" s="243">
        <f t="shared" si="0"/>
        <v>288152</v>
      </c>
      <c r="S55" s="243"/>
      <c r="T55" s="243"/>
    </row>
    <row r="56" spans="1:20">
      <c r="B56" s="243"/>
      <c r="C56" s="243"/>
      <c r="D56" s="243"/>
      <c r="E56" s="243"/>
      <c r="F56" s="243"/>
      <c r="G56" s="243"/>
      <c r="H56" s="243"/>
      <c r="I56" s="243"/>
      <c r="J56" s="243"/>
      <c r="K56" s="243"/>
      <c r="L56" s="243"/>
      <c r="M56" s="245"/>
      <c r="N56" s="245"/>
      <c r="O56" s="243" t="s">
        <v>1036</v>
      </c>
      <c r="P56" s="243">
        <v>213963</v>
      </c>
      <c r="Q56" s="243">
        <v>74066</v>
      </c>
      <c r="R56" s="243">
        <f t="shared" si="0"/>
        <v>288029</v>
      </c>
      <c r="S56" s="243"/>
      <c r="T56" s="243"/>
    </row>
    <row r="57" spans="1:20">
      <c r="B57" s="243"/>
      <c r="C57" s="243"/>
      <c r="D57" s="243"/>
      <c r="E57" s="243"/>
      <c r="F57" s="243"/>
      <c r="G57" s="243"/>
      <c r="H57" s="243"/>
      <c r="I57" s="243"/>
      <c r="J57" s="243"/>
      <c r="K57" s="243"/>
      <c r="L57" s="243"/>
      <c r="M57" s="245"/>
      <c r="N57" s="245"/>
      <c r="O57" s="243" t="s">
        <v>1035</v>
      </c>
      <c r="P57" s="243">
        <v>214061</v>
      </c>
      <c r="Q57" s="243">
        <v>74072</v>
      </c>
      <c r="R57" s="243">
        <f t="shared" si="0"/>
        <v>288133</v>
      </c>
      <c r="S57" s="243"/>
      <c r="T57" s="243"/>
    </row>
    <row r="58" spans="1:20">
      <c r="B58" s="243"/>
      <c r="C58" s="243"/>
      <c r="D58" s="243"/>
      <c r="E58" s="243"/>
      <c r="F58" s="243"/>
      <c r="G58" s="243"/>
      <c r="H58" s="243"/>
      <c r="I58" s="243"/>
      <c r="J58" s="243"/>
      <c r="K58" s="243"/>
      <c r="L58" s="243"/>
      <c r="M58" s="245"/>
      <c r="N58" s="245"/>
      <c r="O58" s="243" t="s">
        <v>1034</v>
      </c>
      <c r="P58" s="243">
        <v>214655</v>
      </c>
      <c r="Q58" s="243">
        <v>74412</v>
      </c>
      <c r="R58" s="243">
        <f t="shared" si="0"/>
        <v>289067</v>
      </c>
      <c r="S58" s="243"/>
      <c r="T58" s="243"/>
    </row>
    <row r="59" spans="1:20">
      <c r="F59" s="243"/>
      <c r="G59" s="243"/>
      <c r="H59" s="243"/>
      <c r="I59" s="243"/>
      <c r="J59" s="243"/>
      <c r="K59" s="243"/>
      <c r="L59" s="243"/>
      <c r="M59" s="245"/>
      <c r="N59" s="245"/>
      <c r="O59" s="243" t="s">
        <v>1033</v>
      </c>
      <c r="P59" s="243">
        <v>216130</v>
      </c>
      <c r="Q59" s="243">
        <v>74958</v>
      </c>
      <c r="R59" s="243">
        <f t="shared" si="0"/>
        <v>291088</v>
      </c>
      <c r="S59" s="243"/>
      <c r="T59" s="243"/>
    </row>
    <row r="60" spans="1:20">
      <c r="F60" s="243"/>
      <c r="G60" s="243"/>
      <c r="H60" s="243"/>
      <c r="I60" s="243"/>
      <c r="J60" s="243"/>
      <c r="K60" s="243"/>
      <c r="L60" s="243"/>
      <c r="M60" s="245"/>
      <c r="N60" s="245"/>
      <c r="O60" s="243" t="s">
        <v>1032</v>
      </c>
      <c r="P60" s="243">
        <v>217223</v>
      </c>
      <c r="Q60" s="243">
        <v>75393</v>
      </c>
      <c r="R60" s="243">
        <f t="shared" si="0"/>
        <v>292616</v>
      </c>
      <c r="S60" s="243"/>
      <c r="T60" s="243"/>
    </row>
    <row r="61" spans="1:20">
      <c r="F61" s="243"/>
      <c r="G61" s="243"/>
      <c r="H61" s="243"/>
      <c r="I61" s="243"/>
      <c r="J61" s="243"/>
      <c r="K61" s="243"/>
      <c r="L61" s="243"/>
      <c r="M61" s="245"/>
      <c r="N61" s="245"/>
      <c r="O61" s="243" t="s">
        <v>1031</v>
      </c>
      <c r="P61" s="427">
        <v>217767</v>
      </c>
      <c r="Q61" s="427">
        <v>75609</v>
      </c>
      <c r="R61" s="243">
        <f t="shared" si="0"/>
        <v>293376</v>
      </c>
      <c r="S61" s="243"/>
      <c r="T61" s="243"/>
    </row>
    <row r="62" spans="1:20">
      <c r="F62" s="243"/>
      <c r="G62" s="243"/>
      <c r="H62" s="243"/>
      <c r="I62" s="243"/>
      <c r="J62" s="243"/>
      <c r="K62" s="243"/>
      <c r="L62" s="243"/>
      <c r="M62" s="243"/>
      <c r="N62" s="243"/>
      <c r="O62" s="243" t="s">
        <v>1030</v>
      </c>
      <c r="P62" s="243">
        <f>AVERAGE(P50:P61)</f>
        <v>214995.91666666666</v>
      </c>
      <c r="Q62" s="243">
        <f>AVERAGE(Q50:Q61)</f>
        <v>74376.666666666672</v>
      </c>
      <c r="R62" s="243"/>
      <c r="S62" s="243"/>
      <c r="T62" s="243"/>
    </row>
    <row r="63" spans="1:20">
      <c r="F63" s="243"/>
      <c r="G63" s="243"/>
      <c r="H63" s="243"/>
      <c r="I63" s="243"/>
      <c r="J63" s="243"/>
      <c r="K63" s="243"/>
      <c r="L63" s="243"/>
      <c r="M63" s="243"/>
      <c r="N63" s="243"/>
      <c r="O63" s="243"/>
      <c r="P63" s="244"/>
      <c r="Q63" s="244"/>
      <c r="R63" s="243"/>
      <c r="S63" s="243"/>
      <c r="T63" s="243"/>
    </row>
    <row r="64" spans="1:20">
      <c r="F64" s="243"/>
      <c r="G64" s="243"/>
      <c r="H64" s="243"/>
      <c r="I64" s="243"/>
      <c r="J64" s="243"/>
      <c r="K64" s="243"/>
      <c r="L64" s="243"/>
      <c r="M64" s="243"/>
      <c r="N64" s="243"/>
      <c r="O64" s="243"/>
      <c r="P64" s="243"/>
      <c r="Q64" s="243"/>
      <c r="R64" s="243"/>
      <c r="S64" s="243"/>
      <c r="T64" s="243"/>
    </row>
    <row r="65" spans="6:20">
      <c r="F65" s="243"/>
      <c r="G65" s="243"/>
      <c r="H65" s="243"/>
      <c r="I65" s="243"/>
      <c r="J65" s="243"/>
      <c r="K65" s="243"/>
      <c r="L65" s="243"/>
      <c r="M65" s="243"/>
      <c r="N65" s="243"/>
      <c r="O65" s="243"/>
      <c r="P65" s="243"/>
      <c r="Q65" s="243"/>
      <c r="R65" s="243"/>
      <c r="S65" s="243"/>
      <c r="T65" s="243"/>
    </row>
    <row r="66" spans="6:20">
      <c r="F66" s="243"/>
      <c r="G66" s="243"/>
      <c r="H66" s="243"/>
      <c r="I66" s="243"/>
      <c r="J66" s="243"/>
      <c r="K66" s="243"/>
      <c r="L66" s="243"/>
      <c r="M66" s="243"/>
      <c r="N66" s="243"/>
      <c r="O66" s="243"/>
      <c r="P66" s="243"/>
      <c r="Q66" s="243"/>
      <c r="R66" s="243"/>
      <c r="S66" s="243"/>
      <c r="T66" s="243"/>
    </row>
    <row r="67" spans="6:20">
      <c r="F67" s="243"/>
      <c r="G67" s="243"/>
      <c r="H67" s="243"/>
      <c r="I67" s="243"/>
      <c r="J67" s="243"/>
      <c r="K67" s="243"/>
      <c r="L67" s="243"/>
      <c r="M67" s="243"/>
      <c r="N67" s="243"/>
      <c r="O67" s="243"/>
      <c r="P67" s="243"/>
      <c r="Q67" s="243"/>
      <c r="R67" s="243"/>
      <c r="S67" s="243"/>
      <c r="T67" s="243"/>
    </row>
    <row r="68" spans="6:20">
      <c r="F68" s="243"/>
      <c r="G68" s="243"/>
      <c r="H68" s="243"/>
      <c r="I68" s="243"/>
      <c r="J68" s="243"/>
      <c r="K68" s="243"/>
      <c r="L68" s="243"/>
      <c r="M68" s="243"/>
      <c r="N68" s="243"/>
      <c r="O68" s="243"/>
      <c r="P68" s="243"/>
      <c r="Q68" s="243"/>
      <c r="R68" s="243"/>
      <c r="S68" s="243"/>
      <c r="T68" s="243"/>
    </row>
    <row r="69" spans="6:20">
      <c r="F69" s="243"/>
      <c r="G69" s="243"/>
      <c r="H69" s="243"/>
      <c r="I69" s="243"/>
      <c r="J69" s="243"/>
      <c r="K69" s="243"/>
      <c r="L69" s="243"/>
      <c r="M69" s="243"/>
      <c r="N69" s="243"/>
      <c r="O69" s="243"/>
      <c r="P69" s="243"/>
      <c r="Q69" s="243"/>
      <c r="R69" s="243"/>
      <c r="S69" s="243"/>
      <c r="T69" s="243"/>
    </row>
    <row r="70" spans="6:20">
      <c r="F70" s="243"/>
      <c r="G70" s="243"/>
      <c r="H70" s="243"/>
      <c r="I70" s="243"/>
      <c r="J70" s="243"/>
      <c r="K70" s="243"/>
      <c r="L70" s="243"/>
      <c r="M70" s="243"/>
      <c r="N70" s="243"/>
      <c r="O70" s="243"/>
      <c r="P70" s="243"/>
      <c r="Q70" s="243"/>
      <c r="R70" s="243"/>
      <c r="S70" s="243"/>
      <c r="T70" s="243"/>
    </row>
    <row r="71" spans="6:20">
      <c r="F71" s="243"/>
      <c r="G71" s="243"/>
      <c r="H71" s="243"/>
      <c r="I71" s="243"/>
      <c r="J71" s="243"/>
      <c r="K71" s="243"/>
      <c r="L71" s="243"/>
      <c r="M71" s="243"/>
      <c r="N71" s="243"/>
      <c r="O71" s="243"/>
      <c r="P71" s="243"/>
      <c r="Q71" s="243"/>
      <c r="R71" s="243"/>
      <c r="S71" s="243"/>
      <c r="T71" s="243"/>
    </row>
  </sheetData>
  <mergeCells count="5">
    <mergeCell ref="H1:P1"/>
    <mergeCell ref="H2:P2"/>
    <mergeCell ref="H3:P3"/>
    <mergeCell ref="H4:P4"/>
    <mergeCell ref="H5:P5"/>
  </mergeCells>
  <printOptions horizontalCentered="1"/>
  <pageMargins left="0.31" right="0.3" top="1" bottom="1" header="0.5" footer="0.5"/>
  <pageSetup scale="42" orientation="landscape" r:id="rId1"/>
  <headerFooter scaleWithDoc="0" alignWithMargins="0">
    <oddHeader>&amp;RPage &amp;P of &amp;N</oddHeader>
    <oddFooter>&amp;LElectronic Tab Name: &amp;A</oddFooter>
  </headerFooter>
  <rowBreaks count="1" manualBreakCount="1">
    <brk id="45" max="19" man="1"/>
  </rowBreaks>
  <colBreaks count="4" manualBreakCount="4">
    <brk id="5" max="1048575" man="1"/>
    <brk id="10" max="1048575" man="1"/>
    <brk id="14" max="1048575" man="1"/>
    <brk id="17"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4">
    <tabColor theme="7" tint="0.79998168889431442"/>
  </sheetPr>
  <dimension ref="A1:M12"/>
  <sheetViews>
    <sheetView view="pageBreakPreview" zoomScale="80" zoomScaleNormal="100" zoomScaleSheetLayoutView="80" workbookViewId="0">
      <selection activeCell="D11" sqref="D11"/>
    </sheetView>
  </sheetViews>
  <sheetFormatPr defaultRowHeight="14.4"/>
  <cols>
    <col min="1" max="1" width="6.6640625" style="583" bestFit="1" customWidth="1"/>
    <col min="2" max="2" width="24.44140625" bestFit="1" customWidth="1"/>
    <col min="3" max="3" width="3.5546875" style="613" customWidth="1"/>
    <col min="4" max="4" width="20.44140625" bestFit="1" customWidth="1"/>
    <col min="5" max="5" width="1.6640625" customWidth="1"/>
  </cols>
  <sheetData>
    <row r="1" spans="1:13" ht="15.6">
      <c r="B1" s="1910" t="s">
        <v>52</v>
      </c>
      <c r="C1" s="1910"/>
      <c r="D1" s="1910"/>
      <c r="E1" s="1910"/>
      <c r="F1" s="1910"/>
      <c r="G1" s="1910"/>
      <c r="H1" s="1910"/>
      <c r="I1" s="2"/>
      <c r="J1" s="2"/>
      <c r="K1" s="2"/>
      <c r="L1" s="2"/>
      <c r="M1" s="2"/>
    </row>
    <row r="2" spans="1:13" ht="15.6">
      <c r="B2" s="1910" t="s">
        <v>1943</v>
      </c>
      <c r="C2" s="1910"/>
      <c r="D2" s="1910"/>
      <c r="E2" s="1910"/>
      <c r="F2" s="1910"/>
      <c r="G2" s="1910"/>
      <c r="H2" s="1910"/>
      <c r="I2" s="2"/>
      <c r="J2" s="2"/>
      <c r="K2" s="2"/>
      <c r="L2" s="2"/>
      <c r="M2" s="2"/>
    </row>
    <row r="3" spans="1:13" ht="15.6">
      <c r="B3" s="1910" t="s">
        <v>1260</v>
      </c>
      <c r="C3" s="1910"/>
      <c r="D3" s="1910"/>
      <c r="E3" s="1910"/>
      <c r="F3" s="1910"/>
      <c r="G3" s="1910"/>
      <c r="H3" s="1910"/>
      <c r="I3" s="2"/>
      <c r="J3" s="2"/>
      <c r="K3" s="2"/>
      <c r="L3" s="2"/>
      <c r="M3" s="2"/>
    </row>
    <row r="4" spans="1:13" ht="15.6">
      <c r="B4" s="1938" t="s">
        <v>1812</v>
      </c>
      <c r="C4" s="1938"/>
      <c r="D4" s="1938"/>
      <c r="E4" s="1938"/>
      <c r="F4" s="1938"/>
      <c r="G4" s="1938"/>
      <c r="H4" s="1938"/>
      <c r="I4" s="612"/>
      <c r="J4" s="612"/>
      <c r="K4" s="612"/>
      <c r="L4" s="612"/>
      <c r="M4" s="612"/>
    </row>
    <row r="5" spans="1:13" ht="15.6">
      <c r="B5" s="1910" t="s">
        <v>1823</v>
      </c>
      <c r="C5" s="1910"/>
      <c r="D5" s="1910"/>
      <c r="E5" s="1910"/>
      <c r="F5" s="1910"/>
      <c r="G5" s="1910"/>
      <c r="H5" s="1910"/>
      <c r="I5" s="2"/>
      <c r="J5" s="2"/>
      <c r="K5" s="2"/>
      <c r="L5" s="2"/>
      <c r="M5" s="2"/>
    </row>
    <row r="8" spans="1:13">
      <c r="A8" s="583" t="s">
        <v>1822</v>
      </c>
    </row>
    <row r="9" spans="1:13" ht="15.6">
      <c r="A9" s="583">
        <v>1</v>
      </c>
      <c r="B9" s="1595" t="s">
        <v>1809</v>
      </c>
      <c r="C9" s="638"/>
      <c r="D9" s="803">
        <f>'Exh 2, Proof of Revenue'!AC587</f>
        <v>963442</v>
      </c>
      <c r="F9" s="1594" t="s">
        <v>3158</v>
      </c>
      <c r="G9" s="3"/>
    </row>
    <row r="10" spans="1:13" ht="15.6">
      <c r="A10" s="583">
        <v>2</v>
      </c>
      <c r="B10" s="1596" t="s">
        <v>1810</v>
      </c>
      <c r="C10" s="639"/>
      <c r="D10" s="803">
        <f>'Exh 2, Proof of Revenue'!AC588</f>
        <v>-3879096.7900000024</v>
      </c>
      <c r="F10" s="1594" t="s">
        <v>3159</v>
      </c>
      <c r="G10" s="3"/>
    </row>
    <row r="11" spans="1:13" ht="16.2" thickBot="1">
      <c r="A11" s="583">
        <v>3</v>
      </c>
      <c r="B11" s="1596" t="s">
        <v>1811</v>
      </c>
      <c r="C11" s="639"/>
      <c r="D11" s="804">
        <f>+D9+D10</f>
        <v>-2915654.7900000024</v>
      </c>
      <c r="F11" s="1594" t="s">
        <v>3160</v>
      </c>
      <c r="G11" s="3"/>
    </row>
    <row r="12" spans="1:13" ht="15" thickTop="1">
      <c r="B12" s="1"/>
      <c r="C12" s="1"/>
      <c r="D12" s="1"/>
    </row>
  </sheetData>
  <mergeCells count="5">
    <mergeCell ref="B1:H1"/>
    <mergeCell ref="B2:H2"/>
    <mergeCell ref="B3:H3"/>
    <mergeCell ref="B4:H4"/>
    <mergeCell ref="B5:H5"/>
  </mergeCells>
  <pageMargins left="0.7" right="0.7" top="0.75" bottom="0.75" header="0.3" footer="0.3"/>
  <pageSetup scale="94" orientation="portrait" r:id="rId1"/>
  <headerFooter scaleWithDoc="0" alignWithMargins="0">
    <oddHeader>&amp;R&amp;P of &amp;N</oddHeader>
    <oddFooter>&amp;LElectronic Tab Name: &amp;A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theme="7" tint="0.79998168889431442"/>
  </sheetPr>
  <dimension ref="A1:H160"/>
  <sheetViews>
    <sheetView showGridLines="0" view="pageBreakPreview" topLeftCell="A7" zoomScale="80" zoomScaleNormal="100" zoomScaleSheetLayoutView="80" workbookViewId="0">
      <selection activeCell="F27" sqref="F27"/>
    </sheetView>
  </sheetViews>
  <sheetFormatPr defaultColWidth="9.109375" defaultRowHeight="15.6"/>
  <cols>
    <col min="1" max="1" width="9.33203125" style="15" bestFit="1" customWidth="1"/>
    <col min="2" max="2" width="35.44140625" style="14" bestFit="1" customWidth="1"/>
    <col min="3" max="3" width="32.5546875" style="14" bestFit="1" customWidth="1"/>
    <col min="4" max="5" width="14" style="14" bestFit="1" customWidth="1"/>
    <col min="6" max="6" width="14.44140625" style="14" bestFit="1" customWidth="1"/>
    <col min="7" max="7" width="5.88671875" style="14" bestFit="1" customWidth="1"/>
    <col min="8" max="8" width="9.109375" style="14"/>
    <col min="9" max="16384" width="9.109375" style="3"/>
  </cols>
  <sheetData>
    <row r="1" spans="1:7">
      <c r="B1" s="1939" t="s">
        <v>52</v>
      </c>
      <c r="C1" s="1939"/>
      <c r="D1" s="1939"/>
      <c r="E1" s="1939"/>
      <c r="F1" s="1939"/>
      <c r="G1" s="1939"/>
    </row>
    <row r="2" spans="1:7">
      <c r="B2" s="693"/>
      <c r="C2" s="238" t="s">
        <v>1987</v>
      </c>
      <c r="D2" s="238"/>
      <c r="E2" s="238"/>
      <c r="F2" s="238"/>
      <c r="G2" s="238"/>
    </row>
    <row r="3" spans="1:7">
      <c r="B3" s="238"/>
      <c r="C3" s="238" t="s">
        <v>1255</v>
      </c>
      <c r="D3" s="238"/>
      <c r="E3" s="238"/>
      <c r="F3" s="238"/>
      <c r="G3" s="238"/>
    </row>
    <row r="4" spans="1:7">
      <c r="B4" s="1939" t="s">
        <v>68</v>
      </c>
      <c r="C4" s="1939"/>
      <c r="D4" s="1939"/>
      <c r="E4" s="1939"/>
      <c r="F4" s="1939"/>
      <c r="G4" s="1939"/>
    </row>
    <row r="5" spans="1:7">
      <c r="B5" s="1939" t="s">
        <v>1823</v>
      </c>
      <c r="C5" s="1939"/>
      <c r="D5" s="1939"/>
      <c r="E5" s="1939"/>
      <c r="F5" s="1939"/>
      <c r="G5" s="1939"/>
    </row>
    <row r="6" spans="1:7">
      <c r="B6" s="238"/>
      <c r="C6" s="238"/>
      <c r="D6" s="238"/>
      <c r="E6" s="238"/>
      <c r="F6" s="238"/>
      <c r="G6" s="238"/>
    </row>
    <row r="7" spans="1:7">
      <c r="B7" s="215" t="s">
        <v>778</v>
      </c>
      <c r="C7" s="215" t="s">
        <v>776</v>
      </c>
      <c r="D7" s="215" t="s">
        <v>777</v>
      </c>
      <c r="E7" s="215" t="s">
        <v>780</v>
      </c>
      <c r="F7" s="215" t="s">
        <v>781</v>
      </c>
      <c r="G7" s="441" t="s">
        <v>782</v>
      </c>
    </row>
    <row r="8" spans="1:7">
      <c r="B8" s="216"/>
      <c r="C8" s="216"/>
      <c r="D8" s="216"/>
      <c r="E8" s="1940" t="s">
        <v>730</v>
      </c>
      <c r="F8" s="216"/>
      <c r="G8" s="216"/>
    </row>
    <row r="9" spans="1:7">
      <c r="A9" s="429" t="s">
        <v>649</v>
      </c>
      <c r="B9" s="216"/>
      <c r="C9" s="216"/>
      <c r="D9" s="215" t="s">
        <v>729</v>
      </c>
      <c r="E9" s="1941"/>
      <c r="F9" s="215" t="s">
        <v>2006</v>
      </c>
      <c r="G9" s="216"/>
    </row>
    <row r="10" spans="1:7">
      <c r="A10" s="15">
        <v>1</v>
      </c>
      <c r="B10" s="217" t="s">
        <v>1992</v>
      </c>
      <c r="C10" s="217" t="s">
        <v>1993</v>
      </c>
      <c r="D10" s="237">
        <v>800</v>
      </c>
      <c r="E10" s="237"/>
      <c r="F10" s="237">
        <f>+D10</f>
        <v>800</v>
      </c>
      <c r="G10" s="217">
        <v>913</v>
      </c>
    </row>
    <row r="11" spans="1:7">
      <c r="A11" s="15">
        <v>2</v>
      </c>
      <c r="B11" s="217" t="s">
        <v>1267</v>
      </c>
      <c r="C11" s="217" t="s">
        <v>1994</v>
      </c>
      <c r="D11" s="237">
        <v>100</v>
      </c>
      <c r="E11" s="237"/>
      <c r="F11" s="237">
        <f>+D11</f>
        <v>100</v>
      </c>
      <c r="G11" s="217">
        <v>913</v>
      </c>
    </row>
    <row r="12" spans="1:7">
      <c r="A12" s="15">
        <v>3</v>
      </c>
      <c r="B12" s="217" t="s">
        <v>1995</v>
      </c>
      <c r="C12" s="217" t="s">
        <v>1996</v>
      </c>
      <c r="D12" s="237">
        <v>70</v>
      </c>
      <c r="E12" s="237"/>
      <c r="F12" s="237">
        <f>+D12</f>
        <v>70</v>
      </c>
      <c r="G12" s="217">
        <v>913</v>
      </c>
    </row>
    <row r="13" spans="1:7">
      <c r="A13" s="15">
        <v>4</v>
      </c>
      <c r="B13" s="217" t="s">
        <v>1997</v>
      </c>
      <c r="C13" s="217" t="s">
        <v>1998</v>
      </c>
      <c r="D13" s="237">
        <v>250</v>
      </c>
      <c r="E13" s="237"/>
      <c r="F13" s="237"/>
      <c r="G13" s="217">
        <v>913</v>
      </c>
    </row>
    <row r="14" spans="1:7">
      <c r="A14" s="15">
        <v>5</v>
      </c>
      <c r="B14" s="217" t="s">
        <v>1999</v>
      </c>
      <c r="C14" s="217" t="s">
        <v>2000</v>
      </c>
      <c r="D14" s="237">
        <v>100</v>
      </c>
      <c r="E14" s="237"/>
      <c r="F14" s="237"/>
      <c r="G14" s="217">
        <v>913</v>
      </c>
    </row>
    <row r="15" spans="1:7">
      <c r="A15" s="15">
        <v>6</v>
      </c>
      <c r="B15" s="217" t="s">
        <v>727</v>
      </c>
      <c r="C15" s="217" t="s">
        <v>2001</v>
      </c>
      <c r="D15" s="237">
        <v>30.12</v>
      </c>
      <c r="E15" s="237"/>
      <c r="F15" s="237"/>
      <c r="G15" s="217">
        <v>913</v>
      </c>
    </row>
    <row r="16" spans="1:7">
      <c r="A16" s="15">
        <v>7</v>
      </c>
      <c r="B16" s="217" t="s">
        <v>2002</v>
      </c>
      <c r="C16" s="217" t="s">
        <v>2003</v>
      </c>
      <c r="D16" s="237">
        <v>500</v>
      </c>
      <c r="E16" s="237"/>
      <c r="F16" s="237"/>
      <c r="G16" s="217">
        <v>913</v>
      </c>
    </row>
    <row r="17" spans="1:7">
      <c r="A17" s="15">
        <v>8</v>
      </c>
      <c r="B17" s="217" t="s">
        <v>2004</v>
      </c>
      <c r="C17" s="217" t="s">
        <v>728</v>
      </c>
      <c r="D17" s="237">
        <v>575</v>
      </c>
      <c r="E17" s="237">
        <f>+D17*'State Allocation Formulas'!$C$21</f>
        <v>432.22750000000002</v>
      </c>
      <c r="F17" s="237"/>
      <c r="G17" s="217">
        <v>913</v>
      </c>
    </row>
    <row r="18" spans="1:7">
      <c r="A18" s="15">
        <v>9</v>
      </c>
      <c r="B18" s="217" t="s">
        <v>728</v>
      </c>
      <c r="C18" s="217" t="s">
        <v>1991</v>
      </c>
      <c r="D18" s="237">
        <v>575</v>
      </c>
      <c r="E18" s="237"/>
      <c r="F18" s="237">
        <f>+D18</f>
        <v>575</v>
      </c>
      <c r="G18" s="217">
        <v>913</v>
      </c>
    </row>
    <row r="19" spans="1:7">
      <c r="A19" s="15">
        <v>10</v>
      </c>
      <c r="B19" s="217" t="s">
        <v>728</v>
      </c>
      <c r="C19" s="217" t="s">
        <v>2005</v>
      </c>
      <c r="D19" s="237">
        <v>575</v>
      </c>
      <c r="E19" s="237">
        <f>+D19*'State Allocation Formulas'!$C$21</f>
        <v>432.22750000000002</v>
      </c>
      <c r="F19" s="237"/>
      <c r="G19" s="217">
        <v>913</v>
      </c>
    </row>
    <row r="20" spans="1:7">
      <c r="A20" s="15">
        <v>11</v>
      </c>
      <c r="B20" s="217" t="s">
        <v>2004</v>
      </c>
      <c r="C20" s="217" t="s">
        <v>728</v>
      </c>
      <c r="D20" s="237">
        <v>-575</v>
      </c>
      <c r="E20" s="237">
        <f>+D20*'State Allocation Formulas'!$C$21</f>
        <v>-432.22750000000002</v>
      </c>
      <c r="F20" s="237"/>
      <c r="G20" s="217">
        <v>913</v>
      </c>
    </row>
    <row r="21" spans="1:7">
      <c r="B21" s="216"/>
      <c r="C21" s="216"/>
      <c r="D21" s="216"/>
      <c r="E21" s="216"/>
      <c r="F21" s="216"/>
      <c r="G21" s="216"/>
    </row>
    <row r="22" spans="1:7">
      <c r="A22" s="218">
        <v>12</v>
      </c>
      <c r="B22" s="216"/>
      <c r="C22" s="216"/>
      <c r="D22" s="216"/>
      <c r="E22" s="239">
        <f>SUM(E10:E20)</f>
        <v>432.22750000000002</v>
      </c>
      <c r="F22" s="239">
        <f>SUM(F10:F20)</f>
        <v>1545</v>
      </c>
      <c r="G22" s="216"/>
    </row>
    <row r="23" spans="1:7">
      <c r="A23" s="218">
        <v>13</v>
      </c>
      <c r="B23" s="216" t="s">
        <v>660</v>
      </c>
      <c r="C23" s="216"/>
      <c r="D23" s="216"/>
      <c r="E23" s="216"/>
      <c r="F23" s="239">
        <f>+F22+E22</f>
        <v>1977.2275</v>
      </c>
      <c r="G23" s="216"/>
    </row>
    <row r="24" spans="1:7">
      <c r="B24" s="216"/>
      <c r="C24" s="216"/>
      <c r="D24" s="216"/>
      <c r="E24" s="216"/>
      <c r="F24" s="216"/>
      <c r="G24" s="216"/>
    </row>
    <row r="26" spans="1:7">
      <c r="B26" s="215" t="s">
        <v>778</v>
      </c>
      <c r="C26" s="215" t="s">
        <v>776</v>
      </c>
      <c r="D26" s="215" t="s">
        <v>777</v>
      </c>
      <c r="E26" s="215" t="s">
        <v>780</v>
      </c>
      <c r="F26" s="215" t="s">
        <v>781</v>
      </c>
      <c r="G26" s="441" t="s">
        <v>782</v>
      </c>
    </row>
    <row r="27" spans="1:7">
      <c r="A27" s="429" t="s">
        <v>649</v>
      </c>
      <c r="D27" s="215" t="s">
        <v>729</v>
      </c>
      <c r="E27" s="215" t="s">
        <v>730</v>
      </c>
      <c r="F27" s="215" t="s">
        <v>2006</v>
      </c>
    </row>
    <row r="28" spans="1:7">
      <c r="A28" s="15">
        <v>14</v>
      </c>
      <c r="B28" s="217" t="s">
        <v>1267</v>
      </c>
      <c r="C28" s="217">
        <v>43466</v>
      </c>
      <c r="D28" s="237">
        <v>250</v>
      </c>
      <c r="E28" s="237"/>
      <c r="F28" s="237">
        <f>+D28</f>
        <v>250</v>
      </c>
      <c r="G28" s="217">
        <v>930.1</v>
      </c>
    </row>
    <row r="29" spans="1:7">
      <c r="A29" s="15">
        <v>15</v>
      </c>
      <c r="B29" s="217" t="s">
        <v>1267</v>
      </c>
      <c r="C29" s="217">
        <v>43497</v>
      </c>
      <c r="D29" s="237">
        <v>250</v>
      </c>
      <c r="E29" s="237"/>
      <c r="F29" s="237">
        <f t="shared" ref="F29:F39" si="0">+D29</f>
        <v>250</v>
      </c>
      <c r="G29" s="217">
        <v>930.1</v>
      </c>
    </row>
    <row r="30" spans="1:7">
      <c r="A30" s="15">
        <v>16</v>
      </c>
      <c r="B30" s="217" t="s">
        <v>1267</v>
      </c>
      <c r="C30" s="217" t="s">
        <v>2015</v>
      </c>
      <c r="D30" s="237">
        <v>250</v>
      </c>
      <c r="E30" s="237"/>
      <c r="F30" s="237">
        <f t="shared" si="0"/>
        <v>250</v>
      </c>
      <c r="G30" s="217">
        <v>930.1</v>
      </c>
    </row>
    <row r="31" spans="1:7">
      <c r="A31" s="15">
        <v>17</v>
      </c>
      <c r="B31" s="217" t="s">
        <v>658</v>
      </c>
      <c r="C31" s="217" t="s">
        <v>2016</v>
      </c>
      <c r="D31" s="237">
        <v>250</v>
      </c>
      <c r="E31" s="237"/>
      <c r="F31" s="237">
        <f t="shared" si="0"/>
        <v>250</v>
      </c>
      <c r="G31" s="217">
        <v>930.1</v>
      </c>
    </row>
    <row r="32" spans="1:7">
      <c r="A32" s="15">
        <v>18</v>
      </c>
      <c r="B32" s="217" t="s">
        <v>2017</v>
      </c>
      <c r="C32" s="217" t="s">
        <v>2018</v>
      </c>
      <c r="D32" s="237">
        <v>250</v>
      </c>
      <c r="E32" s="237"/>
      <c r="F32" s="237">
        <f t="shared" si="0"/>
        <v>250</v>
      </c>
      <c r="G32" s="217">
        <v>930.1</v>
      </c>
    </row>
    <row r="33" spans="1:7">
      <c r="A33" s="15">
        <v>19</v>
      </c>
      <c r="B33" s="217" t="s">
        <v>659</v>
      </c>
      <c r="C33" s="217" t="s">
        <v>2019</v>
      </c>
      <c r="D33" s="237">
        <v>200</v>
      </c>
      <c r="E33" s="237"/>
      <c r="F33" s="237">
        <f t="shared" si="0"/>
        <v>200</v>
      </c>
      <c r="G33" s="217">
        <v>930.1</v>
      </c>
    </row>
    <row r="34" spans="1:7">
      <c r="A34" s="15">
        <v>20</v>
      </c>
      <c r="B34" s="217" t="s">
        <v>2020</v>
      </c>
      <c r="C34" s="217" t="s">
        <v>2021</v>
      </c>
      <c r="D34" s="237">
        <v>150</v>
      </c>
      <c r="E34" s="237"/>
      <c r="F34" s="237">
        <f t="shared" si="0"/>
        <v>150</v>
      </c>
      <c r="G34" s="217">
        <v>930.1</v>
      </c>
    </row>
    <row r="35" spans="1:7">
      <c r="A35" s="15">
        <v>21</v>
      </c>
      <c r="B35" s="217" t="s">
        <v>1268</v>
      </c>
      <c r="C35" s="217" t="s">
        <v>2022</v>
      </c>
      <c r="D35" s="237">
        <v>250</v>
      </c>
      <c r="E35" s="237"/>
      <c r="F35" s="237">
        <f t="shared" si="0"/>
        <v>250</v>
      </c>
      <c r="G35" s="217">
        <v>930.1</v>
      </c>
    </row>
    <row r="36" spans="1:7">
      <c r="A36" s="15">
        <v>22</v>
      </c>
      <c r="B36" s="217" t="s">
        <v>657</v>
      </c>
      <c r="C36" s="217" t="s">
        <v>2023</v>
      </c>
      <c r="D36" s="237">
        <v>260</v>
      </c>
      <c r="E36" s="237"/>
      <c r="F36" s="237">
        <f t="shared" si="0"/>
        <v>260</v>
      </c>
      <c r="G36" s="217">
        <v>930.1</v>
      </c>
    </row>
    <row r="37" spans="1:7">
      <c r="A37" s="15">
        <v>23</v>
      </c>
      <c r="B37" s="217" t="s">
        <v>1269</v>
      </c>
      <c r="C37" s="217" t="s">
        <v>2024</v>
      </c>
      <c r="D37" s="237">
        <v>200</v>
      </c>
      <c r="E37" s="237"/>
      <c r="F37" s="237">
        <f t="shared" si="0"/>
        <v>200</v>
      </c>
      <c r="G37" s="217">
        <v>930.1</v>
      </c>
    </row>
    <row r="38" spans="1:7">
      <c r="A38" s="15">
        <v>24</v>
      </c>
      <c r="B38" s="217" t="s">
        <v>2025</v>
      </c>
      <c r="C38" s="217" t="s">
        <v>2026</v>
      </c>
      <c r="D38" s="237">
        <v>65</v>
      </c>
      <c r="E38" s="237"/>
      <c r="F38" s="237">
        <f t="shared" si="0"/>
        <v>65</v>
      </c>
      <c r="G38" s="217">
        <v>930.1</v>
      </c>
    </row>
    <row r="39" spans="1:7">
      <c r="A39" s="15">
        <v>25</v>
      </c>
      <c r="B39" s="217" t="s">
        <v>2025</v>
      </c>
      <c r="C39" s="217" t="s">
        <v>2027</v>
      </c>
      <c r="D39" s="237">
        <v>65</v>
      </c>
      <c r="E39" s="237"/>
      <c r="F39" s="237">
        <f t="shared" si="0"/>
        <v>65</v>
      </c>
      <c r="G39" s="217">
        <v>930.1</v>
      </c>
    </row>
    <row r="40" spans="1:7">
      <c r="A40" s="15">
        <v>26</v>
      </c>
      <c r="B40" s="217" t="s">
        <v>1270</v>
      </c>
      <c r="C40" s="217" t="s">
        <v>2028</v>
      </c>
      <c r="D40" s="237">
        <v>975</v>
      </c>
      <c r="E40" s="237"/>
      <c r="F40" s="237"/>
      <c r="G40" s="217">
        <v>930.1</v>
      </c>
    </row>
    <row r="41" spans="1:7">
      <c r="A41" s="15">
        <v>27</v>
      </c>
      <c r="B41" s="217" t="s">
        <v>731</v>
      </c>
      <c r="C41" s="217" t="s">
        <v>1271</v>
      </c>
      <c r="D41" s="237">
        <v>72</v>
      </c>
      <c r="E41" s="237"/>
      <c r="F41" s="237"/>
      <c r="G41" s="217">
        <v>930.1</v>
      </c>
    </row>
    <row r="42" spans="1:7">
      <c r="A42" s="15">
        <v>28</v>
      </c>
      <c r="B42" s="217" t="s">
        <v>731</v>
      </c>
      <c r="C42" s="217" t="s">
        <v>2012</v>
      </c>
      <c r="D42" s="237">
        <v>72</v>
      </c>
      <c r="E42" s="237"/>
      <c r="F42" s="237"/>
      <c r="G42" s="217">
        <v>930.1</v>
      </c>
    </row>
    <row r="43" spans="1:7">
      <c r="A43" s="15">
        <v>29</v>
      </c>
      <c r="B43" s="217" t="s">
        <v>2009</v>
      </c>
      <c r="C43" s="217" t="s">
        <v>2029</v>
      </c>
      <c r="D43" s="237">
        <v>47.77</v>
      </c>
      <c r="E43" s="237"/>
      <c r="F43" s="237"/>
      <c r="G43" s="217">
        <v>930.1</v>
      </c>
    </row>
    <row r="44" spans="1:7">
      <c r="A44" s="15">
        <v>30</v>
      </c>
      <c r="B44" s="217" t="s">
        <v>2009</v>
      </c>
      <c r="C44" s="217" t="s">
        <v>2030</v>
      </c>
      <c r="D44" s="237">
        <v>173.67</v>
      </c>
      <c r="E44" s="237"/>
      <c r="F44" s="237"/>
      <c r="G44" s="217">
        <v>930.1</v>
      </c>
    </row>
    <row r="45" spans="1:7">
      <c r="A45" s="15">
        <v>31</v>
      </c>
      <c r="B45" s="217" t="s">
        <v>731</v>
      </c>
      <c r="C45" s="217" t="s">
        <v>2012</v>
      </c>
      <c r="D45" s="237">
        <v>72</v>
      </c>
      <c r="E45" s="237"/>
      <c r="F45" s="237"/>
      <c r="G45" s="217">
        <v>930.1</v>
      </c>
    </row>
    <row r="46" spans="1:7">
      <c r="A46" s="15">
        <v>32</v>
      </c>
      <c r="B46" s="217" t="s">
        <v>731</v>
      </c>
      <c r="C46" s="217" t="s">
        <v>2007</v>
      </c>
      <c r="D46" s="237">
        <v>73</v>
      </c>
      <c r="E46" s="237"/>
      <c r="F46" s="237"/>
      <c r="G46" s="217">
        <v>930.1</v>
      </c>
    </row>
    <row r="47" spans="1:7">
      <c r="A47" s="15">
        <v>33</v>
      </c>
      <c r="B47" s="217" t="s">
        <v>731</v>
      </c>
      <c r="C47" s="217" t="s">
        <v>2008</v>
      </c>
      <c r="D47" s="237">
        <v>73</v>
      </c>
      <c r="E47" s="237"/>
      <c r="F47" s="237"/>
      <c r="G47" s="217">
        <v>930.1</v>
      </c>
    </row>
    <row r="48" spans="1:7">
      <c r="A48" s="15">
        <v>34</v>
      </c>
      <c r="B48" s="217" t="s">
        <v>2009</v>
      </c>
      <c r="C48" s="217" t="s">
        <v>2010</v>
      </c>
      <c r="D48" s="237">
        <v>125</v>
      </c>
      <c r="E48" s="237"/>
      <c r="F48" s="237"/>
      <c r="G48" s="217">
        <v>930.1</v>
      </c>
    </row>
    <row r="49" spans="1:7">
      <c r="A49" s="15">
        <v>35</v>
      </c>
      <c r="B49" s="217" t="s">
        <v>731</v>
      </c>
      <c r="C49" s="217" t="s">
        <v>2011</v>
      </c>
      <c r="D49" s="237">
        <v>73</v>
      </c>
      <c r="E49" s="237"/>
      <c r="F49" s="237"/>
      <c r="G49" s="217">
        <v>930.1</v>
      </c>
    </row>
    <row r="50" spans="1:7">
      <c r="A50" s="15">
        <v>36</v>
      </c>
      <c r="B50" s="217" t="s">
        <v>731</v>
      </c>
      <c r="C50" s="217" t="s">
        <v>2012</v>
      </c>
      <c r="D50" s="237">
        <v>73</v>
      </c>
      <c r="E50" s="237"/>
      <c r="F50" s="237"/>
      <c r="G50" s="217">
        <v>930.1</v>
      </c>
    </row>
    <row r="51" spans="1:7">
      <c r="A51" s="15">
        <v>37</v>
      </c>
      <c r="B51" s="217" t="s">
        <v>731</v>
      </c>
      <c r="C51" s="217" t="s">
        <v>2012</v>
      </c>
      <c r="D51" s="237">
        <v>73</v>
      </c>
      <c r="E51" s="237"/>
      <c r="F51" s="237"/>
      <c r="G51" s="217">
        <v>930.1</v>
      </c>
    </row>
    <row r="52" spans="1:7">
      <c r="A52" s="15">
        <v>38</v>
      </c>
      <c r="B52" s="217" t="s">
        <v>2031</v>
      </c>
      <c r="C52" s="217" t="s">
        <v>2032</v>
      </c>
      <c r="D52" s="237">
        <v>74.5</v>
      </c>
      <c r="E52" s="237">
        <f>+D52*'State Allocation Formulas'!$C$21</f>
        <v>56.001650000000005</v>
      </c>
      <c r="F52" s="237"/>
      <c r="G52" s="217">
        <v>930.1</v>
      </c>
    </row>
    <row r="53" spans="1:7">
      <c r="A53" s="15">
        <v>39</v>
      </c>
      <c r="B53" s="217" t="s">
        <v>2033</v>
      </c>
      <c r="C53" s="217" t="s">
        <v>2034</v>
      </c>
      <c r="D53" s="237">
        <v>149</v>
      </c>
      <c r="E53" s="237">
        <f>+D53*'State Allocation Formulas'!$C$21</f>
        <v>112.00330000000001</v>
      </c>
      <c r="F53" s="237"/>
      <c r="G53" s="217">
        <v>930.1</v>
      </c>
    </row>
    <row r="54" spans="1:7">
      <c r="A54" s="15">
        <v>40</v>
      </c>
      <c r="B54" s="217" t="s">
        <v>2033</v>
      </c>
      <c r="C54" s="217" t="s">
        <v>2035</v>
      </c>
      <c r="D54" s="237">
        <v>745</v>
      </c>
      <c r="E54" s="237">
        <f>+D54*'State Allocation Formulas'!$C$21</f>
        <v>560.01650000000006</v>
      </c>
      <c r="F54" s="237"/>
      <c r="G54" s="217">
        <v>930.1</v>
      </c>
    </row>
    <row r="55" spans="1:7">
      <c r="A55" s="15">
        <v>41</v>
      </c>
      <c r="B55" s="217" t="s">
        <v>2033</v>
      </c>
      <c r="C55" s="217" t="s">
        <v>2036</v>
      </c>
      <c r="D55" s="237">
        <v>149</v>
      </c>
      <c r="E55" s="237">
        <f>+D55*'State Allocation Formulas'!$C$21</f>
        <v>112.00330000000001</v>
      </c>
      <c r="F55" s="237"/>
      <c r="G55" s="217">
        <v>930.1</v>
      </c>
    </row>
    <row r="56" spans="1:7">
      <c r="A56" s="15">
        <v>42</v>
      </c>
      <c r="B56" s="217" t="s">
        <v>2033</v>
      </c>
      <c r="C56" s="217" t="s">
        <v>2037</v>
      </c>
      <c r="D56" s="237">
        <v>44.7</v>
      </c>
      <c r="E56" s="237">
        <f>+D56*'State Allocation Formulas'!$C$21</f>
        <v>33.600990000000003</v>
      </c>
      <c r="F56" s="237"/>
      <c r="G56" s="217">
        <v>930.1</v>
      </c>
    </row>
    <row r="57" spans="1:7">
      <c r="A57" s="15">
        <v>43</v>
      </c>
      <c r="B57" s="217" t="s">
        <v>2033</v>
      </c>
      <c r="C57" s="217" t="s">
        <v>2038</v>
      </c>
      <c r="D57" s="237">
        <v>149</v>
      </c>
      <c r="E57" s="237">
        <f>+D57*'State Allocation Formulas'!$C$21</f>
        <v>112.00330000000001</v>
      </c>
      <c r="F57" s="237"/>
      <c r="G57" s="217">
        <v>930.1</v>
      </c>
    </row>
    <row r="58" spans="1:7">
      <c r="A58" s="15">
        <v>44</v>
      </c>
      <c r="B58" s="217" t="s">
        <v>2033</v>
      </c>
      <c r="C58" s="217" t="s">
        <v>2039</v>
      </c>
      <c r="D58" s="237">
        <v>2724.09</v>
      </c>
      <c r="E58" s="237">
        <f>+D58*'State Allocation Formulas'!$C$21</f>
        <v>2047.6984530000002</v>
      </c>
      <c r="F58" s="237"/>
      <c r="G58" s="217">
        <v>930.1</v>
      </c>
    </row>
    <row r="59" spans="1:7">
      <c r="A59" s="15">
        <v>45</v>
      </c>
      <c r="B59" s="217" t="s">
        <v>2033</v>
      </c>
      <c r="C59" s="217" t="s">
        <v>2040</v>
      </c>
      <c r="D59" s="237">
        <v>74.5</v>
      </c>
      <c r="E59" s="237">
        <f>+D59*'State Allocation Formulas'!$C$21</f>
        <v>56.001650000000005</v>
      </c>
      <c r="F59" s="237"/>
      <c r="G59" s="217">
        <v>930.1</v>
      </c>
    </row>
    <row r="60" spans="1:7">
      <c r="A60" s="15">
        <v>46</v>
      </c>
      <c r="B60" s="217" t="s">
        <v>2033</v>
      </c>
      <c r="C60" s="217" t="s">
        <v>2040</v>
      </c>
      <c r="D60" s="237">
        <v>74.5</v>
      </c>
      <c r="E60" s="237">
        <f>+D60*'State Allocation Formulas'!$C$21</f>
        <v>56.001650000000005</v>
      </c>
      <c r="F60" s="237"/>
      <c r="G60" s="217">
        <v>930.1</v>
      </c>
    </row>
    <row r="61" spans="1:7">
      <c r="A61" s="15">
        <v>47</v>
      </c>
      <c r="B61" s="217" t="s">
        <v>2033</v>
      </c>
      <c r="C61" s="217" t="s">
        <v>2040</v>
      </c>
      <c r="D61" s="237">
        <v>74.5</v>
      </c>
      <c r="E61" s="237">
        <f>+D61*'State Allocation Formulas'!$C$21</f>
        <v>56.001650000000005</v>
      </c>
      <c r="F61" s="237"/>
      <c r="G61" s="217">
        <v>930.1</v>
      </c>
    </row>
    <row r="62" spans="1:7">
      <c r="A62" s="15">
        <v>48</v>
      </c>
      <c r="B62" s="217" t="s">
        <v>2033</v>
      </c>
      <c r="C62" s="217" t="s">
        <v>2040</v>
      </c>
      <c r="D62" s="237">
        <v>149</v>
      </c>
      <c r="E62" s="237">
        <f>+D62*'State Allocation Formulas'!$C$21</f>
        <v>112.00330000000001</v>
      </c>
      <c r="F62" s="237"/>
      <c r="G62" s="217">
        <v>930.1</v>
      </c>
    </row>
    <row r="63" spans="1:7">
      <c r="A63" s="15">
        <v>49</v>
      </c>
      <c r="B63" s="217" t="s">
        <v>2033</v>
      </c>
      <c r="C63" s="217" t="s">
        <v>2041</v>
      </c>
      <c r="D63" s="237">
        <v>36.5</v>
      </c>
      <c r="E63" s="237">
        <f>+D63*'State Allocation Formulas'!$C$21</f>
        <v>27.437050000000003</v>
      </c>
      <c r="F63" s="237"/>
      <c r="G63" s="217">
        <v>930.1</v>
      </c>
    </row>
    <row r="64" spans="1:7">
      <c r="A64" s="15">
        <v>50</v>
      </c>
      <c r="B64" s="217" t="s">
        <v>2033</v>
      </c>
      <c r="C64" s="217" t="s">
        <v>2042</v>
      </c>
      <c r="D64" s="237">
        <v>219</v>
      </c>
      <c r="E64" s="237">
        <f>+D64*'State Allocation Formulas'!$C$21</f>
        <v>164.6223</v>
      </c>
      <c r="F64" s="237"/>
      <c r="G64" s="217">
        <v>930.1</v>
      </c>
    </row>
    <row r="65" spans="1:7">
      <c r="A65" s="15">
        <v>51</v>
      </c>
      <c r="B65" s="217" t="s">
        <v>2043</v>
      </c>
      <c r="C65" s="217" t="s">
        <v>2044</v>
      </c>
      <c r="D65" s="237">
        <v>148.26</v>
      </c>
      <c r="E65" s="237">
        <f>+D65*'State Allocation Formulas'!$C$21</f>
        <v>111.447042</v>
      </c>
      <c r="F65" s="237"/>
      <c r="G65" s="217">
        <v>930.1</v>
      </c>
    </row>
    <row r="66" spans="1:7">
      <c r="A66" s="15">
        <v>52</v>
      </c>
      <c r="B66" s="217" t="s">
        <v>2045</v>
      </c>
      <c r="C66" s="217" t="s">
        <v>2046</v>
      </c>
      <c r="D66" s="237">
        <v>298</v>
      </c>
      <c r="E66" s="237">
        <f>+D66*'State Allocation Formulas'!$C$21</f>
        <v>224.00660000000002</v>
      </c>
      <c r="F66" s="237"/>
      <c r="G66" s="217">
        <v>930.1</v>
      </c>
    </row>
    <row r="67" spans="1:7">
      <c r="A67" s="15">
        <v>53</v>
      </c>
      <c r="B67" s="217" t="s">
        <v>2047</v>
      </c>
      <c r="C67" s="217" t="s">
        <v>2048</v>
      </c>
      <c r="D67" s="237">
        <v>334.14</v>
      </c>
      <c r="E67" s="237">
        <f>+D67*'State Allocation Formulas'!$C$21</f>
        <v>251.17303799999999</v>
      </c>
      <c r="F67" s="237"/>
      <c r="G67" s="217">
        <v>930.1</v>
      </c>
    </row>
    <row r="68" spans="1:7">
      <c r="A68" s="15">
        <v>54</v>
      </c>
      <c r="B68" s="217" t="s">
        <v>2049</v>
      </c>
      <c r="C68" s="217" t="s">
        <v>2050</v>
      </c>
      <c r="D68" s="237">
        <v>35.020000000000003</v>
      </c>
      <c r="E68" s="237">
        <f>+D68*'State Allocation Formulas'!$C$21</f>
        <v>26.324534000000003</v>
      </c>
      <c r="F68" s="237"/>
      <c r="G68" s="217">
        <v>930.1</v>
      </c>
    </row>
    <row r="69" spans="1:7">
      <c r="A69" s="15">
        <v>55</v>
      </c>
      <c r="B69" s="217" t="s">
        <v>2051</v>
      </c>
      <c r="C69" s="217" t="s">
        <v>2052</v>
      </c>
      <c r="D69" s="237">
        <v>97.59</v>
      </c>
      <c r="E69" s="237">
        <f>+D69*'State Allocation Formulas'!$C$21</f>
        <v>73.35840300000001</v>
      </c>
      <c r="F69" s="237"/>
      <c r="G69" s="217">
        <v>930.1</v>
      </c>
    </row>
    <row r="70" spans="1:7">
      <c r="A70" s="15">
        <v>56</v>
      </c>
      <c r="B70" s="217" t="s">
        <v>2053</v>
      </c>
      <c r="C70" s="217" t="s">
        <v>2054</v>
      </c>
      <c r="D70" s="237">
        <v>47.68</v>
      </c>
      <c r="E70" s="237">
        <f>+D70*'State Allocation Formulas'!$C$21</f>
        <v>35.841056000000002</v>
      </c>
      <c r="F70" s="237"/>
      <c r="G70" s="217">
        <v>930.1</v>
      </c>
    </row>
    <row r="71" spans="1:7">
      <c r="A71" s="15">
        <v>57</v>
      </c>
      <c r="B71" s="217" t="s">
        <v>2055</v>
      </c>
      <c r="C71" s="217" t="s">
        <v>2056</v>
      </c>
      <c r="D71" s="237">
        <v>331.09</v>
      </c>
      <c r="E71" s="237">
        <f>+D71*'State Allocation Formulas'!$C$21</f>
        <v>248.88035299999999</v>
      </c>
      <c r="F71" s="237"/>
      <c r="G71" s="217">
        <v>930.1</v>
      </c>
    </row>
    <row r="72" spans="1:7">
      <c r="A72" s="15">
        <v>58</v>
      </c>
      <c r="B72" s="217" t="s">
        <v>2055</v>
      </c>
      <c r="C72" s="217" t="s">
        <v>2056</v>
      </c>
      <c r="D72" s="237">
        <v>165.55</v>
      </c>
      <c r="E72" s="237">
        <f>+D72*'State Allocation Formulas'!$C$21</f>
        <v>124.44393500000001</v>
      </c>
      <c r="F72" s="237"/>
      <c r="G72" s="217">
        <v>930.1</v>
      </c>
    </row>
    <row r="73" spans="1:7">
      <c r="A73" s="15">
        <v>59</v>
      </c>
      <c r="B73" s="217" t="s">
        <v>2057</v>
      </c>
      <c r="C73" s="217" t="s">
        <v>2052</v>
      </c>
      <c r="D73" s="237">
        <v>351.5</v>
      </c>
      <c r="E73" s="237">
        <f>+D73*'State Allocation Formulas'!$C$21</f>
        <v>264.22255000000001</v>
      </c>
      <c r="F73" s="237"/>
      <c r="G73" s="217">
        <v>930.1</v>
      </c>
    </row>
    <row r="74" spans="1:7">
      <c r="A74" s="15">
        <v>60</v>
      </c>
      <c r="B74" s="217" t="s">
        <v>2058</v>
      </c>
      <c r="C74" s="217" t="s">
        <v>2059</v>
      </c>
      <c r="D74" s="237">
        <v>89.4</v>
      </c>
      <c r="E74" s="237">
        <f>+D74*'State Allocation Formulas'!$C$21</f>
        <v>67.201980000000006</v>
      </c>
      <c r="F74" s="237"/>
      <c r="G74" s="217">
        <v>930.1</v>
      </c>
    </row>
    <row r="75" spans="1:7">
      <c r="A75" s="15">
        <v>61</v>
      </c>
      <c r="B75" s="217" t="s">
        <v>2060</v>
      </c>
      <c r="C75" s="217" t="s">
        <v>2061</v>
      </c>
      <c r="D75" s="237">
        <v>640.70000000000005</v>
      </c>
      <c r="E75" s="237">
        <f>+D75*'State Allocation Formulas'!$C$21</f>
        <v>481.61419000000006</v>
      </c>
      <c r="F75" s="237"/>
      <c r="G75" s="217">
        <v>930.1</v>
      </c>
    </row>
    <row r="76" spans="1:7">
      <c r="A76" s="15">
        <v>62</v>
      </c>
      <c r="B76" s="217" t="s">
        <v>2062</v>
      </c>
      <c r="C76" s="217" t="s">
        <v>2054</v>
      </c>
      <c r="D76" s="237">
        <v>47.68</v>
      </c>
      <c r="E76" s="237">
        <f>+D76*'State Allocation Formulas'!$C$21</f>
        <v>35.841056000000002</v>
      </c>
      <c r="F76" s="237"/>
      <c r="G76" s="217">
        <v>930.1</v>
      </c>
    </row>
    <row r="77" spans="1:7">
      <c r="A77" s="15">
        <v>63</v>
      </c>
      <c r="B77" s="217" t="s">
        <v>2063</v>
      </c>
      <c r="C77" s="217" t="s">
        <v>2064</v>
      </c>
      <c r="D77" s="237">
        <v>36.5</v>
      </c>
      <c r="E77" s="237">
        <f>+D77*'State Allocation Formulas'!$C$21</f>
        <v>27.437050000000003</v>
      </c>
      <c r="F77" s="237"/>
      <c r="G77" s="217">
        <v>930.1</v>
      </c>
    </row>
    <row r="78" spans="1:7">
      <c r="A78" s="15">
        <v>64</v>
      </c>
      <c r="B78" s="217" t="s">
        <v>2065</v>
      </c>
      <c r="C78" s="217" t="s">
        <v>2046</v>
      </c>
      <c r="D78" s="237">
        <v>74.5</v>
      </c>
      <c r="E78" s="237">
        <f>+D78*'State Allocation Formulas'!$C$21</f>
        <v>56.001650000000005</v>
      </c>
      <c r="F78" s="237"/>
      <c r="G78" s="217">
        <v>930.1</v>
      </c>
    </row>
    <row r="79" spans="1:7">
      <c r="A79" s="15">
        <v>65</v>
      </c>
      <c r="B79" s="217" t="s">
        <v>2066</v>
      </c>
      <c r="C79" s="217" t="s">
        <v>2067</v>
      </c>
      <c r="D79" s="237">
        <v>71.52</v>
      </c>
      <c r="E79" s="237">
        <f>+D79*'State Allocation Formulas'!$C$21</f>
        <v>53.761583999999999</v>
      </c>
      <c r="F79" s="237"/>
      <c r="G79" s="217">
        <v>930.1</v>
      </c>
    </row>
    <row r="80" spans="1:7">
      <c r="A80" s="15">
        <v>66</v>
      </c>
      <c r="B80" s="217" t="s">
        <v>2068</v>
      </c>
      <c r="C80" s="217" t="s">
        <v>2069</v>
      </c>
      <c r="D80" s="237">
        <v>372.5</v>
      </c>
      <c r="E80" s="237">
        <f>+D80*'State Allocation Formulas'!$C$21</f>
        <v>280.00825000000003</v>
      </c>
      <c r="F80" s="237"/>
      <c r="G80" s="217">
        <v>930.1</v>
      </c>
    </row>
    <row r="81" spans="1:7">
      <c r="A81" s="15">
        <v>67</v>
      </c>
      <c r="B81" s="217" t="s">
        <v>2070</v>
      </c>
      <c r="C81" s="217" t="s">
        <v>2056</v>
      </c>
      <c r="D81" s="237">
        <v>324.44</v>
      </c>
      <c r="E81" s="237">
        <f>+D81*'State Allocation Formulas'!$C$21</f>
        <v>243.88154800000001</v>
      </c>
      <c r="F81" s="237"/>
      <c r="G81" s="217">
        <v>930.1</v>
      </c>
    </row>
    <row r="82" spans="1:7">
      <c r="A82" s="15">
        <v>68</v>
      </c>
      <c r="B82" s="217" t="s">
        <v>2070</v>
      </c>
      <c r="C82" s="217" t="s">
        <v>2056</v>
      </c>
      <c r="D82" s="237">
        <v>324.44</v>
      </c>
      <c r="E82" s="237">
        <f>+D82*'State Allocation Formulas'!$C$21</f>
        <v>243.88154800000001</v>
      </c>
      <c r="F82" s="237"/>
      <c r="G82" s="217">
        <v>930.1</v>
      </c>
    </row>
    <row r="83" spans="1:7">
      <c r="A83" s="15">
        <v>69</v>
      </c>
      <c r="B83" s="217" t="s">
        <v>2070</v>
      </c>
      <c r="C83" s="217" t="s">
        <v>2056</v>
      </c>
      <c r="D83" s="237">
        <v>324.44</v>
      </c>
      <c r="E83" s="237">
        <f>+D83*'State Allocation Formulas'!$C$21</f>
        <v>243.88154800000001</v>
      </c>
      <c r="F83" s="237"/>
      <c r="G83" s="217">
        <v>930.1</v>
      </c>
    </row>
    <row r="84" spans="1:7">
      <c r="A84" s="15">
        <v>70</v>
      </c>
      <c r="B84" s="217" t="s">
        <v>2070</v>
      </c>
      <c r="C84" s="217" t="s">
        <v>2056</v>
      </c>
      <c r="D84" s="237">
        <v>165.55</v>
      </c>
      <c r="E84" s="237">
        <f>+D84*'State Allocation Formulas'!$C$21</f>
        <v>124.44393500000001</v>
      </c>
      <c r="F84" s="237"/>
      <c r="G84" s="217">
        <v>930.1</v>
      </c>
    </row>
    <row r="85" spans="1:7">
      <c r="A85" s="15">
        <v>71</v>
      </c>
      <c r="B85" s="217" t="s">
        <v>2070</v>
      </c>
      <c r="C85" s="217" t="s">
        <v>2056</v>
      </c>
      <c r="D85" s="237">
        <v>165.56</v>
      </c>
      <c r="E85" s="237">
        <f>+D85*'State Allocation Formulas'!$C$21</f>
        <v>124.451452</v>
      </c>
      <c r="F85" s="237"/>
      <c r="G85" s="217">
        <v>930.1</v>
      </c>
    </row>
    <row r="86" spans="1:7">
      <c r="A86" s="15">
        <v>72</v>
      </c>
      <c r="B86" s="217" t="s">
        <v>2070</v>
      </c>
      <c r="C86" s="217" t="s">
        <v>2056</v>
      </c>
      <c r="D86" s="237">
        <v>632.41999999999996</v>
      </c>
      <c r="E86" s="237">
        <f>+D86*'State Allocation Formulas'!$C$21</f>
        <v>475.39011399999998</v>
      </c>
      <c r="F86" s="237"/>
      <c r="G86" s="217">
        <v>930.1</v>
      </c>
    </row>
    <row r="87" spans="1:7">
      <c r="A87" s="15">
        <v>73</v>
      </c>
      <c r="B87" s="217" t="s">
        <v>2071</v>
      </c>
      <c r="C87" s="217" t="s">
        <v>2072</v>
      </c>
      <c r="D87" s="237">
        <v>111.75</v>
      </c>
      <c r="E87" s="237">
        <f>+D87*'State Allocation Formulas'!$C$21</f>
        <v>84.002475000000004</v>
      </c>
      <c r="F87" s="237"/>
      <c r="G87" s="217">
        <v>930.1</v>
      </c>
    </row>
    <row r="88" spans="1:7">
      <c r="A88" s="15">
        <v>74</v>
      </c>
      <c r="B88" s="217" t="s">
        <v>2073</v>
      </c>
      <c r="C88" s="217" t="s">
        <v>2074</v>
      </c>
      <c r="D88" s="237">
        <v>745</v>
      </c>
      <c r="E88" s="237">
        <f>+D88*'State Allocation Formulas'!$C$21</f>
        <v>560.01650000000006</v>
      </c>
      <c r="F88" s="237"/>
      <c r="G88" s="217">
        <v>930.1</v>
      </c>
    </row>
    <row r="89" spans="1:7">
      <c r="A89" s="15">
        <v>75</v>
      </c>
      <c r="B89" s="217" t="s">
        <v>2075</v>
      </c>
      <c r="C89" s="217" t="s">
        <v>2076</v>
      </c>
      <c r="D89" s="237">
        <v>29.91</v>
      </c>
      <c r="E89" s="237">
        <f>+D89*'State Allocation Formulas'!$C$21</f>
        <v>22.483347000000002</v>
      </c>
      <c r="F89" s="237"/>
      <c r="G89" s="217">
        <v>930.1</v>
      </c>
    </row>
    <row r="90" spans="1:7">
      <c r="A90" s="15">
        <v>76</v>
      </c>
      <c r="B90" s="217" t="s">
        <v>2077</v>
      </c>
      <c r="C90" s="217" t="s">
        <v>2078</v>
      </c>
      <c r="D90" s="237">
        <v>21.83</v>
      </c>
      <c r="E90" s="237">
        <f>+D90*'State Allocation Formulas'!$C$21</f>
        <v>16.409610999999998</v>
      </c>
      <c r="F90" s="237"/>
      <c r="G90" s="217">
        <v>930.1</v>
      </c>
    </row>
    <row r="91" spans="1:7">
      <c r="A91" s="15">
        <v>77</v>
      </c>
      <c r="B91" s="217" t="s">
        <v>2079</v>
      </c>
      <c r="C91" s="217" t="s">
        <v>2054</v>
      </c>
      <c r="D91" s="237">
        <v>47.68</v>
      </c>
      <c r="E91" s="237">
        <f>+D91*'State Allocation Formulas'!$C$21</f>
        <v>35.841056000000002</v>
      </c>
      <c r="F91" s="237"/>
      <c r="G91" s="217">
        <v>930.1</v>
      </c>
    </row>
    <row r="92" spans="1:7">
      <c r="A92" s="15">
        <v>78</v>
      </c>
      <c r="B92" s="217" t="s">
        <v>2080</v>
      </c>
      <c r="C92" s="217" t="s">
        <v>2081</v>
      </c>
      <c r="D92" s="237">
        <v>372.5</v>
      </c>
      <c r="E92" s="237">
        <f>+D92*'State Allocation Formulas'!$C$21</f>
        <v>280.00825000000003</v>
      </c>
      <c r="F92" s="237"/>
      <c r="G92" s="217">
        <v>930.1</v>
      </c>
    </row>
    <row r="93" spans="1:7">
      <c r="A93" s="15">
        <v>79</v>
      </c>
      <c r="B93" s="217" t="s">
        <v>2082</v>
      </c>
      <c r="C93" s="217" t="s">
        <v>2083</v>
      </c>
      <c r="D93" s="237">
        <v>149</v>
      </c>
      <c r="E93" s="237">
        <f>+D93*'State Allocation Formulas'!$C$21</f>
        <v>112.00330000000001</v>
      </c>
      <c r="F93" s="237"/>
      <c r="G93" s="217">
        <v>930.1</v>
      </c>
    </row>
    <row r="94" spans="1:7">
      <c r="A94" s="15">
        <v>80</v>
      </c>
      <c r="B94" s="217" t="s">
        <v>2084</v>
      </c>
      <c r="C94" s="217" t="s">
        <v>2085</v>
      </c>
      <c r="D94" s="237">
        <v>149</v>
      </c>
      <c r="E94" s="237">
        <f>+D94*'State Allocation Formulas'!$C$21</f>
        <v>112.00330000000001</v>
      </c>
      <c r="F94" s="237"/>
      <c r="G94" s="217">
        <v>930.1</v>
      </c>
    </row>
    <row r="95" spans="1:7">
      <c r="A95" s="15">
        <v>81</v>
      </c>
      <c r="B95" s="217" t="s">
        <v>2086</v>
      </c>
      <c r="C95" s="217" t="s">
        <v>2044</v>
      </c>
      <c r="D95" s="237">
        <v>161.66999999999999</v>
      </c>
      <c r="E95" s="237">
        <f>+D95*'State Allocation Formulas'!$C$21</f>
        <v>121.527339</v>
      </c>
      <c r="F95" s="237"/>
      <c r="G95" s="217">
        <v>930.1</v>
      </c>
    </row>
    <row r="96" spans="1:7">
      <c r="A96" s="15">
        <v>82</v>
      </c>
      <c r="B96" s="217" t="s">
        <v>2087</v>
      </c>
      <c r="C96" s="217" t="s">
        <v>2054</v>
      </c>
      <c r="D96" s="237">
        <v>47.68</v>
      </c>
      <c r="E96" s="237">
        <f>+D96*'State Allocation Formulas'!$C$21</f>
        <v>35.841056000000002</v>
      </c>
      <c r="F96" s="237"/>
      <c r="G96" s="217">
        <v>930.1</v>
      </c>
    </row>
    <row r="97" spans="1:7">
      <c r="A97" s="15">
        <v>83</v>
      </c>
      <c r="B97" s="217" t="s">
        <v>2087</v>
      </c>
      <c r="C97" s="217" t="s">
        <v>2088</v>
      </c>
      <c r="D97" s="237">
        <v>73</v>
      </c>
      <c r="E97" s="237">
        <f>+D97*'State Allocation Formulas'!$C$21</f>
        <v>54.874100000000006</v>
      </c>
      <c r="F97" s="237"/>
      <c r="G97" s="217">
        <v>930.1</v>
      </c>
    </row>
    <row r="98" spans="1:7">
      <c r="A98" s="15">
        <v>84</v>
      </c>
      <c r="B98" s="217" t="s">
        <v>2087</v>
      </c>
      <c r="C98" s="217" t="s">
        <v>2089</v>
      </c>
      <c r="D98" s="237">
        <v>219</v>
      </c>
      <c r="E98" s="237">
        <f>+D98*'State Allocation Formulas'!$C$21</f>
        <v>164.6223</v>
      </c>
      <c r="F98" s="237"/>
      <c r="G98" s="217">
        <v>930.1</v>
      </c>
    </row>
    <row r="99" spans="1:7">
      <c r="A99" s="15">
        <v>85</v>
      </c>
      <c r="B99" s="217" t="s">
        <v>2090</v>
      </c>
      <c r="C99" s="217" t="s">
        <v>2090</v>
      </c>
      <c r="D99" s="237">
        <v>745</v>
      </c>
      <c r="E99" s="237">
        <f>+D99*'State Allocation Formulas'!$C$21</f>
        <v>560.01650000000006</v>
      </c>
      <c r="F99" s="237"/>
      <c r="G99" s="217">
        <v>930.1</v>
      </c>
    </row>
    <row r="100" spans="1:7">
      <c r="A100" s="15">
        <v>86</v>
      </c>
      <c r="B100" s="217" t="s">
        <v>2091</v>
      </c>
      <c r="C100" s="217" t="s">
        <v>2052</v>
      </c>
      <c r="D100" s="237">
        <v>164.21</v>
      </c>
      <c r="E100" s="237">
        <f>+D100*'State Allocation Formulas'!$C$21</f>
        <v>123.43665700000001</v>
      </c>
      <c r="F100" s="237"/>
      <c r="G100" s="217">
        <v>930.1</v>
      </c>
    </row>
    <row r="101" spans="1:7">
      <c r="A101" s="15">
        <v>87</v>
      </c>
      <c r="B101" s="217" t="s">
        <v>2092</v>
      </c>
      <c r="C101" s="217" t="s">
        <v>2052</v>
      </c>
      <c r="D101" s="237">
        <v>250.59</v>
      </c>
      <c r="E101" s="237">
        <f>+D101*'State Allocation Formulas'!$C$21</f>
        <v>188.368503</v>
      </c>
      <c r="F101" s="237"/>
      <c r="G101" s="217">
        <v>930.1</v>
      </c>
    </row>
    <row r="102" spans="1:7">
      <c r="A102" s="15">
        <v>88</v>
      </c>
      <c r="B102" s="217" t="s">
        <v>2093</v>
      </c>
      <c r="C102" s="217" t="s">
        <v>2052</v>
      </c>
      <c r="D102" s="237">
        <v>348.74</v>
      </c>
      <c r="E102" s="237">
        <f>+D102*'State Allocation Formulas'!$C$21</f>
        <v>262.14785800000004</v>
      </c>
      <c r="F102" s="237"/>
      <c r="G102" s="217">
        <v>930.1</v>
      </c>
    </row>
    <row r="103" spans="1:7">
      <c r="A103" s="15">
        <v>89</v>
      </c>
      <c r="B103" s="217" t="s">
        <v>2094</v>
      </c>
      <c r="C103" s="217" t="s">
        <v>2095</v>
      </c>
      <c r="D103" s="237">
        <v>37.25</v>
      </c>
      <c r="E103" s="237">
        <f>+D103*'State Allocation Formulas'!$C$21</f>
        <v>28.000825000000003</v>
      </c>
      <c r="F103" s="237"/>
      <c r="G103" s="217">
        <v>930.1</v>
      </c>
    </row>
    <row r="104" spans="1:7">
      <c r="A104" s="15">
        <v>90</v>
      </c>
      <c r="B104" s="217" t="s">
        <v>2096</v>
      </c>
      <c r="C104" s="217" t="s">
        <v>2056</v>
      </c>
      <c r="D104" s="237">
        <v>324.44</v>
      </c>
      <c r="E104" s="237">
        <f>+D104*'State Allocation Formulas'!$C$21</f>
        <v>243.88154800000001</v>
      </c>
      <c r="F104" s="237"/>
      <c r="G104" s="217">
        <v>930.1</v>
      </c>
    </row>
    <row r="105" spans="1:7">
      <c r="A105" s="15">
        <v>91</v>
      </c>
      <c r="B105" s="217" t="s">
        <v>2097</v>
      </c>
      <c r="C105" s="217" t="s">
        <v>2098</v>
      </c>
      <c r="D105" s="237">
        <v>43.8</v>
      </c>
      <c r="E105" s="237">
        <f>+D105*'State Allocation Formulas'!$C$21</f>
        <v>32.924459999999996</v>
      </c>
      <c r="F105" s="237"/>
      <c r="G105" s="217">
        <v>930.1</v>
      </c>
    </row>
    <row r="106" spans="1:7">
      <c r="A106" s="15">
        <v>92</v>
      </c>
      <c r="B106" s="217" t="s">
        <v>2099</v>
      </c>
      <c r="C106" s="217" t="s">
        <v>2100</v>
      </c>
      <c r="D106" s="237">
        <v>36.5</v>
      </c>
      <c r="E106" s="237">
        <f>+D106*'State Allocation Formulas'!$C$21</f>
        <v>27.437050000000003</v>
      </c>
      <c r="F106" s="237"/>
      <c r="G106" s="217">
        <v>930.1</v>
      </c>
    </row>
    <row r="107" spans="1:7">
      <c r="A107" s="15">
        <v>93</v>
      </c>
      <c r="B107" s="217" t="s">
        <v>2101</v>
      </c>
      <c r="C107" s="217" t="s">
        <v>2102</v>
      </c>
      <c r="D107" s="237">
        <v>365</v>
      </c>
      <c r="E107" s="237">
        <f>+D107*'State Allocation Formulas'!$C$21</f>
        <v>274.37049999999999</v>
      </c>
      <c r="F107" s="237"/>
      <c r="G107" s="217">
        <v>930.1</v>
      </c>
    </row>
    <row r="108" spans="1:7">
      <c r="A108" s="15">
        <v>94</v>
      </c>
      <c r="B108" s="217" t="s">
        <v>2103</v>
      </c>
      <c r="C108" s="217" t="s">
        <v>2104</v>
      </c>
      <c r="D108" s="237">
        <v>197.1</v>
      </c>
      <c r="E108" s="237">
        <f>+D108*'State Allocation Formulas'!$C$21</f>
        <v>148.16006999999999</v>
      </c>
      <c r="F108" s="237"/>
      <c r="G108" s="217">
        <v>930.1</v>
      </c>
    </row>
    <row r="109" spans="1:7">
      <c r="A109" s="15">
        <v>95</v>
      </c>
      <c r="B109" s="217" t="s">
        <v>2105</v>
      </c>
      <c r="C109" s="217" t="s">
        <v>2052</v>
      </c>
      <c r="D109" s="237">
        <v>328.06</v>
      </c>
      <c r="E109" s="237">
        <f>+D109*'State Allocation Formulas'!$C$21</f>
        <v>246.60270200000002</v>
      </c>
      <c r="F109" s="237"/>
      <c r="G109" s="217">
        <v>930.1</v>
      </c>
    </row>
    <row r="110" spans="1:7">
      <c r="A110" s="15">
        <v>96</v>
      </c>
      <c r="B110" s="217" t="s">
        <v>2106</v>
      </c>
      <c r="C110" s="217" t="s">
        <v>2052</v>
      </c>
      <c r="D110" s="237">
        <v>639.72</v>
      </c>
      <c r="E110" s="237">
        <f>+D110*'State Allocation Formulas'!$C$21</f>
        <v>480.87752400000005</v>
      </c>
      <c r="F110" s="237"/>
      <c r="G110" s="217">
        <v>930.1</v>
      </c>
    </row>
    <row r="111" spans="1:7">
      <c r="A111" s="15">
        <v>97</v>
      </c>
      <c r="B111" s="217" t="s">
        <v>2107</v>
      </c>
      <c r="C111" s="217" t="s">
        <v>2052</v>
      </c>
      <c r="D111" s="237">
        <v>718.61</v>
      </c>
      <c r="E111" s="237">
        <f>+D111*'State Allocation Formulas'!$C$21</f>
        <v>540.17913700000008</v>
      </c>
      <c r="F111" s="237"/>
      <c r="G111" s="217">
        <v>930.1</v>
      </c>
    </row>
    <row r="112" spans="1:7">
      <c r="A112" s="15">
        <v>98</v>
      </c>
      <c r="B112" s="217" t="s">
        <v>2108</v>
      </c>
      <c r="C112" s="217" t="s">
        <v>2072</v>
      </c>
      <c r="D112" s="237">
        <v>292</v>
      </c>
      <c r="E112" s="237">
        <f>+D112*'State Allocation Formulas'!$C$21</f>
        <v>219.49640000000002</v>
      </c>
      <c r="F112" s="237"/>
      <c r="G112" s="217">
        <v>930.1</v>
      </c>
    </row>
    <row r="113" spans="1:7">
      <c r="A113" s="15">
        <v>99</v>
      </c>
      <c r="B113" s="217" t="s">
        <v>2109</v>
      </c>
      <c r="C113" s="217" t="s">
        <v>2110</v>
      </c>
      <c r="D113" s="237">
        <v>73</v>
      </c>
      <c r="E113" s="237">
        <f>+D113*'State Allocation Formulas'!$C$21</f>
        <v>54.874100000000006</v>
      </c>
      <c r="F113" s="237"/>
      <c r="G113" s="217">
        <v>930.1</v>
      </c>
    </row>
    <row r="114" spans="1:7">
      <c r="A114" s="15">
        <v>100</v>
      </c>
      <c r="B114" s="217" t="s">
        <v>2111</v>
      </c>
      <c r="C114" s="217" t="s">
        <v>2112</v>
      </c>
      <c r="D114" s="237">
        <v>2336</v>
      </c>
      <c r="E114" s="237">
        <f>+D114*'State Allocation Formulas'!$C$21</f>
        <v>1755.9712000000002</v>
      </c>
      <c r="F114" s="237"/>
      <c r="G114" s="217">
        <v>930.1</v>
      </c>
    </row>
    <row r="115" spans="1:7">
      <c r="A115" s="15">
        <v>101</v>
      </c>
      <c r="B115" s="217" t="s">
        <v>2113</v>
      </c>
      <c r="C115" s="217" t="s">
        <v>2114</v>
      </c>
      <c r="D115" s="237">
        <v>0</v>
      </c>
      <c r="E115" s="237">
        <f>+D115*'State Allocation Formulas'!$C$21</f>
        <v>0</v>
      </c>
      <c r="F115" s="237"/>
      <c r="G115" s="217">
        <v>930.1</v>
      </c>
    </row>
    <row r="116" spans="1:7">
      <c r="A116" s="15">
        <v>102</v>
      </c>
      <c r="B116" s="217" t="s">
        <v>2115</v>
      </c>
      <c r="C116" s="217" t="s">
        <v>2072</v>
      </c>
      <c r="D116" s="237">
        <v>547.5</v>
      </c>
      <c r="E116" s="237">
        <f>+D116*'State Allocation Formulas'!$C$21</f>
        <v>411.55575000000005</v>
      </c>
      <c r="F116" s="237"/>
      <c r="G116" s="217">
        <v>930.1</v>
      </c>
    </row>
    <row r="117" spans="1:7">
      <c r="A117" s="15">
        <v>103</v>
      </c>
      <c r="B117" s="217" t="s">
        <v>2115</v>
      </c>
      <c r="C117" s="217" t="s">
        <v>2072</v>
      </c>
      <c r="D117" s="237">
        <v>547.5</v>
      </c>
      <c r="E117" s="237">
        <f>+D117*'State Allocation Formulas'!$C$21</f>
        <v>411.55575000000005</v>
      </c>
      <c r="F117" s="237"/>
      <c r="G117" s="217">
        <v>930.1</v>
      </c>
    </row>
    <row r="118" spans="1:7">
      <c r="A118" s="15">
        <v>104</v>
      </c>
      <c r="B118" s="217" t="s">
        <v>2116</v>
      </c>
      <c r="C118" s="217" t="s">
        <v>2117</v>
      </c>
      <c r="D118" s="237">
        <v>-3.49</v>
      </c>
      <c r="E118" s="237">
        <f>+D118*'State Allocation Formulas'!$C$21</f>
        <v>-2.6234330000000003</v>
      </c>
      <c r="F118" s="237"/>
      <c r="G118" s="217">
        <v>930.1</v>
      </c>
    </row>
    <row r="119" spans="1:7">
      <c r="A119" s="15">
        <v>105</v>
      </c>
      <c r="B119" s="217" t="s">
        <v>2118</v>
      </c>
      <c r="C119" s="217" t="s">
        <v>2117</v>
      </c>
      <c r="D119" s="237">
        <v>-4.5999999999999996</v>
      </c>
      <c r="E119" s="237">
        <f>+D119*'State Allocation Formulas'!$C$21</f>
        <v>-3.4578199999999999</v>
      </c>
      <c r="F119" s="237"/>
      <c r="G119" s="217">
        <v>930.1</v>
      </c>
    </row>
    <row r="120" spans="1:7">
      <c r="A120" s="15">
        <v>106</v>
      </c>
      <c r="B120" s="217" t="s">
        <v>2119</v>
      </c>
      <c r="C120" s="217" t="s">
        <v>2112</v>
      </c>
      <c r="D120" s="237">
        <v>95.63</v>
      </c>
      <c r="E120" s="237">
        <f>+D120*'State Allocation Formulas'!$C$21</f>
        <v>71.885070999999996</v>
      </c>
      <c r="F120" s="237"/>
      <c r="G120" s="217">
        <v>930.1</v>
      </c>
    </row>
    <row r="121" spans="1:7">
      <c r="A121" s="15">
        <v>107</v>
      </c>
      <c r="B121" s="217" t="s">
        <v>2120</v>
      </c>
      <c r="C121" s="217" t="s">
        <v>2046</v>
      </c>
      <c r="D121" s="237">
        <v>18.25</v>
      </c>
      <c r="E121" s="237">
        <f>+D121*'State Allocation Formulas'!$C$21</f>
        <v>13.718525000000001</v>
      </c>
      <c r="F121" s="237"/>
      <c r="G121" s="217">
        <v>930.1</v>
      </c>
    </row>
    <row r="122" spans="1:7">
      <c r="A122" s="15">
        <v>108</v>
      </c>
      <c r="B122" s="217" t="s">
        <v>2121</v>
      </c>
      <c r="C122" s="217" t="s">
        <v>2054</v>
      </c>
      <c r="D122" s="237">
        <v>280.32</v>
      </c>
      <c r="E122" s="237">
        <f>+D122*'State Allocation Formulas'!$C$21</f>
        <v>210.716544</v>
      </c>
      <c r="F122" s="237"/>
      <c r="G122" s="217">
        <v>930.1</v>
      </c>
    </row>
    <row r="123" spans="1:7">
      <c r="A123" s="15">
        <v>109</v>
      </c>
      <c r="B123" s="217" t="s">
        <v>2122</v>
      </c>
      <c r="C123" s="217" t="s">
        <v>2123</v>
      </c>
      <c r="D123" s="237">
        <v>37.81</v>
      </c>
      <c r="E123" s="237">
        <f>+D123*'State Allocation Formulas'!$C$21</f>
        <v>28.421777000000002</v>
      </c>
      <c r="F123" s="237"/>
      <c r="G123" s="217">
        <v>930.1</v>
      </c>
    </row>
    <row r="124" spans="1:7">
      <c r="A124" s="15">
        <v>110</v>
      </c>
      <c r="B124" s="217" t="s">
        <v>2124</v>
      </c>
      <c r="C124" s="217" t="s">
        <v>2067</v>
      </c>
      <c r="D124" s="237">
        <v>70.08</v>
      </c>
      <c r="E124" s="237">
        <f>+D124*'State Allocation Formulas'!$C$21</f>
        <v>52.679136</v>
      </c>
      <c r="F124" s="237"/>
      <c r="G124" s="217">
        <v>930.1</v>
      </c>
    </row>
    <row r="125" spans="1:7">
      <c r="A125" s="15">
        <v>111</v>
      </c>
      <c r="B125" s="217" t="s">
        <v>2125</v>
      </c>
      <c r="C125" s="217" t="s">
        <v>2126</v>
      </c>
      <c r="D125" s="237">
        <v>486.62</v>
      </c>
      <c r="E125" s="237">
        <f>+D125*'State Allocation Formulas'!$C$21</f>
        <v>365.79225400000001</v>
      </c>
      <c r="F125" s="237"/>
      <c r="G125" s="217">
        <v>930.1</v>
      </c>
    </row>
    <row r="126" spans="1:7">
      <c r="A126" s="15">
        <v>112</v>
      </c>
      <c r="B126" s="217" t="s">
        <v>2127</v>
      </c>
      <c r="C126" s="217" t="s">
        <v>2128</v>
      </c>
      <c r="D126" s="237">
        <v>36.5</v>
      </c>
      <c r="E126" s="237">
        <f>+D126*'State Allocation Formulas'!$C$21</f>
        <v>27.437050000000003</v>
      </c>
      <c r="F126" s="237"/>
      <c r="G126" s="217">
        <v>930.1</v>
      </c>
    </row>
    <row r="127" spans="1:7">
      <c r="A127" s="15">
        <v>113</v>
      </c>
      <c r="B127" s="217" t="s">
        <v>2129</v>
      </c>
      <c r="C127" s="217" t="s">
        <v>2130</v>
      </c>
      <c r="D127" s="237">
        <v>51.1</v>
      </c>
      <c r="E127" s="237">
        <f>+D127*'State Allocation Formulas'!$C$21</f>
        <v>38.41187</v>
      </c>
      <c r="F127" s="237"/>
      <c r="G127" s="217">
        <v>930.1</v>
      </c>
    </row>
    <row r="128" spans="1:7">
      <c r="A128" s="15">
        <v>114</v>
      </c>
      <c r="B128" s="217" t="s">
        <v>2131</v>
      </c>
      <c r="C128" s="217" t="s">
        <v>2132</v>
      </c>
      <c r="D128" s="237">
        <v>116.8</v>
      </c>
      <c r="E128" s="237">
        <f>+D128*'State Allocation Formulas'!$C$21</f>
        <v>87.798559999999995</v>
      </c>
      <c r="F128" s="237"/>
      <c r="G128" s="217">
        <v>930.1</v>
      </c>
    </row>
    <row r="129" spans="1:7">
      <c r="A129" s="15">
        <v>115</v>
      </c>
      <c r="B129" s="217" t="s">
        <v>2133</v>
      </c>
      <c r="C129" s="217" t="s">
        <v>2134</v>
      </c>
      <c r="D129" s="237">
        <v>146</v>
      </c>
      <c r="E129" s="237">
        <f>+D129*'State Allocation Formulas'!$C$21</f>
        <v>109.74820000000001</v>
      </c>
      <c r="F129" s="237"/>
      <c r="G129" s="217">
        <v>930.1</v>
      </c>
    </row>
    <row r="130" spans="1:7">
      <c r="A130" s="15">
        <v>116</v>
      </c>
      <c r="B130" s="217" t="s">
        <v>2135</v>
      </c>
      <c r="C130" s="217" t="s">
        <v>2136</v>
      </c>
      <c r="D130" s="237">
        <v>43.8</v>
      </c>
      <c r="E130" s="237">
        <f>+D130*'State Allocation Formulas'!$C$21</f>
        <v>32.924459999999996</v>
      </c>
      <c r="F130" s="237"/>
      <c r="G130" s="217">
        <v>930.1</v>
      </c>
    </row>
    <row r="131" spans="1:7">
      <c r="A131" s="15">
        <v>117</v>
      </c>
      <c r="B131" s="217" t="s">
        <v>2137</v>
      </c>
      <c r="C131" s="217" t="s">
        <v>2138</v>
      </c>
      <c r="D131" s="237">
        <v>730</v>
      </c>
      <c r="E131" s="237">
        <f>+D131*'State Allocation Formulas'!$C$21</f>
        <v>548.74099999999999</v>
      </c>
      <c r="F131" s="237"/>
      <c r="G131" s="217">
        <v>930.1</v>
      </c>
    </row>
    <row r="132" spans="1:7">
      <c r="A132" s="15">
        <v>118</v>
      </c>
      <c r="B132" s="217" t="s">
        <v>2139</v>
      </c>
      <c r="C132" s="217" t="s">
        <v>2140</v>
      </c>
      <c r="D132" s="237">
        <v>2.48</v>
      </c>
      <c r="E132" s="237">
        <f>+D132*'State Allocation Formulas'!$C$21</f>
        <v>1.8642160000000001</v>
      </c>
      <c r="F132" s="237"/>
      <c r="G132" s="217">
        <v>930.1</v>
      </c>
    </row>
    <row r="133" spans="1:7">
      <c r="A133" s="15">
        <v>119</v>
      </c>
      <c r="B133" s="217" t="s">
        <v>2139</v>
      </c>
      <c r="C133" s="217" t="s">
        <v>2140</v>
      </c>
      <c r="D133" s="237">
        <v>2.0299999999999998</v>
      </c>
      <c r="E133" s="237">
        <f>+D133*'State Allocation Formulas'!$C$21</f>
        <v>1.5259509999999998</v>
      </c>
      <c r="F133" s="237"/>
      <c r="G133" s="217">
        <v>930.1</v>
      </c>
    </row>
    <row r="134" spans="1:7">
      <c r="A134" s="15">
        <v>120</v>
      </c>
      <c r="B134" s="217" t="s">
        <v>2139</v>
      </c>
      <c r="C134" s="217" t="s">
        <v>2140</v>
      </c>
      <c r="D134" s="237">
        <v>1.87</v>
      </c>
      <c r="E134" s="237">
        <f>+D134*'State Allocation Formulas'!$C$21</f>
        <v>1.4056790000000001</v>
      </c>
      <c r="F134" s="237"/>
      <c r="G134" s="217">
        <v>930.1</v>
      </c>
    </row>
    <row r="135" spans="1:7">
      <c r="A135" s="15">
        <v>121</v>
      </c>
      <c r="B135" s="217" t="s">
        <v>2141</v>
      </c>
      <c r="C135" s="217" t="s">
        <v>2140</v>
      </c>
      <c r="D135" s="237">
        <v>1.97</v>
      </c>
      <c r="E135" s="237">
        <f>+D135*'State Allocation Formulas'!$C$21</f>
        <v>1.4808490000000001</v>
      </c>
      <c r="F135" s="237"/>
      <c r="G135" s="217">
        <v>930.1</v>
      </c>
    </row>
    <row r="136" spans="1:7">
      <c r="A136" s="15">
        <v>122</v>
      </c>
      <c r="B136" s="217" t="s">
        <v>2142</v>
      </c>
      <c r="C136" s="217" t="s">
        <v>2044</v>
      </c>
      <c r="D136" s="237">
        <v>1324.59</v>
      </c>
      <c r="E136" s="237">
        <f>+D136*'State Allocation Formulas'!$C$21</f>
        <v>995.69430299999999</v>
      </c>
      <c r="F136" s="237"/>
      <c r="G136" s="217">
        <v>930.1</v>
      </c>
    </row>
    <row r="137" spans="1:7">
      <c r="A137" s="15">
        <v>123</v>
      </c>
      <c r="B137" s="217" t="s">
        <v>2143</v>
      </c>
      <c r="C137" s="217" t="s">
        <v>2144</v>
      </c>
      <c r="D137" s="237">
        <v>14.6</v>
      </c>
      <c r="E137" s="237">
        <f>+D137*'State Allocation Formulas'!$C$21</f>
        <v>10.974819999999999</v>
      </c>
      <c r="F137" s="237"/>
      <c r="G137" s="217">
        <v>930.1</v>
      </c>
    </row>
    <row r="138" spans="1:7">
      <c r="A138" s="15">
        <v>124</v>
      </c>
      <c r="B138" s="217" t="s">
        <v>2145</v>
      </c>
      <c r="C138" s="217" t="s">
        <v>2146</v>
      </c>
      <c r="D138" s="237">
        <v>16.97</v>
      </c>
      <c r="E138" s="237">
        <f>+D138*'State Allocation Formulas'!$C$21</f>
        <v>12.756349</v>
      </c>
      <c r="F138" s="237"/>
      <c r="G138" s="217">
        <v>930.1</v>
      </c>
    </row>
    <row r="139" spans="1:7">
      <c r="A139" s="15">
        <v>125</v>
      </c>
      <c r="B139" s="217" t="s">
        <v>2145</v>
      </c>
      <c r="C139" s="217" t="s">
        <v>2146</v>
      </c>
      <c r="D139" s="237">
        <v>3.15</v>
      </c>
      <c r="E139" s="237">
        <f>+D139*'State Allocation Formulas'!$C$21</f>
        <v>2.367855</v>
      </c>
      <c r="F139" s="237"/>
      <c r="G139" s="217">
        <v>930.1</v>
      </c>
    </row>
    <row r="140" spans="1:7">
      <c r="A140" s="15">
        <v>126</v>
      </c>
      <c r="B140" s="217" t="s">
        <v>2147</v>
      </c>
      <c r="C140" s="217" t="s">
        <v>2148</v>
      </c>
      <c r="D140" s="237">
        <v>29.2</v>
      </c>
      <c r="E140" s="237">
        <f>+D140*'State Allocation Formulas'!$C$21</f>
        <v>21.949639999999999</v>
      </c>
      <c r="F140" s="237"/>
      <c r="G140" s="217">
        <v>930.1</v>
      </c>
    </row>
    <row r="141" spans="1:7">
      <c r="A141" s="15">
        <v>127</v>
      </c>
      <c r="B141" s="217" t="s">
        <v>2149</v>
      </c>
      <c r="C141" s="217" t="s">
        <v>2150</v>
      </c>
      <c r="D141" s="237">
        <v>245.28</v>
      </c>
      <c r="E141" s="237">
        <f>+D141*'State Allocation Formulas'!$C$21</f>
        <v>184.37697600000001</v>
      </c>
      <c r="F141" s="237"/>
      <c r="G141" s="217">
        <v>930.1</v>
      </c>
    </row>
    <row r="142" spans="1:7">
      <c r="A142" s="15">
        <v>128</v>
      </c>
      <c r="B142" s="217" t="s">
        <v>2151</v>
      </c>
      <c r="C142" s="217" t="s">
        <v>2146</v>
      </c>
      <c r="D142" s="237">
        <v>100.86</v>
      </c>
      <c r="E142" s="237">
        <f>+D142*'State Allocation Formulas'!$C$21</f>
        <v>75.816462000000001</v>
      </c>
      <c r="F142" s="237"/>
      <c r="G142" s="217">
        <v>930.1</v>
      </c>
    </row>
    <row r="143" spans="1:7">
      <c r="A143" s="15">
        <v>129</v>
      </c>
      <c r="B143" s="217" t="s">
        <v>2152</v>
      </c>
      <c r="C143" s="217" t="s">
        <v>2153</v>
      </c>
      <c r="D143" s="237">
        <v>327.04000000000002</v>
      </c>
      <c r="E143" s="237">
        <f>+D143*'State Allocation Formulas'!$C$21</f>
        <v>245.83596800000004</v>
      </c>
      <c r="F143" s="237"/>
      <c r="G143" s="217">
        <v>930.1</v>
      </c>
    </row>
    <row r="144" spans="1:7">
      <c r="A144" s="15">
        <v>130</v>
      </c>
      <c r="B144" s="217" t="s">
        <v>2154</v>
      </c>
      <c r="C144" s="217" t="s">
        <v>2146</v>
      </c>
      <c r="D144" s="237">
        <v>49.46</v>
      </c>
      <c r="E144" s="237">
        <f>+D144*'State Allocation Formulas'!$C$21</f>
        <v>37.179082000000001</v>
      </c>
      <c r="F144" s="237"/>
      <c r="G144" s="217">
        <v>930.1</v>
      </c>
    </row>
    <row r="145" spans="1:7">
      <c r="A145" s="15">
        <v>131</v>
      </c>
      <c r="B145" s="217" t="s">
        <v>2155</v>
      </c>
      <c r="C145" s="217" t="s">
        <v>2156</v>
      </c>
      <c r="D145" s="237">
        <v>146</v>
      </c>
      <c r="E145" s="237">
        <f>+D145*'State Allocation Formulas'!$C$21</f>
        <v>109.74820000000001</v>
      </c>
      <c r="F145" s="237"/>
      <c r="G145" s="217">
        <v>930.1</v>
      </c>
    </row>
    <row r="146" spans="1:7">
      <c r="A146" s="15">
        <v>132</v>
      </c>
      <c r="B146" s="217" t="s">
        <v>2157</v>
      </c>
      <c r="C146" s="217" t="s">
        <v>2158</v>
      </c>
      <c r="D146" s="237">
        <v>730</v>
      </c>
      <c r="E146" s="237">
        <f>+D146*'State Allocation Formulas'!$C$21</f>
        <v>548.74099999999999</v>
      </c>
      <c r="F146" s="237"/>
      <c r="G146" s="217">
        <v>930.1</v>
      </c>
    </row>
    <row r="147" spans="1:7">
      <c r="A147" s="15">
        <v>133</v>
      </c>
      <c r="B147" s="217" t="s">
        <v>2159</v>
      </c>
      <c r="C147" s="217" t="s">
        <v>2160</v>
      </c>
      <c r="D147" s="237">
        <v>378.83</v>
      </c>
      <c r="E147" s="237">
        <f>+D147*'State Allocation Formulas'!$C$21</f>
        <v>284.76651099999998</v>
      </c>
      <c r="F147" s="237"/>
      <c r="G147" s="217">
        <v>930.1</v>
      </c>
    </row>
    <row r="148" spans="1:7">
      <c r="A148" s="15">
        <v>134</v>
      </c>
      <c r="B148" s="217" t="s">
        <v>2161</v>
      </c>
      <c r="C148" s="217" t="s">
        <v>2162</v>
      </c>
      <c r="D148" s="237">
        <v>2920</v>
      </c>
      <c r="E148" s="237">
        <f>+D148*'State Allocation Formulas'!$C$21</f>
        <v>2194.9639999999999</v>
      </c>
      <c r="F148" s="237"/>
      <c r="G148" s="217">
        <v>930.1</v>
      </c>
    </row>
    <row r="149" spans="1:7">
      <c r="A149" s="15">
        <v>135</v>
      </c>
      <c r="B149" s="217" t="s">
        <v>2163</v>
      </c>
      <c r="C149" s="217" t="s">
        <v>2056</v>
      </c>
      <c r="D149" s="237">
        <v>324.44</v>
      </c>
      <c r="E149" s="237">
        <f>+D149*'State Allocation Formulas'!$C$21</f>
        <v>243.88154800000001</v>
      </c>
      <c r="F149" s="237"/>
      <c r="G149" s="217">
        <v>930.1</v>
      </c>
    </row>
    <row r="150" spans="1:7">
      <c r="A150" s="15">
        <v>136</v>
      </c>
      <c r="B150" s="217" t="s">
        <v>2164</v>
      </c>
      <c r="C150" s="217" t="s">
        <v>2052</v>
      </c>
      <c r="D150" s="237">
        <v>410.27</v>
      </c>
      <c r="E150" s="237">
        <f>+D150*'State Allocation Formulas'!$C$21</f>
        <v>308.39995900000002</v>
      </c>
      <c r="F150" s="237"/>
      <c r="G150" s="217">
        <v>930.1</v>
      </c>
    </row>
    <row r="151" spans="1:7">
      <c r="A151" s="15">
        <v>137</v>
      </c>
      <c r="B151" s="217" t="s">
        <v>2164</v>
      </c>
      <c r="C151" s="217" t="s">
        <v>2052</v>
      </c>
      <c r="D151" s="237">
        <v>717.05</v>
      </c>
      <c r="E151" s="237">
        <f>+D151*'State Allocation Formulas'!$C$21</f>
        <v>539.006485</v>
      </c>
      <c r="F151" s="237"/>
      <c r="G151" s="217">
        <v>930.1</v>
      </c>
    </row>
    <row r="152" spans="1:7">
      <c r="A152" s="15">
        <v>138</v>
      </c>
      <c r="B152" s="217" t="s">
        <v>2165</v>
      </c>
      <c r="C152" s="217" t="s">
        <v>2052</v>
      </c>
      <c r="D152" s="237">
        <v>109.35</v>
      </c>
      <c r="E152" s="237">
        <f>+D152*'State Allocation Formulas'!$C$21</f>
        <v>82.198395000000005</v>
      </c>
      <c r="F152" s="237"/>
      <c r="G152" s="217">
        <v>930.1</v>
      </c>
    </row>
    <row r="153" spans="1:7">
      <c r="A153" s="15">
        <v>139</v>
      </c>
      <c r="B153" s="217" t="s">
        <v>2165</v>
      </c>
      <c r="C153" s="217" t="s">
        <v>2052</v>
      </c>
      <c r="D153" s="237">
        <v>416.91</v>
      </c>
      <c r="E153" s="237">
        <f>+D153*'State Allocation Formulas'!$C$21</f>
        <v>313.39124700000002</v>
      </c>
      <c r="F153" s="237"/>
      <c r="G153" s="217">
        <v>930.1</v>
      </c>
    </row>
    <row r="154" spans="1:7">
      <c r="A154" s="15">
        <v>140</v>
      </c>
      <c r="B154" s="217" t="s">
        <v>2166</v>
      </c>
      <c r="C154" s="217" t="s">
        <v>2052</v>
      </c>
      <c r="D154" s="237">
        <v>175.75</v>
      </c>
      <c r="E154" s="237">
        <f>+D154*'State Allocation Formulas'!$C$21</f>
        <v>132.11127500000001</v>
      </c>
      <c r="F154" s="237"/>
      <c r="G154" s="217">
        <v>930.1</v>
      </c>
    </row>
    <row r="155" spans="1:7">
      <c r="A155" s="15">
        <v>141</v>
      </c>
      <c r="B155" s="217" t="s">
        <v>2167</v>
      </c>
      <c r="C155" s="217" t="s">
        <v>2168</v>
      </c>
      <c r="D155" s="237">
        <v>146</v>
      </c>
      <c r="E155" s="237">
        <f>+D155*'State Allocation Formulas'!$C$21</f>
        <v>109.74820000000001</v>
      </c>
      <c r="F155" s="237"/>
      <c r="G155" s="217">
        <v>930.1</v>
      </c>
    </row>
    <row r="156" spans="1:7">
      <c r="A156" s="15">
        <v>142</v>
      </c>
      <c r="B156" s="217" t="s">
        <v>2169</v>
      </c>
      <c r="C156" s="217" t="s">
        <v>2052</v>
      </c>
      <c r="D156" s="237">
        <v>314</v>
      </c>
      <c r="E156" s="237">
        <f>+D156*'State Allocation Formulas'!$C$21</f>
        <v>236.03380000000001</v>
      </c>
      <c r="F156" s="237"/>
      <c r="G156" s="217">
        <v>930.1</v>
      </c>
    </row>
    <row r="157" spans="1:7">
      <c r="A157" s="15">
        <v>143</v>
      </c>
      <c r="B157" s="217" t="s">
        <v>2013</v>
      </c>
      <c r="C157" s="217" t="s">
        <v>2014</v>
      </c>
      <c r="D157" s="237">
        <v>84.71</v>
      </c>
      <c r="E157" s="237">
        <f>+D157*'State Allocation Formulas'!$C$21</f>
        <v>63.676507000000001</v>
      </c>
      <c r="F157" s="237"/>
      <c r="G157" s="217">
        <v>930.1</v>
      </c>
    </row>
    <row r="159" spans="1:7">
      <c r="A159" s="218">
        <v>144</v>
      </c>
      <c r="E159" s="365">
        <f>SUM(E28:E157)</f>
        <v>23274.466148000007</v>
      </c>
      <c r="F159" s="365">
        <f>SUM(F28:F157)</f>
        <v>2440</v>
      </c>
    </row>
    <row r="160" spans="1:7">
      <c r="A160" s="218">
        <v>145</v>
      </c>
      <c r="B160" s="14" t="s">
        <v>661</v>
      </c>
      <c r="F160" s="365">
        <f>+E159+F159</f>
        <v>25714.466148000007</v>
      </c>
    </row>
  </sheetData>
  <mergeCells count="4">
    <mergeCell ref="B1:G1"/>
    <mergeCell ref="B4:G4"/>
    <mergeCell ref="B5:G5"/>
    <mergeCell ref="E8:E9"/>
  </mergeCells>
  <printOptions horizontalCentered="1"/>
  <pageMargins left="0.7" right="0.7" top="0.75" bottom="0.75" header="0.3" footer="0.3"/>
  <pageSetup scale="50" orientation="portrait" r:id="rId1"/>
  <headerFooter scaleWithDoc="0" alignWithMargins="0">
    <oddHeader>&amp;RPage &amp;P of &amp;N</oddHeader>
    <oddFooter>&amp;LElectronic Tab Name:&amp;A</oddFooter>
  </headerFooter>
  <rowBreaks count="1" manualBreakCount="1">
    <brk id="83" max="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tabColor theme="7" tint="0.79998168889431442"/>
  </sheetPr>
  <dimension ref="A1:P34"/>
  <sheetViews>
    <sheetView view="pageBreakPreview" topLeftCell="A3" zoomScale="80" zoomScaleNormal="100" zoomScaleSheetLayoutView="80" workbookViewId="0">
      <selection activeCell="I16" sqref="I16"/>
    </sheetView>
  </sheetViews>
  <sheetFormatPr defaultRowHeight="14.4"/>
  <cols>
    <col min="1" max="1" width="9.33203125" style="613" bestFit="1" customWidth="1"/>
    <col min="8" max="8" width="19.88671875" bestFit="1" customWidth="1"/>
    <col min="12" max="12" width="14.33203125" bestFit="1" customWidth="1"/>
    <col min="15" max="15" width="10.109375" bestFit="1" customWidth="1"/>
  </cols>
  <sheetData>
    <row r="1" spans="1:16" ht="15.6">
      <c r="B1" s="3"/>
      <c r="C1" s="1944"/>
      <c r="D1" s="1944"/>
      <c r="E1" s="1944"/>
      <c r="F1" s="1944"/>
      <c r="G1" s="1944"/>
      <c r="H1" s="1944"/>
      <c r="I1" s="3"/>
      <c r="J1" s="3"/>
      <c r="K1" s="3"/>
      <c r="L1" s="3"/>
      <c r="M1" s="3"/>
    </row>
    <row r="2" spans="1:16" ht="15.6">
      <c r="A2" s="1910" t="s">
        <v>52</v>
      </c>
      <c r="B2" s="1910"/>
      <c r="C2" s="1910"/>
      <c r="D2" s="1910"/>
      <c r="E2" s="1910"/>
      <c r="F2" s="1910"/>
      <c r="G2" s="1910"/>
      <c r="H2" s="1910"/>
      <c r="I2" s="1910"/>
      <c r="J2" s="2"/>
      <c r="K2" s="2"/>
      <c r="L2" s="2"/>
      <c r="M2" s="2"/>
    </row>
    <row r="3" spans="1:16" ht="15.6">
      <c r="A3" s="1910" t="s">
        <v>1824</v>
      </c>
      <c r="B3" s="1910"/>
      <c r="C3" s="1910"/>
      <c r="D3" s="1910"/>
      <c r="E3" s="1910"/>
      <c r="F3" s="1910"/>
      <c r="G3" s="1910"/>
      <c r="H3" s="1910"/>
      <c r="I3" s="1910"/>
      <c r="J3" s="2"/>
      <c r="K3" s="2"/>
      <c r="L3" s="2"/>
      <c r="M3" s="2"/>
    </row>
    <row r="4" spans="1:16" ht="15.6">
      <c r="A4" s="1910" t="s">
        <v>1256</v>
      </c>
      <c r="B4" s="1910"/>
      <c r="C4" s="1910"/>
      <c r="D4" s="1910"/>
      <c r="E4" s="1910"/>
      <c r="F4" s="1910"/>
      <c r="G4" s="1910"/>
      <c r="H4" s="1910"/>
      <c r="I4" s="1910"/>
      <c r="J4" s="2"/>
      <c r="K4" s="2"/>
      <c r="L4" s="2"/>
      <c r="M4" s="2"/>
    </row>
    <row r="5" spans="1:16" ht="15.6">
      <c r="A5" s="1938" t="s">
        <v>1819</v>
      </c>
      <c r="B5" s="1938"/>
      <c r="C5" s="1938"/>
      <c r="D5" s="1938"/>
      <c r="E5" s="1938"/>
      <c r="F5" s="1938"/>
      <c r="G5" s="1938"/>
      <c r="H5" s="1938"/>
      <c r="I5" s="1938"/>
      <c r="J5" s="612"/>
      <c r="K5" s="612"/>
      <c r="L5" s="612"/>
      <c r="M5" s="612"/>
    </row>
    <row r="6" spans="1:16" ht="15.6">
      <c r="A6" s="1910" t="s">
        <v>1823</v>
      </c>
      <c r="B6" s="1910"/>
      <c r="C6" s="1910"/>
      <c r="D6" s="1910"/>
      <c r="E6" s="1910"/>
      <c r="F6" s="1910"/>
      <c r="G6" s="1910"/>
      <c r="H6" s="1910"/>
      <c r="I6" s="1910"/>
      <c r="J6" s="2"/>
      <c r="K6" s="2"/>
      <c r="L6" s="2"/>
      <c r="M6" s="2"/>
    </row>
    <row r="7" spans="1:16" s="613" customFormat="1" ht="15.6">
      <c r="B7" s="3"/>
      <c r="C7" s="633"/>
      <c r="D7" s="633"/>
      <c r="E7" s="633"/>
      <c r="F7" s="633"/>
      <c r="G7" s="633"/>
      <c r="H7" s="633"/>
      <c r="I7" s="633"/>
      <c r="J7" s="633"/>
      <c r="K7" s="633"/>
      <c r="L7" s="633"/>
      <c r="M7" s="633"/>
    </row>
    <row r="8" spans="1:16">
      <c r="C8" s="637"/>
      <c r="D8" s="637"/>
      <c r="E8" s="637"/>
      <c r="F8" s="637"/>
      <c r="G8" s="613"/>
      <c r="H8" s="613"/>
      <c r="I8" s="613"/>
      <c r="J8" s="613"/>
    </row>
    <row r="9" spans="1:16" ht="15.6">
      <c r="A9" s="429" t="s">
        <v>649</v>
      </c>
      <c r="B9" s="3"/>
      <c r="C9" s="3"/>
      <c r="D9" s="3"/>
      <c r="E9" s="3"/>
      <c r="F9" s="3"/>
      <c r="G9" s="3"/>
      <c r="H9" s="3"/>
      <c r="I9" s="3"/>
      <c r="J9" s="3"/>
      <c r="K9" s="3"/>
      <c r="L9" s="3"/>
      <c r="M9" s="3"/>
      <c r="N9" s="3"/>
      <c r="O9" s="3"/>
      <c r="P9" s="3"/>
    </row>
    <row r="10" spans="1:16" ht="27" customHeight="1">
      <c r="A10" s="15">
        <v>1</v>
      </c>
      <c r="B10" s="1942" t="s">
        <v>1821</v>
      </c>
      <c r="C10" s="1942"/>
      <c r="D10" s="1942"/>
      <c r="E10" s="1942"/>
      <c r="F10" s="1942"/>
      <c r="G10" s="1942"/>
      <c r="H10" s="3"/>
      <c r="I10" s="3"/>
      <c r="J10" s="3"/>
      <c r="K10" s="3"/>
      <c r="L10" s="3"/>
      <c r="M10" s="3"/>
      <c r="N10" s="3"/>
      <c r="O10" s="3"/>
      <c r="P10" s="3"/>
    </row>
    <row r="11" spans="1:16" ht="15.6">
      <c r="A11" s="15">
        <v>2</v>
      </c>
      <c r="B11" s="3"/>
      <c r="C11" s="1943" t="s">
        <v>2424</v>
      </c>
      <c r="D11" s="1943"/>
      <c r="E11" s="1943"/>
      <c r="F11" s="1943"/>
      <c r="G11" s="1943"/>
      <c r="H11" s="763">
        <f>'Exh 2, Proof of Revenue'!M589</f>
        <v>109752998.32510225</v>
      </c>
      <c r="I11" s="3"/>
      <c r="J11" s="3"/>
      <c r="K11" s="3"/>
      <c r="M11" s="3"/>
      <c r="N11" s="3"/>
      <c r="O11" s="3"/>
      <c r="P11" s="3"/>
    </row>
    <row r="12" spans="1:16" ht="15.6">
      <c r="A12" s="15">
        <v>3</v>
      </c>
      <c r="B12" s="3"/>
      <c r="C12" s="3"/>
      <c r="D12" s="3"/>
      <c r="E12" s="3"/>
      <c r="F12" s="3"/>
      <c r="G12" s="3"/>
      <c r="H12" s="764"/>
      <c r="I12" s="3"/>
      <c r="J12" s="3"/>
      <c r="K12" s="3"/>
      <c r="M12" s="3"/>
      <c r="N12" s="3"/>
      <c r="O12" s="3"/>
      <c r="P12" s="3"/>
    </row>
    <row r="13" spans="1:16" ht="15.6">
      <c r="A13" s="15">
        <v>4</v>
      </c>
      <c r="B13" s="3" t="s">
        <v>1820</v>
      </c>
      <c r="C13" s="3"/>
      <c r="D13" s="3"/>
      <c r="E13" s="3"/>
      <c r="F13" s="3"/>
      <c r="G13" s="3"/>
      <c r="H13" s="764"/>
      <c r="I13" s="3"/>
      <c r="J13" s="3"/>
      <c r="K13" s="3"/>
      <c r="M13" s="3"/>
      <c r="N13" s="3"/>
      <c r="O13" s="3"/>
      <c r="P13" s="3"/>
    </row>
    <row r="14" spans="1:16" ht="16.2" thickBot="1">
      <c r="A14" s="15">
        <v>5</v>
      </c>
      <c r="B14" s="3"/>
      <c r="C14" s="1593" t="s">
        <v>2428</v>
      </c>
      <c r="D14" s="3"/>
      <c r="E14" s="3"/>
      <c r="F14" s="3"/>
      <c r="G14" s="3"/>
      <c r="H14" s="765">
        <f>'Exh 2, Proof of Revenue'!M591</f>
        <v>-98705686.87999998</v>
      </c>
      <c r="I14" s="3"/>
      <c r="J14" s="3"/>
      <c r="K14" s="3"/>
      <c r="M14" s="3"/>
      <c r="N14" s="3"/>
      <c r="O14" s="3"/>
      <c r="P14" s="3"/>
    </row>
    <row r="15" spans="1:16" ht="15.6">
      <c r="A15" s="15">
        <v>6</v>
      </c>
      <c r="B15" s="3"/>
      <c r="C15" s="3"/>
      <c r="D15" s="3"/>
      <c r="E15" s="3"/>
      <c r="F15" s="3"/>
      <c r="G15" s="3"/>
      <c r="H15" s="764"/>
      <c r="I15" s="3"/>
      <c r="J15" s="3"/>
      <c r="K15" s="3"/>
      <c r="M15" s="3"/>
      <c r="N15" s="3"/>
      <c r="O15" s="3"/>
      <c r="P15" s="3"/>
    </row>
    <row r="16" spans="1:16" ht="15.6">
      <c r="A16" s="15">
        <v>7</v>
      </c>
      <c r="B16" s="3" t="s">
        <v>1807</v>
      </c>
      <c r="C16" s="3"/>
      <c r="D16" s="3"/>
      <c r="E16" s="3"/>
      <c r="F16" s="3"/>
      <c r="G16" s="3"/>
      <c r="H16" s="764">
        <f>SUM(H11:H14)</f>
        <v>11047311.445102274</v>
      </c>
      <c r="I16" s="3"/>
      <c r="J16" s="3"/>
      <c r="K16" s="3"/>
      <c r="M16" s="3"/>
      <c r="N16" s="3"/>
      <c r="O16" s="3"/>
      <c r="P16" s="3"/>
    </row>
    <row r="17" spans="1:16" ht="15.6">
      <c r="A17" s="15">
        <v>8</v>
      </c>
      <c r="B17" s="3"/>
      <c r="C17" s="3"/>
      <c r="D17" s="3"/>
      <c r="E17" s="3"/>
      <c r="F17" s="3"/>
      <c r="G17" s="3"/>
      <c r="H17" s="764"/>
      <c r="I17" s="3"/>
      <c r="J17" s="3"/>
      <c r="K17" s="3"/>
      <c r="M17" s="3"/>
      <c r="N17" s="3"/>
      <c r="O17" s="3"/>
      <c r="P17" s="3"/>
    </row>
    <row r="18" spans="1:16" ht="15.6">
      <c r="A18" s="15">
        <v>9</v>
      </c>
      <c r="B18" s="3" t="s">
        <v>2342</v>
      </c>
      <c r="C18" s="3"/>
      <c r="D18" s="3"/>
      <c r="E18" s="3"/>
      <c r="F18" s="3"/>
      <c r="G18" s="3"/>
      <c r="H18" s="764"/>
      <c r="I18" s="3"/>
      <c r="J18" s="3"/>
      <c r="K18" s="3"/>
      <c r="M18" s="3"/>
      <c r="N18" s="3"/>
      <c r="O18" s="3"/>
      <c r="P18" s="3"/>
    </row>
    <row r="19" spans="1:16" ht="16.2" thickBot="1">
      <c r="A19" s="15">
        <v>10</v>
      </c>
      <c r="B19" s="3"/>
      <c r="C19" s="1593" t="s">
        <v>2425</v>
      </c>
      <c r="D19" s="3"/>
      <c r="E19" s="3"/>
      <c r="F19" s="3"/>
      <c r="G19" s="3"/>
      <c r="H19" s="765">
        <f>'Exh 2, Proof of Revenue'!M592</f>
        <v>4221975.1099999994</v>
      </c>
      <c r="I19" s="3"/>
      <c r="J19" s="3"/>
      <c r="K19" s="3"/>
      <c r="M19" s="3"/>
      <c r="N19" s="3"/>
      <c r="O19" s="3"/>
      <c r="P19" s="3"/>
    </row>
    <row r="20" spans="1:16" ht="15.6">
      <c r="A20" s="15">
        <v>11</v>
      </c>
      <c r="B20" s="3"/>
      <c r="C20" s="3"/>
      <c r="D20" s="3"/>
      <c r="E20" s="3"/>
      <c r="F20" s="3"/>
      <c r="G20" s="3"/>
      <c r="H20" s="764"/>
      <c r="I20" s="3"/>
      <c r="J20" s="3"/>
      <c r="K20" s="3"/>
      <c r="M20" s="3"/>
      <c r="N20" s="3"/>
      <c r="O20" s="3"/>
      <c r="P20" s="3"/>
    </row>
    <row r="21" spans="1:16" ht="15.6">
      <c r="A21" s="15">
        <v>12</v>
      </c>
      <c r="B21" s="3" t="s">
        <v>82</v>
      </c>
      <c r="C21" s="3"/>
      <c r="D21" s="3"/>
      <c r="E21" s="3"/>
      <c r="F21" s="3"/>
      <c r="G21" s="3"/>
      <c r="H21" s="764">
        <f>SUM(H16:H19)</f>
        <v>15269286.555102274</v>
      </c>
      <c r="I21" s="3"/>
      <c r="J21" s="3"/>
      <c r="K21" s="3"/>
      <c r="M21" s="3"/>
      <c r="N21" s="3"/>
      <c r="O21" s="3"/>
      <c r="P21" s="3"/>
    </row>
    <row r="22" spans="1:16" ht="15.6">
      <c r="A22" s="15">
        <v>13</v>
      </c>
      <c r="B22" s="3" t="s">
        <v>2343</v>
      </c>
      <c r="C22" s="3"/>
      <c r="D22" s="3"/>
      <c r="E22" s="3"/>
      <c r="F22" s="3"/>
      <c r="G22" s="3"/>
      <c r="H22" s="764"/>
      <c r="I22" s="3"/>
      <c r="J22" s="3"/>
      <c r="K22" s="3"/>
      <c r="M22" s="3"/>
      <c r="N22" s="3"/>
      <c r="O22" s="3"/>
      <c r="P22" s="3"/>
    </row>
    <row r="23" spans="1:16" ht="15.6">
      <c r="A23" s="15">
        <v>14</v>
      </c>
      <c r="C23" s="1593" t="s">
        <v>2426</v>
      </c>
      <c r="D23" s="3"/>
      <c r="E23" s="3"/>
      <c r="F23" s="3"/>
      <c r="G23" s="3"/>
      <c r="H23" s="778">
        <f>'Exh 2, Proof of Revenue'!M593</f>
        <v>-338287.40000000066</v>
      </c>
      <c r="I23" s="3"/>
      <c r="J23" s="3"/>
      <c r="K23" s="3"/>
      <c r="M23" s="3"/>
      <c r="N23" s="3"/>
      <c r="O23" s="3"/>
      <c r="P23" s="3"/>
    </row>
    <row r="24" spans="1:16" s="613" customFormat="1" ht="15.6">
      <c r="A24" s="15">
        <v>15</v>
      </c>
      <c r="B24" s="3" t="s">
        <v>2423</v>
      </c>
      <c r="C24" s="3"/>
      <c r="D24" s="3"/>
      <c r="E24" s="3"/>
      <c r="F24" s="3"/>
      <c r="G24" s="3"/>
      <c r="H24" s="764"/>
      <c r="I24" s="3"/>
      <c r="J24" s="3"/>
      <c r="K24" s="3"/>
      <c r="M24" s="3"/>
      <c r="N24" s="3"/>
      <c r="O24" s="3"/>
      <c r="P24" s="3"/>
    </row>
    <row r="25" spans="1:16" s="613" customFormat="1" ht="16.2" thickBot="1">
      <c r="A25" s="15">
        <v>16</v>
      </c>
      <c r="B25" s="3"/>
      <c r="C25" s="1593" t="s">
        <v>2427</v>
      </c>
      <c r="D25" s="3"/>
      <c r="E25" s="3"/>
      <c r="F25" s="3"/>
      <c r="G25" s="3"/>
      <c r="H25" s="805">
        <f>'Exh 2, Proof of Revenue'!Q589</f>
        <v>-8223</v>
      </c>
      <c r="I25" s="3"/>
      <c r="J25" s="3"/>
      <c r="K25" s="3"/>
      <c r="M25" s="3"/>
      <c r="N25" s="3"/>
      <c r="O25" s="3"/>
      <c r="P25" s="3"/>
    </row>
    <row r="26" spans="1:16" s="613" customFormat="1" ht="15.6">
      <c r="A26" s="15">
        <v>17</v>
      </c>
      <c r="B26" s="3"/>
      <c r="C26" s="3"/>
      <c r="D26" s="3"/>
      <c r="E26" s="3"/>
      <c r="F26" s="3"/>
      <c r="G26" s="3"/>
      <c r="H26" s="240"/>
      <c r="I26" s="3"/>
      <c r="J26" s="3"/>
      <c r="K26" s="3"/>
      <c r="M26" s="3"/>
      <c r="N26" s="3"/>
      <c r="O26" s="3"/>
      <c r="P26" s="3"/>
    </row>
    <row r="27" spans="1:16" ht="16.2" thickBot="1">
      <c r="A27" s="15">
        <v>18</v>
      </c>
      <c r="B27" s="3" t="s">
        <v>2182</v>
      </c>
      <c r="C27" s="3"/>
      <c r="D27" s="3"/>
      <c r="E27" s="3"/>
      <c r="F27" s="3"/>
      <c r="G27" s="3"/>
      <c r="H27" s="806">
        <f>SUM(H21:H25)</f>
        <v>14922776.155102273</v>
      </c>
      <c r="I27" s="3"/>
      <c r="J27" s="3"/>
      <c r="K27" s="3"/>
      <c r="M27" s="3"/>
      <c r="N27" s="3"/>
      <c r="O27" s="3"/>
      <c r="P27" s="3"/>
    </row>
    <row r="28" spans="1:16" ht="16.2" thickTop="1">
      <c r="A28" s="15"/>
      <c r="B28" s="3"/>
      <c r="C28" s="3"/>
      <c r="D28" s="3"/>
      <c r="E28" s="3"/>
      <c r="F28" s="3"/>
      <c r="G28" s="3"/>
      <c r="H28" s="3"/>
      <c r="I28" s="3"/>
      <c r="J28" s="3"/>
      <c r="K28" s="3"/>
      <c r="L28" s="136"/>
      <c r="M28" s="3"/>
      <c r="N28" s="3"/>
      <c r="O28" s="3"/>
      <c r="P28" s="3"/>
    </row>
    <row r="29" spans="1:16" ht="15.6">
      <c r="A29" s="3"/>
      <c r="B29" s="3"/>
      <c r="C29" s="3"/>
      <c r="D29" s="3"/>
      <c r="E29" s="3"/>
      <c r="F29" s="3"/>
      <c r="G29" s="3"/>
      <c r="H29" s="3"/>
      <c r="I29" s="3"/>
      <c r="J29" s="3"/>
      <c r="K29" s="3"/>
      <c r="L29" s="136"/>
      <c r="M29" s="3"/>
      <c r="N29" s="3"/>
      <c r="O29" s="3"/>
      <c r="P29" s="3"/>
    </row>
    <row r="30" spans="1:16" ht="15.6">
      <c r="A30" s="3"/>
      <c r="B30" s="3"/>
      <c r="C30" s="3"/>
      <c r="D30" s="3"/>
      <c r="E30" s="3"/>
      <c r="F30" s="3"/>
      <c r="G30" s="3"/>
      <c r="H30" s="3"/>
      <c r="I30" s="3"/>
      <c r="J30" s="3"/>
      <c r="K30" s="3"/>
      <c r="L30" s="3"/>
      <c r="M30" s="3"/>
      <c r="N30" s="3"/>
      <c r="O30" s="3"/>
      <c r="P30" s="3"/>
    </row>
    <row r="31" spans="1:16" ht="15.6">
      <c r="A31" s="3"/>
      <c r="B31" s="3"/>
      <c r="C31" s="3"/>
      <c r="D31" s="3"/>
      <c r="E31" s="3"/>
      <c r="F31" s="3"/>
      <c r="G31" s="3"/>
      <c r="H31" s="3"/>
      <c r="I31" s="3"/>
      <c r="J31" s="3"/>
      <c r="K31" s="3"/>
      <c r="L31" s="3"/>
      <c r="M31" s="3"/>
      <c r="N31" s="3"/>
      <c r="O31" s="3"/>
      <c r="P31" s="3"/>
    </row>
    <row r="32" spans="1:16" ht="15.6">
      <c r="A32" s="3"/>
      <c r="B32" s="3"/>
      <c r="C32" s="3"/>
      <c r="D32" s="3"/>
      <c r="E32" s="3"/>
      <c r="F32" s="3"/>
      <c r="G32" s="3"/>
      <c r="H32" s="3"/>
      <c r="I32" s="3"/>
      <c r="J32" s="3"/>
      <c r="K32" s="3"/>
      <c r="L32" s="3"/>
      <c r="M32" s="3"/>
      <c r="N32" s="3"/>
      <c r="O32" s="3"/>
      <c r="P32" s="3"/>
    </row>
    <row r="33" spans="1:16" ht="15.6">
      <c r="A33" s="3"/>
      <c r="B33" s="3"/>
      <c r="C33" s="3"/>
      <c r="D33" s="3"/>
      <c r="E33" s="3"/>
      <c r="F33" s="3"/>
      <c r="G33" s="3"/>
      <c r="H33" s="3"/>
      <c r="I33" s="3"/>
      <c r="J33" s="3"/>
      <c r="K33" s="3"/>
      <c r="L33" s="3"/>
      <c r="M33" s="3"/>
      <c r="N33" s="3"/>
      <c r="O33" s="3"/>
      <c r="P33" s="3"/>
    </row>
    <row r="34" spans="1:16" ht="15.6">
      <c r="A34" s="3"/>
      <c r="B34" s="3"/>
      <c r="C34" s="3"/>
      <c r="D34" s="3"/>
      <c r="E34" s="3"/>
      <c r="F34" s="3"/>
      <c r="G34" s="3"/>
      <c r="H34" s="3"/>
      <c r="I34" s="3"/>
      <c r="J34" s="3"/>
      <c r="K34" s="3"/>
      <c r="L34" s="3"/>
      <c r="M34" s="3"/>
      <c r="N34" s="3"/>
      <c r="O34" s="3"/>
      <c r="P34" s="3"/>
    </row>
  </sheetData>
  <mergeCells count="8">
    <mergeCell ref="B10:G10"/>
    <mergeCell ref="C11:G11"/>
    <mergeCell ref="C1:H1"/>
    <mergeCell ref="A2:I2"/>
    <mergeCell ref="A3:I3"/>
    <mergeCell ref="A4:I4"/>
    <mergeCell ref="A5:I5"/>
    <mergeCell ref="A6:I6"/>
  </mergeCells>
  <pageMargins left="0.7" right="0.7" top="0.75" bottom="0.75" header="0.3" footer="0.3"/>
  <pageSetup orientation="portrait" r:id="rId1"/>
  <headerFooter scaleWithDoc="0" alignWithMargins="0">
    <oddHeader>&amp;R&amp;P of &amp;N</oddHeader>
    <oddFooter>&amp;LElectronic Tab Name: &amp;A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tabColor theme="7" tint="0.79998168889431442"/>
  </sheetPr>
  <dimension ref="A1:M12"/>
  <sheetViews>
    <sheetView view="pageBreakPreview" zoomScale="80" zoomScaleNormal="100" zoomScaleSheetLayoutView="80" workbookViewId="0">
      <selection activeCell="F27" sqref="F27"/>
    </sheetView>
  </sheetViews>
  <sheetFormatPr defaultRowHeight="14.4"/>
  <cols>
    <col min="4" max="4" width="15" customWidth="1"/>
    <col min="5" max="5" width="2.5546875" style="613" customWidth="1"/>
    <col min="6" max="6" width="14.33203125" bestFit="1" customWidth="1"/>
    <col min="7" max="7" width="1.5546875" style="613" customWidth="1"/>
    <col min="8" max="8" width="12.5546875" bestFit="1" customWidth="1"/>
  </cols>
  <sheetData>
    <row r="1" spans="1:13" ht="15.6">
      <c r="A1" s="1910" t="s">
        <v>52</v>
      </c>
      <c r="B1" s="1910"/>
      <c r="C1" s="1910"/>
      <c r="D1" s="1910"/>
      <c r="E1" s="1910"/>
      <c r="F1" s="1910"/>
      <c r="G1" s="2"/>
      <c r="H1" s="2"/>
      <c r="I1" s="2"/>
      <c r="J1" s="2"/>
      <c r="K1" s="2"/>
      <c r="L1" s="2"/>
      <c r="M1" s="2"/>
    </row>
    <row r="2" spans="1:13" ht="15.6">
      <c r="A2" s="1910" t="s">
        <v>1824</v>
      </c>
      <c r="B2" s="1910"/>
      <c r="C2" s="1910"/>
      <c r="D2" s="1910"/>
      <c r="E2" s="1910"/>
      <c r="F2" s="1910"/>
      <c r="G2" s="2"/>
      <c r="H2" s="2"/>
      <c r="I2" s="2"/>
      <c r="J2" s="2"/>
      <c r="K2" s="2"/>
      <c r="L2" s="2"/>
      <c r="M2" s="2"/>
    </row>
    <row r="3" spans="1:13" ht="15.6">
      <c r="A3" s="1910" t="s">
        <v>1257</v>
      </c>
      <c r="B3" s="1910"/>
      <c r="C3" s="1910"/>
      <c r="D3" s="1910"/>
      <c r="E3" s="1910"/>
      <c r="F3" s="1910"/>
      <c r="G3" s="2"/>
      <c r="H3" s="2"/>
      <c r="I3" s="2"/>
      <c r="J3" s="2"/>
      <c r="K3" s="2"/>
      <c r="L3" s="2"/>
      <c r="M3" s="2"/>
    </row>
    <row r="4" spans="1:13" ht="15.6">
      <c r="A4" s="1938" t="s">
        <v>1813</v>
      </c>
      <c r="B4" s="1938"/>
      <c r="C4" s="1938"/>
      <c r="D4" s="1938"/>
      <c r="E4" s="1938"/>
      <c r="F4" s="1938"/>
      <c r="G4" s="612"/>
      <c r="H4" s="612"/>
      <c r="I4" s="612"/>
      <c r="J4" s="612"/>
      <c r="K4" s="612"/>
      <c r="L4" s="612"/>
      <c r="M4" s="612"/>
    </row>
    <row r="5" spans="1:13" ht="15.6">
      <c r="A5" s="1910" t="s">
        <v>1823</v>
      </c>
      <c r="B5" s="1910"/>
      <c r="C5" s="1910"/>
      <c r="D5" s="1910"/>
      <c r="E5" s="1910"/>
      <c r="F5" s="1910"/>
      <c r="G5" s="2"/>
      <c r="H5" s="2"/>
      <c r="I5" s="2"/>
      <c r="J5" s="2"/>
      <c r="K5" s="2"/>
      <c r="L5" s="2"/>
      <c r="M5" s="2"/>
    </row>
    <row r="8" spans="1:13">
      <c r="A8" s="1945" t="s">
        <v>1813</v>
      </c>
      <c r="B8" s="1945"/>
      <c r="C8" s="1945"/>
      <c r="D8" s="1945"/>
    </row>
    <row r="9" spans="1:13" s="613" customFormat="1">
      <c r="A9" s="777"/>
      <c r="B9" s="1597" t="s">
        <v>2429</v>
      </c>
      <c r="C9" s="741"/>
      <c r="D9" s="741"/>
      <c r="E9" s="384"/>
      <c r="F9" s="1599">
        <f>'Exh 2, Proof of Revenue'!Y589</f>
        <v>-134104.11531761975</v>
      </c>
    </row>
    <row r="10" spans="1:13" s="613" customFormat="1">
      <c r="A10" s="777"/>
      <c r="B10" s="1598" t="s">
        <v>2430</v>
      </c>
      <c r="C10" s="741"/>
      <c r="D10" s="741"/>
      <c r="E10" s="384"/>
      <c r="F10" s="1599">
        <f>'Exh 2, Proof of Revenue'!U589</f>
        <v>1057399.3900221004</v>
      </c>
    </row>
    <row r="11" spans="1:13" ht="15" thickBot="1">
      <c r="C11" s="384"/>
      <c r="D11" s="384"/>
      <c r="E11" s="741"/>
      <c r="F11" s="807">
        <f>SUM(F9:F10)</f>
        <v>923295.27470448066</v>
      </c>
      <c r="G11" s="640"/>
    </row>
    <row r="12" spans="1:13" ht="15" thickTop="1"/>
  </sheetData>
  <mergeCells count="6">
    <mergeCell ref="A8:D8"/>
    <mergeCell ref="A1:F1"/>
    <mergeCell ref="A2:F2"/>
    <mergeCell ref="A3:F3"/>
    <mergeCell ref="A4:F4"/>
    <mergeCell ref="A5:F5"/>
  </mergeCells>
  <printOptions horizontalCentered="1"/>
  <pageMargins left="0.7" right="0.7" top="0.75" bottom="0.75" header="0.3" footer="0.3"/>
  <pageSetup orientation="portrait" r:id="rId1"/>
  <headerFooter scaleWithDoc="0" alignWithMargins="0">
    <oddHeader>&amp;R&amp;P of &amp;N</oddHeader>
    <oddFooter>&amp;LElectronic Tab Name: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992CB-5576-4CA0-A7E9-9C599FF2CBAC}">
  <sheetPr codeName="Sheet45">
    <tabColor theme="8"/>
  </sheetPr>
  <dimension ref="A1:M18"/>
  <sheetViews>
    <sheetView showGridLines="0" zoomScale="80" zoomScaleNormal="80" workbookViewId="0">
      <selection activeCell="F28" sqref="F28"/>
    </sheetView>
  </sheetViews>
  <sheetFormatPr defaultColWidth="8.88671875" defaultRowHeight="14.4"/>
  <cols>
    <col min="1" max="16384" width="8.88671875" style="613"/>
  </cols>
  <sheetData>
    <row r="1" spans="1:13">
      <c r="A1" s="873" t="str">
        <f ca="1">MID(CELL("filename",A1),FIND("]",CELL("filename",A1))+1,255)</f>
        <v>Proof ---&gt;</v>
      </c>
    </row>
    <row r="2" spans="1:13">
      <c r="B2" s="1834" t="s">
        <v>2594</v>
      </c>
      <c r="C2" s="1834"/>
      <c r="D2" s="1834"/>
      <c r="E2" s="1834"/>
      <c r="F2" s="1834"/>
      <c r="G2" s="1834"/>
      <c r="H2" s="1834"/>
      <c r="I2" s="1834"/>
      <c r="J2" s="1834"/>
      <c r="K2" s="1834"/>
      <c r="L2" s="1834"/>
      <c r="M2" s="1834"/>
    </row>
    <row r="3" spans="1:13">
      <c r="B3" s="1834"/>
      <c r="C3" s="1834"/>
      <c r="D3" s="1834"/>
      <c r="E3" s="1834"/>
      <c r="F3" s="1834"/>
      <c r="G3" s="1834"/>
      <c r="H3" s="1834"/>
      <c r="I3" s="1834"/>
      <c r="J3" s="1834"/>
      <c r="K3" s="1834"/>
      <c r="L3" s="1834"/>
      <c r="M3" s="1834"/>
    </row>
    <row r="4" spans="1:13">
      <c r="B4" s="1834"/>
      <c r="C4" s="1834"/>
      <c r="D4" s="1834"/>
      <c r="E4" s="1834"/>
      <c r="F4" s="1834"/>
      <c r="G4" s="1834"/>
      <c r="H4" s="1834"/>
      <c r="I4" s="1834"/>
      <c r="J4" s="1834"/>
      <c r="K4" s="1834"/>
      <c r="L4" s="1834"/>
      <c r="M4" s="1834"/>
    </row>
    <row r="5" spans="1:13">
      <c r="B5" s="1834"/>
      <c r="C5" s="1834"/>
      <c r="D5" s="1834"/>
      <c r="E5" s="1834"/>
      <c r="F5" s="1834"/>
      <c r="G5" s="1834"/>
      <c r="H5" s="1834"/>
      <c r="I5" s="1834"/>
      <c r="J5" s="1834"/>
      <c r="K5" s="1834"/>
      <c r="L5" s="1834"/>
      <c r="M5" s="1834"/>
    </row>
    <row r="6" spans="1:13">
      <c r="B6" s="1834"/>
      <c r="C6" s="1834"/>
      <c r="D6" s="1834"/>
      <c r="E6" s="1834"/>
      <c r="F6" s="1834"/>
      <c r="G6" s="1834"/>
      <c r="H6" s="1834"/>
      <c r="I6" s="1834"/>
      <c r="J6" s="1834"/>
      <c r="K6" s="1834"/>
      <c r="L6" s="1834"/>
      <c r="M6" s="1834"/>
    </row>
    <row r="7" spans="1:13">
      <c r="B7" s="1834"/>
      <c r="C7" s="1834"/>
      <c r="D7" s="1834"/>
      <c r="E7" s="1834"/>
      <c r="F7" s="1834"/>
      <c r="G7" s="1834"/>
      <c r="H7" s="1834"/>
      <c r="I7" s="1834"/>
      <c r="J7" s="1834"/>
      <c r="K7" s="1834"/>
      <c r="L7" s="1834"/>
      <c r="M7" s="1834"/>
    </row>
    <row r="8" spans="1:13">
      <c r="B8" s="1834"/>
      <c r="C8" s="1834"/>
      <c r="D8" s="1834"/>
      <c r="E8" s="1834"/>
      <c r="F8" s="1834"/>
      <c r="G8" s="1834"/>
      <c r="H8" s="1834"/>
      <c r="I8" s="1834"/>
      <c r="J8" s="1834"/>
      <c r="K8" s="1834"/>
      <c r="L8" s="1834"/>
      <c r="M8" s="1834"/>
    </row>
    <row r="9" spans="1:13">
      <c r="B9" s="1834"/>
      <c r="C9" s="1834"/>
      <c r="D9" s="1834"/>
      <c r="E9" s="1834"/>
      <c r="F9" s="1834"/>
      <c r="G9" s="1834"/>
      <c r="H9" s="1834"/>
      <c r="I9" s="1834"/>
      <c r="J9" s="1834"/>
      <c r="K9" s="1834"/>
      <c r="L9" s="1834"/>
      <c r="M9" s="1834"/>
    </row>
    <row r="10" spans="1:13">
      <c r="B10" s="1834"/>
      <c r="C10" s="1834"/>
      <c r="D10" s="1834"/>
      <c r="E10" s="1834"/>
      <c r="F10" s="1834"/>
      <c r="G10" s="1834"/>
      <c r="H10" s="1834"/>
      <c r="I10" s="1834"/>
      <c r="J10" s="1834"/>
      <c r="K10" s="1834"/>
      <c r="L10" s="1834"/>
      <c r="M10" s="1834"/>
    </row>
    <row r="11" spans="1:13">
      <c r="B11" s="1834"/>
      <c r="C11" s="1834"/>
      <c r="D11" s="1834"/>
      <c r="E11" s="1834"/>
      <c r="F11" s="1834"/>
      <c r="G11" s="1834"/>
      <c r="H11" s="1834"/>
      <c r="I11" s="1834"/>
      <c r="J11" s="1834"/>
      <c r="K11" s="1834"/>
      <c r="L11" s="1834"/>
      <c r="M11" s="1834"/>
    </row>
    <row r="12" spans="1:13">
      <c r="B12" s="1834"/>
      <c r="C12" s="1834"/>
      <c r="D12" s="1834"/>
      <c r="E12" s="1834"/>
      <c r="F12" s="1834"/>
      <c r="G12" s="1834"/>
      <c r="H12" s="1834"/>
      <c r="I12" s="1834"/>
      <c r="J12" s="1834"/>
      <c r="K12" s="1834"/>
      <c r="L12" s="1834"/>
      <c r="M12" s="1834"/>
    </row>
    <row r="13" spans="1:13">
      <c r="B13" s="1834"/>
      <c r="C13" s="1834"/>
      <c r="D13" s="1834"/>
      <c r="E13" s="1834"/>
      <c r="F13" s="1834"/>
      <c r="G13" s="1834"/>
      <c r="H13" s="1834"/>
      <c r="I13" s="1834"/>
      <c r="J13" s="1834"/>
      <c r="K13" s="1834"/>
      <c r="L13" s="1834"/>
      <c r="M13" s="1834"/>
    </row>
    <row r="14" spans="1:13">
      <c r="B14" s="1834"/>
      <c r="C14" s="1834"/>
      <c r="D14" s="1834"/>
      <c r="E14" s="1834"/>
      <c r="F14" s="1834"/>
      <c r="G14" s="1834"/>
      <c r="H14" s="1834"/>
      <c r="I14" s="1834"/>
      <c r="J14" s="1834"/>
      <c r="K14" s="1834"/>
      <c r="L14" s="1834"/>
      <c r="M14" s="1834"/>
    </row>
    <row r="15" spans="1:13">
      <c r="B15" s="1834"/>
      <c r="C15" s="1834"/>
      <c r="D15" s="1834"/>
      <c r="E15" s="1834"/>
      <c r="F15" s="1834"/>
      <c r="G15" s="1834"/>
      <c r="H15" s="1834"/>
      <c r="I15" s="1834"/>
      <c r="J15" s="1834"/>
      <c r="K15" s="1834"/>
      <c r="L15" s="1834"/>
      <c r="M15" s="1834"/>
    </row>
    <row r="16" spans="1:13">
      <c r="B16" s="1834"/>
      <c r="C16" s="1834"/>
      <c r="D16" s="1834"/>
      <c r="E16" s="1834"/>
      <c r="F16" s="1834"/>
      <c r="G16" s="1834"/>
      <c r="H16" s="1834"/>
      <c r="I16" s="1834"/>
      <c r="J16" s="1834"/>
      <c r="K16" s="1834"/>
      <c r="L16" s="1834"/>
      <c r="M16" s="1834"/>
    </row>
    <row r="17" spans="2:13">
      <c r="B17" s="1834"/>
      <c r="C17" s="1834"/>
      <c r="D17" s="1834"/>
      <c r="E17" s="1834"/>
      <c r="F17" s="1834"/>
      <c r="G17" s="1834"/>
      <c r="H17" s="1834"/>
      <c r="I17" s="1834"/>
      <c r="J17" s="1834"/>
      <c r="K17" s="1834"/>
      <c r="L17" s="1834"/>
      <c r="M17" s="1834"/>
    </row>
    <row r="18" spans="2:13">
      <c r="B18" s="1834"/>
      <c r="C18" s="1834"/>
      <c r="D18" s="1834"/>
      <c r="E18" s="1834"/>
      <c r="F18" s="1834"/>
      <c r="G18" s="1834"/>
      <c r="H18" s="1834"/>
      <c r="I18" s="1834"/>
      <c r="J18" s="1834"/>
      <c r="K18" s="1834"/>
      <c r="L18" s="1834"/>
      <c r="M18" s="1834"/>
    </row>
  </sheetData>
  <mergeCells count="1">
    <mergeCell ref="B2:M18"/>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tabColor theme="7" tint="0.79998168889431442"/>
  </sheetPr>
  <dimension ref="A1:S58"/>
  <sheetViews>
    <sheetView view="pageBreakPreview" zoomScale="80" zoomScaleNormal="100" zoomScaleSheetLayoutView="80" workbookViewId="0">
      <selection activeCell="E7" sqref="E7"/>
    </sheetView>
  </sheetViews>
  <sheetFormatPr defaultColWidth="9.109375" defaultRowHeight="14.4"/>
  <cols>
    <col min="1" max="1" width="38.88671875" style="384" bestFit="1" customWidth="1"/>
    <col min="2" max="2" width="16.109375" style="384" bestFit="1" customWidth="1"/>
    <col min="3" max="3" width="16.88671875" style="384" bestFit="1" customWidth="1"/>
    <col min="4" max="4" width="19.33203125" style="584" bestFit="1" customWidth="1"/>
    <col min="5" max="5" width="16.109375" style="384" bestFit="1" customWidth="1"/>
    <col min="6" max="6" width="13.88671875" style="384" bestFit="1" customWidth="1"/>
    <col min="7" max="7" width="12.88671875" style="384" bestFit="1" customWidth="1"/>
    <col min="8" max="8" width="14.5546875" style="384" bestFit="1" customWidth="1"/>
    <col min="9" max="9" width="11.44140625" style="384" bestFit="1" customWidth="1"/>
    <col min="10" max="10" width="12.88671875" style="384" bestFit="1" customWidth="1"/>
    <col min="11" max="11" width="14.5546875" style="384" bestFit="1" customWidth="1"/>
    <col min="12" max="12" width="15" style="384" bestFit="1" customWidth="1"/>
    <col min="13" max="13" width="9.109375" style="384"/>
    <col min="14" max="14" width="35.6640625" style="384" bestFit="1" customWidth="1"/>
    <col min="15" max="15" width="10.33203125" style="384" bestFit="1" customWidth="1"/>
    <col min="16" max="17" width="9.109375" style="384"/>
    <col min="18" max="18" width="15.44140625" style="384" bestFit="1" customWidth="1"/>
    <col min="19" max="16384" width="9.109375" style="384"/>
  </cols>
  <sheetData>
    <row r="1" spans="1:19" ht="15.6">
      <c r="A1" s="1910" t="s">
        <v>52</v>
      </c>
      <c r="B1" s="1910"/>
      <c r="C1" s="1910"/>
      <c r="D1" s="1910"/>
      <c r="E1" s="1910"/>
      <c r="F1" s="1910"/>
      <c r="G1" s="1910"/>
      <c r="H1" s="1910"/>
      <c r="I1" s="1910"/>
      <c r="J1" s="1910"/>
      <c r="K1" s="1910"/>
      <c r="L1" s="1910"/>
      <c r="M1" s="1910"/>
    </row>
    <row r="2" spans="1:19" ht="15.6">
      <c r="A2" s="1910" t="s">
        <v>1824</v>
      </c>
      <c r="B2" s="1910"/>
      <c r="C2" s="1910"/>
      <c r="D2" s="1910"/>
      <c r="E2" s="1910"/>
      <c r="F2" s="1910"/>
      <c r="G2" s="1910"/>
      <c r="H2" s="1910"/>
      <c r="I2" s="1910"/>
      <c r="J2" s="1910"/>
      <c r="K2" s="1910"/>
      <c r="L2" s="1910"/>
      <c r="M2" s="1910"/>
    </row>
    <row r="3" spans="1:19" ht="15.6">
      <c r="A3" s="1910" t="s">
        <v>1358</v>
      </c>
      <c r="B3" s="1910"/>
      <c r="C3" s="1910"/>
      <c r="D3" s="1910"/>
      <c r="E3" s="1910"/>
      <c r="F3" s="1910"/>
      <c r="G3" s="1910"/>
      <c r="H3" s="1910"/>
      <c r="I3" s="1910"/>
      <c r="J3" s="1910"/>
      <c r="K3" s="1910"/>
      <c r="L3" s="1910"/>
      <c r="M3" s="1910"/>
    </row>
    <row r="4" spans="1:19" ht="15.6">
      <c r="A4" s="1938" t="s">
        <v>1818</v>
      </c>
      <c r="B4" s="1938"/>
      <c r="C4" s="1938"/>
      <c r="D4" s="1938"/>
      <c r="E4" s="1938"/>
      <c r="F4" s="1938"/>
      <c r="G4" s="1938"/>
      <c r="H4" s="1938"/>
      <c r="I4" s="1938"/>
      <c r="J4" s="1938"/>
      <c r="K4" s="1938"/>
      <c r="L4" s="1938"/>
      <c r="M4" s="1938"/>
    </row>
    <row r="5" spans="1:19" ht="15.6">
      <c r="A5" s="1910" t="s">
        <v>1823</v>
      </c>
      <c r="B5" s="1910"/>
      <c r="C5" s="1910"/>
      <c r="D5" s="1910"/>
      <c r="E5" s="1910"/>
      <c r="F5" s="1910"/>
      <c r="G5" s="1910"/>
      <c r="H5" s="1910"/>
      <c r="I5" s="1910"/>
      <c r="J5" s="1910"/>
      <c r="K5" s="1910"/>
      <c r="L5" s="1910"/>
      <c r="M5" s="1910"/>
    </row>
    <row r="6" spans="1:19">
      <c r="C6" s="727"/>
      <c r="D6" s="384"/>
      <c r="E6" s="727"/>
      <c r="F6" s="727"/>
      <c r="G6" s="728"/>
      <c r="I6" s="584"/>
      <c r="J6" s="584"/>
    </row>
    <row r="7" spans="1:19">
      <c r="A7" s="729" t="s">
        <v>2310</v>
      </c>
      <c r="B7" s="586"/>
      <c r="C7" s="727"/>
      <c r="D7" s="585"/>
      <c r="E7" s="727"/>
      <c r="F7" s="727"/>
      <c r="G7" s="728"/>
      <c r="I7" s="584"/>
      <c r="J7" s="584"/>
      <c r="R7" s="1768" t="s">
        <v>3213</v>
      </c>
    </row>
    <row r="8" spans="1:19">
      <c r="A8" s="729" t="s">
        <v>2311</v>
      </c>
      <c r="B8" s="730"/>
      <c r="C8" s="727"/>
      <c r="D8" s="585"/>
      <c r="E8" s="727"/>
      <c r="F8" s="731" t="s">
        <v>2312</v>
      </c>
      <c r="G8" s="728"/>
      <c r="I8" s="584"/>
      <c r="J8" s="584"/>
      <c r="R8" s="1769" t="s">
        <v>2436</v>
      </c>
    </row>
    <row r="9" spans="1:19">
      <c r="A9" s="729"/>
      <c r="B9" s="732">
        <v>43831</v>
      </c>
      <c r="C9" s="727"/>
      <c r="D9" s="730" t="s">
        <v>2312</v>
      </c>
      <c r="E9" s="727"/>
      <c r="F9" s="731" t="s">
        <v>2313</v>
      </c>
      <c r="G9" s="728"/>
      <c r="I9" s="731" t="s">
        <v>1089</v>
      </c>
      <c r="J9" s="731" t="s">
        <v>2314</v>
      </c>
      <c r="K9" s="731" t="s">
        <v>2315</v>
      </c>
    </row>
    <row r="10" spans="1:19">
      <c r="A10" s="731" t="s">
        <v>2316</v>
      </c>
      <c r="B10" s="730" t="s">
        <v>2317</v>
      </c>
      <c r="C10" s="731" t="s">
        <v>1089</v>
      </c>
      <c r="D10" s="730" t="s">
        <v>2318</v>
      </c>
      <c r="E10" s="731" t="s">
        <v>2314</v>
      </c>
      <c r="F10" s="731" t="s">
        <v>2314</v>
      </c>
      <c r="G10" s="731" t="s">
        <v>2319</v>
      </c>
      <c r="H10" s="731" t="s">
        <v>2320</v>
      </c>
      <c r="I10" s="731" t="s">
        <v>2321</v>
      </c>
      <c r="J10" s="731" t="s">
        <v>2321</v>
      </c>
      <c r="K10" s="731" t="s">
        <v>2322</v>
      </c>
    </row>
    <row r="11" spans="1:19">
      <c r="A11" s="733" t="s">
        <v>66</v>
      </c>
      <c r="B11" s="734" t="s">
        <v>2323</v>
      </c>
      <c r="C11" s="733" t="s">
        <v>2324</v>
      </c>
      <c r="D11" s="734" t="s">
        <v>2316</v>
      </c>
      <c r="E11" s="733" t="s">
        <v>2324</v>
      </c>
      <c r="F11" s="733" t="s">
        <v>2324</v>
      </c>
      <c r="G11" s="733" t="s">
        <v>1807</v>
      </c>
      <c r="H11" s="733" t="s">
        <v>1807</v>
      </c>
      <c r="I11" s="733" t="s">
        <v>2325</v>
      </c>
      <c r="J11" s="733" t="s">
        <v>2326</v>
      </c>
      <c r="K11" s="733" t="s">
        <v>54</v>
      </c>
      <c r="L11" s="733" t="s">
        <v>2327</v>
      </c>
      <c r="O11" s="780" t="s">
        <v>2436</v>
      </c>
      <c r="P11" s="780" t="s">
        <v>2437</v>
      </c>
      <c r="R11" s="780" t="s">
        <v>2433</v>
      </c>
    </row>
    <row r="12" spans="1:19">
      <c r="A12" s="735" t="s">
        <v>2328</v>
      </c>
      <c r="B12" s="736">
        <v>114308.06999999998</v>
      </c>
      <c r="C12" s="737">
        <v>0</v>
      </c>
      <c r="D12" s="736">
        <v>0</v>
      </c>
      <c r="E12" s="737">
        <f>IF($R$8=$R$11, R12, O12)</f>
        <v>0</v>
      </c>
      <c r="F12" s="738">
        <f>IF(E12=0%, D12, (B12+K12)*E12/12)</f>
        <v>0</v>
      </c>
      <c r="G12" s="739">
        <v>0</v>
      </c>
      <c r="H12" s="587">
        <v>0</v>
      </c>
      <c r="I12" s="584"/>
      <c r="J12" s="584"/>
      <c r="L12" s="740">
        <f>F12*12</f>
        <v>0</v>
      </c>
      <c r="N12" s="384" t="s">
        <v>2328</v>
      </c>
      <c r="O12" s="779">
        <v>0</v>
      </c>
      <c r="P12" s="779" t="str">
        <f>IF(O12=E12, "Y", "N")</f>
        <v>Y</v>
      </c>
      <c r="R12" s="779">
        <v>0</v>
      </c>
      <c r="S12" s="808"/>
    </row>
    <row r="13" spans="1:19">
      <c r="A13" s="735" t="s">
        <v>1430</v>
      </c>
      <c r="B13" s="736">
        <v>138157.95000000001</v>
      </c>
      <c r="C13" s="737">
        <v>0</v>
      </c>
      <c r="D13" s="736">
        <v>0</v>
      </c>
      <c r="E13" s="737">
        <f t="shared" ref="E13:E53" si="0">IF($R$8=$R$11, R13, O13)</f>
        <v>0</v>
      </c>
      <c r="F13" s="738">
        <f>IF(E13=0%, D13, (B13+K13)*E13/12)</f>
        <v>0</v>
      </c>
      <c r="G13" s="739">
        <v>0</v>
      </c>
      <c r="H13" s="587">
        <v>0</v>
      </c>
      <c r="I13" s="584"/>
      <c r="J13" s="584"/>
      <c r="L13" s="740">
        <f t="shared" ref="L13:L53" si="1">F13*12</f>
        <v>0</v>
      </c>
      <c r="N13" s="384" t="s">
        <v>1430</v>
      </c>
      <c r="O13" s="779">
        <v>0</v>
      </c>
      <c r="P13" s="779" t="str">
        <f t="shared" ref="P13:P53" si="2">IF(O13=E13, "Y", "N")</f>
        <v>Y</v>
      </c>
      <c r="R13" s="779">
        <v>0</v>
      </c>
      <c r="S13" s="808"/>
    </row>
    <row r="14" spans="1:19">
      <c r="A14" s="735" t="s">
        <v>1431</v>
      </c>
      <c r="B14" s="736">
        <v>33240966.090000004</v>
      </c>
      <c r="C14" s="737">
        <v>0</v>
      </c>
      <c r="D14" s="736">
        <v>219439.28</v>
      </c>
      <c r="E14" s="737">
        <f t="shared" si="0"/>
        <v>0</v>
      </c>
      <c r="F14" s="738">
        <f>IF(E14=0%, D14, (B14+K14)*E14/12)</f>
        <v>219439.28</v>
      </c>
      <c r="G14" s="739">
        <f>+F14-D14</f>
        <v>0</v>
      </c>
      <c r="H14" s="587">
        <v>0</v>
      </c>
      <c r="I14" s="584"/>
      <c r="J14" s="584"/>
      <c r="L14" s="740">
        <f t="shared" si="1"/>
        <v>2633271.36</v>
      </c>
      <c r="N14" s="384" t="s">
        <v>1431</v>
      </c>
      <c r="O14" s="779">
        <v>0</v>
      </c>
      <c r="P14" s="779" t="str">
        <f t="shared" si="2"/>
        <v>Y</v>
      </c>
      <c r="R14" s="779">
        <v>0</v>
      </c>
      <c r="S14" s="808"/>
    </row>
    <row r="15" spans="1:19">
      <c r="A15" s="735" t="s">
        <v>1432</v>
      </c>
      <c r="B15" s="736">
        <v>211404.97</v>
      </c>
      <c r="C15" s="737">
        <v>0</v>
      </c>
      <c r="D15" s="736">
        <v>0</v>
      </c>
      <c r="E15" s="737">
        <f t="shared" si="0"/>
        <v>0</v>
      </c>
      <c r="F15" s="738">
        <f t="shared" ref="F15:F33" si="3">IF(E15=0%, D15, (B15+K15)*E15/12)</f>
        <v>0</v>
      </c>
      <c r="G15" s="739">
        <f t="shared" ref="G15:G53" si="4">+F15-D15</f>
        <v>0</v>
      </c>
      <c r="H15" s="587">
        <v>0</v>
      </c>
      <c r="I15" s="584"/>
      <c r="J15" s="584"/>
      <c r="L15" s="740">
        <f t="shared" si="1"/>
        <v>0</v>
      </c>
      <c r="N15" s="384" t="s">
        <v>1432</v>
      </c>
      <c r="O15" s="779">
        <v>0</v>
      </c>
      <c r="P15" s="779" t="str">
        <f t="shared" si="2"/>
        <v>Y</v>
      </c>
      <c r="R15" s="779">
        <v>0</v>
      </c>
      <c r="S15" s="808"/>
    </row>
    <row r="16" spans="1:19">
      <c r="A16" s="735" t="s">
        <v>1433</v>
      </c>
      <c r="B16" s="736">
        <v>1018396.75</v>
      </c>
      <c r="C16" s="737">
        <v>1.5800000000000002E-2</v>
      </c>
      <c r="D16" s="736">
        <v>1340.8899999999999</v>
      </c>
      <c r="E16" s="737">
        <f t="shared" si="0"/>
        <v>6.5000000000000006E-3</v>
      </c>
      <c r="F16" s="738">
        <f t="shared" si="3"/>
        <v>551.63157291666664</v>
      </c>
      <c r="G16" s="739">
        <f t="shared" si="4"/>
        <v>-789.25842708333323</v>
      </c>
      <c r="H16" s="587">
        <f>+G16*12</f>
        <v>-9471.1011249999992</v>
      </c>
      <c r="I16" s="584"/>
      <c r="J16" s="584"/>
      <c r="L16" s="740">
        <f t="shared" si="1"/>
        <v>6619.5788749999992</v>
      </c>
      <c r="N16" s="384" t="s">
        <v>1433</v>
      </c>
      <c r="O16" s="779">
        <v>6.5000000000000006E-3</v>
      </c>
      <c r="P16" s="779" t="str">
        <f t="shared" si="2"/>
        <v>Y</v>
      </c>
      <c r="R16" s="779">
        <v>6.4999999999999997E-3</v>
      </c>
      <c r="S16" s="808"/>
    </row>
    <row r="17" spans="1:19">
      <c r="A17" s="735" t="s">
        <v>1434</v>
      </c>
      <c r="B17" s="736">
        <v>15900055.620000001</v>
      </c>
      <c r="C17" s="737">
        <v>1.8200000000000001E-2</v>
      </c>
      <c r="D17" s="736">
        <v>24115.08</v>
      </c>
      <c r="E17" s="737">
        <f t="shared" si="0"/>
        <v>1.4999999999999999E-2</v>
      </c>
      <c r="F17" s="738">
        <f t="shared" si="3"/>
        <v>19875.069525000003</v>
      </c>
      <c r="G17" s="739">
        <f t="shared" si="4"/>
        <v>-4240.0104749999991</v>
      </c>
      <c r="H17" s="587">
        <f t="shared" ref="H17:H53" si="5">+G17*12</f>
        <v>-50880.12569999999</v>
      </c>
      <c r="I17" s="584"/>
      <c r="J17" s="584"/>
      <c r="L17" s="740">
        <f t="shared" si="1"/>
        <v>238500.83430000005</v>
      </c>
      <c r="N17" s="384" t="s">
        <v>1434</v>
      </c>
      <c r="O17" s="779">
        <v>1.4999999999999999E-2</v>
      </c>
      <c r="P17" s="779" t="str">
        <f t="shared" si="2"/>
        <v>Y</v>
      </c>
      <c r="R17" s="779">
        <v>1.4999999999999999E-2</v>
      </c>
      <c r="S17" s="808"/>
    </row>
    <row r="18" spans="1:19">
      <c r="A18" s="735" t="s">
        <v>1435</v>
      </c>
      <c r="B18" s="736">
        <v>144661.09999999998</v>
      </c>
      <c r="C18" s="737">
        <v>4.1000000000000003E-3</v>
      </c>
      <c r="D18" s="736">
        <v>49.43</v>
      </c>
      <c r="E18" s="737">
        <f t="shared" si="0"/>
        <v>4.5999999999999999E-2</v>
      </c>
      <c r="F18" s="738">
        <f t="shared" si="3"/>
        <v>554.53421666666657</v>
      </c>
      <c r="G18" s="739">
        <f t="shared" si="4"/>
        <v>505.10421666666656</v>
      </c>
      <c r="H18" s="587">
        <f t="shared" si="5"/>
        <v>6061.2505999999985</v>
      </c>
      <c r="I18" s="584"/>
      <c r="J18" s="584"/>
      <c r="L18" s="740">
        <f t="shared" si="1"/>
        <v>6654.4105999999992</v>
      </c>
      <c r="N18" s="384" t="s">
        <v>1435</v>
      </c>
      <c r="O18" s="779">
        <v>4.5999999999999999E-2</v>
      </c>
      <c r="P18" s="779" t="str">
        <f t="shared" si="2"/>
        <v>Y</v>
      </c>
      <c r="R18" s="779">
        <v>4.5999999999999999E-2</v>
      </c>
      <c r="S18" s="808"/>
    </row>
    <row r="19" spans="1:19">
      <c r="A19" s="735" t="s">
        <v>1437</v>
      </c>
      <c r="B19" s="736">
        <v>388301.94999999995</v>
      </c>
      <c r="C19" s="737">
        <v>0</v>
      </c>
      <c r="D19" s="736">
        <v>0</v>
      </c>
      <c r="E19" s="737">
        <f t="shared" si="0"/>
        <v>0</v>
      </c>
      <c r="F19" s="738"/>
      <c r="G19" s="739">
        <f t="shared" si="4"/>
        <v>0</v>
      </c>
      <c r="H19" s="587">
        <f t="shared" si="5"/>
        <v>0</v>
      </c>
      <c r="I19" s="584"/>
      <c r="J19" s="584"/>
      <c r="K19" s="584"/>
      <c r="L19" s="740">
        <f t="shared" si="1"/>
        <v>0</v>
      </c>
      <c r="N19" s="384" t="s">
        <v>1437</v>
      </c>
      <c r="O19" s="779">
        <v>0</v>
      </c>
      <c r="P19" s="779" t="str">
        <f t="shared" si="2"/>
        <v>Y</v>
      </c>
      <c r="R19" s="779">
        <v>0</v>
      </c>
      <c r="S19" s="808"/>
    </row>
    <row r="20" spans="1:19">
      <c r="A20" s="735" t="s">
        <v>1436</v>
      </c>
      <c r="B20" s="736">
        <v>1922322.92</v>
      </c>
      <c r="C20" s="737">
        <v>1.8800000000000001E-2</v>
      </c>
      <c r="D20" s="736">
        <v>3011.6400000000003</v>
      </c>
      <c r="E20" s="737">
        <f t="shared" si="0"/>
        <v>1.6399999999999998E-2</v>
      </c>
      <c r="F20" s="738">
        <f t="shared" si="3"/>
        <v>2627.174657333333</v>
      </c>
      <c r="G20" s="739">
        <f t="shared" si="4"/>
        <v>-384.46534266666731</v>
      </c>
      <c r="H20" s="587">
        <f t="shared" si="5"/>
        <v>-4613.5841120000077</v>
      </c>
      <c r="I20" s="584"/>
      <c r="J20" s="584"/>
      <c r="K20" s="741"/>
      <c r="L20" s="740">
        <f t="shared" si="1"/>
        <v>31526.095887999996</v>
      </c>
      <c r="N20" s="384" t="s">
        <v>1436</v>
      </c>
      <c r="O20" s="779">
        <v>1.6399999999999998E-2</v>
      </c>
      <c r="P20" s="779" t="str">
        <f t="shared" si="2"/>
        <v>Y</v>
      </c>
      <c r="R20" s="779">
        <v>1.6400000000000001E-2</v>
      </c>
      <c r="S20" s="808"/>
    </row>
    <row r="21" spans="1:19">
      <c r="A21" s="735" t="s">
        <v>1438</v>
      </c>
      <c r="B21" s="736">
        <v>1019863.1399999999</v>
      </c>
      <c r="C21" s="737">
        <v>1.2200000000000001E-2</v>
      </c>
      <c r="D21" s="736">
        <v>1036.3500000000001</v>
      </c>
      <c r="E21" s="737">
        <f t="shared" si="0"/>
        <v>8.3999999999999995E-3</v>
      </c>
      <c r="F21" s="738">
        <f t="shared" si="3"/>
        <v>713.90419799999984</v>
      </c>
      <c r="G21" s="739">
        <f t="shared" si="4"/>
        <v>-322.4458020000003</v>
      </c>
      <c r="H21" s="587">
        <f t="shared" si="5"/>
        <v>-3869.3496240000036</v>
      </c>
      <c r="I21" s="584"/>
      <c r="J21" s="584"/>
      <c r="K21" s="584"/>
      <c r="L21" s="740">
        <f t="shared" si="1"/>
        <v>8566.8503759999985</v>
      </c>
      <c r="N21" s="384" t="s">
        <v>1438</v>
      </c>
      <c r="O21" s="779">
        <v>8.3999999999999995E-3</v>
      </c>
      <c r="P21" s="779" t="str">
        <f t="shared" si="2"/>
        <v>Y</v>
      </c>
      <c r="R21" s="779">
        <v>7.1999999999999998E-3</v>
      </c>
      <c r="S21" s="808"/>
    </row>
    <row r="22" spans="1:19">
      <c r="A22" s="735" t="s">
        <v>1439</v>
      </c>
      <c r="B22" s="736">
        <v>159069534.16</v>
      </c>
      <c r="C22" s="737">
        <v>1.2500000000000001E-2</v>
      </c>
      <c r="D22" s="736">
        <v>165697.43</v>
      </c>
      <c r="E22" s="737">
        <f t="shared" si="0"/>
        <v>1.52E-2</v>
      </c>
      <c r="F22" s="738">
        <f t="shared" si="3"/>
        <v>201488.07660266667</v>
      </c>
      <c r="G22" s="739">
        <f t="shared" si="4"/>
        <v>35790.646602666675</v>
      </c>
      <c r="H22" s="587">
        <f t="shared" si="5"/>
        <v>429487.7592320001</v>
      </c>
      <c r="I22" s="584"/>
      <c r="J22" s="584"/>
      <c r="K22" s="584"/>
      <c r="L22" s="740">
        <f t="shared" si="1"/>
        <v>2417856.9192320001</v>
      </c>
      <c r="N22" s="384" t="s">
        <v>1439</v>
      </c>
      <c r="O22" s="779">
        <v>1.52E-2</v>
      </c>
      <c r="P22" s="779" t="str">
        <f t="shared" si="2"/>
        <v>Y</v>
      </c>
      <c r="R22" s="779">
        <v>1.3899999999999999E-2</v>
      </c>
      <c r="S22" s="808"/>
    </row>
    <row r="23" spans="1:19">
      <c r="A23" s="735" t="s">
        <v>1440</v>
      </c>
      <c r="B23" s="736">
        <v>151836907.29000002</v>
      </c>
      <c r="C23" s="737">
        <v>4.1300000000000003E-2</v>
      </c>
      <c r="D23" s="736">
        <v>522572.02</v>
      </c>
      <c r="E23" s="737">
        <f t="shared" si="0"/>
        <v>2.81E-2</v>
      </c>
      <c r="F23" s="738">
        <f t="shared" si="3"/>
        <v>355551.42457075004</v>
      </c>
      <c r="G23" s="739">
        <f t="shared" si="4"/>
        <v>-167020.59542924998</v>
      </c>
      <c r="H23" s="587">
        <f t="shared" si="5"/>
        <v>-2004247.1451509998</v>
      </c>
      <c r="I23" s="584"/>
      <c r="J23" s="584"/>
      <c r="K23" s="584"/>
      <c r="L23" s="740">
        <f t="shared" si="1"/>
        <v>4266617.0948490007</v>
      </c>
      <c r="N23" s="384" t="s">
        <v>1440</v>
      </c>
      <c r="O23" s="779">
        <v>2.81E-2</v>
      </c>
      <c r="P23" s="779" t="str">
        <f t="shared" si="2"/>
        <v>Y</v>
      </c>
      <c r="R23" s="779">
        <v>3.15E-2</v>
      </c>
      <c r="S23" s="808"/>
    </row>
    <row r="24" spans="1:19">
      <c r="A24" s="735" t="s">
        <v>1441</v>
      </c>
      <c r="B24" s="736">
        <v>118986847.07000001</v>
      </c>
      <c r="C24" s="737">
        <v>2.1999999999999999E-2</v>
      </c>
      <c r="D24" s="736">
        <v>218142.55000000002</v>
      </c>
      <c r="E24" s="737">
        <f t="shared" si="0"/>
        <v>3.56E-2</v>
      </c>
      <c r="F24" s="738">
        <f t="shared" si="3"/>
        <v>352994.31297433336</v>
      </c>
      <c r="G24" s="739">
        <f t="shared" si="4"/>
        <v>134851.76297433334</v>
      </c>
      <c r="H24" s="587">
        <f t="shared" si="5"/>
        <v>1618221.1556919999</v>
      </c>
      <c r="I24" s="584"/>
      <c r="J24" s="584"/>
      <c r="K24" s="584"/>
      <c r="L24" s="740">
        <f t="shared" si="1"/>
        <v>4235931.7556920005</v>
      </c>
      <c r="N24" s="384" t="s">
        <v>1441</v>
      </c>
      <c r="O24" s="779">
        <v>3.56E-2</v>
      </c>
      <c r="P24" s="779" t="str">
        <f t="shared" si="2"/>
        <v>Y</v>
      </c>
      <c r="R24" s="779">
        <v>2.9499999999999998E-2</v>
      </c>
      <c r="S24" s="808"/>
    </row>
    <row r="25" spans="1:19">
      <c r="A25" s="735" t="s">
        <v>1464</v>
      </c>
      <c r="B25" s="736">
        <v>2097766.77</v>
      </c>
      <c r="C25" s="737">
        <v>1.78E-2</v>
      </c>
      <c r="D25" s="736">
        <v>3111.69</v>
      </c>
      <c r="E25" s="737">
        <f t="shared" si="0"/>
        <v>1.72E-2</v>
      </c>
      <c r="F25" s="738">
        <f t="shared" si="3"/>
        <v>3006.7990370000002</v>
      </c>
      <c r="G25" s="739">
        <f t="shared" si="4"/>
        <v>-104.89096299999983</v>
      </c>
      <c r="H25" s="587">
        <f t="shared" si="5"/>
        <v>-1258.6915559999979</v>
      </c>
      <c r="I25" s="584"/>
      <c r="J25" s="584"/>
      <c r="K25" s="584"/>
      <c r="L25" s="740">
        <f t="shared" si="1"/>
        <v>36081.588444000001</v>
      </c>
      <c r="N25" s="384" t="s">
        <v>1464</v>
      </c>
      <c r="O25" s="779">
        <v>1.72E-2</v>
      </c>
      <c r="P25" s="779" t="str">
        <f t="shared" si="2"/>
        <v>Y</v>
      </c>
      <c r="R25" s="779">
        <v>1.72E-2</v>
      </c>
      <c r="S25" s="808"/>
    </row>
    <row r="26" spans="1:19">
      <c r="A26" s="735" t="s">
        <v>2329</v>
      </c>
      <c r="B26" s="736">
        <v>25599862.800000001</v>
      </c>
      <c r="C26" s="737">
        <v>1.9199999999999998E-2</v>
      </c>
      <c r="D26" s="736">
        <v>40959.78</v>
      </c>
      <c r="E26" s="737">
        <f t="shared" si="0"/>
        <v>1.9699999999999999E-2</v>
      </c>
      <c r="F26" s="738">
        <f t="shared" si="3"/>
        <v>42026.441429999999</v>
      </c>
      <c r="G26" s="739">
        <f t="shared" si="4"/>
        <v>1066.6614300000001</v>
      </c>
      <c r="H26" s="587">
        <f t="shared" si="5"/>
        <v>12799.937160000001</v>
      </c>
      <c r="I26" s="584"/>
      <c r="J26" s="584"/>
      <c r="K26" s="584"/>
      <c r="L26" s="740">
        <f t="shared" si="1"/>
        <v>504317.29715999996</v>
      </c>
      <c r="N26" s="384" t="s">
        <v>2329</v>
      </c>
      <c r="O26" s="779">
        <v>1.9699999999999999E-2</v>
      </c>
      <c r="P26" s="779" t="str">
        <f t="shared" si="2"/>
        <v>Y</v>
      </c>
      <c r="R26" s="779">
        <v>1.9699999999999999E-2</v>
      </c>
      <c r="S26" s="808"/>
    </row>
    <row r="27" spans="1:19">
      <c r="A27" s="735" t="s">
        <v>1442</v>
      </c>
      <c r="B27" s="736">
        <v>146616703.03999999</v>
      </c>
      <c r="C27" s="737">
        <v>3.8800000000000001E-2</v>
      </c>
      <c r="D27" s="736">
        <v>474060.68</v>
      </c>
      <c r="E27" s="737">
        <f t="shared" si="0"/>
        <v>3.3599999999999998E-2</v>
      </c>
      <c r="F27" s="738">
        <f t="shared" si="3"/>
        <v>410526.76851199992</v>
      </c>
      <c r="G27" s="739">
        <f t="shared" si="4"/>
        <v>-63533.911488000071</v>
      </c>
      <c r="H27" s="587">
        <f t="shared" si="5"/>
        <v>-762406.93785600085</v>
      </c>
      <c r="I27" s="584"/>
      <c r="J27" s="584"/>
      <c r="K27" s="584"/>
      <c r="L27" s="740">
        <f t="shared" si="1"/>
        <v>4926321.2221439993</v>
      </c>
      <c r="N27" s="384" t="s">
        <v>1442</v>
      </c>
      <c r="O27" s="779">
        <v>3.3599999999999998E-2</v>
      </c>
      <c r="P27" s="779" t="str">
        <f t="shared" si="2"/>
        <v>Y</v>
      </c>
      <c r="R27" s="779">
        <v>4.2599999999999999E-2</v>
      </c>
      <c r="S27" s="808"/>
    </row>
    <row r="28" spans="1:19">
      <c r="A28" s="735" t="s">
        <v>1443</v>
      </c>
      <c r="B28" s="736">
        <v>62126401.860000007</v>
      </c>
      <c r="C28" s="737">
        <v>3.3299999999999996E-2</v>
      </c>
      <c r="D28" s="736">
        <v>172400.76</v>
      </c>
      <c r="E28" s="737">
        <f t="shared" si="0"/>
        <v>3.4700000000000002E-2</v>
      </c>
      <c r="F28" s="738">
        <f t="shared" si="3"/>
        <v>179648.84537850003</v>
      </c>
      <c r="G28" s="739">
        <f t="shared" si="4"/>
        <v>7248.0853785000218</v>
      </c>
      <c r="H28" s="587">
        <f t="shared" si="5"/>
        <v>86977.024542000261</v>
      </c>
      <c r="I28" s="584"/>
      <c r="J28" s="584"/>
      <c r="L28" s="740">
        <f t="shared" si="1"/>
        <v>2155786.1445420003</v>
      </c>
      <c r="N28" s="384" t="s">
        <v>1443</v>
      </c>
      <c r="O28" s="779">
        <v>3.4700000000000002E-2</v>
      </c>
      <c r="P28" s="779" t="str">
        <f t="shared" si="2"/>
        <v>Y</v>
      </c>
      <c r="R28" s="779">
        <v>3.4700000000000002E-2</v>
      </c>
      <c r="S28" s="808"/>
    </row>
    <row r="29" spans="1:19">
      <c r="A29" s="735" t="s">
        <v>1444</v>
      </c>
      <c r="B29" s="736">
        <v>16022598.870000001</v>
      </c>
      <c r="C29" s="737">
        <v>6.8900000000000003E-2</v>
      </c>
      <c r="D29" s="736">
        <v>91835.459999999992</v>
      </c>
      <c r="E29" s="737">
        <f t="shared" si="0"/>
        <v>2.6099999999999998E-2</v>
      </c>
      <c r="F29" s="738">
        <f t="shared" si="3"/>
        <v>34849.152542249998</v>
      </c>
      <c r="G29" s="739">
        <f t="shared" si="4"/>
        <v>-56986.307457749994</v>
      </c>
      <c r="H29" s="587">
        <f t="shared" si="5"/>
        <v>-683835.68949299993</v>
      </c>
      <c r="I29" s="584"/>
      <c r="J29" s="584"/>
      <c r="L29" s="740">
        <f t="shared" si="1"/>
        <v>418189.83050699998</v>
      </c>
      <c r="N29" s="384" t="s">
        <v>1444</v>
      </c>
      <c r="O29" s="779">
        <v>2.6099999999999998E-2</v>
      </c>
      <c r="P29" s="779" t="str">
        <f t="shared" si="2"/>
        <v>Y</v>
      </c>
      <c r="R29" s="779">
        <v>2.7199999999999998E-2</v>
      </c>
      <c r="S29" s="808"/>
    </row>
    <row r="30" spans="1:19">
      <c r="A30" s="735" t="s">
        <v>1445</v>
      </c>
      <c r="B30" s="736">
        <v>32273846.380000003</v>
      </c>
      <c r="C30" s="737">
        <v>2.2700000000000001E-2</v>
      </c>
      <c r="D30" s="736">
        <v>60944.54</v>
      </c>
      <c r="E30" s="737">
        <f t="shared" si="0"/>
        <v>2.6099999999999998E-2</v>
      </c>
      <c r="F30" s="738">
        <f t="shared" si="3"/>
        <v>70195.6158765</v>
      </c>
      <c r="G30" s="739">
        <f t="shared" si="4"/>
        <v>9251.0758764999991</v>
      </c>
      <c r="H30" s="587">
        <f t="shared" si="5"/>
        <v>111012.91051799999</v>
      </c>
      <c r="I30" s="584"/>
      <c r="J30" s="584"/>
      <c r="L30" s="740">
        <f t="shared" si="1"/>
        <v>842347.390518</v>
      </c>
      <c r="N30" s="384" t="s">
        <v>1445</v>
      </c>
      <c r="O30" s="779">
        <v>2.6099999999999998E-2</v>
      </c>
      <c r="P30" s="779" t="str">
        <f t="shared" si="2"/>
        <v>Y</v>
      </c>
      <c r="R30" s="779">
        <v>2.7199999999999998E-2</v>
      </c>
      <c r="S30" s="808"/>
    </row>
    <row r="31" spans="1:19">
      <c r="A31" s="735" t="s">
        <v>1446</v>
      </c>
      <c r="B31" s="736">
        <v>24129820.09</v>
      </c>
      <c r="C31" s="737">
        <v>1.8599999999999998E-2</v>
      </c>
      <c r="D31" s="736">
        <v>37401.22</v>
      </c>
      <c r="E31" s="737">
        <f t="shared" si="0"/>
        <v>2.6099999999999998E-2</v>
      </c>
      <c r="F31" s="738">
        <f t="shared" si="3"/>
        <v>52482.358695750001</v>
      </c>
      <c r="G31" s="739">
        <f t="shared" si="4"/>
        <v>15081.13869575</v>
      </c>
      <c r="H31" s="587">
        <f t="shared" si="5"/>
        <v>180973.664349</v>
      </c>
      <c r="I31" s="584"/>
      <c r="J31" s="584"/>
      <c r="L31" s="740">
        <f t="shared" si="1"/>
        <v>629788.30434899998</v>
      </c>
      <c r="N31" s="384" t="s">
        <v>1446</v>
      </c>
      <c r="O31" s="779">
        <v>2.6099999999999998E-2</v>
      </c>
      <c r="P31" s="779" t="str">
        <f t="shared" si="2"/>
        <v>Y</v>
      </c>
      <c r="R31" s="779">
        <v>2.7199999999999998E-2</v>
      </c>
      <c r="S31" s="808"/>
    </row>
    <row r="32" spans="1:19">
      <c r="A32" s="735" t="s">
        <v>1447</v>
      </c>
      <c r="B32" s="736">
        <v>8559185.1400000006</v>
      </c>
      <c r="C32" s="737">
        <v>2.3199999999999998E-2</v>
      </c>
      <c r="D32" s="736">
        <v>16518.809999999998</v>
      </c>
      <c r="E32" s="737">
        <f t="shared" si="0"/>
        <v>2.1600000000000001E-2</v>
      </c>
      <c r="F32" s="738">
        <f t="shared" si="3"/>
        <v>15406.533252000001</v>
      </c>
      <c r="G32" s="739">
        <f t="shared" si="4"/>
        <v>-1112.2767479999966</v>
      </c>
      <c r="H32" s="587">
        <f t="shared" si="5"/>
        <v>-13347.320975999959</v>
      </c>
      <c r="I32" s="584"/>
      <c r="J32" s="584"/>
      <c r="L32" s="740">
        <f t="shared" si="1"/>
        <v>184878.39902400001</v>
      </c>
      <c r="N32" s="384" t="s">
        <v>1447</v>
      </c>
      <c r="O32" s="779">
        <v>2.1600000000000001E-2</v>
      </c>
      <c r="P32" s="779" t="str">
        <f t="shared" si="2"/>
        <v>Y</v>
      </c>
      <c r="R32" s="779">
        <v>2.4199999999999999E-2</v>
      </c>
      <c r="S32" s="808"/>
    </row>
    <row r="33" spans="1:19">
      <c r="A33" s="735" t="s">
        <v>1448</v>
      </c>
      <c r="B33" s="736">
        <v>9718288.5999999996</v>
      </c>
      <c r="C33" s="737">
        <v>2.18E-2</v>
      </c>
      <c r="D33" s="736">
        <v>17654.89</v>
      </c>
      <c r="E33" s="737">
        <f t="shared" si="0"/>
        <v>1.7000000000000001E-2</v>
      </c>
      <c r="F33" s="738">
        <f t="shared" si="3"/>
        <v>13767.575516666666</v>
      </c>
      <c r="G33" s="739">
        <f t="shared" si="4"/>
        <v>-3887.3144833333336</v>
      </c>
      <c r="H33" s="587">
        <f t="shared" si="5"/>
        <v>-46647.773800000003</v>
      </c>
      <c r="I33" s="584"/>
      <c r="J33" s="584"/>
      <c r="L33" s="740">
        <f t="shared" si="1"/>
        <v>165210.9062</v>
      </c>
      <c r="N33" s="384" t="s">
        <v>1448</v>
      </c>
      <c r="O33" s="779">
        <v>1.7000000000000001E-2</v>
      </c>
      <c r="P33" s="779" t="str">
        <f t="shared" si="2"/>
        <v>Y</v>
      </c>
      <c r="R33" s="779">
        <v>1.8700000000000001E-2</v>
      </c>
      <c r="S33" s="808"/>
    </row>
    <row r="34" spans="1:19">
      <c r="A34" s="735" t="s">
        <v>1449</v>
      </c>
      <c r="B34" s="736">
        <v>3267535.24</v>
      </c>
      <c r="C34" s="737">
        <v>0</v>
      </c>
      <c r="D34" s="736">
        <v>0</v>
      </c>
      <c r="E34" s="737">
        <f t="shared" si="0"/>
        <v>0</v>
      </c>
      <c r="F34" s="738"/>
      <c r="G34" s="739">
        <f t="shared" si="4"/>
        <v>0</v>
      </c>
      <c r="H34" s="587">
        <f t="shared" si="5"/>
        <v>0</v>
      </c>
      <c r="I34" s="584"/>
      <c r="J34" s="584"/>
      <c r="L34" s="740">
        <f t="shared" si="1"/>
        <v>0</v>
      </c>
      <c r="N34" s="384" t="s">
        <v>1449</v>
      </c>
      <c r="O34" s="779">
        <v>0</v>
      </c>
      <c r="P34" s="779" t="str">
        <f t="shared" si="2"/>
        <v>Y</v>
      </c>
      <c r="R34" s="779">
        <v>0</v>
      </c>
      <c r="S34" s="808"/>
    </row>
    <row r="35" spans="1:19">
      <c r="A35" s="735" t="s">
        <v>1450</v>
      </c>
      <c r="B35" s="736">
        <v>7933.28</v>
      </c>
      <c r="C35" s="737">
        <v>0</v>
      </c>
      <c r="D35" s="736">
        <v>0</v>
      </c>
      <c r="E35" s="737">
        <f t="shared" si="0"/>
        <v>0</v>
      </c>
      <c r="F35" s="738"/>
      <c r="G35" s="739">
        <f t="shared" si="4"/>
        <v>0</v>
      </c>
      <c r="H35" s="587">
        <f t="shared" si="5"/>
        <v>0</v>
      </c>
      <c r="L35" s="740">
        <f t="shared" si="1"/>
        <v>0</v>
      </c>
      <c r="N35" s="384" t="s">
        <v>1450</v>
      </c>
      <c r="O35" s="779">
        <v>0</v>
      </c>
      <c r="P35" s="779" t="str">
        <f t="shared" si="2"/>
        <v>Y</v>
      </c>
      <c r="R35" s="779">
        <v>0</v>
      </c>
      <c r="S35" s="808"/>
    </row>
    <row r="36" spans="1:19">
      <c r="A36" s="735" t="s">
        <v>1451</v>
      </c>
      <c r="B36" s="736">
        <v>16960355.690000001</v>
      </c>
      <c r="C36" s="737">
        <v>1.24E-2</v>
      </c>
      <c r="D36" s="736">
        <v>17518.289999999997</v>
      </c>
      <c r="E36" s="737">
        <f t="shared" si="0"/>
        <v>1.44E-2</v>
      </c>
      <c r="F36" s="738">
        <f>IF(E36=0%, D36, (B36+K38)*E36/12)</f>
        <v>20352.426828</v>
      </c>
      <c r="G36" s="739">
        <f t="shared" si="4"/>
        <v>2834.1368280000024</v>
      </c>
      <c r="H36" s="587">
        <f t="shared" si="5"/>
        <v>34009.641936000029</v>
      </c>
      <c r="L36" s="740">
        <f t="shared" si="1"/>
        <v>244229.12193600001</v>
      </c>
      <c r="N36" s="384" t="s">
        <v>1451</v>
      </c>
      <c r="O36" s="779">
        <v>1.44E-2</v>
      </c>
      <c r="P36" s="779" t="str">
        <f t="shared" si="2"/>
        <v>Y</v>
      </c>
      <c r="R36" s="779">
        <v>1.44E-2</v>
      </c>
      <c r="S36" s="808"/>
    </row>
    <row r="37" spans="1:19">
      <c r="A37" s="735" t="s">
        <v>1454</v>
      </c>
      <c r="B37" s="736">
        <v>2626882.3000000003</v>
      </c>
      <c r="C37" s="737">
        <v>0.16239999999999999</v>
      </c>
      <c r="D37" s="736">
        <v>35493.72</v>
      </c>
      <c r="E37" s="737">
        <f t="shared" si="0"/>
        <v>0.44020000000000004</v>
      </c>
      <c r="F37" s="738">
        <f>(B37+K37)*(E37/12)</f>
        <v>52243.020371666687</v>
      </c>
      <c r="G37" s="739">
        <f t="shared" si="4"/>
        <v>16749.300371666686</v>
      </c>
      <c r="H37" s="587">
        <f t="shared" si="5"/>
        <v>200991.60446000024</v>
      </c>
      <c r="I37" s="584">
        <v>11</v>
      </c>
      <c r="J37" s="584">
        <v>5</v>
      </c>
      <c r="K37" s="736">
        <v>-1202720</v>
      </c>
      <c r="L37" s="740">
        <f t="shared" si="1"/>
        <v>626916.24446000019</v>
      </c>
      <c r="N37" s="384" t="s">
        <v>1454</v>
      </c>
      <c r="O37" s="779">
        <v>0.44020000000000004</v>
      </c>
      <c r="P37" s="779" t="str">
        <f t="shared" si="2"/>
        <v>Y</v>
      </c>
      <c r="R37" s="779">
        <v>0.44019999999999998</v>
      </c>
      <c r="S37" s="808"/>
    </row>
    <row r="38" spans="1:19">
      <c r="A38" s="735" t="s">
        <v>1452</v>
      </c>
      <c r="B38" s="736">
        <v>233771.36000000004</v>
      </c>
      <c r="C38" s="737">
        <v>0.17369999999999999</v>
      </c>
      <c r="D38" s="736">
        <v>3381.09</v>
      </c>
      <c r="E38" s="737">
        <f t="shared" si="0"/>
        <v>0.26369999999999999</v>
      </c>
      <c r="F38" s="738">
        <f>(B38+K38)*(E38/12)</f>
        <v>5137.1256360000007</v>
      </c>
      <c r="G38" s="739">
        <f t="shared" si="4"/>
        <v>1756.0356360000005</v>
      </c>
      <c r="H38" s="587">
        <f t="shared" si="5"/>
        <v>21072.427632000006</v>
      </c>
      <c r="I38" s="584">
        <v>15</v>
      </c>
      <c r="J38" s="584">
        <v>15</v>
      </c>
      <c r="K38" s="736">
        <v>0</v>
      </c>
      <c r="L38" s="740">
        <f t="shared" si="1"/>
        <v>61645.507632000008</v>
      </c>
      <c r="N38" s="384" t="s">
        <v>1452</v>
      </c>
      <c r="O38" s="779">
        <v>0.26369999999999999</v>
      </c>
      <c r="P38" s="779" t="str">
        <f t="shared" si="2"/>
        <v>Y</v>
      </c>
      <c r="R38" s="779">
        <v>0.26369999999999999</v>
      </c>
      <c r="S38" s="808"/>
    </row>
    <row r="39" spans="1:19">
      <c r="A39" s="735" t="s">
        <v>1453</v>
      </c>
      <c r="B39" s="736">
        <v>1410564.77</v>
      </c>
      <c r="C39" s="737">
        <v>4.9799999999999997E-2</v>
      </c>
      <c r="D39" s="736">
        <v>5847.45</v>
      </c>
      <c r="E39" s="737">
        <f t="shared" si="0"/>
        <v>0.19</v>
      </c>
      <c r="F39" s="738">
        <f t="shared" ref="F39:F49" si="6">(B39+K39)*(E39/12)</f>
        <v>19900.232508333334</v>
      </c>
      <c r="G39" s="739">
        <f t="shared" si="4"/>
        <v>14052.782508333334</v>
      </c>
      <c r="H39" s="587">
        <f t="shared" si="5"/>
        <v>168633.39010000002</v>
      </c>
      <c r="I39" s="584">
        <v>25</v>
      </c>
      <c r="J39" s="584">
        <v>15</v>
      </c>
      <c r="K39" s="736">
        <v>-153707.98000000001</v>
      </c>
      <c r="L39" s="740">
        <f t="shared" si="1"/>
        <v>238802.79010000001</v>
      </c>
      <c r="N39" s="384" t="s">
        <v>1453</v>
      </c>
      <c r="O39" s="779">
        <v>0.19</v>
      </c>
      <c r="P39" s="779" t="str">
        <f t="shared" si="2"/>
        <v>Y</v>
      </c>
      <c r="R39" s="779">
        <v>0.19</v>
      </c>
      <c r="S39" s="808"/>
    </row>
    <row r="40" spans="1:19">
      <c r="A40" s="735" t="s">
        <v>2330</v>
      </c>
      <c r="B40" s="736">
        <v>2250897.6999999997</v>
      </c>
      <c r="C40" s="737">
        <v>0</v>
      </c>
      <c r="D40" s="736">
        <v>0</v>
      </c>
      <c r="E40" s="737">
        <f t="shared" si="0"/>
        <v>0</v>
      </c>
      <c r="F40" s="738">
        <f t="shared" si="6"/>
        <v>0</v>
      </c>
      <c r="G40" s="739">
        <f t="shared" si="4"/>
        <v>0</v>
      </c>
      <c r="H40" s="587">
        <f t="shared" si="5"/>
        <v>0</v>
      </c>
      <c r="I40" s="584"/>
      <c r="J40" s="584"/>
      <c r="K40" s="736"/>
      <c r="L40" s="740">
        <f t="shared" si="1"/>
        <v>0</v>
      </c>
      <c r="N40" s="384" t="s">
        <v>2330</v>
      </c>
      <c r="O40" s="779">
        <v>0</v>
      </c>
      <c r="P40" s="779" t="str">
        <f t="shared" si="2"/>
        <v>Y</v>
      </c>
      <c r="R40" s="779">
        <v>0</v>
      </c>
      <c r="S40" s="808"/>
    </row>
    <row r="41" spans="1:19">
      <c r="A41" s="735" t="s">
        <v>2331</v>
      </c>
      <c r="B41" s="736">
        <v>209355.96000000002</v>
      </c>
      <c r="C41" s="737">
        <v>3.15E-2</v>
      </c>
      <c r="D41" s="736">
        <v>549.54</v>
      </c>
      <c r="E41" s="737">
        <f t="shared" si="0"/>
        <v>2.69E-2</v>
      </c>
      <c r="F41" s="738">
        <f t="shared" si="6"/>
        <v>469.30627700000002</v>
      </c>
      <c r="G41" s="739">
        <f t="shared" si="4"/>
        <v>-80.233722999999941</v>
      </c>
      <c r="H41" s="587">
        <f t="shared" si="5"/>
        <v>-962.80467599999929</v>
      </c>
      <c r="L41" s="740">
        <f t="shared" si="1"/>
        <v>5631.6753239999998</v>
      </c>
      <c r="N41" s="384" t="s">
        <v>2331</v>
      </c>
      <c r="O41" s="779">
        <v>2.69E-2</v>
      </c>
      <c r="P41" s="779" t="str">
        <f t="shared" si="2"/>
        <v>Y</v>
      </c>
      <c r="R41" s="779">
        <v>2.69E-2</v>
      </c>
      <c r="S41" s="808"/>
    </row>
    <row r="42" spans="1:19">
      <c r="A42" s="735" t="s">
        <v>2332</v>
      </c>
      <c r="B42" s="736">
        <v>13232526.48</v>
      </c>
      <c r="C42" s="737">
        <v>6.1499999999999999E-2</v>
      </c>
      <c r="D42" s="736">
        <v>67803.55</v>
      </c>
      <c r="E42" s="737">
        <f t="shared" si="0"/>
        <v>5.8899999999999994E-2</v>
      </c>
      <c r="F42" s="738">
        <f t="shared" si="6"/>
        <v>64949.650805999998</v>
      </c>
      <c r="G42" s="739">
        <f t="shared" si="4"/>
        <v>-2853.8991940000051</v>
      </c>
      <c r="H42" s="587">
        <f t="shared" si="5"/>
        <v>-34246.790328000061</v>
      </c>
      <c r="L42" s="740">
        <f t="shared" si="1"/>
        <v>779395.809672</v>
      </c>
      <c r="N42" s="384" t="s">
        <v>2332</v>
      </c>
      <c r="O42" s="779">
        <v>5.8899999999999994E-2</v>
      </c>
      <c r="P42" s="779" t="str">
        <f t="shared" si="2"/>
        <v>Y</v>
      </c>
      <c r="R42" s="779">
        <v>5.8900000000000001E-2</v>
      </c>
      <c r="S42" s="808"/>
    </row>
    <row r="43" spans="1:19">
      <c r="A43" s="735" t="s">
        <v>1455</v>
      </c>
      <c r="B43" s="736">
        <v>63199.69</v>
      </c>
      <c r="C43" s="737">
        <v>5.3400000000000003E-2</v>
      </c>
      <c r="D43" s="736">
        <v>280.95</v>
      </c>
      <c r="E43" s="737">
        <f t="shared" si="0"/>
        <v>8.4000000000000005E-2</v>
      </c>
      <c r="F43" s="738">
        <f t="shared" si="6"/>
        <v>442.39783</v>
      </c>
      <c r="G43" s="739">
        <f t="shared" si="4"/>
        <v>161.44783000000001</v>
      </c>
      <c r="H43" s="587">
        <f t="shared" si="5"/>
        <v>1937.3739600000001</v>
      </c>
      <c r="I43" s="584">
        <v>33</v>
      </c>
      <c r="J43" s="584">
        <v>30</v>
      </c>
      <c r="K43" s="736">
        <v>0</v>
      </c>
      <c r="L43" s="740">
        <f t="shared" si="1"/>
        <v>5308.7739600000004</v>
      </c>
      <c r="N43" s="384" t="s">
        <v>1455</v>
      </c>
      <c r="O43" s="779">
        <v>8.4000000000000005E-2</v>
      </c>
      <c r="P43" s="779" t="str">
        <f t="shared" si="2"/>
        <v>Y</v>
      </c>
      <c r="R43" s="779">
        <v>8.4000000000000005E-2</v>
      </c>
      <c r="S43" s="808"/>
    </row>
    <row r="44" spans="1:19">
      <c r="A44" s="735" t="s">
        <v>1456</v>
      </c>
      <c r="B44" s="736">
        <v>7034460.8100000005</v>
      </c>
      <c r="C44" s="737">
        <v>3.56E-2</v>
      </c>
      <c r="D44" s="736">
        <v>20859.3</v>
      </c>
      <c r="E44" s="737">
        <f t="shared" si="0"/>
        <v>0.1066</v>
      </c>
      <c r="F44" s="738">
        <f t="shared" si="6"/>
        <v>53716.40855966667</v>
      </c>
      <c r="G44" s="739">
        <f t="shared" si="4"/>
        <v>32857.108559666667</v>
      </c>
      <c r="H44" s="587">
        <f t="shared" si="5"/>
        <v>394285.30271600001</v>
      </c>
      <c r="I44" s="584">
        <v>31</v>
      </c>
      <c r="J44" s="584">
        <v>20</v>
      </c>
      <c r="K44" s="736">
        <v>-987585.55</v>
      </c>
      <c r="L44" s="740">
        <f t="shared" si="1"/>
        <v>644596.9027160001</v>
      </c>
      <c r="N44" s="384" t="s">
        <v>1456</v>
      </c>
      <c r="O44" s="779">
        <v>0.1066</v>
      </c>
      <c r="P44" s="779" t="str">
        <f t="shared" si="2"/>
        <v>Y</v>
      </c>
      <c r="R44" s="779">
        <v>0.1066</v>
      </c>
      <c r="S44" s="808"/>
    </row>
    <row r="45" spans="1:19">
      <c r="A45" s="735" t="s">
        <v>1465</v>
      </c>
      <c r="B45" s="736">
        <v>131231.01999999999</v>
      </c>
      <c r="C45" s="737">
        <v>1.84E-2</v>
      </c>
      <c r="D45" s="736">
        <v>201.22</v>
      </c>
      <c r="E45" s="737">
        <f t="shared" si="0"/>
        <v>1.52E-2</v>
      </c>
      <c r="F45" s="738">
        <f t="shared" si="6"/>
        <v>166.22595866666666</v>
      </c>
      <c r="G45" s="739">
        <f t="shared" si="4"/>
        <v>-34.994041333333342</v>
      </c>
      <c r="H45" s="587">
        <f t="shared" si="5"/>
        <v>-419.92849600000011</v>
      </c>
      <c r="I45" s="584"/>
      <c r="J45" s="584"/>
      <c r="K45" s="736"/>
      <c r="L45" s="740">
        <f t="shared" si="1"/>
        <v>1994.7115039999999</v>
      </c>
      <c r="N45" s="384" t="s">
        <v>1465</v>
      </c>
      <c r="O45" s="779">
        <v>1.52E-2</v>
      </c>
      <c r="P45" s="779" t="str">
        <f t="shared" si="2"/>
        <v>Y</v>
      </c>
      <c r="R45" s="779">
        <v>1.52E-2</v>
      </c>
      <c r="S45" s="808"/>
    </row>
    <row r="46" spans="1:19">
      <c r="A46" s="735" t="s">
        <v>1457</v>
      </c>
      <c r="B46" s="736">
        <v>68747.38</v>
      </c>
      <c r="C46" s="737">
        <v>4.5999999999999999E-2</v>
      </c>
      <c r="D46" s="736">
        <v>263.14</v>
      </c>
      <c r="E46" s="737">
        <f t="shared" si="0"/>
        <v>0.14550000000000002</v>
      </c>
      <c r="F46" s="738">
        <f t="shared" si="6"/>
        <v>461.94176625000017</v>
      </c>
      <c r="G46" s="739">
        <f t="shared" si="4"/>
        <v>198.80176625000018</v>
      </c>
      <c r="H46" s="587">
        <f t="shared" si="5"/>
        <v>2385.6211950000024</v>
      </c>
      <c r="I46" s="584">
        <v>25</v>
      </c>
      <c r="J46" s="584">
        <v>20</v>
      </c>
      <c r="K46" s="736">
        <v>-30649.09</v>
      </c>
      <c r="L46" s="740">
        <f t="shared" si="1"/>
        <v>5543.3011950000018</v>
      </c>
      <c r="N46" s="384" t="s">
        <v>1457</v>
      </c>
      <c r="O46" s="779">
        <v>0.14550000000000002</v>
      </c>
      <c r="P46" s="779" t="str">
        <f t="shared" si="2"/>
        <v>Y</v>
      </c>
      <c r="R46" s="779">
        <v>0.14549999999999999</v>
      </c>
      <c r="S46" s="808"/>
    </row>
    <row r="47" spans="1:19">
      <c r="A47" s="735" t="s">
        <v>2333</v>
      </c>
      <c r="B47" s="736">
        <v>2028370.8599999999</v>
      </c>
      <c r="C47" s="737">
        <v>5.1799999999999999E-2</v>
      </c>
      <c r="D47" s="736">
        <v>8756.2900000000009</v>
      </c>
      <c r="E47" s="737">
        <f t="shared" si="0"/>
        <v>9.6300000000000011E-2</v>
      </c>
      <c r="F47" s="738">
        <f t="shared" si="6"/>
        <v>16277.676151500002</v>
      </c>
      <c r="G47" s="739">
        <f t="shared" si="4"/>
        <v>7521.3861515000008</v>
      </c>
      <c r="H47" s="587">
        <f t="shared" si="5"/>
        <v>90256.633818000002</v>
      </c>
      <c r="L47" s="740">
        <f t="shared" si="1"/>
        <v>195332.11381800001</v>
      </c>
      <c r="N47" s="384" t="s">
        <v>2333</v>
      </c>
      <c r="O47" s="779">
        <v>9.6300000000000011E-2</v>
      </c>
      <c r="P47" s="779" t="str">
        <f t="shared" si="2"/>
        <v>Y</v>
      </c>
      <c r="R47" s="779">
        <v>9.6299999999999997E-2</v>
      </c>
      <c r="S47" s="808"/>
    </row>
    <row r="48" spans="1:19">
      <c r="A48" s="735" t="s">
        <v>2334</v>
      </c>
      <c r="B48" s="736">
        <v>553326.53</v>
      </c>
      <c r="C48" s="737">
        <v>3.1199999999999999E-2</v>
      </c>
      <c r="D48" s="736">
        <v>1438.65</v>
      </c>
      <c r="E48" s="737">
        <f t="shared" si="0"/>
        <v>2.6099999999999998E-2</v>
      </c>
      <c r="F48" s="738">
        <f t="shared" si="6"/>
        <v>1203.4852027499999</v>
      </c>
      <c r="G48" s="739">
        <f t="shared" si="4"/>
        <v>-235.16479725000022</v>
      </c>
      <c r="H48" s="587">
        <f t="shared" si="5"/>
        <v>-2821.9775670000026</v>
      </c>
      <c r="L48" s="740">
        <f t="shared" si="1"/>
        <v>14441.822432999998</v>
      </c>
      <c r="N48" s="384" t="s">
        <v>2334</v>
      </c>
      <c r="O48" s="779">
        <v>2.6099999999999998E-2</v>
      </c>
      <c r="P48" s="779" t="str">
        <f t="shared" si="2"/>
        <v>Y</v>
      </c>
      <c r="R48" s="779">
        <v>2.9700000000000001E-2</v>
      </c>
      <c r="S48" s="808"/>
    </row>
    <row r="49" spans="1:19">
      <c r="A49" s="735" t="s">
        <v>1458</v>
      </c>
      <c r="B49" s="736">
        <v>194717.3</v>
      </c>
      <c r="C49" s="737">
        <v>4.5600000000000002E-2</v>
      </c>
      <c r="D49" s="736">
        <v>739.93</v>
      </c>
      <c r="E49" s="737">
        <f t="shared" si="0"/>
        <v>5.3499999999999999E-2</v>
      </c>
      <c r="F49" s="738">
        <f t="shared" si="6"/>
        <v>543.53106541666659</v>
      </c>
      <c r="G49" s="739">
        <f t="shared" si="4"/>
        <v>-196.39893458333336</v>
      </c>
      <c r="H49" s="587">
        <f t="shared" si="5"/>
        <v>-2356.7872150000003</v>
      </c>
      <c r="I49" s="584" t="s">
        <v>2335</v>
      </c>
      <c r="J49" s="584">
        <v>15</v>
      </c>
      <c r="K49" s="736">
        <v>-72803.789999999994</v>
      </c>
      <c r="L49" s="740">
        <f t="shared" si="1"/>
        <v>6522.3727849999996</v>
      </c>
      <c r="N49" s="384" t="s">
        <v>1458</v>
      </c>
      <c r="O49" s="779">
        <v>5.3499999999999999E-2</v>
      </c>
      <c r="P49" s="779" t="str">
        <f t="shared" si="2"/>
        <v>Y</v>
      </c>
      <c r="R49" s="779">
        <v>5.3499999999999999E-2</v>
      </c>
      <c r="S49" s="808"/>
    </row>
    <row r="50" spans="1:19">
      <c r="A50" s="735" t="s">
        <v>1459</v>
      </c>
      <c r="B50" s="736">
        <v>939552.66999999993</v>
      </c>
      <c r="C50" s="737">
        <v>9.3700000000000006E-2</v>
      </c>
      <c r="D50" s="736">
        <v>7336.1600000000008</v>
      </c>
      <c r="E50" s="737">
        <f t="shared" si="0"/>
        <v>6.9900000000000004E-2</v>
      </c>
      <c r="F50" s="738">
        <f>(B50+K50)*(E50/12)</f>
        <v>5472.89430275</v>
      </c>
      <c r="G50" s="739">
        <f t="shared" si="4"/>
        <v>-1863.2656972500008</v>
      </c>
      <c r="H50" s="587">
        <f t="shared" si="5"/>
        <v>-22359.18836700001</v>
      </c>
      <c r="I50" s="584">
        <v>12</v>
      </c>
      <c r="J50" s="584">
        <v>15</v>
      </c>
      <c r="K50" s="736">
        <v>0</v>
      </c>
      <c r="L50" s="740">
        <f t="shared" si="1"/>
        <v>65674.731633000003</v>
      </c>
      <c r="N50" s="384" t="s">
        <v>1459</v>
      </c>
      <c r="O50" s="779">
        <v>6.9900000000000004E-2</v>
      </c>
      <c r="P50" s="779" t="str">
        <f t="shared" si="2"/>
        <v>Y</v>
      </c>
      <c r="R50" s="779">
        <v>6.9900000000000004E-2</v>
      </c>
      <c r="S50" s="808"/>
    </row>
    <row r="51" spans="1:19">
      <c r="A51" s="735" t="s">
        <v>1460</v>
      </c>
      <c r="B51" s="736">
        <v>4114182.71</v>
      </c>
      <c r="C51" s="737">
        <v>1.2999999999999999E-3</v>
      </c>
      <c r="D51" s="736">
        <v>445.54999999999995</v>
      </c>
      <c r="E51" s="737">
        <f t="shared" si="0"/>
        <v>5.5300000000000002E-2</v>
      </c>
      <c r="F51" s="738">
        <f>(B51+K51)*(E51/12)</f>
        <v>10602.882227583334</v>
      </c>
      <c r="G51" s="739">
        <f t="shared" si="4"/>
        <v>10157.332227583334</v>
      </c>
      <c r="H51" s="587">
        <f t="shared" si="5"/>
        <v>121887.98673100001</v>
      </c>
      <c r="I51" s="584" t="s">
        <v>2335</v>
      </c>
      <c r="J51" s="584">
        <v>15</v>
      </c>
      <c r="K51" s="736">
        <v>-1813376.44</v>
      </c>
      <c r="L51" s="740">
        <f t="shared" si="1"/>
        <v>127234.586731</v>
      </c>
      <c r="N51" s="384" t="s">
        <v>1460</v>
      </c>
      <c r="O51" s="779">
        <v>5.5300000000000002E-2</v>
      </c>
      <c r="P51" s="779" t="str">
        <f t="shared" si="2"/>
        <v>Y</v>
      </c>
      <c r="R51" s="779">
        <v>5.5300000000000002E-2</v>
      </c>
      <c r="S51" s="808"/>
    </row>
    <row r="52" spans="1:19">
      <c r="A52" s="735" t="s">
        <v>1461</v>
      </c>
      <c r="B52" s="736">
        <v>422419.49999999994</v>
      </c>
      <c r="C52" s="737">
        <v>9.1800000000000007E-2</v>
      </c>
      <c r="D52" s="736">
        <v>3230.27</v>
      </c>
      <c r="E52" s="737">
        <f t="shared" si="0"/>
        <v>0.2162</v>
      </c>
      <c r="F52" s="738">
        <f>(B52+K52)*(E52/12)</f>
        <v>7610.5913249999994</v>
      </c>
      <c r="G52" s="739">
        <f t="shared" si="4"/>
        <v>4380.321324999999</v>
      </c>
      <c r="H52" s="587">
        <f t="shared" si="5"/>
        <v>52563.855899999988</v>
      </c>
      <c r="I52" s="584" t="s">
        <v>2335</v>
      </c>
      <c r="J52" s="584">
        <v>15</v>
      </c>
      <c r="K52" s="736">
        <v>0</v>
      </c>
      <c r="L52" s="740">
        <f t="shared" si="1"/>
        <v>91327.095899999986</v>
      </c>
      <c r="N52" s="384" t="s">
        <v>1461</v>
      </c>
      <c r="O52" s="779">
        <v>0.2162</v>
      </c>
      <c r="P52" s="779" t="str">
        <f t="shared" si="2"/>
        <v>Y</v>
      </c>
      <c r="R52" s="779">
        <v>0.2162</v>
      </c>
      <c r="S52" s="808"/>
    </row>
    <row r="53" spans="1:19">
      <c r="A53" s="735" t="s">
        <v>1462</v>
      </c>
      <c r="B53" s="736">
        <v>58988.85</v>
      </c>
      <c r="C53" s="737">
        <v>0.1051</v>
      </c>
      <c r="D53" s="736">
        <v>516.02</v>
      </c>
      <c r="E53" s="737">
        <f t="shared" si="0"/>
        <v>4.3499999999999997E-2</v>
      </c>
      <c r="F53" s="738">
        <f>(B53+K53)*(E53/12)</f>
        <v>213.83458124999999</v>
      </c>
      <c r="G53" s="739">
        <f t="shared" si="4"/>
        <v>-302.18541875</v>
      </c>
      <c r="H53" s="587">
        <f t="shared" si="5"/>
        <v>-3626.2250249999997</v>
      </c>
      <c r="L53" s="740">
        <f t="shared" si="1"/>
        <v>2566.014975</v>
      </c>
      <c r="N53" s="384" t="s">
        <v>1462</v>
      </c>
      <c r="O53" s="779">
        <v>4.3499999999999997E-2</v>
      </c>
      <c r="P53" s="779" t="str">
        <f t="shared" si="2"/>
        <v>Y</v>
      </c>
      <c r="R53" s="779">
        <v>4.3499999999999997E-2</v>
      </c>
      <c r="S53" s="808"/>
    </row>
    <row r="54" spans="1:19">
      <c r="A54" s="729" t="s">
        <v>2336</v>
      </c>
      <c r="B54" s="742">
        <f>SUM(B12:B53)</f>
        <v>866945220.73000002</v>
      </c>
      <c r="C54" s="743"/>
      <c r="D54" s="744">
        <f>SUM(D12:D53)</f>
        <v>2244953.62</v>
      </c>
      <c r="E54" s="744"/>
      <c r="F54" s="744">
        <f>SUM(F12:F53)</f>
        <v>2235469.1299561667</v>
      </c>
      <c r="G54" s="744">
        <f>SUM(G12:G53)</f>
        <v>-9484.4900438333443</v>
      </c>
      <c r="H54" s="744">
        <f>SUM(H12:H53)</f>
        <v>-113813.88052600026</v>
      </c>
      <c r="I54" s="584"/>
      <c r="J54" s="584"/>
      <c r="L54" s="744">
        <f>F54*12</f>
        <v>26825629.559473999</v>
      </c>
    </row>
    <row r="55" spans="1:19">
      <c r="A55" s="745"/>
      <c r="B55" s="736"/>
      <c r="C55" s="727"/>
      <c r="D55" s="588" t="s">
        <v>2337</v>
      </c>
      <c r="E55" s="746">
        <f>+(D54+G54)</f>
        <v>2235469.1299561667</v>
      </c>
      <c r="F55" s="727"/>
      <c r="G55" s="728"/>
      <c r="I55" s="584"/>
      <c r="J55" s="584"/>
      <c r="R55" s="779"/>
    </row>
    <row r="56" spans="1:19">
      <c r="C56" s="727"/>
      <c r="D56" s="584" t="s">
        <v>2327</v>
      </c>
      <c r="E56" s="746">
        <f>+E55*12</f>
        <v>26825629.559473999</v>
      </c>
      <c r="F56" s="727"/>
      <c r="G56" s="728"/>
      <c r="I56" s="584"/>
      <c r="J56" s="584"/>
      <c r="L56" s="587"/>
    </row>
    <row r="57" spans="1:19">
      <c r="C57" s="727"/>
      <c r="D57" s="584" t="s">
        <v>2338</v>
      </c>
      <c r="E57" s="747">
        <f>+'Exh 6, ROO Summary'!E25</f>
        <v>24915117.609999999</v>
      </c>
      <c r="F57" s="727"/>
      <c r="G57" s="728"/>
      <c r="I57" s="584"/>
      <c r="J57" s="584"/>
      <c r="K57" s="587"/>
    </row>
    <row r="58" spans="1:19">
      <c r="C58" s="727"/>
      <c r="D58" s="584" t="s">
        <v>2339</v>
      </c>
      <c r="E58" s="748">
        <f>+E56-E57</f>
        <v>1910511.9494739994</v>
      </c>
      <c r="F58" s="727"/>
      <c r="G58" s="728"/>
      <c r="I58" s="584"/>
      <c r="J58" s="584"/>
    </row>
  </sheetData>
  <mergeCells count="5">
    <mergeCell ref="A1:M1"/>
    <mergeCell ref="A2:M2"/>
    <mergeCell ref="A3:M3"/>
    <mergeCell ref="A4:M4"/>
    <mergeCell ref="A5:M5"/>
  </mergeCells>
  <dataValidations count="1">
    <dataValidation type="list" allowBlank="1" showInputMessage="1" showErrorMessage="1" sqref="R8" xr:uid="{92D502D8-46E4-4C91-800B-308443785E6C}">
      <formula1>"Filed, UG200278"</formula1>
    </dataValidation>
  </dataValidations>
  <printOptions horizontalCentered="1"/>
  <pageMargins left="0.7" right="0.7" top="0.75" bottom="0.75" header="0.3" footer="0.3"/>
  <pageSetup scale="40" orientation="portrait" r:id="rId1"/>
  <headerFooter scaleWithDoc="0" alignWithMargins="0">
    <oddHeader>&amp;R&amp;P of &amp;N</oddHeader>
    <oddFooter>&amp;LElectronic Tab Name: &amp;A</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theme="7" tint="0.79998168889431442"/>
  </sheetPr>
  <dimension ref="A1:S121"/>
  <sheetViews>
    <sheetView view="pageBreakPreview" zoomScale="80" zoomScaleNormal="100" zoomScaleSheetLayoutView="80" workbookViewId="0">
      <pane xSplit="3" topLeftCell="G1" activePane="topRight" state="frozen"/>
      <selection activeCell="F27" sqref="F27"/>
      <selection pane="topRight" activeCell="M15" sqref="M15"/>
    </sheetView>
  </sheetViews>
  <sheetFormatPr defaultColWidth="9.109375" defaultRowHeight="15.6"/>
  <cols>
    <col min="1" max="1" width="10.109375" style="5" customWidth="1"/>
    <col min="2" max="2" width="43.6640625" style="3" bestFit="1" customWidth="1"/>
    <col min="3" max="3" width="9.5546875" style="3" bestFit="1" customWidth="1"/>
    <col min="4" max="4" width="16.109375" style="3" bestFit="1" customWidth="1"/>
    <col min="5" max="5" width="12.6640625" style="3" bestFit="1" customWidth="1"/>
    <col min="6" max="6" width="19" style="3" bestFit="1" customWidth="1"/>
    <col min="7" max="7" width="8.109375" style="3" bestFit="1" customWidth="1"/>
    <col min="8" max="8" width="17.5546875" style="3" customWidth="1"/>
    <col min="9" max="9" width="19" style="3" customWidth="1"/>
    <col min="10" max="10" width="13.33203125" style="3" customWidth="1"/>
    <col min="11" max="11" width="19.5546875" style="3" customWidth="1"/>
    <col min="12" max="12" width="18.44140625" style="3" customWidth="1"/>
    <col min="13" max="13" width="8.88671875" style="3" bestFit="1" customWidth="1"/>
    <col min="14" max="14" width="19" style="3" bestFit="1" customWidth="1"/>
    <col min="15" max="15" width="17.88671875" style="3" bestFit="1" customWidth="1"/>
    <col min="16" max="16" width="17.88671875" style="3" customWidth="1"/>
    <col min="17" max="17" width="22.109375" style="3" bestFit="1" customWidth="1"/>
    <col min="18" max="16384" width="9.109375" style="3"/>
  </cols>
  <sheetData>
    <row r="1" spans="1:19">
      <c r="C1" s="189"/>
      <c r="D1" s="189"/>
      <c r="E1" s="1910" t="s">
        <v>52</v>
      </c>
      <c r="F1" s="1910"/>
      <c r="G1" s="1910"/>
      <c r="H1" s="1910"/>
      <c r="I1" s="1910"/>
      <c r="J1" s="1910"/>
      <c r="K1" s="1910"/>
      <c r="L1" s="1910"/>
      <c r="N1" s="189"/>
      <c r="O1" s="189"/>
      <c r="P1" s="189"/>
      <c r="Q1" s="189"/>
    </row>
    <row r="2" spans="1:19">
      <c r="C2" s="228"/>
      <c r="D2" s="228"/>
      <c r="E2" s="1910" t="s">
        <v>1824</v>
      </c>
      <c r="F2" s="1910"/>
      <c r="G2" s="1910"/>
      <c r="H2" s="1910"/>
      <c r="I2" s="1910"/>
      <c r="J2" s="1910"/>
      <c r="K2" s="1910"/>
      <c r="L2" s="1910"/>
      <c r="N2" s="358"/>
      <c r="O2" s="1707">
        <v>554816.87453149993</v>
      </c>
      <c r="P2" s="228"/>
      <c r="Q2" s="228"/>
    </row>
    <row r="3" spans="1:19">
      <c r="C3" s="228"/>
      <c r="D3" s="228"/>
      <c r="E3" s="1910" t="s">
        <v>1272</v>
      </c>
      <c r="F3" s="1910"/>
      <c r="G3" s="1910"/>
      <c r="H3" s="1910"/>
      <c r="I3" s="1910"/>
      <c r="J3" s="1910"/>
      <c r="K3" s="1910"/>
      <c r="L3" s="1910"/>
      <c r="N3" s="1706"/>
      <c r="O3" s="1707">
        <f>K42+K111</f>
        <v>554816.87453149993</v>
      </c>
      <c r="P3" s="228"/>
      <c r="Q3" s="228"/>
    </row>
    <row r="4" spans="1:19">
      <c r="C4" s="228"/>
      <c r="D4" s="228"/>
      <c r="E4" s="1910" t="s">
        <v>1816</v>
      </c>
      <c r="F4" s="1910"/>
      <c r="G4" s="1910"/>
      <c r="H4" s="1910"/>
      <c r="I4" s="1910"/>
      <c r="J4" s="1910"/>
      <c r="K4" s="1910"/>
      <c r="L4" s="1910"/>
      <c r="M4" s="1687">
        <v>2021</v>
      </c>
      <c r="N4" s="228"/>
      <c r="O4" s="1707">
        <f>O2-O3</f>
        <v>0</v>
      </c>
      <c r="P4" s="228"/>
      <c r="Q4" s="228"/>
    </row>
    <row r="5" spans="1:19">
      <c r="C5" s="229"/>
      <c r="D5" s="229"/>
      <c r="E5" s="1910" t="s">
        <v>1823</v>
      </c>
      <c r="F5" s="1910"/>
      <c r="G5" s="1910"/>
      <c r="H5" s="1910"/>
      <c r="I5" s="1910"/>
      <c r="J5" s="1910"/>
      <c r="K5" s="1910"/>
      <c r="L5" s="1910"/>
      <c r="M5" s="1591" t="s">
        <v>3255</v>
      </c>
      <c r="N5" s="230"/>
      <c r="O5" s="230"/>
      <c r="P5" s="230"/>
      <c r="Q5" s="230"/>
    </row>
    <row r="6" spans="1:19">
      <c r="C6" s="229"/>
      <c r="D6" s="229"/>
      <c r="E6" s="229"/>
      <c r="F6" s="439"/>
      <c r="G6" s="439"/>
      <c r="H6" s="439"/>
      <c r="I6" s="439"/>
      <c r="J6" s="439"/>
      <c r="K6" s="439"/>
      <c r="L6" s="439"/>
      <c r="M6" s="18"/>
      <c r="N6" s="230"/>
      <c r="O6" s="230"/>
      <c r="P6" s="230"/>
      <c r="Q6" s="230"/>
    </row>
    <row r="7" spans="1:19" s="5" customFormat="1">
      <c r="B7" s="15" t="s">
        <v>778</v>
      </c>
      <c r="C7" s="15" t="s">
        <v>776</v>
      </c>
      <c r="D7" s="15" t="s">
        <v>777</v>
      </c>
      <c r="E7" s="15" t="s">
        <v>780</v>
      </c>
      <c r="F7" s="15" t="s">
        <v>781</v>
      </c>
      <c r="G7" s="15" t="s">
        <v>782</v>
      </c>
      <c r="H7" s="15" t="s">
        <v>783</v>
      </c>
      <c r="I7" s="231" t="s">
        <v>784</v>
      </c>
      <c r="J7" s="231" t="s">
        <v>785</v>
      </c>
      <c r="K7" s="231" t="s">
        <v>786</v>
      </c>
      <c r="L7" s="231" t="s">
        <v>787</v>
      </c>
      <c r="M7" s="231" t="s">
        <v>788</v>
      </c>
      <c r="N7" s="231" t="s">
        <v>789</v>
      </c>
      <c r="O7" s="231" t="s">
        <v>790</v>
      </c>
      <c r="P7" s="231" t="s">
        <v>791</v>
      </c>
      <c r="Q7" s="231" t="s">
        <v>1252</v>
      </c>
    </row>
    <row r="8" spans="1:19">
      <c r="B8" s="14"/>
      <c r="C8" s="14"/>
      <c r="D8" s="14" t="s">
        <v>671</v>
      </c>
      <c r="E8" s="14" t="s">
        <v>672</v>
      </c>
      <c r="F8" s="14" t="s">
        <v>673</v>
      </c>
      <c r="G8" s="15"/>
      <c r="H8" s="14" t="s">
        <v>674</v>
      </c>
      <c r="I8" s="14"/>
      <c r="J8" s="14"/>
      <c r="K8" s="14"/>
      <c r="L8" s="14"/>
      <c r="M8" s="14"/>
      <c r="N8" s="14"/>
      <c r="O8" s="14"/>
      <c r="P8" s="14" t="s">
        <v>51</v>
      </c>
      <c r="Q8" s="14" t="s">
        <v>51</v>
      </c>
    </row>
    <row r="9" spans="1:19">
      <c r="B9" s="14"/>
      <c r="C9" s="14" t="s">
        <v>69</v>
      </c>
      <c r="D9" s="15" t="s">
        <v>2170</v>
      </c>
      <c r="E9" s="14" t="s">
        <v>59</v>
      </c>
      <c r="F9" s="14" t="s">
        <v>1074</v>
      </c>
      <c r="G9" s="15" t="s">
        <v>1075</v>
      </c>
      <c r="H9" s="14" t="s">
        <v>2177</v>
      </c>
      <c r="I9" s="14" t="s">
        <v>92</v>
      </c>
      <c r="J9" s="14" t="s">
        <v>1254</v>
      </c>
      <c r="K9" s="14" t="s">
        <v>1254</v>
      </c>
      <c r="L9" s="14" t="s">
        <v>2171</v>
      </c>
      <c r="M9" s="14"/>
      <c r="N9" s="14" t="s">
        <v>2172</v>
      </c>
      <c r="O9" s="14" t="s">
        <v>2172</v>
      </c>
      <c r="P9" s="14" t="s">
        <v>1253</v>
      </c>
      <c r="Q9" s="14" t="s">
        <v>1252</v>
      </c>
    </row>
    <row r="10" spans="1:19">
      <c r="A10" s="9" t="s">
        <v>775</v>
      </c>
      <c r="B10" s="14"/>
      <c r="C10" s="14" t="s">
        <v>675</v>
      </c>
      <c r="D10" s="14" t="s">
        <v>676</v>
      </c>
      <c r="E10" s="14" t="s">
        <v>677</v>
      </c>
      <c r="F10" s="14" t="s">
        <v>678</v>
      </c>
      <c r="G10" s="14"/>
      <c r="H10" s="14" t="s">
        <v>679</v>
      </c>
      <c r="I10" s="14"/>
      <c r="J10" s="14" t="s">
        <v>1076</v>
      </c>
      <c r="K10" s="14" t="s">
        <v>59</v>
      </c>
      <c r="L10" s="14" t="s">
        <v>95</v>
      </c>
      <c r="M10" s="14"/>
      <c r="N10" s="14" t="s">
        <v>59</v>
      </c>
      <c r="O10" s="14" t="s">
        <v>95</v>
      </c>
      <c r="P10" s="14" t="s">
        <v>54</v>
      </c>
      <c r="Q10" s="14" t="s">
        <v>54</v>
      </c>
    </row>
    <row r="11" spans="1:19">
      <c r="A11" s="5">
        <v>1</v>
      </c>
      <c r="B11" s="14" t="s">
        <v>680</v>
      </c>
      <c r="C11" s="14"/>
      <c r="D11" s="357">
        <f>D42</f>
        <v>9796448.2129999977</v>
      </c>
      <c r="E11" s="14" t="s">
        <v>2173</v>
      </c>
      <c r="F11" s="357">
        <v>0</v>
      </c>
      <c r="G11" s="232">
        <v>0.04</v>
      </c>
      <c r="H11" s="357">
        <f>+F11*G11</f>
        <v>0</v>
      </c>
      <c r="I11" s="357">
        <f>+D11+H11</f>
        <v>9796448.2129999977</v>
      </c>
      <c r="J11" s="816">
        <f>IF($M$5="No", 3.55%, 4%)</f>
        <v>3.5499999999999997E-2</v>
      </c>
      <c r="K11" s="357">
        <f>+I11*J11</f>
        <v>347773.91156149987</v>
      </c>
      <c r="L11" s="357">
        <f>+I11+K11</f>
        <v>10144222.124561498</v>
      </c>
      <c r="M11" s="816">
        <f>IF($M$5="No", 0%, 4%)</f>
        <v>0</v>
      </c>
      <c r="N11" s="358">
        <f>+L11*M11</f>
        <v>0</v>
      </c>
      <c r="O11" s="358">
        <f>+L11+N11</f>
        <v>10144222.124561498</v>
      </c>
      <c r="P11" s="358">
        <f>+H11</f>
        <v>0</v>
      </c>
      <c r="Q11" s="357">
        <f>+N11+K11</f>
        <v>347773.91156149987</v>
      </c>
      <c r="S11" s="3">
        <f>Q11/Q15</f>
        <v>0.53107272960216234</v>
      </c>
    </row>
    <row r="12" spans="1:19">
      <c r="A12" s="5">
        <v>2</v>
      </c>
      <c r="B12" s="14"/>
      <c r="C12" s="14"/>
      <c r="D12" s="357"/>
      <c r="E12" s="14"/>
      <c r="F12" s="357"/>
      <c r="G12" s="232"/>
      <c r="H12" s="357"/>
      <c r="I12" s="357"/>
      <c r="J12" s="232"/>
      <c r="K12" s="357"/>
      <c r="L12" s="357"/>
      <c r="M12" s="232"/>
      <c r="N12" s="358"/>
      <c r="O12" s="14"/>
      <c r="P12" s="14"/>
      <c r="Q12" s="14"/>
    </row>
    <row r="13" spans="1:19" ht="16.2" thickBot="1">
      <c r="A13" s="5">
        <v>3</v>
      </c>
      <c r="B13" s="14" t="s">
        <v>681</v>
      </c>
      <c r="C13" s="14"/>
      <c r="D13" s="359">
        <f>D66</f>
        <v>10155364.93</v>
      </c>
      <c r="E13" s="721" t="s">
        <v>2174</v>
      </c>
      <c r="F13" s="359">
        <f>+F66</f>
        <v>2685444.8200000008</v>
      </c>
      <c r="G13" s="360">
        <v>0.03</v>
      </c>
      <c r="H13" s="359">
        <f>+F13*G13</f>
        <v>80563.344600000026</v>
      </c>
      <c r="I13" s="359">
        <f>+D13+H13</f>
        <v>10235928.274599999</v>
      </c>
      <c r="J13" s="360">
        <v>0.03</v>
      </c>
      <c r="K13" s="359">
        <f>+I13*J13</f>
        <v>307077.84823799995</v>
      </c>
      <c r="L13" s="359">
        <f>+I13+K13</f>
        <v>10543006.122838</v>
      </c>
      <c r="M13" s="817">
        <f>IF($M$5="No", 0%, 3%)</f>
        <v>0</v>
      </c>
      <c r="N13" s="361">
        <f>+L13*M13</f>
        <v>0</v>
      </c>
      <c r="O13" s="361">
        <f>+L13+N13</f>
        <v>10543006.122838</v>
      </c>
      <c r="P13" s="361">
        <f>+H13</f>
        <v>80563.344600000026</v>
      </c>
      <c r="Q13" s="359">
        <f>+N13+K13</f>
        <v>307077.84823799995</v>
      </c>
      <c r="S13" s="3">
        <f>Q13/Q15</f>
        <v>0.46892727039783777</v>
      </c>
    </row>
    <row r="14" spans="1:19">
      <c r="A14" s="5">
        <v>4</v>
      </c>
      <c r="B14" s="14"/>
      <c r="C14" s="14"/>
      <c r="D14" s="357"/>
      <c r="E14" s="14"/>
      <c r="F14" s="357"/>
      <c r="G14" s="232"/>
      <c r="H14" s="357"/>
      <c r="I14" s="357"/>
      <c r="J14" s="232"/>
      <c r="K14" s="357"/>
      <c r="L14" s="357"/>
      <c r="M14" s="232"/>
      <c r="N14" s="358"/>
      <c r="O14" s="14"/>
      <c r="P14" s="14"/>
      <c r="Q14" s="14"/>
    </row>
    <row r="15" spans="1:19" ht="16.2" thickBot="1">
      <c r="A15" s="5">
        <v>5</v>
      </c>
      <c r="B15" s="14"/>
      <c r="C15" s="14"/>
      <c r="D15" s="357">
        <f>+D13+D11</f>
        <v>19951813.142999999</v>
      </c>
      <c r="E15" s="14"/>
      <c r="F15" s="357">
        <f>+F13+F11</f>
        <v>2685444.8200000008</v>
      </c>
      <c r="G15" s="232"/>
      <c r="H15" s="362">
        <f>+H11+H13</f>
        <v>80563.344600000026</v>
      </c>
      <c r="I15" s="357">
        <f>+I11+I13</f>
        <v>20032376.487599999</v>
      </c>
      <c r="J15" s="232"/>
      <c r="K15" s="362">
        <f>+K11+K13</f>
        <v>654851.75979949976</v>
      </c>
      <c r="L15" s="357">
        <f>+L11+L13</f>
        <v>20687228.247399498</v>
      </c>
      <c r="M15" s="14"/>
      <c r="N15" s="362">
        <f>+N11+N13</f>
        <v>0</v>
      </c>
      <c r="O15" s="14"/>
      <c r="P15" s="363">
        <f>+P11+P13</f>
        <v>80563.344600000026</v>
      </c>
      <c r="Q15" s="363">
        <f>+Q11+Q13</f>
        <v>654851.75979949976</v>
      </c>
    </row>
    <row r="16" spans="1:19" ht="16.2" thickTop="1">
      <c r="A16" s="5">
        <v>6</v>
      </c>
      <c r="B16" s="14"/>
      <c r="C16" s="14"/>
      <c r="D16" s="357"/>
      <c r="E16" s="14"/>
      <c r="F16" s="357"/>
      <c r="G16" s="232"/>
      <c r="H16" s="362"/>
      <c r="I16" s="357"/>
      <c r="J16" s="232"/>
      <c r="K16" s="362"/>
      <c r="L16" s="357"/>
      <c r="M16" s="14"/>
      <c r="N16" s="362"/>
      <c r="O16" s="14"/>
      <c r="P16" s="14"/>
      <c r="Q16" s="364"/>
    </row>
    <row r="17" spans="1:17">
      <c r="A17" s="5">
        <v>7</v>
      </c>
      <c r="B17" s="14" t="s">
        <v>703</v>
      </c>
      <c r="C17" s="14"/>
      <c r="D17" s="357"/>
      <c r="E17" s="14"/>
      <c r="F17" s="357"/>
      <c r="G17" s="232"/>
      <c r="H17" s="362"/>
      <c r="I17" s="357"/>
      <c r="J17" s="232"/>
      <c r="K17" s="362"/>
      <c r="L17" s="357"/>
      <c r="M17" s="14"/>
      <c r="N17" s="362"/>
      <c r="O17" s="232">
        <v>7.6499999999999999E-2</v>
      </c>
      <c r="P17" s="364">
        <f>+P15*O17</f>
        <v>6163.0958619000021</v>
      </c>
      <c r="Q17" s="364">
        <f>+Q15*O17</f>
        <v>50096.159624661734</v>
      </c>
    </row>
    <row r="18" spans="1:17">
      <c r="A18" s="5">
        <v>8</v>
      </c>
      <c r="B18" s="14"/>
      <c r="C18" s="14"/>
      <c r="D18" s="357"/>
      <c r="E18" s="14"/>
      <c r="F18" s="14"/>
      <c r="G18" s="232"/>
      <c r="H18" s="14"/>
      <c r="I18" s="14"/>
      <c r="J18" s="14"/>
      <c r="K18" s="357"/>
      <c r="L18" s="357"/>
      <c r="M18" s="14"/>
      <c r="N18" s="358"/>
      <c r="O18" s="14"/>
      <c r="P18" s="14"/>
      <c r="Q18" s="14"/>
    </row>
    <row r="19" spans="1:17">
      <c r="A19" s="5">
        <v>9</v>
      </c>
      <c r="B19" s="14" t="s">
        <v>680</v>
      </c>
      <c r="C19" s="14"/>
      <c r="D19" s="14"/>
      <c r="E19" s="14"/>
      <c r="F19" s="14"/>
      <c r="G19" s="14"/>
      <c r="H19" s="14"/>
      <c r="I19" s="14"/>
      <c r="J19" s="14"/>
      <c r="K19" s="14"/>
      <c r="L19" s="14"/>
      <c r="M19" s="14"/>
      <c r="N19" s="14"/>
      <c r="O19" s="14"/>
      <c r="P19" s="14"/>
      <c r="Q19" s="14"/>
    </row>
    <row r="20" spans="1:17" s="14" customFormat="1">
      <c r="A20" s="15">
        <v>10</v>
      </c>
      <c r="B20" s="14" t="s">
        <v>1288</v>
      </c>
      <c r="C20" s="722" t="s">
        <v>682</v>
      </c>
      <c r="D20" s="365">
        <v>162147.76999999999</v>
      </c>
      <c r="G20" s="232"/>
      <c r="H20" s="357">
        <f>+F20*G20</f>
        <v>0</v>
      </c>
      <c r="I20" s="357">
        <f t="shared" ref="I20:I41" si="0">+D20+H20</f>
        <v>162147.76999999999</v>
      </c>
      <c r="J20" s="232">
        <f>J11</f>
        <v>3.5499999999999997E-2</v>
      </c>
      <c r="K20" s="357">
        <f t="shared" ref="K20:K25" si="1">+I20*J20</f>
        <v>5756.2458349999988</v>
      </c>
      <c r="L20" s="357">
        <f>+I20+K20</f>
        <v>167904.015835</v>
      </c>
      <c r="M20" s="232">
        <f>M11</f>
        <v>0</v>
      </c>
      <c r="N20" s="358">
        <f t="shared" ref="N20:N41" si="2">+L20*M20</f>
        <v>0</v>
      </c>
      <c r="O20" s="357">
        <f>+N20+L20</f>
        <v>167904.015835</v>
      </c>
      <c r="P20" s="357">
        <f>+H20</f>
        <v>0</v>
      </c>
      <c r="Q20" s="357">
        <f>+N20+K20</f>
        <v>5756.2458349999988</v>
      </c>
    </row>
    <row r="21" spans="1:17" s="14" customFormat="1">
      <c r="A21" s="5">
        <v>11</v>
      </c>
      <c r="B21" s="14" t="s">
        <v>2181</v>
      </c>
      <c r="C21" s="722">
        <v>28410</v>
      </c>
      <c r="D21" s="365">
        <v>631.48</v>
      </c>
      <c r="G21" s="232"/>
      <c r="H21" s="357">
        <f t="shared" ref="H21:H41" si="3">+F21*G21</f>
        <v>0</v>
      </c>
      <c r="I21" s="357">
        <f t="shared" si="0"/>
        <v>631.48</v>
      </c>
      <c r="J21" s="232">
        <f>J20</f>
        <v>3.5499999999999997E-2</v>
      </c>
      <c r="K21" s="357">
        <f t="shared" si="1"/>
        <v>22.417539999999999</v>
      </c>
      <c r="L21" s="357">
        <f t="shared" ref="L21:L41" si="4">+I21+K21</f>
        <v>653.89754000000005</v>
      </c>
      <c r="M21" s="232">
        <f>M20</f>
        <v>0</v>
      </c>
      <c r="N21" s="358">
        <f t="shared" si="2"/>
        <v>0</v>
      </c>
      <c r="O21" s="357">
        <f t="shared" ref="O21:O41" si="5">+N21+L21</f>
        <v>653.89754000000005</v>
      </c>
      <c r="P21" s="357">
        <f t="shared" ref="P21:P41" si="6">+H21</f>
        <v>0</v>
      </c>
      <c r="Q21" s="357">
        <f t="shared" ref="Q21:Q41" si="7">+N21+K21</f>
        <v>22.417539999999999</v>
      </c>
    </row>
    <row r="22" spans="1:17" s="14" customFormat="1">
      <c r="A22" s="5">
        <v>12</v>
      </c>
      <c r="B22" s="14" t="s">
        <v>1287</v>
      </c>
      <c r="C22" s="722" t="s">
        <v>683</v>
      </c>
      <c r="D22" s="365">
        <v>1680934.36</v>
      </c>
      <c r="G22" s="232"/>
      <c r="H22" s="357">
        <f t="shared" si="3"/>
        <v>0</v>
      </c>
      <c r="I22" s="357">
        <f t="shared" si="0"/>
        <v>1680934.36</v>
      </c>
      <c r="J22" s="232">
        <f t="shared" ref="J22:J41" si="8">J21</f>
        <v>3.5499999999999997E-2</v>
      </c>
      <c r="K22" s="357">
        <f t="shared" si="1"/>
        <v>59673.169779999997</v>
      </c>
      <c r="L22" s="357">
        <f t="shared" si="4"/>
        <v>1740607.52978</v>
      </c>
      <c r="M22" s="232">
        <f t="shared" ref="M22:M41" si="9">M21</f>
        <v>0</v>
      </c>
      <c r="N22" s="358">
        <f t="shared" si="2"/>
        <v>0</v>
      </c>
      <c r="O22" s="357">
        <f t="shared" si="5"/>
        <v>1740607.52978</v>
      </c>
      <c r="P22" s="357">
        <f t="shared" si="6"/>
        <v>0</v>
      </c>
      <c r="Q22" s="357">
        <f t="shared" si="7"/>
        <v>59673.169779999997</v>
      </c>
    </row>
    <row r="23" spans="1:17" s="14" customFormat="1">
      <c r="A23" s="15">
        <v>13</v>
      </c>
      <c r="B23" s="14" t="s">
        <v>182</v>
      </c>
      <c r="C23" s="722" t="s">
        <v>684</v>
      </c>
      <c r="D23" s="365">
        <v>206774.76</v>
      </c>
      <c r="G23" s="232"/>
      <c r="H23" s="357">
        <f t="shared" si="3"/>
        <v>0</v>
      </c>
      <c r="I23" s="357">
        <f t="shared" si="0"/>
        <v>206774.76</v>
      </c>
      <c r="J23" s="232">
        <f t="shared" si="8"/>
        <v>3.5499999999999997E-2</v>
      </c>
      <c r="K23" s="357">
        <f t="shared" si="1"/>
        <v>7340.5039799999995</v>
      </c>
      <c r="L23" s="357">
        <f t="shared" si="4"/>
        <v>214115.26398000002</v>
      </c>
      <c r="M23" s="232">
        <f t="shared" si="9"/>
        <v>0</v>
      </c>
      <c r="N23" s="358">
        <f t="shared" si="2"/>
        <v>0</v>
      </c>
      <c r="O23" s="357">
        <f t="shared" si="5"/>
        <v>214115.26398000002</v>
      </c>
      <c r="P23" s="357">
        <f t="shared" si="6"/>
        <v>0</v>
      </c>
      <c r="Q23" s="357">
        <f t="shared" si="7"/>
        <v>7340.5039799999995</v>
      </c>
    </row>
    <row r="24" spans="1:17" s="14" customFormat="1">
      <c r="A24" s="5">
        <v>14</v>
      </c>
      <c r="B24" s="14" t="s">
        <v>1280</v>
      </c>
      <c r="C24" s="722" t="s">
        <v>685</v>
      </c>
      <c r="D24" s="365">
        <v>353792.99</v>
      </c>
      <c r="G24" s="232"/>
      <c r="H24" s="357">
        <f t="shared" si="3"/>
        <v>0</v>
      </c>
      <c r="I24" s="357">
        <f t="shared" si="0"/>
        <v>353792.99</v>
      </c>
      <c r="J24" s="232">
        <f t="shared" si="8"/>
        <v>3.5499999999999997E-2</v>
      </c>
      <c r="K24" s="357">
        <f t="shared" si="1"/>
        <v>12559.651144999998</v>
      </c>
      <c r="L24" s="357">
        <f t="shared" si="4"/>
        <v>366352.641145</v>
      </c>
      <c r="M24" s="232">
        <f t="shared" si="9"/>
        <v>0</v>
      </c>
      <c r="N24" s="358">
        <f t="shared" si="2"/>
        <v>0</v>
      </c>
      <c r="O24" s="357">
        <f t="shared" si="5"/>
        <v>366352.641145</v>
      </c>
      <c r="P24" s="357">
        <f t="shared" si="6"/>
        <v>0</v>
      </c>
      <c r="Q24" s="357">
        <f t="shared" si="7"/>
        <v>12559.651144999998</v>
      </c>
    </row>
    <row r="25" spans="1:17" s="14" customFormat="1">
      <c r="A25" s="5">
        <v>15</v>
      </c>
      <c r="B25" s="14" t="s">
        <v>1293</v>
      </c>
      <c r="C25" s="722">
        <v>28750</v>
      </c>
      <c r="D25" s="365">
        <v>367.8</v>
      </c>
      <c r="G25" s="232"/>
      <c r="H25" s="357">
        <f t="shared" si="3"/>
        <v>0</v>
      </c>
      <c r="I25" s="357">
        <f t="shared" si="0"/>
        <v>367.8</v>
      </c>
      <c r="J25" s="232">
        <f t="shared" si="8"/>
        <v>3.5499999999999997E-2</v>
      </c>
      <c r="K25" s="357">
        <f t="shared" si="1"/>
        <v>13.056899999999999</v>
      </c>
      <c r="L25" s="357">
        <f t="shared" si="4"/>
        <v>380.8569</v>
      </c>
      <c r="M25" s="232">
        <f t="shared" si="9"/>
        <v>0</v>
      </c>
      <c r="N25" s="358">
        <f t="shared" si="2"/>
        <v>0</v>
      </c>
      <c r="O25" s="357">
        <f t="shared" si="5"/>
        <v>380.8569</v>
      </c>
      <c r="P25" s="357">
        <f t="shared" si="6"/>
        <v>0</v>
      </c>
      <c r="Q25" s="357">
        <f t="shared" si="7"/>
        <v>13.056899999999999</v>
      </c>
    </row>
    <row r="26" spans="1:17" s="14" customFormat="1">
      <c r="A26" s="15">
        <v>16</v>
      </c>
      <c r="B26" s="14" t="s">
        <v>1281</v>
      </c>
      <c r="C26" s="722" t="s">
        <v>688</v>
      </c>
      <c r="D26" s="365">
        <v>415608.43</v>
      </c>
      <c r="G26" s="232"/>
      <c r="H26" s="357">
        <f t="shared" si="3"/>
        <v>0</v>
      </c>
      <c r="I26" s="357">
        <f t="shared" si="0"/>
        <v>415608.43</v>
      </c>
      <c r="J26" s="232">
        <f t="shared" si="8"/>
        <v>3.5499999999999997E-2</v>
      </c>
      <c r="K26" s="357">
        <f t="shared" ref="K26:K41" si="10">+I26*J26</f>
        <v>14754.099264999999</v>
      </c>
      <c r="L26" s="357">
        <f t="shared" si="4"/>
        <v>430362.52926500002</v>
      </c>
      <c r="M26" s="232">
        <f t="shared" si="9"/>
        <v>0</v>
      </c>
      <c r="N26" s="358">
        <f t="shared" si="2"/>
        <v>0</v>
      </c>
      <c r="O26" s="357">
        <f t="shared" si="5"/>
        <v>430362.52926500002</v>
      </c>
      <c r="P26" s="357">
        <f t="shared" si="6"/>
        <v>0</v>
      </c>
      <c r="Q26" s="357">
        <f t="shared" si="7"/>
        <v>14754.099264999999</v>
      </c>
    </row>
    <row r="27" spans="1:17" s="14" customFormat="1">
      <c r="A27" s="5">
        <v>17</v>
      </c>
      <c r="B27" s="14" t="s">
        <v>1289</v>
      </c>
      <c r="C27" s="722">
        <v>28850</v>
      </c>
      <c r="D27" s="365">
        <v>899501.76</v>
      </c>
      <c r="G27" s="232"/>
      <c r="H27" s="357">
        <f t="shared" si="3"/>
        <v>0</v>
      </c>
      <c r="I27" s="357">
        <f t="shared" si="0"/>
        <v>899501.76</v>
      </c>
      <c r="J27" s="232">
        <f t="shared" si="8"/>
        <v>3.5499999999999997E-2</v>
      </c>
      <c r="K27" s="357">
        <f t="shared" si="10"/>
        <v>31932.312479999997</v>
      </c>
      <c r="L27" s="357">
        <f t="shared" si="4"/>
        <v>931434.07247999997</v>
      </c>
      <c r="M27" s="232">
        <f t="shared" si="9"/>
        <v>0</v>
      </c>
      <c r="N27" s="358">
        <f t="shared" si="2"/>
        <v>0</v>
      </c>
      <c r="O27" s="357">
        <f t="shared" si="5"/>
        <v>931434.07247999997</v>
      </c>
      <c r="P27" s="357">
        <f t="shared" si="6"/>
        <v>0</v>
      </c>
      <c r="Q27" s="357">
        <f t="shared" si="7"/>
        <v>31932.312479999997</v>
      </c>
    </row>
    <row r="28" spans="1:17" s="14" customFormat="1">
      <c r="A28" s="5">
        <v>18</v>
      </c>
      <c r="B28" s="14" t="s">
        <v>1282</v>
      </c>
      <c r="C28" s="722" t="s">
        <v>689</v>
      </c>
      <c r="D28" s="365">
        <v>4395.5</v>
      </c>
      <c r="G28" s="232"/>
      <c r="H28" s="357">
        <f t="shared" si="3"/>
        <v>0</v>
      </c>
      <c r="I28" s="357">
        <f t="shared" si="0"/>
        <v>4395.5</v>
      </c>
      <c r="J28" s="232">
        <f t="shared" si="8"/>
        <v>3.5499999999999997E-2</v>
      </c>
      <c r="K28" s="357">
        <f t="shared" si="10"/>
        <v>156.04024999999999</v>
      </c>
      <c r="L28" s="357">
        <f t="shared" si="4"/>
        <v>4551.54025</v>
      </c>
      <c r="M28" s="232">
        <f t="shared" si="9"/>
        <v>0</v>
      </c>
      <c r="N28" s="358">
        <f t="shared" si="2"/>
        <v>0</v>
      </c>
      <c r="O28" s="357">
        <f t="shared" si="5"/>
        <v>4551.54025</v>
      </c>
      <c r="P28" s="357">
        <f t="shared" si="6"/>
        <v>0</v>
      </c>
      <c r="Q28" s="357">
        <f t="shared" si="7"/>
        <v>156.04024999999999</v>
      </c>
    </row>
    <row r="29" spans="1:17" s="14" customFormat="1">
      <c r="A29" s="15">
        <v>19</v>
      </c>
      <c r="B29" s="14" t="s">
        <v>2180</v>
      </c>
      <c r="C29" s="722" t="s">
        <v>2175</v>
      </c>
      <c r="D29" s="365">
        <v>3604.92</v>
      </c>
      <c r="G29" s="232"/>
      <c r="H29" s="357">
        <f t="shared" si="3"/>
        <v>0</v>
      </c>
      <c r="I29" s="357">
        <f t="shared" si="0"/>
        <v>3604.92</v>
      </c>
      <c r="J29" s="232">
        <f t="shared" si="8"/>
        <v>3.5499999999999997E-2</v>
      </c>
      <c r="K29" s="357">
        <f t="shared" si="10"/>
        <v>127.97465999999999</v>
      </c>
      <c r="L29" s="357">
        <f t="shared" si="4"/>
        <v>3732.8946599999999</v>
      </c>
      <c r="M29" s="232">
        <f t="shared" si="9"/>
        <v>0</v>
      </c>
      <c r="N29" s="358">
        <f t="shared" si="2"/>
        <v>0</v>
      </c>
      <c r="O29" s="357">
        <f t="shared" si="5"/>
        <v>3732.8946599999999</v>
      </c>
      <c r="P29" s="357">
        <f t="shared" si="6"/>
        <v>0</v>
      </c>
      <c r="Q29" s="357">
        <f t="shared" si="7"/>
        <v>127.97465999999999</v>
      </c>
    </row>
    <row r="30" spans="1:17" s="14" customFormat="1">
      <c r="A30" s="5">
        <v>20</v>
      </c>
      <c r="B30" s="14" t="s">
        <v>1283</v>
      </c>
      <c r="C30" s="722">
        <v>28890</v>
      </c>
      <c r="D30" s="365">
        <v>1386.53</v>
      </c>
      <c r="G30" s="232"/>
      <c r="H30" s="357">
        <f t="shared" si="3"/>
        <v>0</v>
      </c>
      <c r="I30" s="357">
        <f t="shared" si="0"/>
        <v>1386.53</v>
      </c>
      <c r="J30" s="232">
        <f t="shared" si="8"/>
        <v>3.5499999999999997E-2</v>
      </c>
      <c r="K30" s="357">
        <f t="shared" si="10"/>
        <v>49.221814999999992</v>
      </c>
      <c r="L30" s="357">
        <f t="shared" si="4"/>
        <v>1435.7518150000001</v>
      </c>
      <c r="M30" s="232">
        <f t="shared" si="9"/>
        <v>0</v>
      </c>
      <c r="N30" s="358">
        <f t="shared" si="2"/>
        <v>0</v>
      </c>
      <c r="O30" s="357">
        <f t="shared" si="5"/>
        <v>1435.7518150000001</v>
      </c>
      <c r="P30" s="357">
        <f t="shared" si="6"/>
        <v>0</v>
      </c>
      <c r="Q30" s="357">
        <f t="shared" si="7"/>
        <v>49.221814999999992</v>
      </c>
    </row>
    <row r="31" spans="1:17" s="14" customFormat="1">
      <c r="A31" s="5">
        <v>21</v>
      </c>
      <c r="B31" s="14" t="s">
        <v>1297</v>
      </c>
      <c r="C31" s="722" t="s">
        <v>692</v>
      </c>
      <c r="D31" s="365">
        <v>51071.97</v>
      </c>
      <c r="G31" s="232"/>
      <c r="H31" s="357">
        <f t="shared" si="3"/>
        <v>0</v>
      </c>
      <c r="I31" s="357">
        <f t="shared" si="0"/>
        <v>51071.97</v>
      </c>
      <c r="J31" s="232">
        <f t="shared" si="8"/>
        <v>3.5499999999999997E-2</v>
      </c>
      <c r="K31" s="357">
        <f t="shared" si="10"/>
        <v>1813.0549349999999</v>
      </c>
      <c r="L31" s="357">
        <f t="shared" si="4"/>
        <v>52885.024935000001</v>
      </c>
      <c r="M31" s="232">
        <f t="shared" si="9"/>
        <v>0</v>
      </c>
      <c r="N31" s="358">
        <f t="shared" si="2"/>
        <v>0</v>
      </c>
      <c r="O31" s="357">
        <f t="shared" si="5"/>
        <v>52885.024935000001</v>
      </c>
      <c r="P31" s="357">
        <f t="shared" si="6"/>
        <v>0</v>
      </c>
      <c r="Q31" s="357">
        <f t="shared" si="7"/>
        <v>1813.0549349999999</v>
      </c>
    </row>
    <row r="32" spans="1:17" s="14" customFormat="1">
      <c r="A32" s="15">
        <v>22</v>
      </c>
      <c r="B32" s="14" t="s">
        <v>1292</v>
      </c>
      <c r="C32" s="722">
        <v>28940</v>
      </c>
      <c r="D32" s="365">
        <v>18930.04</v>
      </c>
      <c r="G32" s="232"/>
      <c r="H32" s="357">
        <f t="shared" si="3"/>
        <v>0</v>
      </c>
      <c r="I32" s="357">
        <f t="shared" si="0"/>
        <v>18930.04</v>
      </c>
      <c r="J32" s="232">
        <f t="shared" si="8"/>
        <v>3.5499999999999997E-2</v>
      </c>
      <c r="K32" s="357">
        <f t="shared" si="10"/>
        <v>672.01641999999993</v>
      </c>
      <c r="L32" s="357">
        <f t="shared" si="4"/>
        <v>19602.056420000001</v>
      </c>
      <c r="M32" s="232">
        <f t="shared" si="9"/>
        <v>0</v>
      </c>
      <c r="N32" s="358">
        <f t="shared" si="2"/>
        <v>0</v>
      </c>
      <c r="O32" s="357">
        <f t="shared" si="5"/>
        <v>19602.056420000001</v>
      </c>
      <c r="P32" s="357">
        <f t="shared" si="6"/>
        <v>0</v>
      </c>
      <c r="Q32" s="357">
        <f t="shared" si="7"/>
        <v>672.01641999999993</v>
      </c>
    </row>
    <row r="33" spans="1:17" s="14" customFormat="1">
      <c r="A33" s="5">
        <v>23</v>
      </c>
      <c r="B33" s="14" t="s">
        <v>1290</v>
      </c>
      <c r="C33" s="722">
        <v>29010</v>
      </c>
      <c r="D33" s="365">
        <v>93952.320000000007</v>
      </c>
      <c r="G33" s="232"/>
      <c r="H33" s="357">
        <f t="shared" si="3"/>
        <v>0</v>
      </c>
      <c r="I33" s="357">
        <f t="shared" si="0"/>
        <v>93952.320000000007</v>
      </c>
      <c r="J33" s="232">
        <f t="shared" si="8"/>
        <v>3.5499999999999997E-2</v>
      </c>
      <c r="K33" s="357">
        <f t="shared" si="10"/>
        <v>3335.3073599999998</v>
      </c>
      <c r="L33" s="357">
        <f t="shared" si="4"/>
        <v>97287.627360000013</v>
      </c>
      <c r="M33" s="232">
        <f t="shared" si="9"/>
        <v>0</v>
      </c>
      <c r="N33" s="358">
        <f t="shared" si="2"/>
        <v>0</v>
      </c>
      <c r="O33" s="357">
        <f t="shared" si="5"/>
        <v>97287.627360000013</v>
      </c>
      <c r="P33" s="357">
        <f t="shared" si="6"/>
        <v>0</v>
      </c>
      <c r="Q33" s="357">
        <f t="shared" si="7"/>
        <v>3335.3073599999998</v>
      </c>
    </row>
    <row r="34" spans="1:17" s="14" customFormat="1">
      <c r="A34" s="5">
        <v>24</v>
      </c>
      <c r="B34" s="14" t="s">
        <v>1284</v>
      </c>
      <c r="C34" s="722">
        <v>29020</v>
      </c>
      <c r="D34" s="365">
        <v>91331.83</v>
      </c>
      <c r="G34" s="232"/>
      <c r="H34" s="357">
        <f t="shared" si="3"/>
        <v>0</v>
      </c>
      <c r="I34" s="357">
        <f t="shared" si="0"/>
        <v>91331.83</v>
      </c>
      <c r="J34" s="232">
        <f t="shared" si="8"/>
        <v>3.5499999999999997E-2</v>
      </c>
      <c r="K34" s="357">
        <f t="shared" si="10"/>
        <v>3242.2799649999997</v>
      </c>
      <c r="L34" s="357">
        <f t="shared" si="4"/>
        <v>94574.109964999996</v>
      </c>
      <c r="M34" s="232">
        <f t="shared" si="9"/>
        <v>0</v>
      </c>
      <c r="N34" s="358">
        <f t="shared" si="2"/>
        <v>0</v>
      </c>
      <c r="O34" s="357">
        <f t="shared" si="5"/>
        <v>94574.109964999996</v>
      </c>
      <c r="P34" s="357">
        <f t="shared" si="6"/>
        <v>0</v>
      </c>
      <c r="Q34" s="357">
        <f t="shared" si="7"/>
        <v>3242.2799649999997</v>
      </c>
    </row>
    <row r="35" spans="1:17" s="14" customFormat="1">
      <c r="A35" s="15">
        <v>25</v>
      </c>
      <c r="B35" s="14" t="s">
        <v>1285</v>
      </c>
      <c r="C35" s="722" t="s">
        <v>695</v>
      </c>
      <c r="D35" s="723">
        <v>2313680.7000000002</v>
      </c>
      <c r="G35" s="232"/>
      <c r="H35" s="357">
        <f t="shared" si="3"/>
        <v>0</v>
      </c>
      <c r="I35" s="357">
        <f t="shared" si="0"/>
        <v>2313680.7000000002</v>
      </c>
      <c r="J35" s="232">
        <f t="shared" si="8"/>
        <v>3.5499999999999997E-2</v>
      </c>
      <c r="K35" s="357">
        <f t="shared" si="10"/>
        <v>82135.664850000001</v>
      </c>
      <c r="L35" s="357">
        <f t="shared" si="4"/>
        <v>2395816.36485</v>
      </c>
      <c r="M35" s="232">
        <f t="shared" si="9"/>
        <v>0</v>
      </c>
      <c r="N35" s="358">
        <f t="shared" si="2"/>
        <v>0</v>
      </c>
      <c r="O35" s="357">
        <f t="shared" si="5"/>
        <v>2395816.36485</v>
      </c>
      <c r="P35" s="357">
        <f t="shared" si="6"/>
        <v>0</v>
      </c>
      <c r="Q35" s="357">
        <f t="shared" si="7"/>
        <v>82135.664850000001</v>
      </c>
    </row>
    <row r="36" spans="1:17" s="14" customFormat="1">
      <c r="A36" s="5">
        <v>26</v>
      </c>
      <c r="B36" s="14" t="s">
        <v>1300</v>
      </c>
      <c r="C36" s="722">
        <v>29080</v>
      </c>
      <c r="D36" s="723">
        <v>461845.34</v>
      </c>
      <c r="G36" s="232"/>
      <c r="H36" s="357">
        <f t="shared" si="3"/>
        <v>0</v>
      </c>
      <c r="I36" s="357">
        <f t="shared" si="0"/>
        <v>461845.34</v>
      </c>
      <c r="J36" s="232">
        <f t="shared" si="8"/>
        <v>3.5499999999999997E-2</v>
      </c>
      <c r="K36" s="357">
        <f t="shared" si="10"/>
        <v>16395.509569999998</v>
      </c>
      <c r="L36" s="357">
        <f t="shared" si="4"/>
        <v>478240.84957000002</v>
      </c>
      <c r="M36" s="232">
        <f t="shared" si="9"/>
        <v>0</v>
      </c>
      <c r="N36" s="358">
        <f t="shared" si="2"/>
        <v>0</v>
      </c>
      <c r="O36" s="357">
        <f t="shared" si="5"/>
        <v>478240.84957000002</v>
      </c>
      <c r="P36" s="357">
        <f t="shared" si="6"/>
        <v>0</v>
      </c>
      <c r="Q36" s="357">
        <f t="shared" si="7"/>
        <v>16395.509569999998</v>
      </c>
    </row>
    <row r="37" spans="1:17" s="14" customFormat="1">
      <c r="A37" s="5">
        <v>27</v>
      </c>
      <c r="B37" s="14" t="s">
        <v>1298</v>
      </c>
      <c r="C37" s="722">
        <v>29100</v>
      </c>
      <c r="D37" s="723">
        <v>237878.66</v>
      </c>
      <c r="G37" s="232"/>
      <c r="H37" s="357">
        <f t="shared" si="3"/>
        <v>0</v>
      </c>
      <c r="I37" s="357">
        <f t="shared" si="0"/>
        <v>237878.66</v>
      </c>
      <c r="J37" s="232">
        <f t="shared" si="8"/>
        <v>3.5499999999999997E-2</v>
      </c>
      <c r="K37" s="357">
        <f t="shared" si="10"/>
        <v>8444.6924299999991</v>
      </c>
      <c r="L37" s="357">
        <f t="shared" si="4"/>
        <v>246323.35243</v>
      </c>
      <c r="M37" s="232">
        <f t="shared" si="9"/>
        <v>0</v>
      </c>
      <c r="N37" s="358">
        <f t="shared" si="2"/>
        <v>0</v>
      </c>
      <c r="O37" s="357">
        <f t="shared" si="5"/>
        <v>246323.35243</v>
      </c>
      <c r="P37" s="357">
        <f t="shared" si="6"/>
        <v>0</v>
      </c>
      <c r="Q37" s="357">
        <f t="shared" si="7"/>
        <v>8444.6924299999991</v>
      </c>
    </row>
    <row r="38" spans="1:17" s="14" customFormat="1">
      <c r="A38" s="15">
        <v>28</v>
      </c>
      <c r="B38" s="14" t="s">
        <v>2179</v>
      </c>
      <c r="C38" s="722">
        <v>29120</v>
      </c>
      <c r="D38" s="723">
        <v>2672</v>
      </c>
      <c r="G38" s="232"/>
      <c r="H38" s="357">
        <f t="shared" si="3"/>
        <v>0</v>
      </c>
      <c r="I38" s="357">
        <f t="shared" si="0"/>
        <v>2672</v>
      </c>
      <c r="J38" s="232">
        <f t="shared" si="8"/>
        <v>3.5499999999999997E-2</v>
      </c>
      <c r="K38" s="357">
        <f t="shared" si="10"/>
        <v>94.855999999999995</v>
      </c>
      <c r="L38" s="357">
        <f t="shared" si="4"/>
        <v>2766.8559999999998</v>
      </c>
      <c r="M38" s="232">
        <f t="shared" si="9"/>
        <v>0</v>
      </c>
      <c r="N38" s="358">
        <f t="shared" si="2"/>
        <v>0</v>
      </c>
      <c r="O38" s="357">
        <f t="shared" si="5"/>
        <v>2766.8559999999998</v>
      </c>
      <c r="P38" s="357">
        <f t="shared" si="6"/>
        <v>0</v>
      </c>
      <c r="Q38" s="357">
        <f t="shared" si="7"/>
        <v>94.855999999999995</v>
      </c>
    </row>
    <row r="39" spans="1:17" s="14" customFormat="1">
      <c r="A39" s="5">
        <v>29</v>
      </c>
      <c r="B39" s="14" t="s">
        <v>1286</v>
      </c>
      <c r="C39" s="722" t="s">
        <v>696</v>
      </c>
      <c r="D39" s="723">
        <v>2791420.733</v>
      </c>
      <c r="G39" s="232"/>
      <c r="H39" s="357">
        <f t="shared" si="3"/>
        <v>0</v>
      </c>
      <c r="I39" s="357">
        <f t="shared" si="0"/>
        <v>2791420.733</v>
      </c>
      <c r="J39" s="232">
        <f t="shared" si="8"/>
        <v>3.5499999999999997E-2</v>
      </c>
      <c r="K39" s="357">
        <f t="shared" si="10"/>
        <v>99095.436021499991</v>
      </c>
      <c r="L39" s="357">
        <f t="shared" si="4"/>
        <v>2890516.1690214998</v>
      </c>
      <c r="M39" s="232">
        <f t="shared" si="9"/>
        <v>0</v>
      </c>
      <c r="N39" s="358">
        <f t="shared" si="2"/>
        <v>0</v>
      </c>
      <c r="O39" s="357">
        <f t="shared" si="5"/>
        <v>2890516.1690214998</v>
      </c>
      <c r="P39" s="357">
        <f t="shared" si="6"/>
        <v>0</v>
      </c>
      <c r="Q39" s="357">
        <f t="shared" si="7"/>
        <v>99095.436021499991</v>
      </c>
    </row>
    <row r="40" spans="1:17" s="14" customFormat="1">
      <c r="A40" s="5">
        <v>30</v>
      </c>
      <c r="B40" s="14" t="s">
        <v>2178</v>
      </c>
      <c r="C40" s="722">
        <v>29210</v>
      </c>
      <c r="D40" s="723">
        <v>371.45</v>
      </c>
      <c r="G40" s="232"/>
      <c r="H40" s="357">
        <f t="shared" si="3"/>
        <v>0</v>
      </c>
      <c r="I40" s="357">
        <f t="shared" si="0"/>
        <v>371.45</v>
      </c>
      <c r="J40" s="232">
        <f t="shared" si="8"/>
        <v>3.5499999999999997E-2</v>
      </c>
      <c r="K40" s="357">
        <f t="shared" si="10"/>
        <v>13.186474999999998</v>
      </c>
      <c r="L40" s="357">
        <f t="shared" si="4"/>
        <v>384.63647499999996</v>
      </c>
      <c r="M40" s="232">
        <f t="shared" si="9"/>
        <v>0</v>
      </c>
      <c r="N40" s="358">
        <f t="shared" si="2"/>
        <v>0</v>
      </c>
      <c r="O40" s="357">
        <f t="shared" si="5"/>
        <v>384.63647499999996</v>
      </c>
      <c r="P40" s="357">
        <f t="shared" si="6"/>
        <v>0</v>
      </c>
      <c r="Q40" s="357">
        <f t="shared" si="7"/>
        <v>13.186474999999998</v>
      </c>
    </row>
    <row r="41" spans="1:17">
      <c r="A41" s="15">
        <v>31</v>
      </c>
      <c r="B41" s="14" t="s">
        <v>1301</v>
      </c>
      <c r="C41" s="722">
        <v>29260</v>
      </c>
      <c r="D41" s="400">
        <v>4146.87</v>
      </c>
      <c r="E41" s="14"/>
      <c r="F41" s="14"/>
      <c r="G41" s="232"/>
      <c r="H41" s="357">
        <f t="shared" si="3"/>
        <v>0</v>
      </c>
      <c r="I41" s="368">
        <f t="shared" si="0"/>
        <v>4146.87</v>
      </c>
      <c r="J41" s="232">
        <f t="shared" si="8"/>
        <v>3.5499999999999997E-2</v>
      </c>
      <c r="K41" s="357">
        <f t="shared" si="10"/>
        <v>147.21388499999998</v>
      </c>
      <c r="L41" s="357">
        <f t="shared" si="4"/>
        <v>4294.083885</v>
      </c>
      <c r="M41" s="232">
        <f t="shared" si="9"/>
        <v>0</v>
      </c>
      <c r="N41" s="358">
        <f t="shared" si="2"/>
        <v>0</v>
      </c>
      <c r="O41" s="357">
        <f t="shared" si="5"/>
        <v>4294.083885</v>
      </c>
      <c r="P41" s="357">
        <f t="shared" si="6"/>
        <v>0</v>
      </c>
      <c r="Q41" s="357">
        <f t="shared" si="7"/>
        <v>147.21388499999998</v>
      </c>
    </row>
    <row r="42" spans="1:17">
      <c r="A42" s="5">
        <v>32</v>
      </c>
      <c r="B42" s="14"/>
      <c r="C42" s="14"/>
      <c r="D42" s="366">
        <f>SUM(D20:D41)</f>
        <v>9796448.2129999977</v>
      </c>
      <c r="E42" s="14"/>
      <c r="F42" s="366">
        <f>SUM(F20:F41)</f>
        <v>0</v>
      </c>
      <c r="G42" s="14"/>
      <c r="H42" s="366">
        <f>SUM(H20:H41)</f>
        <v>0</v>
      </c>
      <c r="I42" s="366">
        <f>SUM(I20:I41)</f>
        <v>9796448.2129999977</v>
      </c>
      <c r="J42" s="14"/>
      <c r="K42" s="366">
        <f>SUM(K20:K41)</f>
        <v>347773.91156149993</v>
      </c>
      <c r="L42" s="366">
        <f>SUM(L20:L41)</f>
        <v>10144222.124561498</v>
      </c>
      <c r="M42" s="14"/>
      <c r="N42" s="366">
        <f>SUM(N20:N41)</f>
        <v>0</v>
      </c>
      <c r="O42" s="366">
        <f>SUM(O20:O41)</f>
        <v>10144222.124561498</v>
      </c>
      <c r="P42" s="366">
        <f>SUM(P20:P41)</f>
        <v>0</v>
      </c>
      <c r="Q42" s="366">
        <f>SUM(Q20:Q41)</f>
        <v>347773.91156149993</v>
      </c>
    </row>
    <row r="43" spans="1:17">
      <c r="A43" s="5" t="s">
        <v>775</v>
      </c>
      <c r="B43" s="14" t="s">
        <v>681</v>
      </c>
      <c r="C43" s="14"/>
      <c r="D43" s="14"/>
      <c r="E43" s="14"/>
      <c r="F43" s="14"/>
      <c r="G43" s="14"/>
      <c r="H43" s="14"/>
      <c r="I43" s="14"/>
      <c r="J43" s="14"/>
      <c r="K43" s="14"/>
      <c r="L43" s="14"/>
      <c r="M43" s="14"/>
      <c r="N43" s="14"/>
      <c r="O43" s="14"/>
      <c r="P43" s="14"/>
      <c r="Q43" s="14"/>
    </row>
    <row r="44" spans="1:17" s="14" customFormat="1">
      <c r="A44" s="15">
        <v>33</v>
      </c>
      <c r="B44" s="14" t="s">
        <v>1287</v>
      </c>
      <c r="C44" s="724">
        <v>28700</v>
      </c>
      <c r="D44" s="366">
        <v>1287.03</v>
      </c>
      <c r="F44" s="14">
        <v>0</v>
      </c>
      <c r="G44" s="232">
        <v>0.03</v>
      </c>
      <c r="H44" s="357">
        <f t="shared" ref="H44:H49" si="11">+F44*G44</f>
        <v>0</v>
      </c>
      <c r="I44" s="357">
        <f>+D44+H44</f>
        <v>1287.03</v>
      </c>
      <c r="J44" s="232">
        <v>0.03</v>
      </c>
      <c r="K44" s="357">
        <f>+I44*J44</f>
        <v>38.610900000000001</v>
      </c>
      <c r="L44" s="357">
        <f>+I44+K44</f>
        <v>1325.6408999999999</v>
      </c>
      <c r="M44" s="232">
        <f>M13</f>
        <v>0</v>
      </c>
      <c r="N44" s="358">
        <f>+L44*M44</f>
        <v>0</v>
      </c>
      <c r="O44" s="358">
        <f>+L44+N44</f>
        <v>1325.6408999999999</v>
      </c>
      <c r="P44" s="357">
        <f>+H44</f>
        <v>0</v>
      </c>
      <c r="Q44" s="357">
        <f>+N44+K44</f>
        <v>38.610900000000001</v>
      </c>
    </row>
    <row r="45" spans="1:17" s="14" customFormat="1">
      <c r="A45" s="15">
        <v>34</v>
      </c>
      <c r="B45" s="14" t="s">
        <v>182</v>
      </c>
      <c r="C45" s="724" t="s">
        <v>684</v>
      </c>
      <c r="D45" s="365">
        <v>48252.92</v>
      </c>
      <c r="F45" s="239">
        <v>19377.68</v>
      </c>
      <c r="G45" s="232">
        <v>0.03</v>
      </c>
      <c r="H45" s="357">
        <f t="shared" si="11"/>
        <v>581.33039999999994</v>
      </c>
      <c r="I45" s="357">
        <f t="shared" ref="I45:I65" si="12">+D45+H45</f>
        <v>48834.250399999997</v>
      </c>
      <c r="J45" s="232">
        <v>0.03</v>
      </c>
      <c r="K45" s="357">
        <f t="shared" ref="K45:K65" si="13">+I45*J45</f>
        <v>1465.0275119999999</v>
      </c>
      <c r="L45" s="357">
        <f t="shared" ref="L45:L64" si="14">+I45+K45</f>
        <v>50299.277911999998</v>
      </c>
      <c r="M45" s="232">
        <f>M44</f>
        <v>0</v>
      </c>
      <c r="N45" s="358">
        <f t="shared" ref="N45:N64" si="15">+L45*M45</f>
        <v>0</v>
      </c>
      <c r="O45" s="358">
        <f>+L45+N45</f>
        <v>50299.277911999998</v>
      </c>
      <c r="P45" s="357">
        <f t="shared" ref="P45:P65" si="16">+H45</f>
        <v>581.33039999999994</v>
      </c>
      <c r="Q45" s="357">
        <f>+N45+K45</f>
        <v>1465.0275119999999</v>
      </c>
    </row>
    <row r="46" spans="1:17" s="14" customFormat="1">
      <c r="A46" s="15">
        <v>35</v>
      </c>
      <c r="B46" s="14" t="s">
        <v>1303</v>
      </c>
      <c r="C46" s="724" t="s">
        <v>697</v>
      </c>
      <c r="D46" s="365">
        <v>21804.45</v>
      </c>
      <c r="F46" s="239">
        <v>4790.26</v>
      </c>
      <c r="G46" s="232">
        <v>0.03</v>
      </c>
      <c r="H46" s="357">
        <f t="shared" si="11"/>
        <v>143.70779999999999</v>
      </c>
      <c r="I46" s="357">
        <f t="shared" si="12"/>
        <v>21948.157800000001</v>
      </c>
      <c r="J46" s="232">
        <v>0.03</v>
      </c>
      <c r="K46" s="357">
        <f t="shared" si="13"/>
        <v>658.44473400000004</v>
      </c>
      <c r="L46" s="357">
        <f t="shared" si="14"/>
        <v>22606.602534000001</v>
      </c>
      <c r="M46" s="232">
        <f t="shared" ref="M46:M65" si="17">M45</f>
        <v>0</v>
      </c>
      <c r="N46" s="358">
        <f t="shared" si="15"/>
        <v>0</v>
      </c>
      <c r="O46" s="358">
        <f t="shared" ref="O46:O61" si="18">+L46+N46</f>
        <v>22606.602534000001</v>
      </c>
      <c r="P46" s="357">
        <f t="shared" si="16"/>
        <v>143.70779999999999</v>
      </c>
      <c r="Q46" s="357">
        <f t="shared" ref="Q46:Q65" si="19">+N46+K46</f>
        <v>658.44473400000004</v>
      </c>
    </row>
    <row r="47" spans="1:17" s="14" customFormat="1">
      <c r="A47" s="15">
        <v>36</v>
      </c>
      <c r="B47" s="14" t="str">
        <f>+B24</f>
        <v>Routine Main/Service Operation</v>
      </c>
      <c r="C47" s="724" t="s">
        <v>685</v>
      </c>
      <c r="D47" s="365">
        <v>2108300.17</v>
      </c>
      <c r="F47" s="239">
        <v>519275.66</v>
      </c>
      <c r="G47" s="232">
        <v>0.03</v>
      </c>
      <c r="H47" s="357">
        <f t="shared" si="11"/>
        <v>15578.269799999998</v>
      </c>
      <c r="I47" s="357">
        <f t="shared" si="12"/>
        <v>2123878.4397999998</v>
      </c>
      <c r="J47" s="232">
        <v>0.03</v>
      </c>
      <c r="K47" s="357">
        <f t="shared" si="13"/>
        <v>63716.353193999996</v>
      </c>
      <c r="L47" s="357">
        <f t="shared" si="14"/>
        <v>2187594.792994</v>
      </c>
      <c r="M47" s="232">
        <f t="shared" si="17"/>
        <v>0</v>
      </c>
      <c r="N47" s="358">
        <f t="shared" si="15"/>
        <v>0</v>
      </c>
      <c r="O47" s="358">
        <f t="shared" si="18"/>
        <v>2187594.792994</v>
      </c>
      <c r="P47" s="357">
        <f t="shared" si="16"/>
        <v>15578.269799999998</v>
      </c>
      <c r="Q47" s="357">
        <f t="shared" si="19"/>
        <v>63716.353193999996</v>
      </c>
    </row>
    <row r="48" spans="1:17" s="14" customFormat="1">
      <c r="A48" s="15">
        <v>37</v>
      </c>
      <c r="B48" s="14" t="s">
        <v>1293</v>
      </c>
      <c r="C48" s="724" t="s">
        <v>698</v>
      </c>
      <c r="D48" s="365">
        <v>166198.94</v>
      </c>
      <c r="F48" s="239">
        <v>50169.81</v>
      </c>
      <c r="G48" s="232">
        <v>0.03</v>
      </c>
      <c r="H48" s="357">
        <f t="shared" si="11"/>
        <v>1505.0943</v>
      </c>
      <c r="I48" s="357">
        <f t="shared" si="12"/>
        <v>167704.0343</v>
      </c>
      <c r="J48" s="232">
        <v>0.03</v>
      </c>
      <c r="K48" s="357">
        <f t="shared" si="13"/>
        <v>5031.1210289999999</v>
      </c>
      <c r="L48" s="357">
        <f t="shared" si="14"/>
        <v>172735.155329</v>
      </c>
      <c r="M48" s="232">
        <f t="shared" si="17"/>
        <v>0</v>
      </c>
      <c r="N48" s="358">
        <f t="shared" si="15"/>
        <v>0</v>
      </c>
      <c r="O48" s="358">
        <f t="shared" si="18"/>
        <v>172735.155329</v>
      </c>
      <c r="P48" s="357">
        <f t="shared" si="16"/>
        <v>1505.0943</v>
      </c>
      <c r="Q48" s="357">
        <f t="shared" si="19"/>
        <v>5031.1210289999999</v>
      </c>
    </row>
    <row r="49" spans="1:17" s="14" customFormat="1">
      <c r="A49" s="15">
        <v>38</v>
      </c>
      <c r="B49" s="14" t="s">
        <v>1294</v>
      </c>
      <c r="C49" s="724" t="s">
        <v>699</v>
      </c>
      <c r="D49" s="365">
        <v>87276.54</v>
      </c>
      <c r="F49" s="239">
        <v>23467.43</v>
      </c>
      <c r="G49" s="232">
        <v>0.03</v>
      </c>
      <c r="H49" s="357">
        <f t="shared" si="11"/>
        <v>704.02289999999994</v>
      </c>
      <c r="I49" s="357">
        <f t="shared" si="12"/>
        <v>87980.56289999999</v>
      </c>
      <c r="J49" s="232">
        <v>0.03</v>
      </c>
      <c r="K49" s="357">
        <f t="shared" si="13"/>
        <v>2639.4168869999994</v>
      </c>
      <c r="L49" s="357">
        <f t="shared" si="14"/>
        <v>90619.979786999989</v>
      </c>
      <c r="M49" s="232">
        <f t="shared" si="17"/>
        <v>0</v>
      </c>
      <c r="N49" s="358">
        <f t="shared" si="15"/>
        <v>0</v>
      </c>
      <c r="O49" s="358">
        <f t="shared" si="18"/>
        <v>90619.979786999989</v>
      </c>
      <c r="P49" s="357">
        <f t="shared" si="16"/>
        <v>704.02289999999994</v>
      </c>
      <c r="Q49" s="357">
        <f t="shared" si="19"/>
        <v>2639.4168869999994</v>
      </c>
    </row>
    <row r="50" spans="1:17" s="14" customFormat="1">
      <c r="A50" s="15">
        <v>39</v>
      </c>
      <c r="B50" s="14" t="s">
        <v>1295</v>
      </c>
      <c r="C50" s="724" t="s">
        <v>686</v>
      </c>
      <c r="D50" s="365">
        <v>915293.16</v>
      </c>
      <c r="F50" s="239">
        <v>229776.52</v>
      </c>
      <c r="G50" s="232">
        <v>0.03</v>
      </c>
      <c r="H50" s="357">
        <f t="shared" ref="H50:H65" si="20">+F50*G50</f>
        <v>6893.2955999999995</v>
      </c>
      <c r="I50" s="357">
        <f t="shared" si="12"/>
        <v>922186.45559999999</v>
      </c>
      <c r="J50" s="232">
        <v>0.03</v>
      </c>
      <c r="K50" s="357">
        <f t="shared" si="13"/>
        <v>27665.593667999998</v>
      </c>
      <c r="L50" s="357">
        <f t="shared" si="14"/>
        <v>949852.04926799994</v>
      </c>
      <c r="M50" s="232">
        <f t="shared" si="17"/>
        <v>0</v>
      </c>
      <c r="N50" s="358">
        <f t="shared" si="15"/>
        <v>0</v>
      </c>
      <c r="O50" s="358">
        <f t="shared" si="18"/>
        <v>949852.04926799994</v>
      </c>
      <c r="P50" s="357">
        <f t="shared" si="16"/>
        <v>6893.2955999999995</v>
      </c>
      <c r="Q50" s="357">
        <f t="shared" si="19"/>
        <v>27665.593667999998</v>
      </c>
    </row>
    <row r="51" spans="1:17" s="14" customFormat="1">
      <c r="A51" s="15">
        <v>40</v>
      </c>
      <c r="B51" s="14" t="s">
        <v>1296</v>
      </c>
      <c r="C51" s="724" t="s">
        <v>687</v>
      </c>
      <c r="D51" s="365">
        <v>615370.34</v>
      </c>
      <c r="F51" s="239">
        <v>179612.83</v>
      </c>
      <c r="G51" s="232">
        <v>0.03</v>
      </c>
      <c r="H51" s="357">
        <f t="shared" si="20"/>
        <v>5388.3848999999991</v>
      </c>
      <c r="I51" s="357">
        <f t="shared" si="12"/>
        <v>620758.72489999991</v>
      </c>
      <c r="J51" s="232">
        <v>0.03</v>
      </c>
      <c r="K51" s="357">
        <f t="shared" si="13"/>
        <v>18622.761746999997</v>
      </c>
      <c r="L51" s="357">
        <f t="shared" si="14"/>
        <v>639381.48664699995</v>
      </c>
      <c r="M51" s="232">
        <f t="shared" si="17"/>
        <v>0</v>
      </c>
      <c r="N51" s="358">
        <f t="shared" si="15"/>
        <v>0</v>
      </c>
      <c r="O51" s="358">
        <f t="shared" si="18"/>
        <v>639381.48664699995</v>
      </c>
      <c r="P51" s="357">
        <f t="shared" si="16"/>
        <v>5388.3848999999991</v>
      </c>
      <c r="Q51" s="357">
        <f t="shared" si="19"/>
        <v>18622.761746999997</v>
      </c>
    </row>
    <row r="52" spans="1:17" s="14" customFormat="1">
      <c r="A52" s="15">
        <v>41</v>
      </c>
      <c r="B52" s="14" t="s">
        <v>1281</v>
      </c>
      <c r="C52" s="724" t="s">
        <v>688</v>
      </c>
      <c r="D52" s="365">
        <v>2535799.42</v>
      </c>
      <c r="F52" s="239">
        <v>706560.89</v>
      </c>
      <c r="G52" s="232">
        <v>0.03</v>
      </c>
      <c r="H52" s="357">
        <f t="shared" si="20"/>
        <v>21196.826700000001</v>
      </c>
      <c r="I52" s="357">
        <f t="shared" si="12"/>
        <v>2556996.2467</v>
      </c>
      <c r="J52" s="232">
        <v>0.03</v>
      </c>
      <c r="K52" s="357">
        <f t="shared" si="13"/>
        <v>76709.887401</v>
      </c>
      <c r="L52" s="357">
        <f t="shared" si="14"/>
        <v>2633706.1341010001</v>
      </c>
      <c r="M52" s="232">
        <f t="shared" si="17"/>
        <v>0</v>
      </c>
      <c r="N52" s="358">
        <f t="shared" si="15"/>
        <v>0</v>
      </c>
      <c r="O52" s="358">
        <f t="shared" si="18"/>
        <v>2633706.1341010001</v>
      </c>
      <c r="P52" s="357">
        <f t="shared" si="16"/>
        <v>21196.826700000001</v>
      </c>
      <c r="Q52" s="357">
        <f t="shared" si="19"/>
        <v>76709.887401</v>
      </c>
    </row>
    <row r="53" spans="1:17" s="14" customFormat="1">
      <c r="A53" s="15">
        <v>42</v>
      </c>
      <c r="B53" s="14" t="str">
        <f>+B28</f>
        <v>Mains-Maintenance</v>
      </c>
      <c r="C53" s="724" t="s">
        <v>689</v>
      </c>
      <c r="D53" s="365">
        <v>525265.23</v>
      </c>
      <c r="F53" s="239">
        <v>126660.95</v>
      </c>
      <c r="G53" s="232">
        <v>0.03</v>
      </c>
      <c r="H53" s="357">
        <f t="shared" si="20"/>
        <v>3799.8284999999996</v>
      </c>
      <c r="I53" s="357">
        <f t="shared" si="12"/>
        <v>529065.05849999993</v>
      </c>
      <c r="J53" s="232">
        <v>0.03</v>
      </c>
      <c r="K53" s="357">
        <f t="shared" si="13"/>
        <v>15871.951754999996</v>
      </c>
      <c r="L53" s="357">
        <f t="shared" si="14"/>
        <v>544937.01025499997</v>
      </c>
      <c r="M53" s="232">
        <f t="shared" si="17"/>
        <v>0</v>
      </c>
      <c r="N53" s="358">
        <f t="shared" si="15"/>
        <v>0</v>
      </c>
      <c r="O53" s="358">
        <f t="shared" si="18"/>
        <v>544937.01025499997</v>
      </c>
      <c r="P53" s="357">
        <f t="shared" si="16"/>
        <v>3799.8284999999996</v>
      </c>
      <c r="Q53" s="357">
        <f t="shared" si="19"/>
        <v>15871.951754999996</v>
      </c>
    </row>
    <row r="54" spans="1:17" s="14" customFormat="1">
      <c r="A54" s="15">
        <v>43</v>
      </c>
      <c r="B54" s="14" t="s">
        <v>1302</v>
      </c>
      <c r="C54" s="724" t="s">
        <v>700</v>
      </c>
      <c r="D54" s="365">
        <v>56815.88</v>
      </c>
      <c r="F54" s="239">
        <v>13653.52</v>
      </c>
      <c r="G54" s="232">
        <v>0.03</v>
      </c>
      <c r="H54" s="357">
        <f t="shared" si="20"/>
        <v>409.60559999999998</v>
      </c>
      <c r="I54" s="357">
        <f t="shared" si="12"/>
        <v>57225.4856</v>
      </c>
      <c r="J54" s="232">
        <v>0.03</v>
      </c>
      <c r="K54" s="357">
        <f t="shared" si="13"/>
        <v>1716.7645679999998</v>
      </c>
      <c r="L54" s="357">
        <f t="shared" si="14"/>
        <v>58942.250167999999</v>
      </c>
      <c r="M54" s="232">
        <f t="shared" si="17"/>
        <v>0</v>
      </c>
      <c r="N54" s="358">
        <f t="shared" si="15"/>
        <v>0</v>
      </c>
      <c r="O54" s="358">
        <f t="shared" si="18"/>
        <v>58942.250167999999</v>
      </c>
      <c r="P54" s="357">
        <f t="shared" si="16"/>
        <v>409.60559999999998</v>
      </c>
      <c r="Q54" s="357">
        <f t="shared" si="19"/>
        <v>1716.7645679999998</v>
      </c>
    </row>
    <row r="55" spans="1:17" s="14" customFormat="1">
      <c r="A55" s="15">
        <v>44</v>
      </c>
      <c r="B55" s="14" t="str">
        <f>+B30</f>
        <v>Station &amp; Odorizer Station</v>
      </c>
      <c r="C55" s="724" t="s">
        <v>690</v>
      </c>
      <c r="D55" s="365">
        <v>235823.44</v>
      </c>
      <c r="F55" s="239">
        <v>71401.27</v>
      </c>
      <c r="G55" s="232">
        <v>0.03</v>
      </c>
      <c r="H55" s="357">
        <f t="shared" si="20"/>
        <v>2142.0381000000002</v>
      </c>
      <c r="I55" s="357">
        <f t="shared" si="12"/>
        <v>237965.47810000001</v>
      </c>
      <c r="J55" s="232">
        <v>0.03</v>
      </c>
      <c r="K55" s="357">
        <f t="shared" si="13"/>
        <v>7138.9643429999996</v>
      </c>
      <c r="L55" s="357">
        <f t="shared" si="14"/>
        <v>245104.44244300001</v>
      </c>
      <c r="M55" s="232">
        <f t="shared" si="17"/>
        <v>0</v>
      </c>
      <c r="N55" s="358">
        <f t="shared" si="15"/>
        <v>0</v>
      </c>
      <c r="O55" s="358">
        <f t="shared" si="18"/>
        <v>245104.44244300001</v>
      </c>
      <c r="P55" s="357">
        <f t="shared" si="16"/>
        <v>2142.0381000000002</v>
      </c>
      <c r="Q55" s="357">
        <f t="shared" si="19"/>
        <v>7138.9643429999996</v>
      </c>
    </row>
    <row r="56" spans="1:17" s="14" customFormat="1">
      <c r="A56" s="15">
        <v>45</v>
      </c>
      <c r="B56" s="14" t="s">
        <v>1299</v>
      </c>
      <c r="C56" s="724" t="s">
        <v>691</v>
      </c>
      <c r="D56" s="365">
        <v>25640.68</v>
      </c>
      <c r="F56" s="239">
        <v>3020.59</v>
      </c>
      <c r="G56" s="232">
        <v>0.03</v>
      </c>
      <c r="H56" s="357">
        <f t="shared" si="20"/>
        <v>90.617699999999999</v>
      </c>
      <c r="I56" s="357">
        <f t="shared" si="12"/>
        <v>25731.297699999999</v>
      </c>
      <c r="J56" s="232">
        <v>0.03</v>
      </c>
      <c r="K56" s="357">
        <f t="shared" si="13"/>
        <v>771.93893099999991</v>
      </c>
      <c r="L56" s="357">
        <f t="shared" si="14"/>
        <v>26503.236631</v>
      </c>
      <c r="M56" s="232">
        <f t="shared" si="17"/>
        <v>0</v>
      </c>
      <c r="N56" s="358">
        <f t="shared" si="15"/>
        <v>0</v>
      </c>
      <c r="O56" s="358">
        <f t="shared" si="18"/>
        <v>26503.236631</v>
      </c>
      <c r="P56" s="357">
        <f t="shared" si="16"/>
        <v>90.617699999999999</v>
      </c>
      <c r="Q56" s="357">
        <f t="shared" si="19"/>
        <v>771.93893099999991</v>
      </c>
    </row>
    <row r="57" spans="1:17" s="14" customFormat="1">
      <c r="A57" s="15">
        <v>46</v>
      </c>
      <c r="B57" s="14" t="str">
        <f>+B31</f>
        <v>Service</v>
      </c>
      <c r="C57" s="724" t="s">
        <v>692</v>
      </c>
      <c r="D57" s="365">
        <v>793387.64</v>
      </c>
      <c r="F57" s="239">
        <v>204008.03</v>
      </c>
      <c r="G57" s="232">
        <v>0.03</v>
      </c>
      <c r="H57" s="357">
        <f t="shared" si="20"/>
        <v>6120.2408999999998</v>
      </c>
      <c r="I57" s="357">
        <f t="shared" si="12"/>
        <v>799507.88089999999</v>
      </c>
      <c r="J57" s="232">
        <v>0.03</v>
      </c>
      <c r="K57" s="357">
        <f t="shared" si="13"/>
        <v>23985.236427</v>
      </c>
      <c r="L57" s="357">
        <f t="shared" si="14"/>
        <v>823493.11732700001</v>
      </c>
      <c r="M57" s="232">
        <f t="shared" si="17"/>
        <v>0</v>
      </c>
      <c r="N57" s="358">
        <f t="shared" si="15"/>
        <v>0</v>
      </c>
      <c r="O57" s="358">
        <f t="shared" si="18"/>
        <v>823493.11732700001</v>
      </c>
      <c r="P57" s="357">
        <f t="shared" si="16"/>
        <v>6120.2408999999998</v>
      </c>
      <c r="Q57" s="357">
        <f t="shared" si="19"/>
        <v>23985.236427</v>
      </c>
    </row>
    <row r="58" spans="1:17" s="14" customFormat="1">
      <c r="A58" s="15">
        <v>47</v>
      </c>
      <c r="B58" s="14" t="s">
        <v>1291</v>
      </c>
      <c r="C58" s="724" t="s">
        <v>693</v>
      </c>
      <c r="D58" s="365">
        <v>689855.71</v>
      </c>
      <c r="F58" s="239">
        <v>170799.2</v>
      </c>
      <c r="G58" s="232">
        <v>0.03</v>
      </c>
      <c r="H58" s="357">
        <f t="shared" si="20"/>
        <v>5123.9760000000006</v>
      </c>
      <c r="I58" s="357">
        <f t="shared" si="12"/>
        <v>694979.68599999999</v>
      </c>
      <c r="J58" s="232">
        <v>0.03</v>
      </c>
      <c r="K58" s="357">
        <f t="shared" si="13"/>
        <v>20849.390579999999</v>
      </c>
      <c r="L58" s="357">
        <f t="shared" si="14"/>
        <v>715829.07657999999</v>
      </c>
      <c r="M58" s="232">
        <f t="shared" si="17"/>
        <v>0</v>
      </c>
      <c r="N58" s="358">
        <f t="shared" si="15"/>
        <v>0</v>
      </c>
      <c r="O58" s="358">
        <f t="shared" si="18"/>
        <v>715829.07657999999</v>
      </c>
      <c r="P58" s="357">
        <f t="shared" si="16"/>
        <v>5123.9760000000006</v>
      </c>
      <c r="Q58" s="357">
        <f t="shared" si="19"/>
        <v>20849.390579999999</v>
      </c>
    </row>
    <row r="59" spans="1:17" s="14" customFormat="1">
      <c r="A59" s="15">
        <v>48</v>
      </c>
      <c r="B59" s="14" t="str">
        <f>+B32</f>
        <v>Maintenance of Other</v>
      </c>
      <c r="C59" s="724" t="s">
        <v>701</v>
      </c>
      <c r="D59" s="365">
        <v>857430.33</v>
      </c>
      <c r="F59" s="239">
        <v>249586.68</v>
      </c>
      <c r="G59" s="232">
        <v>0.03</v>
      </c>
      <c r="H59" s="357">
        <f t="shared" si="20"/>
        <v>7487.6003999999994</v>
      </c>
      <c r="I59" s="357">
        <f t="shared" si="12"/>
        <v>864917.93039999995</v>
      </c>
      <c r="J59" s="232">
        <v>0.03</v>
      </c>
      <c r="K59" s="357">
        <f t="shared" si="13"/>
        <v>25947.537911999996</v>
      </c>
      <c r="L59" s="357">
        <f t="shared" si="14"/>
        <v>890865.46831199992</v>
      </c>
      <c r="M59" s="232">
        <f t="shared" si="17"/>
        <v>0</v>
      </c>
      <c r="N59" s="358">
        <f t="shared" si="15"/>
        <v>0</v>
      </c>
      <c r="O59" s="358">
        <f t="shared" si="18"/>
        <v>890865.46831199992</v>
      </c>
      <c r="P59" s="357">
        <f t="shared" si="16"/>
        <v>7487.6003999999994</v>
      </c>
      <c r="Q59" s="357">
        <f t="shared" si="19"/>
        <v>25947.537911999996</v>
      </c>
    </row>
    <row r="60" spans="1:17" s="14" customFormat="1">
      <c r="A60" s="15">
        <v>49</v>
      </c>
      <c r="B60" s="14" t="str">
        <f>+B34</f>
        <v>Routine Meter Reading</v>
      </c>
      <c r="C60" s="724" t="s">
        <v>694</v>
      </c>
      <c r="D60" s="365">
        <v>346337.29</v>
      </c>
      <c r="F60" s="239">
        <v>89063.33</v>
      </c>
      <c r="G60" s="232">
        <v>0.03</v>
      </c>
      <c r="H60" s="357">
        <f t="shared" si="20"/>
        <v>2671.8998999999999</v>
      </c>
      <c r="I60" s="357">
        <f t="shared" si="12"/>
        <v>349009.1899</v>
      </c>
      <c r="J60" s="232">
        <v>0.03</v>
      </c>
      <c r="K60" s="357">
        <f t="shared" si="13"/>
        <v>10470.275696999999</v>
      </c>
      <c r="L60" s="357">
        <f t="shared" si="14"/>
        <v>359479.46559699997</v>
      </c>
      <c r="M60" s="232">
        <f t="shared" si="17"/>
        <v>0</v>
      </c>
      <c r="N60" s="358">
        <f t="shared" si="15"/>
        <v>0</v>
      </c>
      <c r="O60" s="358">
        <f t="shared" si="18"/>
        <v>359479.46559699997</v>
      </c>
      <c r="P60" s="357">
        <f t="shared" si="16"/>
        <v>2671.8998999999999</v>
      </c>
      <c r="Q60" s="357">
        <f t="shared" si="19"/>
        <v>10470.275696999999</v>
      </c>
    </row>
    <row r="61" spans="1:17" s="14" customFormat="1">
      <c r="A61" s="15">
        <v>50</v>
      </c>
      <c r="B61" s="14" t="str">
        <f>+B35</f>
        <v>Customer Collection</v>
      </c>
      <c r="C61" s="724" t="s">
        <v>695</v>
      </c>
      <c r="D61" s="365">
        <v>98505.75</v>
      </c>
      <c r="F61" s="239">
        <v>22918.49</v>
      </c>
      <c r="G61" s="232">
        <v>0.03</v>
      </c>
      <c r="H61" s="357">
        <f>+F61*G61</f>
        <v>687.55470000000003</v>
      </c>
      <c r="I61" s="357">
        <f t="shared" si="12"/>
        <v>99193.304699999993</v>
      </c>
      <c r="J61" s="232">
        <v>0.03</v>
      </c>
      <c r="K61" s="357">
        <f t="shared" si="13"/>
        <v>2975.7991409999995</v>
      </c>
      <c r="L61" s="357">
        <f t="shared" si="14"/>
        <v>102169.10384099999</v>
      </c>
      <c r="M61" s="232">
        <f t="shared" si="17"/>
        <v>0</v>
      </c>
      <c r="N61" s="358">
        <f t="shared" si="15"/>
        <v>0</v>
      </c>
      <c r="O61" s="358">
        <f t="shared" si="18"/>
        <v>102169.10384099999</v>
      </c>
      <c r="P61" s="357">
        <f>+H61</f>
        <v>687.55470000000003</v>
      </c>
      <c r="Q61" s="357">
        <f t="shared" si="19"/>
        <v>2975.7991409999995</v>
      </c>
    </row>
    <row r="62" spans="1:17" s="14" customFormat="1">
      <c r="A62" s="15">
        <v>51</v>
      </c>
      <c r="B62" s="14" t="str">
        <f>+B39</f>
        <v>Administration &amp; General</v>
      </c>
      <c r="C62" s="724" t="s">
        <v>696</v>
      </c>
      <c r="D62" s="365">
        <v>691.57</v>
      </c>
      <c r="F62" s="239">
        <v>0</v>
      </c>
      <c r="G62" s="232">
        <v>0.03</v>
      </c>
      <c r="H62" s="357">
        <f t="shared" si="20"/>
        <v>0</v>
      </c>
      <c r="I62" s="357">
        <f t="shared" si="12"/>
        <v>691.57</v>
      </c>
      <c r="J62" s="232">
        <v>0.03</v>
      </c>
      <c r="K62" s="357">
        <f t="shared" si="13"/>
        <v>20.7471</v>
      </c>
      <c r="L62" s="357">
        <f t="shared" si="14"/>
        <v>712.3171000000001</v>
      </c>
      <c r="M62" s="232">
        <f t="shared" si="17"/>
        <v>0</v>
      </c>
      <c r="N62" s="358">
        <f t="shared" si="15"/>
        <v>0</v>
      </c>
      <c r="O62" s="358">
        <f>+L62+N62</f>
        <v>712.3171000000001</v>
      </c>
      <c r="P62" s="357">
        <f>+H62</f>
        <v>0</v>
      </c>
      <c r="Q62" s="357">
        <f t="shared" si="19"/>
        <v>20.7471</v>
      </c>
    </row>
    <row r="63" spans="1:17" s="14" customFormat="1">
      <c r="A63" s="15">
        <v>52</v>
      </c>
      <c r="B63" s="14" t="s">
        <v>2178</v>
      </c>
      <c r="C63" s="724">
        <v>29210</v>
      </c>
      <c r="D63" s="365">
        <v>361.65</v>
      </c>
      <c r="F63" s="239">
        <v>0</v>
      </c>
      <c r="G63" s="232">
        <v>0.03</v>
      </c>
      <c r="H63" s="357">
        <f t="shared" si="20"/>
        <v>0</v>
      </c>
      <c r="I63" s="357">
        <f t="shared" si="12"/>
        <v>361.65</v>
      </c>
      <c r="J63" s="232">
        <v>0.03</v>
      </c>
      <c r="K63" s="357">
        <f t="shared" si="13"/>
        <v>10.849499999999999</v>
      </c>
      <c r="L63" s="357">
        <f t="shared" si="14"/>
        <v>372.49949999999995</v>
      </c>
      <c r="M63" s="232">
        <f t="shared" si="17"/>
        <v>0</v>
      </c>
      <c r="N63" s="358">
        <f t="shared" si="15"/>
        <v>0</v>
      </c>
      <c r="O63" s="358">
        <f>+L63+N63</f>
        <v>372.49949999999995</v>
      </c>
      <c r="P63" s="357">
        <f t="shared" si="16"/>
        <v>0</v>
      </c>
      <c r="Q63" s="357">
        <f t="shared" si="19"/>
        <v>10.849499999999999</v>
      </c>
    </row>
    <row r="64" spans="1:17">
      <c r="A64" s="15">
        <v>53</v>
      </c>
      <c r="B64" s="14" t="str">
        <f>+B41</f>
        <v>Employee Pensions and Benefits</v>
      </c>
      <c r="C64" s="724">
        <v>29260</v>
      </c>
      <c r="D64" s="365">
        <v>23110.23</v>
      </c>
      <c r="E64" s="14"/>
      <c r="F64" s="239">
        <v>0</v>
      </c>
      <c r="G64" s="232">
        <v>0.03</v>
      </c>
      <c r="H64" s="357">
        <f t="shared" si="20"/>
        <v>0</v>
      </c>
      <c r="I64" s="357">
        <f t="shared" si="12"/>
        <v>23110.23</v>
      </c>
      <c r="J64" s="232">
        <v>0.03</v>
      </c>
      <c r="K64" s="357">
        <f t="shared" si="13"/>
        <v>693.30689999999993</v>
      </c>
      <c r="L64" s="357">
        <f t="shared" si="14"/>
        <v>23803.536899999999</v>
      </c>
      <c r="M64" s="232">
        <f t="shared" si="17"/>
        <v>0</v>
      </c>
      <c r="N64" s="358">
        <f t="shared" si="15"/>
        <v>0</v>
      </c>
      <c r="O64" s="358">
        <f>+L64+N64</f>
        <v>23803.536899999999</v>
      </c>
      <c r="P64" s="357">
        <f t="shared" si="16"/>
        <v>0</v>
      </c>
      <c r="Q64" s="357">
        <f t="shared" si="19"/>
        <v>693.30689999999993</v>
      </c>
    </row>
    <row r="65" spans="1:17">
      <c r="A65" s="15">
        <v>54</v>
      </c>
      <c r="B65" s="14" t="s">
        <v>270</v>
      </c>
      <c r="C65" s="724" t="s">
        <v>702</v>
      </c>
      <c r="D65" s="400">
        <v>2556.56</v>
      </c>
      <c r="E65" s="236"/>
      <c r="F65" s="367">
        <v>1301.68</v>
      </c>
      <c r="G65" s="232">
        <v>0.03</v>
      </c>
      <c r="H65" s="368">
        <f t="shared" si="20"/>
        <v>39.050400000000003</v>
      </c>
      <c r="I65" s="368">
        <f t="shared" si="12"/>
        <v>2595.6104</v>
      </c>
      <c r="J65" s="232">
        <v>0.03</v>
      </c>
      <c r="K65" s="368">
        <f t="shared" si="13"/>
        <v>77.868312000000003</v>
      </c>
      <c r="L65" s="368">
        <f>+I65+K65</f>
        <v>2673.4787120000001</v>
      </c>
      <c r="M65" s="232">
        <f t="shared" si="17"/>
        <v>0</v>
      </c>
      <c r="N65" s="369">
        <f>+L65*M65</f>
        <v>0</v>
      </c>
      <c r="O65" s="369">
        <f>+L65+N65</f>
        <v>2673.4787120000001</v>
      </c>
      <c r="P65" s="368">
        <f t="shared" si="16"/>
        <v>39.050400000000003</v>
      </c>
      <c r="Q65" s="368">
        <f t="shared" si="19"/>
        <v>77.868312000000003</v>
      </c>
    </row>
    <row r="66" spans="1:17">
      <c r="A66" s="15">
        <v>55</v>
      </c>
      <c r="B66" s="14"/>
      <c r="C66" s="14"/>
      <c r="D66" s="366">
        <f>SUM(D44:D65)</f>
        <v>10155364.93</v>
      </c>
      <c r="E66" s="14"/>
      <c r="F66" s="366">
        <f>SUM(F44:F65)</f>
        <v>2685444.8200000008</v>
      </c>
      <c r="G66" s="14"/>
      <c r="H66" s="366">
        <f>SUM(H44:H65)</f>
        <v>80563.344599999982</v>
      </c>
      <c r="I66" s="366">
        <f>SUM(I44:I65)</f>
        <v>10235928.274600001</v>
      </c>
      <c r="J66" s="14"/>
      <c r="K66" s="366">
        <f>SUM(K44:K65)</f>
        <v>307077.84823800001</v>
      </c>
      <c r="L66" s="366">
        <f>SUM(L44:L65)</f>
        <v>10543006.122838002</v>
      </c>
      <c r="M66" s="14"/>
      <c r="N66" s="366">
        <f>SUM(N44:N65)</f>
        <v>0</v>
      </c>
      <c r="O66" s="366">
        <f>SUM(O44:O65)</f>
        <v>10543006.122838002</v>
      </c>
      <c r="P66" s="366">
        <f>SUM(P44:P65)</f>
        <v>80563.344599999982</v>
      </c>
      <c r="Q66" s="366">
        <f>SUM(Q44:Q65)</f>
        <v>307077.84823800001</v>
      </c>
    </row>
    <row r="67" spans="1:17">
      <c r="C67" s="14"/>
      <c r="D67" s="14"/>
      <c r="E67" s="14"/>
      <c r="F67" s="14"/>
      <c r="G67" s="14"/>
      <c r="H67" s="14"/>
      <c r="I67" s="14"/>
      <c r="J67" s="14"/>
      <c r="K67" s="14"/>
      <c r="L67" s="14"/>
      <c r="M67" s="14"/>
      <c r="N67" s="14"/>
      <c r="O67" s="14"/>
      <c r="P67" s="14"/>
      <c r="Q67" s="14"/>
    </row>
    <row r="69" spans="1:17" ht="16.2" thickBot="1">
      <c r="A69" s="15"/>
      <c r="B69" s="14"/>
      <c r="C69" s="14"/>
      <c r="D69" s="14"/>
      <c r="E69" s="14"/>
      <c r="F69" s="14"/>
      <c r="G69" s="14"/>
      <c r="H69" s="14"/>
    </row>
    <row r="70" spans="1:17">
      <c r="A70" s="15"/>
      <c r="B70" s="1946" t="s">
        <v>2176</v>
      </c>
      <c r="C70" s="1947"/>
      <c r="D70" s="1947"/>
      <c r="E70" s="1948"/>
      <c r="F70" s="14"/>
      <c r="G70" s="14"/>
      <c r="H70" s="14"/>
    </row>
    <row r="71" spans="1:17">
      <c r="A71" s="15"/>
      <c r="B71" s="1949"/>
      <c r="C71" s="1950"/>
      <c r="D71" s="1950"/>
      <c r="E71" s="1951"/>
      <c r="F71" s="14"/>
      <c r="G71" s="14"/>
      <c r="H71" s="14"/>
    </row>
    <row r="72" spans="1:17">
      <c r="A72" s="15"/>
      <c r="B72" s="1949"/>
      <c r="C72" s="1950"/>
      <c r="D72" s="1950"/>
      <c r="E72" s="1951"/>
      <c r="F72" s="14"/>
      <c r="G72" s="14"/>
      <c r="H72" s="14"/>
    </row>
    <row r="73" spans="1:17" ht="16.2" thickBot="1">
      <c r="A73" s="15"/>
      <c r="B73" s="1952"/>
      <c r="C73" s="1953"/>
      <c r="D73" s="1953"/>
      <c r="E73" s="1954"/>
      <c r="F73" s="14"/>
      <c r="G73" s="14"/>
      <c r="H73" s="14"/>
    </row>
    <row r="74" spans="1:17">
      <c r="A74" s="429" t="s">
        <v>649</v>
      </c>
      <c r="B74" s="14"/>
      <c r="C74" s="14"/>
      <c r="D74" s="14"/>
      <c r="E74" s="14"/>
      <c r="F74" s="14"/>
      <c r="G74" s="14"/>
      <c r="H74" s="14"/>
    </row>
    <row r="75" spans="1:17">
      <c r="A75" s="15">
        <v>56</v>
      </c>
      <c r="B75" s="720" t="s">
        <v>2183</v>
      </c>
      <c r="C75" s="14"/>
      <c r="D75" s="14"/>
      <c r="E75" s="14"/>
      <c r="F75" s="398">
        <v>87053.82</v>
      </c>
      <c r="G75" s="14"/>
      <c r="H75" s="14"/>
      <c r="J75" s="232">
        <f>J41</f>
        <v>3.5499999999999997E-2</v>
      </c>
      <c r="K75" s="370">
        <f>+F75*J75</f>
        <v>3090.4106099999999</v>
      </c>
      <c r="L75" s="370">
        <f>+F75+K75</f>
        <v>90144.230610000013</v>
      </c>
      <c r="M75" s="232">
        <f>M11</f>
        <v>0</v>
      </c>
      <c r="N75" s="398">
        <f>+L75*M75</f>
        <v>0</v>
      </c>
      <c r="O75" s="370">
        <f>+L75+N75</f>
        <v>90144.230610000013</v>
      </c>
      <c r="P75" s="137">
        <f t="shared" ref="P75:P110" si="21">+H75</f>
        <v>0</v>
      </c>
      <c r="Q75" s="137">
        <f t="shared" ref="Q75:Q110" si="22">+N75+K75</f>
        <v>3090.4106099999999</v>
      </c>
    </row>
    <row r="76" spans="1:17">
      <c r="A76" s="15">
        <v>57</v>
      </c>
      <c r="B76" s="720" t="s">
        <v>2184</v>
      </c>
      <c r="C76" s="14"/>
      <c r="D76" s="14"/>
      <c r="E76" s="14"/>
      <c r="F76" s="398">
        <v>17105.599999999999</v>
      </c>
      <c r="G76" s="14"/>
      <c r="H76" s="14"/>
      <c r="J76" s="232">
        <f>J75</f>
        <v>3.5499999999999997E-2</v>
      </c>
      <c r="K76" s="370">
        <f>+F76*J76</f>
        <v>607.24879999999985</v>
      </c>
      <c r="L76" s="370">
        <f t="shared" ref="L76:L110" si="23">+F76+K76</f>
        <v>17712.8488</v>
      </c>
      <c r="M76" s="232">
        <f>M75</f>
        <v>0</v>
      </c>
      <c r="N76" s="398">
        <f t="shared" ref="N76:N110" si="24">+L76*M76</f>
        <v>0</v>
      </c>
      <c r="O76" s="370">
        <f t="shared" ref="O76:O110" si="25">+L76+N76</f>
        <v>17712.8488</v>
      </c>
      <c r="P76" s="137">
        <f t="shared" si="21"/>
        <v>0</v>
      </c>
      <c r="Q76" s="137">
        <f t="shared" si="22"/>
        <v>607.24879999999985</v>
      </c>
    </row>
    <row r="77" spans="1:17">
      <c r="A77" s="15">
        <v>58</v>
      </c>
      <c r="B77" s="810" t="s">
        <v>735</v>
      </c>
      <c r="C77" s="811"/>
      <c r="D77" s="811"/>
      <c r="E77" s="811"/>
      <c r="F77" s="812">
        <v>1790432.89</v>
      </c>
      <c r="G77" s="14"/>
      <c r="H77" s="365"/>
      <c r="J77" s="232">
        <f t="shared" ref="J77:J110" si="26">J76</f>
        <v>3.5499999999999997E-2</v>
      </c>
      <c r="K77" s="370">
        <f t="shared" ref="K77:K110" si="27">+F77*J77</f>
        <v>63560.367594999989</v>
      </c>
      <c r="L77" s="370">
        <f t="shared" si="23"/>
        <v>1853993.2575949999</v>
      </c>
      <c r="M77" s="232">
        <f t="shared" ref="M77:M110" si="28">M76</f>
        <v>0</v>
      </c>
      <c r="N77" s="398">
        <f t="shared" si="24"/>
        <v>0</v>
      </c>
      <c r="O77" s="370">
        <f t="shared" si="25"/>
        <v>1853993.2575949999</v>
      </c>
      <c r="P77" s="137">
        <f t="shared" si="21"/>
        <v>0</v>
      </c>
      <c r="Q77" s="137">
        <f t="shared" si="22"/>
        <v>63560.367594999989</v>
      </c>
    </row>
    <row r="78" spans="1:17">
      <c r="A78" s="15">
        <v>59</v>
      </c>
      <c r="B78" s="810" t="s">
        <v>1333</v>
      </c>
      <c r="C78" s="811"/>
      <c r="D78" s="811"/>
      <c r="E78" s="811"/>
      <c r="F78" s="812">
        <v>63503.67</v>
      </c>
      <c r="G78" s="14"/>
      <c r="H78" s="14"/>
      <c r="J78" s="232">
        <f t="shared" si="26"/>
        <v>3.5499999999999997E-2</v>
      </c>
      <c r="K78" s="370">
        <f t="shared" si="27"/>
        <v>2254.3802849999997</v>
      </c>
      <c r="L78" s="370">
        <f t="shared" si="23"/>
        <v>65758.050285000005</v>
      </c>
      <c r="M78" s="232">
        <f t="shared" si="28"/>
        <v>0</v>
      </c>
      <c r="N78" s="398">
        <f t="shared" si="24"/>
        <v>0</v>
      </c>
      <c r="O78" s="370">
        <f t="shared" si="25"/>
        <v>65758.050285000005</v>
      </c>
      <c r="P78" s="137">
        <f t="shared" si="21"/>
        <v>0</v>
      </c>
      <c r="Q78" s="137">
        <f t="shared" si="22"/>
        <v>2254.3802849999997</v>
      </c>
    </row>
    <row r="79" spans="1:17">
      <c r="A79" s="15">
        <v>60</v>
      </c>
      <c r="B79" s="720" t="s">
        <v>1334</v>
      </c>
      <c r="C79" s="14"/>
      <c r="D79" s="14"/>
      <c r="E79" s="14"/>
      <c r="F79" s="398">
        <v>46296.31</v>
      </c>
      <c r="G79" s="14"/>
      <c r="H79" s="14"/>
      <c r="J79" s="232">
        <f t="shared" si="26"/>
        <v>3.5499999999999997E-2</v>
      </c>
      <c r="K79" s="370">
        <f t="shared" si="27"/>
        <v>1643.5190049999999</v>
      </c>
      <c r="L79" s="370">
        <f t="shared" si="23"/>
        <v>47939.829005</v>
      </c>
      <c r="M79" s="232">
        <f t="shared" si="28"/>
        <v>0</v>
      </c>
      <c r="N79" s="398">
        <f t="shared" si="24"/>
        <v>0</v>
      </c>
      <c r="O79" s="370">
        <f t="shared" si="25"/>
        <v>47939.829005</v>
      </c>
      <c r="P79" s="137">
        <f t="shared" si="21"/>
        <v>0</v>
      </c>
      <c r="Q79" s="137">
        <f t="shared" si="22"/>
        <v>1643.5190049999999</v>
      </c>
    </row>
    <row r="80" spans="1:17">
      <c r="A80" s="15">
        <v>61</v>
      </c>
      <c r="B80" s="720" t="s">
        <v>2185</v>
      </c>
      <c r="C80" s="14"/>
      <c r="D80" s="14"/>
      <c r="E80" s="14"/>
      <c r="F80" s="398">
        <v>44262.68</v>
      </c>
      <c r="G80" s="14"/>
      <c r="H80" s="14"/>
      <c r="J80" s="232">
        <f t="shared" si="26"/>
        <v>3.5499999999999997E-2</v>
      </c>
      <c r="K80" s="370">
        <f t="shared" si="27"/>
        <v>1571.3251399999999</v>
      </c>
      <c r="L80" s="370">
        <f t="shared" si="23"/>
        <v>45834.005140000001</v>
      </c>
      <c r="M80" s="232">
        <f t="shared" si="28"/>
        <v>0</v>
      </c>
      <c r="N80" s="398">
        <f t="shared" si="24"/>
        <v>0</v>
      </c>
      <c r="O80" s="370">
        <f t="shared" si="25"/>
        <v>45834.005140000001</v>
      </c>
      <c r="P80" s="137">
        <f t="shared" si="21"/>
        <v>0</v>
      </c>
      <c r="Q80" s="137">
        <f t="shared" si="22"/>
        <v>1571.3251399999999</v>
      </c>
    </row>
    <row r="81" spans="1:17">
      <c r="A81" s="15">
        <v>62</v>
      </c>
      <c r="B81" s="720" t="s">
        <v>2186</v>
      </c>
      <c r="C81" s="14"/>
      <c r="D81" s="14"/>
      <c r="E81" s="14"/>
      <c r="F81" s="398">
        <v>178815.01</v>
      </c>
      <c r="G81" s="14"/>
      <c r="H81" s="14"/>
      <c r="J81" s="232">
        <f t="shared" si="26"/>
        <v>3.5499999999999997E-2</v>
      </c>
      <c r="K81" s="370">
        <f t="shared" si="27"/>
        <v>6347.932855</v>
      </c>
      <c r="L81" s="370">
        <f t="shared" si="23"/>
        <v>185162.942855</v>
      </c>
      <c r="M81" s="232">
        <f t="shared" si="28"/>
        <v>0</v>
      </c>
      <c r="N81" s="398">
        <f t="shared" si="24"/>
        <v>0</v>
      </c>
      <c r="O81" s="370">
        <f t="shared" si="25"/>
        <v>185162.942855</v>
      </c>
      <c r="P81" s="137">
        <f t="shared" si="21"/>
        <v>0</v>
      </c>
      <c r="Q81" s="137">
        <f t="shared" si="22"/>
        <v>6347.932855</v>
      </c>
    </row>
    <row r="82" spans="1:17">
      <c r="A82" s="15">
        <v>63</v>
      </c>
      <c r="B82" s="720" t="s">
        <v>2187</v>
      </c>
      <c r="C82" s="14"/>
      <c r="D82" s="14"/>
      <c r="E82" s="14"/>
      <c r="F82" s="398">
        <v>164017.69</v>
      </c>
      <c r="G82" s="14"/>
      <c r="H82" s="14"/>
      <c r="J82" s="232">
        <f t="shared" si="26"/>
        <v>3.5499999999999997E-2</v>
      </c>
      <c r="K82" s="370">
        <f t="shared" si="27"/>
        <v>5822.6279949999998</v>
      </c>
      <c r="L82" s="370">
        <f t="shared" si="23"/>
        <v>169840.31799499999</v>
      </c>
      <c r="M82" s="232">
        <f t="shared" si="28"/>
        <v>0</v>
      </c>
      <c r="N82" s="398">
        <f t="shared" si="24"/>
        <v>0</v>
      </c>
      <c r="O82" s="370">
        <f t="shared" si="25"/>
        <v>169840.31799499999</v>
      </c>
      <c r="P82" s="137">
        <f t="shared" si="21"/>
        <v>0</v>
      </c>
      <c r="Q82" s="137">
        <f t="shared" si="22"/>
        <v>5822.6279949999998</v>
      </c>
    </row>
    <row r="83" spans="1:17">
      <c r="A83" s="15">
        <v>64</v>
      </c>
      <c r="B83" s="720" t="s">
        <v>2188</v>
      </c>
      <c r="C83" s="14"/>
      <c r="D83" s="14"/>
      <c r="E83" s="14"/>
      <c r="F83" s="398">
        <v>50438.05</v>
      </c>
      <c r="G83" s="14"/>
      <c r="H83" s="14"/>
      <c r="J83" s="232">
        <f t="shared" si="26"/>
        <v>3.5499999999999997E-2</v>
      </c>
      <c r="K83" s="370">
        <f t="shared" si="27"/>
        <v>1790.5507749999999</v>
      </c>
      <c r="L83" s="370">
        <f t="shared" si="23"/>
        <v>52228.600775000006</v>
      </c>
      <c r="M83" s="232">
        <f t="shared" si="28"/>
        <v>0</v>
      </c>
      <c r="N83" s="398">
        <f t="shared" si="24"/>
        <v>0</v>
      </c>
      <c r="O83" s="370">
        <f t="shared" si="25"/>
        <v>52228.600775000006</v>
      </c>
      <c r="P83" s="137">
        <f t="shared" si="21"/>
        <v>0</v>
      </c>
      <c r="Q83" s="137">
        <f t="shared" si="22"/>
        <v>1790.5507749999999</v>
      </c>
    </row>
    <row r="84" spans="1:17">
      <c r="A84" s="15">
        <v>65</v>
      </c>
      <c r="B84" s="720" t="s">
        <v>2189</v>
      </c>
      <c r="C84" s="14"/>
      <c r="D84" s="14"/>
      <c r="E84" s="14"/>
      <c r="F84" s="398">
        <v>152593.38</v>
      </c>
      <c r="G84" s="14"/>
      <c r="H84" s="14"/>
      <c r="J84" s="232">
        <f t="shared" si="26"/>
        <v>3.5499999999999997E-2</v>
      </c>
      <c r="K84" s="370">
        <f t="shared" si="27"/>
        <v>5417.0649899999999</v>
      </c>
      <c r="L84" s="370">
        <f t="shared" si="23"/>
        <v>158010.44499000002</v>
      </c>
      <c r="M84" s="232">
        <f t="shared" si="28"/>
        <v>0</v>
      </c>
      <c r="N84" s="398">
        <f t="shared" si="24"/>
        <v>0</v>
      </c>
      <c r="O84" s="370">
        <f t="shared" si="25"/>
        <v>158010.44499000002</v>
      </c>
      <c r="P84" s="137">
        <f t="shared" si="21"/>
        <v>0</v>
      </c>
      <c r="Q84" s="137">
        <f t="shared" si="22"/>
        <v>5417.0649899999999</v>
      </c>
    </row>
    <row r="85" spans="1:17">
      <c r="A85" s="15">
        <v>66</v>
      </c>
      <c r="B85" s="720" t="s">
        <v>1335</v>
      </c>
      <c r="C85" s="14"/>
      <c r="D85" s="14"/>
      <c r="E85" s="14"/>
      <c r="F85" s="398">
        <v>57821.919999999998</v>
      </c>
      <c r="G85" s="14"/>
      <c r="H85" s="14"/>
      <c r="J85" s="232">
        <f t="shared" si="26"/>
        <v>3.5499999999999997E-2</v>
      </c>
      <c r="K85" s="370">
        <f t="shared" si="27"/>
        <v>2052.6781599999999</v>
      </c>
      <c r="L85" s="370">
        <f t="shared" si="23"/>
        <v>59874.598160000001</v>
      </c>
      <c r="M85" s="232">
        <f t="shared" si="28"/>
        <v>0</v>
      </c>
      <c r="N85" s="398">
        <f t="shared" si="24"/>
        <v>0</v>
      </c>
      <c r="O85" s="370">
        <f t="shared" si="25"/>
        <v>59874.598160000001</v>
      </c>
      <c r="P85" s="137">
        <f t="shared" si="21"/>
        <v>0</v>
      </c>
      <c r="Q85" s="137">
        <f t="shared" si="22"/>
        <v>2052.6781599999999</v>
      </c>
    </row>
    <row r="86" spans="1:17">
      <c r="A86" s="15">
        <v>67</v>
      </c>
      <c r="B86" s="720" t="s">
        <v>2190</v>
      </c>
      <c r="C86" s="14"/>
      <c r="D86" s="14"/>
      <c r="E86" s="14"/>
      <c r="F86" s="398">
        <v>219071.45</v>
      </c>
      <c r="G86" s="14"/>
      <c r="H86" s="14"/>
      <c r="J86" s="232">
        <f t="shared" si="26"/>
        <v>3.5499999999999997E-2</v>
      </c>
      <c r="K86" s="370">
        <f t="shared" si="27"/>
        <v>7777.0364749999999</v>
      </c>
      <c r="L86" s="370">
        <f t="shared" si="23"/>
        <v>226848.48647500001</v>
      </c>
      <c r="M86" s="232">
        <f t="shared" si="28"/>
        <v>0</v>
      </c>
      <c r="N86" s="398">
        <f t="shared" si="24"/>
        <v>0</v>
      </c>
      <c r="O86" s="370">
        <f t="shared" si="25"/>
        <v>226848.48647500001</v>
      </c>
      <c r="P86" s="137">
        <f t="shared" si="21"/>
        <v>0</v>
      </c>
      <c r="Q86" s="137">
        <f t="shared" si="22"/>
        <v>7777.0364749999999</v>
      </c>
    </row>
    <row r="87" spans="1:17">
      <c r="A87" s="15">
        <v>68</v>
      </c>
      <c r="B87" s="720" t="s">
        <v>2191</v>
      </c>
      <c r="C87" s="14"/>
      <c r="D87" s="14"/>
      <c r="E87" s="14"/>
      <c r="F87" s="398">
        <v>51766.03</v>
      </c>
      <c r="G87" s="14"/>
      <c r="H87" s="14"/>
      <c r="J87" s="232">
        <f t="shared" si="26"/>
        <v>3.5499999999999997E-2</v>
      </c>
      <c r="K87" s="370">
        <f t="shared" si="27"/>
        <v>1837.6940649999997</v>
      </c>
      <c r="L87" s="370">
        <f t="shared" si="23"/>
        <v>53603.724065000002</v>
      </c>
      <c r="M87" s="232">
        <f t="shared" si="28"/>
        <v>0</v>
      </c>
      <c r="N87" s="398">
        <f t="shared" si="24"/>
        <v>0</v>
      </c>
      <c r="O87" s="370">
        <f t="shared" si="25"/>
        <v>53603.724065000002</v>
      </c>
      <c r="P87" s="137">
        <f t="shared" si="21"/>
        <v>0</v>
      </c>
      <c r="Q87" s="137">
        <f t="shared" si="22"/>
        <v>1837.6940649999997</v>
      </c>
    </row>
    <row r="88" spans="1:17">
      <c r="A88" s="15">
        <v>69</v>
      </c>
      <c r="B88" s="720" t="s">
        <v>1336</v>
      </c>
      <c r="C88" s="14"/>
      <c r="D88" s="14"/>
      <c r="E88" s="14"/>
      <c r="F88" s="398">
        <v>1.13686837721616E-13</v>
      </c>
      <c r="G88" s="14"/>
      <c r="H88" s="14"/>
      <c r="J88" s="232">
        <f t="shared" si="26"/>
        <v>3.5499999999999997E-2</v>
      </c>
      <c r="K88" s="370">
        <f t="shared" si="27"/>
        <v>4.0358827391173679E-15</v>
      </c>
      <c r="L88" s="370">
        <f t="shared" si="23"/>
        <v>1.1772272046073338E-13</v>
      </c>
      <c r="M88" s="232">
        <f t="shared" si="28"/>
        <v>0</v>
      </c>
      <c r="N88" s="398">
        <f t="shared" si="24"/>
        <v>0</v>
      </c>
      <c r="O88" s="370">
        <f t="shared" si="25"/>
        <v>1.1772272046073338E-13</v>
      </c>
      <c r="P88" s="137">
        <f t="shared" si="21"/>
        <v>0</v>
      </c>
      <c r="Q88" s="137">
        <f t="shared" si="22"/>
        <v>4.0358827391173679E-15</v>
      </c>
    </row>
    <row r="89" spans="1:17">
      <c r="A89" s="15">
        <v>70</v>
      </c>
      <c r="B89" s="720" t="s">
        <v>2192</v>
      </c>
      <c r="C89" s="14"/>
      <c r="D89" s="14"/>
      <c r="E89" s="14"/>
      <c r="F89" s="398">
        <v>186138.97</v>
      </c>
      <c r="G89" s="14"/>
      <c r="H89" s="14"/>
      <c r="J89" s="232">
        <f t="shared" si="26"/>
        <v>3.5499999999999997E-2</v>
      </c>
      <c r="K89" s="370">
        <f t="shared" si="27"/>
        <v>6607.933434999999</v>
      </c>
      <c r="L89" s="370">
        <f t="shared" si="23"/>
        <v>192746.90343499999</v>
      </c>
      <c r="M89" s="232">
        <f t="shared" si="28"/>
        <v>0</v>
      </c>
      <c r="N89" s="398">
        <f t="shared" si="24"/>
        <v>0</v>
      </c>
      <c r="O89" s="370">
        <f t="shared" si="25"/>
        <v>192746.90343499999</v>
      </c>
      <c r="P89" s="137">
        <f t="shared" si="21"/>
        <v>0</v>
      </c>
      <c r="Q89" s="137">
        <f t="shared" si="22"/>
        <v>6607.933434999999</v>
      </c>
    </row>
    <row r="90" spans="1:17">
      <c r="A90" s="15">
        <v>71</v>
      </c>
      <c r="B90" s="720" t="s">
        <v>2193</v>
      </c>
      <c r="C90" s="14"/>
      <c r="D90" s="14"/>
      <c r="E90" s="14"/>
      <c r="F90" s="398">
        <v>3655.78</v>
      </c>
      <c r="G90" s="14"/>
      <c r="H90" s="14"/>
      <c r="J90" s="232">
        <f t="shared" si="26"/>
        <v>3.5499999999999997E-2</v>
      </c>
      <c r="K90" s="240">
        <f t="shared" si="27"/>
        <v>129.78019</v>
      </c>
      <c r="L90" s="240">
        <f t="shared" si="23"/>
        <v>3785.5601900000001</v>
      </c>
      <c r="M90" s="232">
        <f t="shared" si="28"/>
        <v>0</v>
      </c>
      <c r="N90" s="398">
        <f t="shared" si="24"/>
        <v>0</v>
      </c>
      <c r="O90" s="240">
        <f t="shared" si="25"/>
        <v>3785.5601900000001</v>
      </c>
      <c r="P90" s="137">
        <f t="shared" si="21"/>
        <v>0</v>
      </c>
      <c r="Q90" s="399">
        <f t="shared" si="22"/>
        <v>129.78019</v>
      </c>
    </row>
    <row r="91" spans="1:17">
      <c r="A91" s="15">
        <v>72</v>
      </c>
      <c r="B91" s="720" t="s">
        <v>2194</v>
      </c>
      <c r="C91" s="14"/>
      <c r="D91" s="14"/>
      <c r="E91" s="14"/>
      <c r="F91" s="398">
        <v>65210.96</v>
      </c>
      <c r="G91" s="14"/>
      <c r="H91" s="14"/>
      <c r="J91" s="232">
        <f t="shared" si="26"/>
        <v>3.5499999999999997E-2</v>
      </c>
      <c r="K91" s="370">
        <f t="shared" si="27"/>
        <v>2314.9890799999998</v>
      </c>
      <c r="L91" s="370">
        <f t="shared" si="23"/>
        <v>67525.949080000006</v>
      </c>
      <c r="M91" s="232">
        <f t="shared" si="28"/>
        <v>0</v>
      </c>
      <c r="N91" s="398">
        <f t="shared" si="24"/>
        <v>0</v>
      </c>
      <c r="O91" s="370">
        <f t="shared" si="25"/>
        <v>67525.949080000006</v>
      </c>
      <c r="P91" s="137">
        <f t="shared" si="21"/>
        <v>0</v>
      </c>
      <c r="Q91" s="137">
        <f t="shared" si="22"/>
        <v>2314.9890799999998</v>
      </c>
    </row>
    <row r="92" spans="1:17">
      <c r="A92" s="15">
        <v>73</v>
      </c>
      <c r="B92" s="720" t="s">
        <v>2195</v>
      </c>
      <c r="C92" s="14"/>
      <c r="D92" s="14"/>
      <c r="E92" s="14"/>
      <c r="F92" s="398">
        <v>956.7</v>
      </c>
      <c r="G92" s="14"/>
      <c r="H92" s="14"/>
      <c r="J92" s="232">
        <f t="shared" si="26"/>
        <v>3.5499999999999997E-2</v>
      </c>
      <c r="K92" s="370">
        <f t="shared" si="27"/>
        <v>33.962849999999996</v>
      </c>
      <c r="L92" s="370">
        <f t="shared" si="23"/>
        <v>990.66285000000005</v>
      </c>
      <c r="M92" s="232">
        <f t="shared" si="28"/>
        <v>0</v>
      </c>
      <c r="N92" s="398">
        <f t="shared" si="24"/>
        <v>0</v>
      </c>
      <c r="O92" s="370">
        <f t="shared" si="25"/>
        <v>990.66285000000005</v>
      </c>
      <c r="P92" s="137">
        <f t="shared" si="21"/>
        <v>0</v>
      </c>
      <c r="Q92" s="137">
        <f t="shared" si="22"/>
        <v>33.962849999999996</v>
      </c>
    </row>
    <row r="93" spans="1:17">
      <c r="A93" s="15">
        <v>74</v>
      </c>
      <c r="B93" s="720" t="s">
        <v>2196</v>
      </c>
      <c r="C93" s="14"/>
      <c r="D93" s="14"/>
      <c r="E93" s="14"/>
      <c r="F93" s="398">
        <v>124549.92</v>
      </c>
      <c r="G93" s="14"/>
      <c r="H93" s="14"/>
      <c r="J93" s="232">
        <f t="shared" si="26"/>
        <v>3.5499999999999997E-2</v>
      </c>
      <c r="K93" s="370">
        <f t="shared" si="27"/>
        <v>4421.5221599999995</v>
      </c>
      <c r="L93" s="370">
        <f t="shared" si="23"/>
        <v>128971.44215999999</v>
      </c>
      <c r="M93" s="232">
        <f t="shared" si="28"/>
        <v>0</v>
      </c>
      <c r="N93" s="398">
        <f t="shared" si="24"/>
        <v>0</v>
      </c>
      <c r="O93" s="370">
        <f t="shared" si="25"/>
        <v>128971.44215999999</v>
      </c>
      <c r="P93" s="137">
        <f t="shared" si="21"/>
        <v>0</v>
      </c>
      <c r="Q93" s="137">
        <f t="shared" si="22"/>
        <v>4421.5221599999995</v>
      </c>
    </row>
    <row r="94" spans="1:17">
      <c r="A94" s="15">
        <v>75</v>
      </c>
      <c r="B94" s="720" t="s">
        <v>2197</v>
      </c>
      <c r="C94" s="14"/>
      <c r="D94" s="14"/>
      <c r="E94" s="14"/>
      <c r="F94" s="398">
        <v>141164.45000000001</v>
      </c>
      <c r="G94" s="14"/>
      <c r="H94" s="14"/>
      <c r="J94" s="232">
        <f t="shared" si="26"/>
        <v>3.5499999999999997E-2</v>
      </c>
      <c r="K94" s="370">
        <f t="shared" si="27"/>
        <v>5011.3379750000004</v>
      </c>
      <c r="L94" s="370">
        <f t="shared" si="23"/>
        <v>146175.78797500001</v>
      </c>
      <c r="M94" s="232">
        <f t="shared" si="28"/>
        <v>0</v>
      </c>
      <c r="N94" s="398">
        <f t="shared" si="24"/>
        <v>0</v>
      </c>
      <c r="O94" s="370">
        <f t="shared" si="25"/>
        <v>146175.78797500001</v>
      </c>
      <c r="P94" s="137">
        <f t="shared" si="21"/>
        <v>0</v>
      </c>
      <c r="Q94" s="137">
        <f t="shared" si="22"/>
        <v>5011.3379750000004</v>
      </c>
    </row>
    <row r="95" spans="1:17">
      <c r="A95" s="15">
        <v>76</v>
      </c>
      <c r="B95" s="720" t="s">
        <v>736</v>
      </c>
      <c r="C95" s="14"/>
      <c r="D95" s="14"/>
      <c r="E95" s="14"/>
      <c r="F95" s="398">
        <v>159195.79999999999</v>
      </c>
      <c r="G95" s="14"/>
      <c r="H95" s="14"/>
      <c r="J95" s="232">
        <f t="shared" si="26"/>
        <v>3.5499999999999997E-2</v>
      </c>
      <c r="K95" s="370">
        <f t="shared" si="27"/>
        <v>5651.4508999999989</v>
      </c>
      <c r="L95" s="370">
        <f t="shared" si="23"/>
        <v>164847.25089999998</v>
      </c>
      <c r="M95" s="232">
        <f t="shared" si="28"/>
        <v>0</v>
      </c>
      <c r="N95" s="398">
        <f t="shared" si="24"/>
        <v>0</v>
      </c>
      <c r="O95" s="370">
        <f t="shared" si="25"/>
        <v>164847.25089999998</v>
      </c>
      <c r="P95" s="137">
        <f t="shared" si="21"/>
        <v>0</v>
      </c>
      <c r="Q95" s="137">
        <f t="shared" si="22"/>
        <v>5651.4508999999989</v>
      </c>
    </row>
    <row r="96" spans="1:17">
      <c r="A96" s="15">
        <v>77</v>
      </c>
      <c r="B96" s="720" t="s">
        <v>2198</v>
      </c>
      <c r="C96" s="14"/>
      <c r="D96" s="14"/>
      <c r="E96" s="14"/>
      <c r="F96" s="398">
        <v>85072.95</v>
      </c>
      <c r="G96" s="14"/>
      <c r="H96" s="14"/>
      <c r="J96" s="232">
        <f t="shared" si="26"/>
        <v>3.5499999999999997E-2</v>
      </c>
      <c r="K96" s="370">
        <f t="shared" si="27"/>
        <v>3020.0897249999998</v>
      </c>
      <c r="L96" s="370">
        <f t="shared" si="23"/>
        <v>88093.039724999995</v>
      </c>
      <c r="M96" s="232">
        <f t="shared" si="28"/>
        <v>0</v>
      </c>
      <c r="N96" s="398">
        <f t="shared" si="24"/>
        <v>0</v>
      </c>
      <c r="O96" s="370">
        <f t="shared" si="25"/>
        <v>88093.039724999995</v>
      </c>
      <c r="P96" s="137">
        <f t="shared" si="21"/>
        <v>0</v>
      </c>
      <c r="Q96" s="137">
        <f t="shared" si="22"/>
        <v>3020.0897249999998</v>
      </c>
    </row>
    <row r="97" spans="1:17">
      <c r="A97" s="15">
        <v>78</v>
      </c>
      <c r="B97" s="720" t="s">
        <v>2199</v>
      </c>
      <c r="C97" s="14"/>
      <c r="D97" s="14"/>
      <c r="E97" s="14"/>
      <c r="F97" s="398">
        <v>875917.72</v>
      </c>
      <c r="G97" s="14"/>
      <c r="H97" s="14"/>
      <c r="J97" s="232">
        <f t="shared" si="26"/>
        <v>3.5499999999999997E-2</v>
      </c>
      <c r="K97" s="370">
        <f t="shared" si="27"/>
        <v>31095.079059999996</v>
      </c>
      <c r="L97" s="370">
        <f t="shared" si="23"/>
        <v>907012.79905999999</v>
      </c>
      <c r="M97" s="232">
        <f t="shared" si="28"/>
        <v>0</v>
      </c>
      <c r="N97" s="398">
        <f t="shared" si="24"/>
        <v>0</v>
      </c>
      <c r="O97" s="370">
        <f t="shared" si="25"/>
        <v>907012.79905999999</v>
      </c>
      <c r="P97" s="137">
        <f t="shared" si="21"/>
        <v>0</v>
      </c>
      <c r="Q97" s="137">
        <f t="shared" si="22"/>
        <v>31095.079059999996</v>
      </c>
    </row>
    <row r="98" spans="1:17">
      <c r="A98" s="15">
        <v>79</v>
      </c>
      <c r="B98" s="720" t="s">
        <v>2200</v>
      </c>
      <c r="C98" s="14"/>
      <c r="D98" s="14"/>
      <c r="E98" s="14"/>
      <c r="F98" s="398">
        <v>287512.96999999997</v>
      </c>
      <c r="G98" s="14"/>
      <c r="H98" s="14"/>
      <c r="J98" s="232">
        <f t="shared" si="26"/>
        <v>3.5499999999999997E-2</v>
      </c>
      <c r="K98" s="370">
        <f t="shared" si="27"/>
        <v>10206.710434999997</v>
      </c>
      <c r="L98" s="370">
        <f t="shared" si="23"/>
        <v>297719.68043499999</v>
      </c>
      <c r="M98" s="232">
        <f t="shared" si="28"/>
        <v>0</v>
      </c>
      <c r="N98" s="398">
        <f t="shared" si="24"/>
        <v>0</v>
      </c>
      <c r="O98" s="370">
        <f t="shared" si="25"/>
        <v>297719.68043499999</v>
      </c>
      <c r="P98" s="137">
        <f t="shared" si="21"/>
        <v>0</v>
      </c>
      <c r="Q98" s="137">
        <f t="shared" si="22"/>
        <v>10206.710434999997</v>
      </c>
    </row>
    <row r="99" spans="1:17">
      <c r="A99" s="15">
        <v>80</v>
      </c>
      <c r="B99" s="720" t="s">
        <v>737</v>
      </c>
      <c r="C99" s="14"/>
      <c r="D99" s="14"/>
      <c r="E99" s="14"/>
      <c r="F99" s="398">
        <v>203880.66</v>
      </c>
      <c r="G99" s="14"/>
      <c r="H99" s="14"/>
      <c r="J99" s="232">
        <f t="shared" si="26"/>
        <v>3.5499999999999997E-2</v>
      </c>
      <c r="K99" s="370">
        <f t="shared" si="27"/>
        <v>7237.7634299999991</v>
      </c>
      <c r="L99" s="370">
        <f t="shared" si="23"/>
        <v>211118.42343</v>
      </c>
      <c r="M99" s="232">
        <f t="shared" si="28"/>
        <v>0</v>
      </c>
      <c r="N99" s="398">
        <f t="shared" si="24"/>
        <v>0</v>
      </c>
      <c r="O99" s="370">
        <f t="shared" si="25"/>
        <v>211118.42343</v>
      </c>
      <c r="P99" s="137">
        <f t="shared" si="21"/>
        <v>0</v>
      </c>
      <c r="Q99" s="137">
        <f t="shared" si="22"/>
        <v>7237.7634299999991</v>
      </c>
    </row>
    <row r="100" spans="1:17">
      <c r="A100" s="15">
        <v>81</v>
      </c>
      <c r="B100" s="720" t="s">
        <v>1337</v>
      </c>
      <c r="C100" s="14"/>
      <c r="D100" s="14"/>
      <c r="E100" s="14"/>
      <c r="F100" s="398">
        <v>17020.080000000002</v>
      </c>
      <c r="G100" s="14"/>
      <c r="H100" s="14"/>
      <c r="J100" s="232">
        <f t="shared" si="26"/>
        <v>3.5499999999999997E-2</v>
      </c>
      <c r="K100" s="370">
        <f t="shared" si="27"/>
        <v>604.21284000000003</v>
      </c>
      <c r="L100" s="370">
        <f t="shared" si="23"/>
        <v>17624.292840000002</v>
      </c>
      <c r="M100" s="232">
        <f t="shared" si="28"/>
        <v>0</v>
      </c>
      <c r="N100" s="398">
        <f t="shared" si="24"/>
        <v>0</v>
      </c>
      <c r="O100" s="370">
        <f t="shared" si="25"/>
        <v>17624.292840000002</v>
      </c>
      <c r="P100" s="137">
        <f t="shared" si="21"/>
        <v>0</v>
      </c>
      <c r="Q100" s="137">
        <f t="shared" si="22"/>
        <v>604.21284000000003</v>
      </c>
    </row>
    <row r="101" spans="1:17">
      <c r="A101" s="15">
        <v>82</v>
      </c>
      <c r="B101" s="720" t="s">
        <v>2201</v>
      </c>
      <c r="C101" s="14"/>
      <c r="D101" s="14"/>
      <c r="E101" s="14"/>
      <c r="F101" s="398">
        <v>35070.400000000001</v>
      </c>
      <c r="G101" s="14"/>
      <c r="H101" s="14"/>
      <c r="J101" s="232">
        <f t="shared" si="26"/>
        <v>3.5499999999999997E-2</v>
      </c>
      <c r="K101" s="370">
        <f t="shared" si="27"/>
        <v>1244.9992</v>
      </c>
      <c r="L101" s="370">
        <f t="shared" si="23"/>
        <v>36315.3992</v>
      </c>
      <c r="M101" s="232">
        <f t="shared" si="28"/>
        <v>0</v>
      </c>
      <c r="N101" s="398">
        <f t="shared" si="24"/>
        <v>0</v>
      </c>
      <c r="O101" s="370">
        <f t="shared" si="25"/>
        <v>36315.3992</v>
      </c>
      <c r="P101" s="137">
        <f t="shared" si="21"/>
        <v>0</v>
      </c>
      <c r="Q101" s="137">
        <f t="shared" si="22"/>
        <v>1244.9992</v>
      </c>
    </row>
    <row r="102" spans="1:17">
      <c r="A102" s="15">
        <v>83</v>
      </c>
      <c r="B102" s="720" t="s">
        <v>738</v>
      </c>
      <c r="C102" s="14"/>
      <c r="D102" s="14"/>
      <c r="E102" s="14"/>
      <c r="F102" s="398">
        <v>787.94</v>
      </c>
      <c r="G102" s="14"/>
      <c r="H102" s="14"/>
      <c r="J102" s="232">
        <f t="shared" si="26"/>
        <v>3.5499999999999997E-2</v>
      </c>
      <c r="K102" s="370">
        <f t="shared" si="27"/>
        <v>27.971869999999999</v>
      </c>
      <c r="L102" s="370">
        <f t="shared" si="23"/>
        <v>815.91187000000002</v>
      </c>
      <c r="M102" s="232">
        <f t="shared" si="28"/>
        <v>0</v>
      </c>
      <c r="N102" s="398">
        <f t="shared" si="24"/>
        <v>0</v>
      </c>
      <c r="O102" s="370">
        <f t="shared" si="25"/>
        <v>815.91187000000002</v>
      </c>
      <c r="P102" s="137">
        <f t="shared" si="21"/>
        <v>0</v>
      </c>
      <c r="Q102" s="137">
        <f t="shared" si="22"/>
        <v>27.971869999999999</v>
      </c>
    </row>
    <row r="103" spans="1:17">
      <c r="A103" s="15">
        <v>84</v>
      </c>
      <c r="B103" s="720" t="s">
        <v>739</v>
      </c>
      <c r="C103" s="14"/>
      <c r="D103" s="14"/>
      <c r="E103" s="14"/>
      <c r="F103" s="398">
        <v>66933.38</v>
      </c>
      <c r="G103" s="14"/>
      <c r="H103" s="14"/>
      <c r="J103" s="232">
        <f t="shared" si="26"/>
        <v>3.5499999999999997E-2</v>
      </c>
      <c r="K103" s="370">
        <f t="shared" si="27"/>
        <v>2376.13499</v>
      </c>
      <c r="L103" s="370">
        <f t="shared" si="23"/>
        <v>69309.514990000011</v>
      </c>
      <c r="M103" s="232">
        <f t="shared" si="28"/>
        <v>0</v>
      </c>
      <c r="N103" s="398">
        <f t="shared" si="24"/>
        <v>0</v>
      </c>
      <c r="O103" s="370">
        <f t="shared" si="25"/>
        <v>69309.514990000011</v>
      </c>
      <c r="P103" s="137">
        <f t="shared" si="21"/>
        <v>0</v>
      </c>
      <c r="Q103" s="137">
        <f t="shared" si="22"/>
        <v>2376.13499</v>
      </c>
    </row>
    <row r="104" spans="1:17">
      <c r="A104" s="15">
        <v>85</v>
      </c>
      <c r="B104" s="720" t="s">
        <v>2202</v>
      </c>
      <c r="C104" s="14"/>
      <c r="D104" s="14"/>
      <c r="E104" s="14"/>
      <c r="F104" s="398">
        <v>73862.3</v>
      </c>
      <c r="G104" s="14"/>
      <c r="H104" s="14"/>
      <c r="J104" s="232">
        <f t="shared" si="26"/>
        <v>3.5499999999999997E-2</v>
      </c>
      <c r="K104" s="370">
        <f t="shared" si="27"/>
        <v>2622.1116499999998</v>
      </c>
      <c r="L104" s="370">
        <f t="shared" si="23"/>
        <v>76484.411650000009</v>
      </c>
      <c r="M104" s="232">
        <f t="shared" si="28"/>
        <v>0</v>
      </c>
      <c r="N104" s="398">
        <f t="shared" si="24"/>
        <v>0</v>
      </c>
      <c r="O104" s="370">
        <f t="shared" si="25"/>
        <v>76484.411650000009</v>
      </c>
      <c r="P104" s="137">
        <f t="shared" si="21"/>
        <v>0</v>
      </c>
      <c r="Q104" s="137">
        <f t="shared" si="22"/>
        <v>2622.1116499999998</v>
      </c>
    </row>
    <row r="105" spans="1:17">
      <c r="A105" s="15">
        <v>86</v>
      </c>
      <c r="B105" s="720" t="s">
        <v>2203</v>
      </c>
      <c r="C105" s="14"/>
      <c r="D105" s="14"/>
      <c r="E105" s="14"/>
      <c r="F105" s="398">
        <v>69084.19</v>
      </c>
      <c r="G105" s="14"/>
      <c r="H105" s="14"/>
      <c r="J105" s="232">
        <f t="shared" si="26"/>
        <v>3.5499999999999997E-2</v>
      </c>
      <c r="K105" s="370">
        <f t="shared" si="27"/>
        <v>2452.4887449999997</v>
      </c>
      <c r="L105" s="370">
        <f t="shared" si="23"/>
        <v>71536.678744999997</v>
      </c>
      <c r="M105" s="232">
        <f t="shared" si="28"/>
        <v>0</v>
      </c>
      <c r="N105" s="398">
        <f t="shared" si="24"/>
        <v>0</v>
      </c>
      <c r="O105" s="370">
        <f t="shared" si="25"/>
        <v>71536.678744999997</v>
      </c>
      <c r="P105" s="137">
        <f t="shared" si="21"/>
        <v>0</v>
      </c>
      <c r="Q105" s="137">
        <f t="shared" si="22"/>
        <v>2452.4887449999997</v>
      </c>
    </row>
    <row r="106" spans="1:17">
      <c r="A106" s="15">
        <v>87</v>
      </c>
      <c r="B106" s="720" t="s">
        <v>2204</v>
      </c>
      <c r="C106" s="14"/>
      <c r="D106" s="14"/>
      <c r="E106" s="14"/>
      <c r="F106" s="398">
        <v>72895.600000000006</v>
      </c>
      <c r="G106" s="14"/>
      <c r="H106" s="14"/>
      <c r="J106" s="232">
        <f t="shared" si="26"/>
        <v>3.5499999999999997E-2</v>
      </c>
      <c r="K106" s="370">
        <f t="shared" si="27"/>
        <v>2587.7937999999999</v>
      </c>
      <c r="L106" s="370">
        <f t="shared" si="23"/>
        <v>75483.393800000005</v>
      </c>
      <c r="M106" s="232">
        <f t="shared" si="28"/>
        <v>0</v>
      </c>
      <c r="N106" s="398">
        <f t="shared" si="24"/>
        <v>0</v>
      </c>
      <c r="O106" s="370">
        <f t="shared" si="25"/>
        <v>75483.393800000005</v>
      </c>
      <c r="P106" s="137">
        <f t="shared" si="21"/>
        <v>0</v>
      </c>
      <c r="Q106" s="137">
        <f t="shared" si="22"/>
        <v>2587.7937999999999</v>
      </c>
    </row>
    <row r="107" spans="1:17">
      <c r="A107" s="15">
        <v>88</v>
      </c>
      <c r="B107" s="720" t="s">
        <v>2205</v>
      </c>
      <c r="C107" s="14"/>
      <c r="D107" s="14"/>
      <c r="E107" s="14"/>
      <c r="F107" s="398">
        <v>108215.66</v>
      </c>
      <c r="G107" s="14"/>
      <c r="H107" s="14"/>
      <c r="J107" s="232">
        <f t="shared" si="26"/>
        <v>3.5499999999999997E-2</v>
      </c>
      <c r="K107" s="370">
        <f t="shared" si="27"/>
        <v>3841.6559299999999</v>
      </c>
      <c r="L107" s="370">
        <f t="shared" si="23"/>
        <v>112057.31593</v>
      </c>
      <c r="M107" s="232">
        <f t="shared" si="28"/>
        <v>0</v>
      </c>
      <c r="N107" s="398">
        <f t="shared" si="24"/>
        <v>0</v>
      </c>
      <c r="O107" s="370">
        <f t="shared" si="25"/>
        <v>112057.31593</v>
      </c>
      <c r="P107" s="137">
        <f t="shared" si="21"/>
        <v>0</v>
      </c>
      <c r="Q107" s="137">
        <f t="shared" si="22"/>
        <v>3841.6559299999999</v>
      </c>
    </row>
    <row r="108" spans="1:17">
      <c r="A108" s="15">
        <v>89</v>
      </c>
      <c r="B108" s="720" t="s">
        <v>1338</v>
      </c>
      <c r="C108" s="14"/>
      <c r="D108" s="14"/>
      <c r="E108" s="14"/>
      <c r="F108" s="398">
        <v>234155.51999999999</v>
      </c>
      <c r="G108" s="14"/>
      <c r="H108" s="14"/>
      <c r="J108" s="232">
        <f t="shared" si="26"/>
        <v>3.5499999999999997E-2</v>
      </c>
      <c r="K108" s="370">
        <f t="shared" si="27"/>
        <v>8312.520959999998</v>
      </c>
      <c r="L108" s="370">
        <f t="shared" si="23"/>
        <v>242468.04095999998</v>
      </c>
      <c r="M108" s="232">
        <f t="shared" si="28"/>
        <v>0</v>
      </c>
      <c r="N108" s="398">
        <f t="shared" si="24"/>
        <v>0</v>
      </c>
      <c r="O108" s="370">
        <f t="shared" si="25"/>
        <v>242468.04095999998</v>
      </c>
      <c r="P108" s="137">
        <f t="shared" si="21"/>
        <v>0</v>
      </c>
      <c r="Q108" s="137">
        <f t="shared" si="22"/>
        <v>8312.520959999998</v>
      </c>
    </row>
    <row r="109" spans="1:17">
      <c r="A109" s="15">
        <v>90</v>
      </c>
      <c r="B109" s="720" t="s">
        <v>2206</v>
      </c>
      <c r="C109" s="14"/>
      <c r="D109" s="14"/>
      <c r="E109" s="14"/>
      <c r="F109" s="398">
        <v>97059.16</v>
      </c>
      <c r="G109" s="14"/>
      <c r="H109" s="14"/>
      <c r="J109" s="232">
        <f t="shared" si="26"/>
        <v>3.5499999999999997E-2</v>
      </c>
      <c r="K109" s="370">
        <f t="shared" si="27"/>
        <v>3445.6001799999999</v>
      </c>
      <c r="L109" s="370">
        <f t="shared" si="23"/>
        <v>100504.76018</v>
      </c>
      <c r="M109" s="232">
        <f t="shared" si="28"/>
        <v>0</v>
      </c>
      <c r="N109" s="398">
        <f t="shared" si="24"/>
        <v>0</v>
      </c>
      <c r="O109" s="370">
        <f t="shared" si="25"/>
        <v>100504.76018</v>
      </c>
      <c r="P109" s="137">
        <f t="shared" si="21"/>
        <v>0</v>
      </c>
      <c r="Q109" s="137">
        <f t="shared" si="22"/>
        <v>3445.6001799999999</v>
      </c>
    </row>
    <row r="110" spans="1:17">
      <c r="A110" s="15">
        <v>91</v>
      </c>
      <c r="B110" s="720" t="s">
        <v>2207</v>
      </c>
      <c r="C110" s="14"/>
      <c r="D110" s="14"/>
      <c r="E110" s="14"/>
      <c r="F110" s="398">
        <v>676.53</v>
      </c>
      <c r="G110" s="14"/>
      <c r="H110" s="14"/>
      <c r="J110" s="232">
        <f t="shared" si="26"/>
        <v>3.5499999999999997E-2</v>
      </c>
      <c r="K110" s="370">
        <f t="shared" si="27"/>
        <v>24.016814999999998</v>
      </c>
      <c r="L110" s="370">
        <f t="shared" si="23"/>
        <v>700.54681499999992</v>
      </c>
      <c r="M110" s="232">
        <f t="shared" si="28"/>
        <v>0</v>
      </c>
      <c r="N110" s="398">
        <f t="shared" si="24"/>
        <v>0</v>
      </c>
      <c r="O110" s="370">
        <f t="shared" si="25"/>
        <v>700.54681499999992</v>
      </c>
      <c r="P110" s="137">
        <f t="shared" si="21"/>
        <v>0</v>
      </c>
      <c r="Q110" s="137">
        <f t="shared" si="22"/>
        <v>24.016814999999998</v>
      </c>
    </row>
    <row r="111" spans="1:17">
      <c r="A111" s="15">
        <v>92</v>
      </c>
      <c r="B111" s="14"/>
      <c r="C111" s="14"/>
      <c r="D111" s="14"/>
      <c r="E111" s="14"/>
      <c r="F111" s="371">
        <f>SUM(F75:F110)</f>
        <v>5832196.1399999997</v>
      </c>
      <c r="G111" s="14"/>
      <c r="H111" s="14"/>
      <c r="J111" s="14"/>
      <c r="K111" s="371">
        <f>SUM(K75:K110)</f>
        <v>207042.96296999999</v>
      </c>
      <c r="L111" s="371">
        <f>SUM(L75:L110)</f>
        <v>6039239.1029700004</v>
      </c>
      <c r="M111" s="14"/>
      <c r="N111" s="371">
        <f>SUM(N75:N110)</f>
        <v>0</v>
      </c>
      <c r="O111" s="371">
        <f>SUM(O75:O110)</f>
        <v>6039239.1029700004</v>
      </c>
      <c r="P111" s="233">
        <f>SUM(P75:P110)</f>
        <v>0</v>
      </c>
      <c r="Q111" s="233">
        <f>SUM(Q75:Q110)</f>
        <v>207042.96296999999</v>
      </c>
    </row>
    <row r="112" spans="1:17">
      <c r="A112" s="15"/>
      <c r="B112" s="14"/>
      <c r="C112" s="14"/>
      <c r="D112" s="14"/>
      <c r="E112" s="14"/>
      <c r="F112" s="14"/>
      <c r="G112" s="14"/>
      <c r="H112" s="14"/>
      <c r="J112" s="14"/>
      <c r="K112" s="370"/>
      <c r="L112" s="14"/>
      <c r="M112" s="14"/>
      <c r="N112" s="14"/>
      <c r="O112" s="14"/>
    </row>
    <row r="113" spans="1:15">
      <c r="A113" s="372" t="s">
        <v>764</v>
      </c>
      <c r="B113" s="14"/>
      <c r="C113" s="14"/>
      <c r="D113" s="14"/>
      <c r="E113" s="14"/>
      <c r="F113" s="14"/>
      <c r="G113" s="14"/>
      <c r="H113" s="14"/>
      <c r="J113" s="14"/>
      <c r="K113" s="14"/>
      <c r="L113" s="14"/>
      <c r="M113" s="14"/>
      <c r="N113" s="14"/>
      <c r="O113" s="14"/>
    </row>
    <row r="114" spans="1:15">
      <c r="A114" s="372" t="s">
        <v>1073</v>
      </c>
      <c r="B114" s="14"/>
      <c r="C114" s="14"/>
      <c r="D114" s="14"/>
      <c r="E114" s="14"/>
      <c r="F114" s="14"/>
      <c r="G114" s="14"/>
      <c r="H114" s="14"/>
      <c r="J114" s="14"/>
      <c r="K114" s="14"/>
      <c r="L114" s="14"/>
      <c r="M114" s="14"/>
      <c r="N114" s="14"/>
      <c r="O114" s="14"/>
    </row>
    <row r="115" spans="1:15">
      <c r="A115" s="372" t="s">
        <v>1279</v>
      </c>
      <c r="B115" s="14"/>
      <c r="C115" s="14"/>
      <c r="D115" s="14"/>
      <c r="E115" s="14"/>
      <c r="F115" s="14"/>
      <c r="G115" s="14"/>
      <c r="H115" s="14"/>
      <c r="I115" s="14"/>
      <c r="J115" s="14"/>
      <c r="K115" s="14"/>
      <c r="L115" s="14"/>
      <c r="M115" s="14"/>
      <c r="N115" s="14"/>
      <c r="O115" s="14"/>
    </row>
    <row r="116" spans="1:15">
      <c r="A116" s="15"/>
      <c r="B116" s="14"/>
      <c r="C116" s="14"/>
      <c r="D116" s="14"/>
      <c r="E116" s="14"/>
      <c r="F116" s="14"/>
      <c r="G116" s="14"/>
      <c r="H116" s="14"/>
      <c r="I116" s="14"/>
    </row>
    <row r="117" spans="1:15">
      <c r="A117" s="15"/>
      <c r="B117" s="14"/>
      <c r="C117" s="14"/>
      <c r="D117" s="14"/>
      <c r="E117" s="14"/>
      <c r="F117" s="14"/>
      <c r="G117" s="14"/>
      <c r="H117" s="14"/>
      <c r="I117" s="14"/>
    </row>
    <row r="118" spans="1:15">
      <c r="A118" s="15"/>
      <c r="B118" s="14"/>
      <c r="C118" s="14"/>
      <c r="D118" s="14"/>
      <c r="E118" s="14"/>
      <c r="F118" s="14"/>
      <c r="G118" s="14"/>
      <c r="H118" s="14"/>
    </row>
    <row r="119" spans="1:15">
      <c r="A119" s="15"/>
      <c r="B119" s="14"/>
      <c r="C119" s="14"/>
      <c r="D119" s="14"/>
      <c r="E119" s="14"/>
      <c r="F119" s="14"/>
      <c r="G119" s="14"/>
      <c r="H119" s="14"/>
    </row>
    <row r="120" spans="1:15">
      <c r="A120" s="15"/>
      <c r="B120" s="14"/>
      <c r="C120" s="14"/>
      <c r="D120" s="14"/>
      <c r="E120" s="14"/>
      <c r="F120" s="14"/>
      <c r="G120" s="14"/>
      <c r="H120" s="14"/>
    </row>
    <row r="121" spans="1:15">
      <c r="A121" s="15"/>
      <c r="B121" s="14"/>
      <c r="C121" s="14"/>
      <c r="D121" s="14"/>
      <c r="E121" s="14"/>
      <c r="F121" s="14"/>
      <c r="G121" s="14"/>
      <c r="H121" s="14"/>
    </row>
  </sheetData>
  <mergeCells count="6">
    <mergeCell ref="B70:E73"/>
    <mergeCell ref="E1:L1"/>
    <mergeCell ref="E2:L2"/>
    <mergeCell ref="E3:L3"/>
    <mergeCell ref="E4:L4"/>
    <mergeCell ref="E5:L5"/>
  </mergeCells>
  <dataValidations count="1">
    <dataValidation type="list" allowBlank="1" showInputMessage="1" showErrorMessage="1" sqref="M5" xr:uid="{78037497-4CF5-47EF-BD84-D8D90B209339}">
      <formula1>"Yes, No"</formula1>
    </dataValidation>
  </dataValidations>
  <printOptions horizontalCentered="1"/>
  <pageMargins left="0.7" right="0.7" top="0.75" bottom="0.75" header="0.3" footer="0.3"/>
  <pageSetup scale="39" orientation="landscape" r:id="rId1"/>
  <headerFooter scaleWithDoc="0" alignWithMargins="0">
    <oddHeader>&amp;RPage &amp;P of &amp;N</oddHeader>
    <oddFooter>&amp;LElectronic Tab Name:&amp;A</oddFooter>
  </headerFooter>
  <rowBreaks count="2" manualBreakCount="2">
    <brk id="42" max="15" man="1"/>
    <brk id="68" max="15" man="1"/>
  </row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C6204-572B-4770-8BA7-B09BF588EF3C}">
  <sheetPr>
    <tabColor theme="7" tint="0.79998168889431442"/>
    <pageSetUpPr fitToPage="1"/>
  </sheetPr>
  <dimension ref="A1:G50"/>
  <sheetViews>
    <sheetView view="pageBreakPreview" topLeftCell="A16" zoomScale="80" zoomScaleNormal="100" zoomScaleSheetLayoutView="80" workbookViewId="0">
      <selection activeCell="G45" sqref="G45"/>
    </sheetView>
  </sheetViews>
  <sheetFormatPr defaultColWidth="8.88671875" defaultRowHeight="14.4"/>
  <cols>
    <col min="1" max="1" width="36.88671875" style="613" bestFit="1" customWidth="1"/>
    <col min="2" max="2" width="22.5546875" style="613" customWidth="1"/>
    <col min="3" max="3" width="15.33203125" style="613" bestFit="1" customWidth="1"/>
    <col min="4" max="4" width="11.33203125" style="613" bestFit="1" customWidth="1"/>
    <col min="5" max="5" width="17" style="613" customWidth="1"/>
    <col min="6" max="6" width="15" style="613" customWidth="1"/>
    <col min="7" max="7" width="19.109375" style="613" bestFit="1" customWidth="1"/>
    <col min="8" max="16384" width="8.88671875" style="613"/>
  </cols>
  <sheetData>
    <row r="1" spans="1:5" ht="15.6">
      <c r="A1" s="1955" t="s">
        <v>52</v>
      </c>
      <c r="B1" s="1955"/>
      <c r="C1" s="1955"/>
      <c r="D1" s="1801"/>
      <c r="E1" s="1801"/>
    </row>
    <row r="2" spans="1:5" ht="15.6">
      <c r="A2" s="1955" t="s">
        <v>1824</v>
      </c>
      <c r="B2" s="1955"/>
      <c r="C2" s="1955"/>
      <c r="D2" s="1801"/>
      <c r="E2" s="1801"/>
    </row>
    <row r="3" spans="1:5" ht="15.6">
      <c r="A3" s="1955" t="s">
        <v>1273</v>
      </c>
      <c r="B3" s="1955"/>
      <c r="C3" s="1955"/>
      <c r="D3" s="1801"/>
      <c r="E3" s="1801"/>
    </row>
    <row r="4" spans="1:5" ht="15.6">
      <c r="A4" s="1955" t="s">
        <v>1354</v>
      </c>
      <c r="B4" s="1955"/>
      <c r="C4" s="1955"/>
      <c r="D4" s="1801"/>
      <c r="E4" s="1801"/>
    </row>
    <row r="5" spans="1:5" ht="15.6">
      <c r="A5" s="1955" t="s">
        <v>1823</v>
      </c>
      <c r="B5" s="1955"/>
      <c r="C5" s="1955"/>
      <c r="D5" s="1801"/>
      <c r="E5" s="1801"/>
    </row>
    <row r="10" spans="1:5">
      <c r="B10" s="613" t="s">
        <v>1341</v>
      </c>
      <c r="C10" s="401">
        <f>+B23</f>
        <v>389056.37</v>
      </c>
    </row>
    <row r="11" spans="1:5">
      <c r="B11" s="613" t="s">
        <v>1342</v>
      </c>
      <c r="C11" s="401">
        <f>+B24</f>
        <v>520810.11</v>
      </c>
    </row>
    <row r="12" spans="1:5">
      <c r="B12" s="613" t="s">
        <v>1343</v>
      </c>
      <c r="C12" s="401">
        <f>+B22</f>
        <v>35135.07</v>
      </c>
    </row>
    <row r="13" spans="1:5">
      <c r="B13" s="613" t="s">
        <v>1344</v>
      </c>
      <c r="C13" s="401">
        <f>+B20+B21</f>
        <v>860349.55</v>
      </c>
    </row>
    <row r="14" spans="1:5">
      <c r="B14" s="613" t="s">
        <v>1345</v>
      </c>
      <c r="C14" s="401">
        <f>+B18+B19</f>
        <v>1085270.29</v>
      </c>
    </row>
    <row r="15" spans="1:5" ht="15" thickBot="1">
      <c r="C15" s="402">
        <f>SUM(C10:C14)</f>
        <v>2890621.39</v>
      </c>
    </row>
    <row r="16" spans="1:5" ht="15" thickTop="1"/>
    <row r="17" spans="1:7">
      <c r="E17" s="1811" t="s">
        <v>2433</v>
      </c>
      <c r="F17" s="1811" t="s">
        <v>1807</v>
      </c>
      <c r="G17" s="1812"/>
    </row>
    <row r="18" spans="1:7">
      <c r="A18" s="613" t="s">
        <v>1346</v>
      </c>
      <c r="B18" s="401">
        <v>722274.82</v>
      </c>
      <c r="E18" s="1813">
        <v>722274.82</v>
      </c>
      <c r="F18" s="1813">
        <f t="shared" ref="F18:F25" si="0">E18-B18</f>
        <v>0</v>
      </c>
      <c r="G18" s="1812"/>
    </row>
    <row r="19" spans="1:7">
      <c r="A19" s="613" t="s">
        <v>1347</v>
      </c>
      <c r="B19" s="401">
        <v>362995.47</v>
      </c>
      <c r="E19" s="1813">
        <v>362995.47</v>
      </c>
      <c r="F19" s="1813">
        <f t="shared" si="0"/>
        <v>0</v>
      </c>
      <c r="G19" s="1812"/>
    </row>
    <row r="20" spans="1:7">
      <c r="A20" s="613" t="s">
        <v>1348</v>
      </c>
      <c r="B20" s="401">
        <v>405573.38</v>
      </c>
      <c r="E20" s="1813">
        <v>473325.53</v>
      </c>
      <c r="F20" s="1813">
        <f t="shared" si="0"/>
        <v>67752.150000000023</v>
      </c>
      <c r="G20" s="1812"/>
    </row>
    <row r="21" spans="1:7">
      <c r="A21" s="613" t="s">
        <v>1349</v>
      </c>
      <c r="B21" s="401">
        <v>454776.17</v>
      </c>
      <c r="E21" s="1813">
        <v>387024.02</v>
      </c>
      <c r="F21" s="1813">
        <f t="shared" si="0"/>
        <v>-67752.149999999965</v>
      </c>
      <c r="G21" s="1812"/>
    </row>
    <row r="22" spans="1:7">
      <c r="A22" s="613" t="s">
        <v>1350</v>
      </c>
      <c r="B22" s="401">
        <v>35135.07</v>
      </c>
      <c r="E22" s="1813">
        <v>35135.07</v>
      </c>
      <c r="F22" s="1813">
        <f t="shared" si="0"/>
        <v>0</v>
      </c>
      <c r="G22" s="1812"/>
    </row>
    <row r="23" spans="1:7">
      <c r="A23" s="613" t="s">
        <v>1351</v>
      </c>
      <c r="B23" s="401">
        <v>389056.37</v>
      </c>
      <c r="E23" s="1813">
        <v>389056.37</v>
      </c>
      <c r="F23" s="1813">
        <f t="shared" si="0"/>
        <v>0</v>
      </c>
      <c r="G23" s="1812"/>
    </row>
    <row r="24" spans="1:7">
      <c r="A24" s="613" t="s">
        <v>1352</v>
      </c>
      <c r="B24" s="401">
        <v>520810.11</v>
      </c>
      <c r="E24" s="1813">
        <v>692843.03</v>
      </c>
      <c r="F24" s="1813">
        <f t="shared" si="0"/>
        <v>172032.92000000004</v>
      </c>
      <c r="G24" s="1812"/>
    </row>
    <row r="25" spans="1:7" ht="15" thickBot="1">
      <c r="B25" s="403">
        <f>ROUND(SUM(B18:B24), 2)</f>
        <v>2890621.39</v>
      </c>
      <c r="E25" s="1814">
        <v>3062654.3100000005</v>
      </c>
      <c r="F25" s="1814">
        <f t="shared" si="0"/>
        <v>172032.92000000039</v>
      </c>
      <c r="G25" s="1812"/>
    </row>
    <row r="26" spans="1:7" ht="15" thickTop="1">
      <c r="E26" s="1812"/>
      <c r="F26" s="1812"/>
      <c r="G26" s="1812"/>
    </row>
    <row r="27" spans="1:7">
      <c r="A27" s="613" t="s">
        <v>1353</v>
      </c>
      <c r="B27" s="404">
        <f>+B18+B20+B22</f>
        <v>1162983.27</v>
      </c>
      <c r="C27" s="404"/>
      <c r="E27" s="1815">
        <v>1230735.4200000002</v>
      </c>
      <c r="F27" s="1815">
        <f>E27-B27</f>
        <v>67752.15000000014</v>
      </c>
      <c r="G27" s="1812" t="s">
        <v>3363</v>
      </c>
    </row>
    <row r="28" spans="1:7">
      <c r="E28" s="1812"/>
      <c r="F28" s="1812"/>
      <c r="G28" s="1812"/>
    </row>
    <row r="29" spans="1:7">
      <c r="E29" s="1812"/>
      <c r="F29" s="1812"/>
      <c r="G29" s="1812"/>
    </row>
    <row r="30" spans="1:7">
      <c r="A30" s="613" t="s">
        <v>1355</v>
      </c>
      <c r="B30" s="1816">
        <f>-B27</f>
        <v>-1162983.27</v>
      </c>
      <c r="E30" s="1815">
        <v>-1230735.4200000002</v>
      </c>
      <c r="F30" s="1815">
        <f>E30-B30</f>
        <v>-67752.15000000014</v>
      </c>
      <c r="G30" s="1812"/>
    </row>
    <row r="33" spans="1:7">
      <c r="A33" s="824"/>
      <c r="B33" s="613">
        <v>2015</v>
      </c>
      <c r="C33" s="613">
        <v>2016</v>
      </c>
      <c r="D33" s="613">
        <v>2017</v>
      </c>
      <c r="E33" s="613">
        <v>2018</v>
      </c>
      <c r="F33" s="613">
        <v>2019</v>
      </c>
    </row>
    <row r="34" spans="1:7">
      <c r="A34" s="824" t="s">
        <v>3372</v>
      </c>
      <c r="B34" s="905">
        <v>979487</v>
      </c>
      <c r="C34" s="905">
        <v>1765931</v>
      </c>
      <c r="D34" s="905">
        <v>2404155</v>
      </c>
      <c r="E34" s="905">
        <v>1799605</v>
      </c>
      <c r="F34" s="905">
        <f>B25</f>
        <v>2890621.39</v>
      </c>
    </row>
    <row r="35" spans="1:7">
      <c r="A35" s="824" t="s">
        <v>1354</v>
      </c>
      <c r="B35" s="905">
        <v>502765</v>
      </c>
      <c r="C35" s="905">
        <v>818796</v>
      </c>
      <c r="D35" s="905">
        <v>933400</v>
      </c>
      <c r="E35" s="905">
        <v>894390</v>
      </c>
      <c r="F35" s="905">
        <f>B27</f>
        <v>1162983.27</v>
      </c>
    </row>
    <row r="36" spans="1:7">
      <c r="A36" s="824" t="s">
        <v>3373</v>
      </c>
      <c r="B36" s="905">
        <f>B34-B35</f>
        <v>476722</v>
      </c>
      <c r="C36" s="905">
        <f>C34-C35</f>
        <v>947135</v>
      </c>
      <c r="D36" s="905">
        <f>D34-D35</f>
        <v>1470755</v>
      </c>
      <c r="E36" s="905">
        <f>E34-E35</f>
        <v>905215</v>
      </c>
      <c r="F36" s="905">
        <f>F34-F35</f>
        <v>1727638.12</v>
      </c>
    </row>
    <row r="37" spans="1:7">
      <c r="E37" s="1819"/>
    </row>
    <row r="38" spans="1:7">
      <c r="A38" s="824" t="s">
        <v>3254</v>
      </c>
      <c r="B38" s="905">
        <f>AVERAGE(B36:F36)</f>
        <v>1105493.024</v>
      </c>
      <c r="E38" s="1819"/>
      <c r="F38" s="1823">
        <v>1101969</v>
      </c>
      <c r="G38" s="1827" t="s">
        <v>3375</v>
      </c>
    </row>
    <row r="39" spans="1:7">
      <c r="G39" s="1826"/>
    </row>
    <row r="40" spans="1:7">
      <c r="A40" s="613" t="s">
        <v>3383</v>
      </c>
      <c r="B40" s="1816">
        <f>B38-F36</f>
        <v>-622145.09600000014</v>
      </c>
      <c r="F40" s="1824">
        <f>F38-F36</f>
        <v>-625669.12000000011</v>
      </c>
      <c r="G40" s="1827" t="s">
        <v>3376</v>
      </c>
    </row>
    <row r="42" spans="1:7" ht="43.2">
      <c r="A42" s="613" t="s">
        <v>3374</v>
      </c>
      <c r="B42" s="1817">
        <f>B40+B30</f>
        <v>-1785128.3660000002</v>
      </c>
      <c r="C42" s="1828" t="s">
        <v>3386</v>
      </c>
      <c r="F42" s="1825">
        <f>F40+B30</f>
        <v>-1788652.3900000001</v>
      </c>
      <c r="G42" s="1828" t="s">
        <v>3387</v>
      </c>
    </row>
    <row r="44" spans="1:7">
      <c r="B44" s="1803">
        <f>B25+B30</f>
        <v>1727638.12</v>
      </c>
      <c r="C44" s="1804" t="s">
        <v>3362</v>
      </c>
      <c r="E44" s="404"/>
      <c r="F44" s="404">
        <f>F42-B42</f>
        <v>-3524.0239999999758</v>
      </c>
      <c r="G44" s="613" t="s">
        <v>3388</v>
      </c>
    </row>
    <row r="48" spans="1:7">
      <c r="B48" s="824"/>
      <c r="C48" s="404"/>
      <c r="E48" s="404"/>
      <c r="F48" s="404"/>
    </row>
    <row r="49" spans="2:6">
      <c r="B49" s="824"/>
      <c r="C49" s="404"/>
      <c r="E49" s="404"/>
      <c r="F49" s="404"/>
    </row>
    <row r="50" spans="2:6">
      <c r="B50" s="824"/>
      <c r="C50" s="404"/>
      <c r="E50" s="404"/>
      <c r="F50" s="404"/>
    </row>
  </sheetData>
  <mergeCells count="5">
    <mergeCell ref="A1:C1"/>
    <mergeCell ref="A2:C2"/>
    <mergeCell ref="A3:C3"/>
    <mergeCell ref="A4:C4"/>
    <mergeCell ref="A5:C5"/>
  </mergeCells>
  <printOptions horizontalCentered="1"/>
  <pageMargins left="0.7" right="0.7" top="0.75" bottom="0.75" header="0.3" footer="0.3"/>
  <pageSetup scale="65" fitToHeight="0" orientation="portrait" r:id="rId1"/>
  <headerFooter scaleWithDoc="0" alignWithMargins="0">
    <oddHeader>&amp;R&amp;P of &amp;N</oddHeader>
    <oddFooter>&amp;LElectronic Tab Name: &amp;A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theme="7" tint="0.79998168889431442"/>
  </sheetPr>
  <dimension ref="A1:M19"/>
  <sheetViews>
    <sheetView view="pageBreakPreview" zoomScale="80" zoomScaleNormal="100" zoomScaleSheetLayoutView="80" workbookViewId="0">
      <selection activeCell="C16" sqref="C16"/>
    </sheetView>
  </sheetViews>
  <sheetFormatPr defaultColWidth="9.109375" defaultRowHeight="15.6"/>
  <cols>
    <col min="1" max="1" width="9.33203125" style="442" bestFit="1" customWidth="1"/>
    <col min="2" max="2" width="13.5546875" style="443" bestFit="1" customWidth="1"/>
    <col min="3" max="3" width="10.88671875" style="443" bestFit="1" customWidth="1"/>
    <col min="4" max="4" width="12" style="443" bestFit="1" customWidth="1"/>
    <col min="5" max="5" width="15.44140625" style="443" bestFit="1" customWidth="1"/>
    <col min="6" max="6" width="11.5546875" style="443" bestFit="1" customWidth="1"/>
    <col min="7" max="7" width="9.33203125" style="443" bestFit="1" customWidth="1"/>
    <col min="8" max="8" width="12.6640625" style="442" bestFit="1" customWidth="1"/>
    <col min="9" max="9" width="9.109375" style="443"/>
    <col min="10" max="16384" width="9.109375" style="71"/>
  </cols>
  <sheetData>
    <row r="1" spans="1:13">
      <c r="A1" s="1910" t="s">
        <v>52</v>
      </c>
      <c r="B1" s="1910"/>
      <c r="C1" s="1910"/>
      <c r="D1" s="1910"/>
      <c r="E1" s="1910"/>
      <c r="F1" s="1910"/>
      <c r="G1" s="1910"/>
      <c r="H1" s="1910"/>
      <c r="I1" s="2"/>
      <c r="J1" s="2"/>
      <c r="K1" s="219"/>
      <c r="L1" s="219"/>
      <c r="M1" s="219"/>
    </row>
    <row r="2" spans="1:13">
      <c r="A2" s="1910" t="s">
        <v>1258</v>
      </c>
      <c r="B2" s="1910"/>
      <c r="C2" s="1910"/>
      <c r="D2" s="1910"/>
      <c r="E2" s="1910"/>
      <c r="F2" s="1910"/>
      <c r="G2" s="1910"/>
      <c r="H2" s="1910"/>
      <c r="I2" s="2"/>
      <c r="J2" s="2"/>
      <c r="K2" s="219"/>
      <c r="L2" s="219"/>
      <c r="M2" s="219"/>
    </row>
    <row r="3" spans="1:13">
      <c r="A3" s="1910" t="s">
        <v>1274</v>
      </c>
      <c r="B3" s="1910"/>
      <c r="C3" s="1910"/>
      <c r="D3" s="1910"/>
      <c r="E3" s="1910"/>
      <c r="F3" s="1910"/>
      <c r="G3" s="1910"/>
      <c r="H3" s="1910"/>
      <c r="I3" s="2"/>
      <c r="J3" s="2"/>
      <c r="K3" s="219"/>
      <c r="L3" s="219"/>
      <c r="M3" s="219"/>
    </row>
    <row r="4" spans="1:13">
      <c r="A4" s="1910" t="s">
        <v>71</v>
      </c>
      <c r="B4" s="1910"/>
      <c r="C4" s="1910"/>
      <c r="D4" s="1910"/>
      <c r="E4" s="1910"/>
      <c r="F4" s="1910"/>
      <c r="G4" s="1910"/>
      <c r="H4" s="1910"/>
      <c r="I4" s="2"/>
      <c r="J4" s="2"/>
      <c r="K4" s="219"/>
      <c r="L4" s="219"/>
      <c r="M4" s="219"/>
    </row>
    <row r="5" spans="1:13">
      <c r="A5" s="1910" t="s">
        <v>1823</v>
      </c>
      <c r="B5" s="1910"/>
      <c r="C5" s="1910"/>
      <c r="D5" s="1910"/>
      <c r="E5" s="1910"/>
      <c r="F5" s="1910"/>
      <c r="G5" s="1910"/>
      <c r="H5" s="1910"/>
      <c r="I5" s="2"/>
      <c r="J5" s="2"/>
      <c r="K5" s="219"/>
      <c r="L5" s="219"/>
      <c r="M5" s="219"/>
    </row>
    <row r="6" spans="1:13">
      <c r="K6" s="219"/>
      <c r="L6" s="219"/>
      <c r="M6" s="219"/>
    </row>
    <row r="7" spans="1:13">
      <c r="K7" s="219"/>
      <c r="L7" s="219"/>
      <c r="M7" s="219"/>
    </row>
    <row r="8" spans="1:13">
      <c r="K8" s="219"/>
      <c r="L8" s="219"/>
      <c r="M8" s="219"/>
    </row>
    <row r="9" spans="1:13" s="220" customFormat="1">
      <c r="A9" s="442"/>
      <c r="B9" s="442" t="s">
        <v>778</v>
      </c>
      <c r="C9" s="442" t="s">
        <v>776</v>
      </c>
      <c r="D9" s="442" t="s">
        <v>777</v>
      </c>
      <c r="E9" s="442" t="s">
        <v>780</v>
      </c>
      <c r="F9" s="442" t="s">
        <v>781</v>
      </c>
      <c r="G9" s="442" t="s">
        <v>782</v>
      </c>
      <c r="H9" s="442" t="s">
        <v>783</v>
      </c>
      <c r="I9" s="442"/>
      <c r="K9" s="221"/>
      <c r="L9" s="221"/>
      <c r="M9" s="221"/>
    </row>
    <row r="10" spans="1:13">
      <c r="B10" s="444" t="s">
        <v>359</v>
      </c>
      <c r="C10" s="226"/>
      <c r="D10" s="226"/>
      <c r="E10" s="226"/>
      <c r="F10" s="226"/>
      <c r="G10" s="226"/>
      <c r="H10" s="223"/>
      <c r="I10" s="226"/>
      <c r="J10" s="219"/>
    </row>
    <row r="11" spans="1:13">
      <c r="B11" s="226"/>
      <c r="C11" s="226"/>
      <c r="D11" s="226"/>
      <c r="E11" s="445"/>
      <c r="F11" s="226"/>
      <c r="G11" s="226"/>
      <c r="H11" s="223"/>
      <c r="I11" s="226"/>
      <c r="J11" s="219"/>
    </row>
    <row r="12" spans="1:13">
      <c r="A12" s="442" t="s">
        <v>649</v>
      </c>
      <c r="B12" s="226" t="s">
        <v>77</v>
      </c>
      <c r="C12" s="223" t="s">
        <v>78</v>
      </c>
      <c r="D12" s="223"/>
      <c r="E12" s="223" t="s">
        <v>79</v>
      </c>
      <c r="F12" s="223"/>
      <c r="G12" s="223" t="s">
        <v>80</v>
      </c>
      <c r="H12" s="223"/>
      <c r="I12" s="226"/>
      <c r="J12" s="219"/>
    </row>
    <row r="13" spans="1:13">
      <c r="A13" s="442">
        <v>1</v>
      </c>
      <c r="B13" s="446">
        <v>43465</v>
      </c>
      <c r="C13" s="223" t="s">
        <v>81</v>
      </c>
      <c r="D13" s="223" t="s">
        <v>82</v>
      </c>
      <c r="E13" s="223" t="s">
        <v>83</v>
      </c>
      <c r="F13" s="223" t="s">
        <v>54</v>
      </c>
      <c r="G13" s="223" t="s">
        <v>84</v>
      </c>
      <c r="H13" s="222" t="s">
        <v>85</v>
      </c>
      <c r="I13" s="226"/>
      <c r="J13" s="219"/>
    </row>
    <row r="14" spans="1:13">
      <c r="B14" s="446"/>
      <c r="C14" s="223"/>
      <c r="D14" s="223"/>
      <c r="E14" s="223"/>
      <c r="F14" s="223"/>
      <c r="G14" s="447"/>
      <c r="H14" s="223"/>
    </row>
    <row r="15" spans="1:13">
      <c r="B15" s="226"/>
      <c r="C15" s="223"/>
      <c r="D15" s="223"/>
      <c r="E15" s="223"/>
      <c r="F15" s="223"/>
      <c r="G15" s="223"/>
      <c r="H15" s="223"/>
    </row>
    <row r="16" spans="1:13" ht="16.2" thickBot="1">
      <c r="A16" s="442">
        <v>2</v>
      </c>
      <c r="B16" s="224">
        <f>+'Exh 6, ROO Summary'!W38</f>
        <v>409282452.8131454</v>
      </c>
      <c r="C16" s="448">
        <f>+'Capital Structure Calculation'!J11</f>
        <v>2.3359999999999999E-2</v>
      </c>
      <c r="D16" s="223">
        <f>B16*C16</f>
        <v>9560838.0977150761</v>
      </c>
      <c r="E16" s="223">
        <f>+'Operating Report'!G160</f>
        <v>11276371.959999999</v>
      </c>
      <c r="F16" s="223">
        <f>+D16-E16</f>
        <v>-1715533.862284923</v>
      </c>
      <c r="G16" s="225">
        <f>+'Exh 8, Conversion Factor'!C33</f>
        <v>0.21</v>
      </c>
      <c r="H16" s="628">
        <f>+F16*-G16</f>
        <v>360262.11107983382</v>
      </c>
      <c r="K16" s="219"/>
      <c r="L16" s="219"/>
      <c r="M16" s="219"/>
    </row>
    <row r="17" spans="2:13" ht="16.2" thickTop="1">
      <c r="B17" s="226"/>
      <c r="C17" s="226"/>
      <c r="D17" s="226"/>
      <c r="E17" s="226"/>
      <c r="F17" s="226"/>
      <c r="G17" s="449"/>
      <c r="H17" s="223"/>
      <c r="K17" s="219"/>
      <c r="L17" s="227"/>
      <c r="M17" s="219"/>
    </row>
    <row r="18" spans="2:13">
      <c r="B18" s="226"/>
      <c r="C18" s="226"/>
      <c r="D18" s="226"/>
      <c r="E18" s="226"/>
      <c r="F18" s="226"/>
      <c r="I18" s="226"/>
      <c r="J18" s="219"/>
      <c r="K18" s="219"/>
      <c r="L18" s="219"/>
      <c r="M18" s="221"/>
    </row>
    <row r="19" spans="2:13">
      <c r="G19" s="226"/>
      <c r="H19" s="223"/>
      <c r="I19" s="226"/>
      <c r="J19" s="219"/>
      <c r="K19" s="219"/>
      <c r="L19" s="219"/>
      <c r="M19" s="219"/>
    </row>
  </sheetData>
  <mergeCells count="5">
    <mergeCell ref="A1:H1"/>
    <mergeCell ref="A2:H2"/>
    <mergeCell ref="A3:H3"/>
    <mergeCell ref="A4:H4"/>
    <mergeCell ref="A5:H5"/>
  </mergeCells>
  <printOptions horizontalCentered="1"/>
  <pageMargins left="0.7" right="0.7" top="0.75" bottom="0.75" header="0.3" footer="0.3"/>
  <pageSetup scale="94" orientation="portrait" r:id="rId1"/>
  <headerFooter scaleWithDoc="0" alignWithMargins="0">
    <oddHeader>&amp;RPage &amp;P of &amp;N</oddHeader>
    <oddFooter>&amp;LElectronic Tab Name:&amp;A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theme="7" tint="0.79998168889431442"/>
  </sheetPr>
  <dimension ref="A1:I36"/>
  <sheetViews>
    <sheetView view="pageBreakPreview" topLeftCell="A4" zoomScale="80" zoomScaleNormal="100" zoomScaleSheetLayoutView="80" workbookViewId="0">
      <selection activeCell="F27" sqref="F27"/>
    </sheetView>
  </sheetViews>
  <sheetFormatPr defaultColWidth="9.109375" defaultRowHeight="15.6"/>
  <cols>
    <col min="1" max="1" width="9.44140625" style="5" bestFit="1" customWidth="1"/>
    <col min="2" max="2" width="33" style="3" bestFit="1" customWidth="1"/>
    <col min="3" max="3" width="10.33203125" style="3" bestFit="1" customWidth="1"/>
    <col min="4" max="4" width="27.33203125" style="3" customWidth="1"/>
    <col min="5" max="5" width="18.109375" style="17" bestFit="1" customWidth="1"/>
    <col min="6" max="6" width="13.109375" style="3" bestFit="1" customWidth="1"/>
    <col min="7" max="7" width="10.109375" style="3" bestFit="1" customWidth="1"/>
    <col min="8" max="8" width="13.5546875" style="3" bestFit="1" customWidth="1"/>
    <col min="9" max="9" width="9.109375" style="3"/>
    <col min="10" max="10" width="9.6640625" style="3" bestFit="1" customWidth="1"/>
    <col min="11" max="16384" width="9.109375" style="3"/>
  </cols>
  <sheetData>
    <row r="1" spans="1:9" s="14" customFormat="1">
      <c r="A1" s="15"/>
      <c r="B1" s="1910" t="s">
        <v>52</v>
      </c>
      <c r="C1" s="1910"/>
      <c r="D1" s="1910"/>
      <c r="E1" s="1910"/>
      <c r="F1" s="1910"/>
      <c r="G1" s="2"/>
      <c r="H1" s="2"/>
      <c r="I1" s="2"/>
    </row>
    <row r="2" spans="1:9" s="14" customFormat="1">
      <c r="A2" s="15"/>
      <c r="B2" s="1910" t="s">
        <v>1824</v>
      </c>
      <c r="C2" s="1910"/>
      <c r="D2" s="1910"/>
      <c r="E2" s="1910"/>
      <c r="F2" s="1910"/>
      <c r="G2" s="2"/>
      <c r="H2" s="2"/>
      <c r="I2" s="2"/>
    </row>
    <row r="3" spans="1:9" s="14" customFormat="1">
      <c r="A3" s="15"/>
      <c r="B3" s="1910" t="s">
        <v>1278</v>
      </c>
      <c r="C3" s="1910"/>
      <c r="D3" s="1910"/>
      <c r="E3" s="1910"/>
      <c r="F3" s="1910"/>
      <c r="G3" s="2"/>
      <c r="H3" s="2"/>
      <c r="I3" s="2"/>
    </row>
    <row r="4" spans="1:9" s="14" customFormat="1">
      <c r="A4" s="15"/>
      <c r="B4" s="1910" t="s">
        <v>710</v>
      </c>
      <c r="C4" s="1910"/>
      <c r="D4" s="1910"/>
      <c r="E4" s="1910"/>
      <c r="F4" s="1910"/>
      <c r="G4" s="2"/>
      <c r="H4" s="2"/>
      <c r="I4" s="2"/>
    </row>
    <row r="5" spans="1:9" s="14" customFormat="1">
      <c r="A5" s="15"/>
      <c r="B5" s="1910" t="s">
        <v>1823</v>
      </c>
      <c r="C5" s="1910"/>
      <c r="D5" s="1910"/>
      <c r="E5" s="1910"/>
      <c r="F5" s="1910"/>
      <c r="G5" s="2"/>
      <c r="H5" s="2"/>
      <c r="I5" s="2"/>
    </row>
    <row r="6" spans="1:9" s="14" customFormat="1">
      <c r="A6" s="15"/>
      <c r="E6" s="428"/>
    </row>
    <row r="7" spans="1:9" s="15" customFormat="1">
      <c r="B7" s="15" t="s">
        <v>778</v>
      </c>
      <c r="C7" s="15" t="s">
        <v>776</v>
      </c>
      <c r="D7" s="15" t="s">
        <v>777</v>
      </c>
      <c r="E7" s="15" t="s">
        <v>780</v>
      </c>
      <c r="F7" s="15" t="s">
        <v>781</v>
      </c>
    </row>
    <row r="8" spans="1:9" s="14" customFormat="1">
      <c r="A8" s="429" t="s">
        <v>793</v>
      </c>
      <c r="E8" s="428"/>
    </row>
    <row r="9" spans="1:9" s="14" customFormat="1">
      <c r="A9" s="15">
        <v>1</v>
      </c>
      <c r="B9" s="14" t="s">
        <v>1275</v>
      </c>
      <c r="E9" s="430">
        <f>+'Exh 10, Plant Additions'!H200</f>
        <v>13586826.540000001</v>
      </c>
    </row>
    <row r="10" spans="1:9" s="14" customFormat="1">
      <c r="A10" s="15"/>
    </row>
    <row r="11" spans="1:9" s="14" customFormat="1">
      <c r="A11" s="15">
        <v>2</v>
      </c>
      <c r="B11" s="46" t="s">
        <v>1988</v>
      </c>
      <c r="C11" s="431">
        <f>E32</f>
        <v>1.1581842116175691E-2</v>
      </c>
    </row>
    <row r="12" spans="1:9" s="14" customFormat="1">
      <c r="A12" s="15">
        <v>3</v>
      </c>
      <c r="B12" s="14" t="s">
        <v>705</v>
      </c>
      <c r="E12" s="366">
        <f>+E9*C11</f>
        <v>157360.47984614564</v>
      </c>
    </row>
    <row r="13" spans="1:9" s="14" customFormat="1">
      <c r="A13" s="15"/>
    </row>
    <row r="14" spans="1:9" s="14" customFormat="1">
      <c r="A14" s="15">
        <v>4</v>
      </c>
      <c r="E14" s="432"/>
    </row>
    <row r="15" spans="1:9" s="14" customFormat="1">
      <c r="A15" s="15"/>
    </row>
    <row r="16" spans="1:9" s="14" customFormat="1">
      <c r="A16" s="15">
        <v>5</v>
      </c>
      <c r="B16" s="14" t="s">
        <v>648</v>
      </c>
      <c r="D16" s="14" t="s">
        <v>792</v>
      </c>
      <c r="E16" s="370">
        <f>+E9</f>
        <v>13586826.540000001</v>
      </c>
      <c r="F16" s="370"/>
    </row>
    <row r="17" spans="1:7" s="14" customFormat="1">
      <c r="A17" s="15"/>
      <c r="E17" s="370"/>
      <c r="F17" s="370"/>
    </row>
    <row r="18" spans="1:7" s="14" customFormat="1">
      <c r="A18" s="15">
        <v>6</v>
      </c>
      <c r="B18" s="14" t="s">
        <v>277</v>
      </c>
      <c r="D18" s="14" t="s">
        <v>1463</v>
      </c>
      <c r="E18" s="370">
        <f>+'Exh 10, Plant Additions'!J223</f>
        <v>868217.01335499994</v>
      </c>
      <c r="F18" s="370">
        <f>+E18</f>
        <v>868217.01335499994</v>
      </c>
    </row>
    <row r="19" spans="1:7" s="14" customFormat="1">
      <c r="A19" s="15">
        <v>7</v>
      </c>
      <c r="B19" s="14" t="s">
        <v>650</v>
      </c>
      <c r="D19" s="14" t="s">
        <v>794</v>
      </c>
      <c r="E19" s="370">
        <f>+E18/2</f>
        <v>434108.50667749997</v>
      </c>
      <c r="F19" s="370"/>
    </row>
    <row r="20" spans="1:7" s="14" customFormat="1">
      <c r="A20" s="15">
        <v>8</v>
      </c>
      <c r="B20" s="14" t="s">
        <v>651</v>
      </c>
      <c r="D20" s="14" t="s">
        <v>795</v>
      </c>
      <c r="E20" s="370">
        <f>+E16*0.0375</f>
        <v>509505.99525000004</v>
      </c>
      <c r="F20" s="370"/>
    </row>
    <row r="21" spans="1:7" s="14" customFormat="1">
      <c r="A21" s="15">
        <v>9</v>
      </c>
      <c r="B21" s="14" t="s">
        <v>90</v>
      </c>
      <c r="D21" s="14" t="s">
        <v>1277</v>
      </c>
      <c r="E21" s="370">
        <f>(+E20-E18)*0.21</f>
        <v>-75329.313802049975</v>
      </c>
      <c r="F21" s="370"/>
    </row>
    <row r="22" spans="1:7" s="14" customFormat="1">
      <c r="A22" s="15">
        <v>10</v>
      </c>
      <c r="B22" s="14" t="s">
        <v>652</v>
      </c>
      <c r="D22" s="14" t="s">
        <v>796</v>
      </c>
      <c r="E22" s="370">
        <f>+E21/2</f>
        <v>-37664.656901024988</v>
      </c>
      <c r="F22" s="370"/>
    </row>
    <row r="23" spans="1:7" s="14" customFormat="1">
      <c r="A23" s="15">
        <v>11</v>
      </c>
      <c r="B23" s="14" t="s">
        <v>653</v>
      </c>
      <c r="D23" s="14" t="s">
        <v>1276</v>
      </c>
      <c r="E23" s="370"/>
      <c r="F23" s="370">
        <f>+F18*0.21</f>
        <v>182325.57280454997</v>
      </c>
    </row>
    <row r="24" spans="1:7" s="14" customFormat="1">
      <c r="A24" s="15"/>
      <c r="E24" s="370"/>
      <c r="F24" s="370"/>
    </row>
    <row r="25" spans="1:7" s="14" customFormat="1">
      <c r="A25" s="15">
        <v>12</v>
      </c>
      <c r="B25" s="14" t="s">
        <v>654</v>
      </c>
      <c r="E25" s="370">
        <f>+E16-E22-E19</f>
        <v>13190382.690223526</v>
      </c>
      <c r="F25" s="370"/>
    </row>
    <row r="26" spans="1:7" s="14" customFormat="1">
      <c r="A26" s="15"/>
      <c r="E26" s="370"/>
      <c r="F26" s="370"/>
    </row>
    <row r="27" spans="1:7" s="14" customFormat="1">
      <c r="A27" s="15">
        <v>13</v>
      </c>
      <c r="B27" s="14" t="s">
        <v>2400</v>
      </c>
      <c r="E27" s="1601">
        <f>'Exh 2, Proof of Revenue'!AG589</f>
        <v>2.5465851649641991E-10</v>
      </c>
      <c r="F27" s="232"/>
      <c r="G27" s="370"/>
    </row>
    <row r="28" spans="1:7" s="14" customFormat="1">
      <c r="A28" s="15"/>
      <c r="B28" s="1600" t="s">
        <v>2431</v>
      </c>
      <c r="E28" s="428"/>
      <c r="F28" s="232"/>
      <c r="G28" s="370"/>
    </row>
    <row r="29" spans="1:7" s="14" customFormat="1">
      <c r="A29" s="15" t="s">
        <v>764</v>
      </c>
      <c r="E29" s="428"/>
      <c r="F29" s="370"/>
      <c r="G29" s="370"/>
    </row>
    <row r="30" spans="1:7" s="14" customFormat="1">
      <c r="A30" s="433" t="s">
        <v>1077</v>
      </c>
      <c r="B30" s="235" t="s">
        <v>1989</v>
      </c>
      <c r="C30" s="235"/>
      <c r="D30" s="235"/>
      <c r="E30" s="434">
        <v>241152000</v>
      </c>
      <c r="F30" s="370"/>
      <c r="G30" s="370"/>
    </row>
    <row r="31" spans="1:7" s="14" customFormat="1">
      <c r="A31" s="435"/>
      <c r="B31" s="46" t="s">
        <v>1990</v>
      </c>
      <c r="C31" s="46"/>
      <c r="D31" s="46"/>
      <c r="E31" s="436">
        <v>2792984.39</v>
      </c>
      <c r="F31" s="370"/>
      <c r="G31" s="370"/>
    </row>
    <row r="32" spans="1:7" s="14" customFormat="1">
      <c r="A32" s="437"/>
      <c r="B32" s="236" t="s">
        <v>1078</v>
      </c>
      <c r="C32" s="236"/>
      <c r="D32" s="236"/>
      <c r="E32" s="438">
        <f>E31/E30</f>
        <v>1.1581842116175691E-2</v>
      </c>
      <c r="F32" s="370"/>
      <c r="G32" s="370"/>
    </row>
    <row r="33" spans="5:7">
      <c r="E33" s="3"/>
      <c r="F33" s="136"/>
      <c r="G33" s="136"/>
    </row>
    <row r="34" spans="5:7">
      <c r="F34" s="136"/>
      <c r="G34" s="136"/>
    </row>
    <row r="35" spans="5:7">
      <c r="F35" s="136"/>
      <c r="G35" s="136"/>
    </row>
    <row r="36" spans="5:7">
      <c r="F36" s="136"/>
      <c r="G36" s="136"/>
    </row>
  </sheetData>
  <mergeCells count="5">
    <mergeCell ref="B5:F5"/>
    <mergeCell ref="B1:F1"/>
    <mergeCell ref="B2:F2"/>
    <mergeCell ref="B4:F4"/>
    <mergeCell ref="B3:F3"/>
  </mergeCells>
  <printOptions horizontalCentered="1"/>
  <pageMargins left="0.7" right="0.7" top="0.75" bottom="0.75" header="0.3" footer="0.3"/>
  <pageSetup scale="84" fitToHeight="0" orientation="landscape" r:id="rId1"/>
  <headerFooter scaleWithDoc="0" alignWithMargins="0">
    <oddHeader>&amp;RPage &amp;P of &amp;N</oddHeader>
    <oddFooter>&amp;LElectronic Tab Name:&amp;A</oddFooter>
  </headerFooter>
  <colBreaks count="1" manualBreakCount="1">
    <brk id="6"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theme="7" tint="0.79998168889431442"/>
    <pageSetUpPr fitToPage="1"/>
  </sheetPr>
  <dimension ref="A1:K20"/>
  <sheetViews>
    <sheetView zoomScale="80" zoomScaleNormal="80" zoomScaleSheetLayoutView="90" workbookViewId="0">
      <selection activeCell="F27" sqref="F27"/>
    </sheetView>
  </sheetViews>
  <sheetFormatPr defaultColWidth="9.109375" defaultRowHeight="15.6"/>
  <cols>
    <col min="1" max="1" width="9.109375" style="71" customWidth="1"/>
    <col min="2" max="2" width="35.109375" style="71" bestFit="1" customWidth="1"/>
    <col min="3" max="3" width="11" style="71" bestFit="1" customWidth="1"/>
    <col min="4" max="4" width="17.5546875" style="71" bestFit="1" customWidth="1"/>
    <col min="5" max="5" width="13.5546875" style="71" bestFit="1" customWidth="1"/>
    <col min="6" max="6" width="19.6640625" style="71" customWidth="1"/>
    <col min="7" max="7" width="27.109375" style="71" bestFit="1" customWidth="1"/>
    <col min="8" max="8" width="10.109375" style="71" bestFit="1" customWidth="1"/>
    <col min="9" max="16384" width="9.109375" style="71"/>
  </cols>
  <sheetData>
    <row r="1" spans="1:11">
      <c r="A1" s="1910" t="s">
        <v>52</v>
      </c>
      <c r="B1" s="1910"/>
      <c r="C1" s="1910"/>
      <c r="D1" s="1910"/>
      <c r="E1" s="1910"/>
      <c r="F1" s="1910"/>
      <c r="G1" s="1910"/>
      <c r="H1" s="2"/>
      <c r="I1" s="2"/>
      <c r="J1" s="2"/>
      <c r="K1" s="2"/>
    </row>
    <row r="2" spans="1:11">
      <c r="A2" s="1910" t="s">
        <v>1824</v>
      </c>
      <c r="B2" s="1910"/>
      <c r="C2" s="1910"/>
      <c r="D2" s="1910"/>
      <c r="E2" s="1910"/>
      <c r="F2" s="1910"/>
      <c r="G2" s="1910"/>
      <c r="H2" s="2"/>
      <c r="I2" s="2"/>
      <c r="J2" s="2"/>
      <c r="K2" s="2"/>
    </row>
    <row r="3" spans="1:11">
      <c r="A3" s="1910" t="s">
        <v>1359</v>
      </c>
      <c r="B3" s="1910"/>
      <c r="C3" s="1910"/>
      <c r="D3" s="1910"/>
      <c r="E3" s="1910"/>
      <c r="F3" s="1910"/>
      <c r="G3" s="1910"/>
      <c r="H3" s="2"/>
      <c r="I3" s="2"/>
      <c r="J3" s="2"/>
      <c r="K3" s="2"/>
    </row>
    <row r="4" spans="1:11">
      <c r="A4" s="1910" t="s">
        <v>726</v>
      </c>
      <c r="B4" s="1910"/>
      <c r="C4" s="1910"/>
      <c r="D4" s="1910"/>
      <c r="E4" s="1910"/>
      <c r="F4" s="1910"/>
      <c r="G4" s="1910"/>
      <c r="H4" s="2"/>
      <c r="I4" s="2"/>
      <c r="J4" s="2"/>
      <c r="K4" s="2"/>
    </row>
    <row r="5" spans="1:11">
      <c r="A5" s="1910" t="s">
        <v>1823</v>
      </c>
      <c r="B5" s="1910"/>
      <c r="C5" s="1910"/>
      <c r="D5" s="1910"/>
      <c r="E5" s="1910"/>
      <c r="F5" s="1910"/>
      <c r="G5" s="1910"/>
      <c r="H5" s="2"/>
      <c r="I5" s="2"/>
      <c r="J5" s="2"/>
      <c r="K5" s="2"/>
    </row>
    <row r="7" spans="1:11">
      <c r="A7" s="234" t="s">
        <v>649</v>
      </c>
      <c r="B7" s="442" t="s">
        <v>778</v>
      </c>
      <c r="C7" s="442"/>
      <c r="D7" s="442" t="s">
        <v>776</v>
      </c>
      <c r="E7" s="442" t="s">
        <v>777</v>
      </c>
      <c r="F7" s="442" t="s">
        <v>780</v>
      </c>
      <c r="G7" s="443" t="s">
        <v>781</v>
      </c>
    </row>
    <row r="8" spans="1:11">
      <c r="A8" s="220">
        <v>1</v>
      </c>
      <c r="B8" s="813" t="s">
        <v>2448</v>
      </c>
      <c r="C8" s="813" t="s">
        <v>2438</v>
      </c>
      <c r="D8" s="814" t="s">
        <v>2440</v>
      </c>
      <c r="E8" s="814" t="s">
        <v>2441</v>
      </c>
      <c r="F8" s="814" t="s">
        <v>722</v>
      </c>
      <c r="G8" s="443" t="s">
        <v>750</v>
      </c>
    </row>
    <row r="9" spans="1:11">
      <c r="A9" s="220">
        <f>A8+1</f>
        <v>2</v>
      </c>
      <c r="B9" s="443" t="s">
        <v>2445</v>
      </c>
      <c r="C9" s="713">
        <v>5423017.3499999996</v>
      </c>
      <c r="D9" s="713">
        <v>4654756.58</v>
      </c>
      <c r="E9" s="443">
        <v>10</v>
      </c>
      <c r="F9" s="440">
        <f>C9/E9</f>
        <v>542301.73499999999</v>
      </c>
      <c r="G9" s="443" t="s">
        <v>2442</v>
      </c>
    </row>
    <row r="10" spans="1:11">
      <c r="A10" s="220">
        <f t="shared" ref="A10:A16" si="0">A9+1</f>
        <v>3</v>
      </c>
      <c r="B10" s="443" t="s">
        <v>2447</v>
      </c>
      <c r="C10" s="440">
        <v>5432080</v>
      </c>
      <c r="D10" s="440">
        <f>C10</f>
        <v>5432080</v>
      </c>
      <c r="E10" s="443">
        <v>10</v>
      </c>
      <c r="F10" s="440">
        <f>D10/E10</f>
        <v>543208</v>
      </c>
      <c r="G10" s="443" t="s">
        <v>2443</v>
      </c>
    </row>
    <row r="11" spans="1:11">
      <c r="A11" s="220">
        <f t="shared" si="0"/>
        <v>4</v>
      </c>
      <c r="B11" s="813" t="s">
        <v>2446</v>
      </c>
      <c r="C11" s="714">
        <v>2571965</v>
      </c>
      <c r="D11" s="714">
        <f>C11</f>
        <v>2571965</v>
      </c>
      <c r="E11" s="443">
        <v>10</v>
      </c>
      <c r="F11" s="714">
        <f>D11/E11</f>
        <v>257196.5</v>
      </c>
      <c r="G11" s="443" t="s">
        <v>2444</v>
      </c>
    </row>
    <row r="12" spans="1:11">
      <c r="A12" s="220">
        <f t="shared" si="0"/>
        <v>5</v>
      </c>
      <c r="B12" s="443" t="s">
        <v>2439</v>
      </c>
      <c r="C12" s="713">
        <f>SUM(C9:C11)</f>
        <v>13427062.35</v>
      </c>
      <c r="D12" s="713">
        <f>SUM(D9:D11)</f>
        <v>12658801.58</v>
      </c>
      <c r="E12" s="443"/>
      <c r="F12" s="713">
        <f>+F9+F10+F11</f>
        <v>1342706.2349999999</v>
      </c>
      <c r="G12" s="443"/>
    </row>
    <row r="13" spans="1:11">
      <c r="A13" s="220">
        <f t="shared" si="0"/>
        <v>6</v>
      </c>
      <c r="B13" s="443"/>
      <c r="C13" s="443"/>
      <c r="D13" s="443"/>
      <c r="E13" s="443"/>
      <c r="F13" s="440"/>
      <c r="G13" s="443"/>
    </row>
    <row r="14" spans="1:11">
      <c r="A14" s="220">
        <f t="shared" si="0"/>
        <v>7</v>
      </c>
      <c r="B14" s="443" t="s">
        <v>2449</v>
      </c>
      <c r="C14" s="443"/>
      <c r="D14" s="443"/>
      <c r="E14" s="443"/>
      <c r="F14" s="815">
        <f>F12</f>
        <v>1342706.2349999999</v>
      </c>
      <c r="G14" s="443"/>
    </row>
    <row r="15" spans="1:11">
      <c r="A15" s="220">
        <f>A14+1</f>
        <v>8</v>
      </c>
      <c r="B15" s="443" t="s">
        <v>2450</v>
      </c>
      <c r="C15" s="443"/>
      <c r="D15" s="443"/>
      <c r="E15" s="443"/>
      <c r="F15" s="716">
        <v>542301.72</v>
      </c>
      <c r="G15" s="443"/>
    </row>
    <row r="16" spans="1:11" ht="16.2" thickBot="1">
      <c r="A16" s="220">
        <f t="shared" si="0"/>
        <v>9</v>
      </c>
      <c r="B16" s="443" t="s">
        <v>2451</v>
      </c>
      <c r="C16" s="443"/>
      <c r="D16" s="443"/>
      <c r="E16" s="443"/>
      <c r="F16" s="715">
        <f>+F14-F15</f>
        <v>800404.5149999999</v>
      </c>
      <c r="G16" s="443"/>
    </row>
    <row r="17" spans="1:7" ht="18" thickTop="1">
      <c r="A17" s="71" t="s">
        <v>1029</v>
      </c>
      <c r="B17" s="443"/>
      <c r="C17" s="443"/>
      <c r="D17" s="443"/>
      <c r="E17" s="443"/>
      <c r="F17" s="443"/>
      <c r="G17" s="443"/>
    </row>
    <row r="18" spans="1:7">
      <c r="B18" s="443"/>
      <c r="C18" s="443"/>
      <c r="D18" s="443"/>
      <c r="E18" s="443"/>
      <c r="F18" s="443"/>
      <c r="G18" s="443"/>
    </row>
    <row r="19" spans="1:7">
      <c r="B19" s="443"/>
      <c r="C19" s="443"/>
      <c r="D19" s="443"/>
      <c r="E19" s="443"/>
      <c r="F19" s="443"/>
      <c r="G19" s="443"/>
    </row>
    <row r="20" spans="1:7">
      <c r="A20" s="220"/>
    </row>
  </sheetData>
  <mergeCells count="5">
    <mergeCell ref="A1:G1"/>
    <mergeCell ref="A2:G2"/>
    <mergeCell ref="A3:G3"/>
    <mergeCell ref="A4:G4"/>
    <mergeCell ref="A5:G5"/>
  </mergeCells>
  <printOptions horizontalCentered="1"/>
  <pageMargins left="0.7" right="0.7" top="0.75" bottom="0.75" header="0.3" footer="0.3"/>
  <pageSetup scale="91" fitToHeight="0" orientation="landscape" r:id="rId1"/>
  <headerFooter scaleWithDoc="0" alignWithMargins="0">
    <oddHeader>&amp;RPage &amp;P of &amp;N</oddHeader>
    <oddFooter>&amp;LElectronic Tab Name:&amp;A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9">
    <tabColor theme="7" tint="0.79998168889431442"/>
  </sheetPr>
  <dimension ref="A1:AF899"/>
  <sheetViews>
    <sheetView view="pageBreakPreview" topLeftCell="A10" zoomScale="80" zoomScaleNormal="100" zoomScaleSheetLayoutView="80" workbookViewId="0">
      <pane xSplit="5" topLeftCell="F1" activePane="topRight" state="frozen"/>
      <selection activeCell="F27" sqref="F27"/>
      <selection pane="topRight" activeCell="F27" sqref="F27"/>
    </sheetView>
  </sheetViews>
  <sheetFormatPr defaultColWidth="9.109375" defaultRowHeight="14.4"/>
  <cols>
    <col min="1" max="1" width="3.88671875" style="384" customWidth="1"/>
    <col min="2" max="2" width="13.5546875" style="384" customWidth="1"/>
    <col min="3" max="3" width="7.33203125" style="384" customWidth="1"/>
    <col min="4" max="4" width="5.88671875" style="384" customWidth="1"/>
    <col min="5" max="5" width="51" style="384" bestFit="1" customWidth="1"/>
    <col min="6" max="6" width="17.33203125" style="384" customWidth="1"/>
    <col min="7" max="10" width="16.5546875" style="384" customWidth="1"/>
    <col min="11" max="16" width="17.33203125" style="384" bestFit="1" customWidth="1"/>
    <col min="17" max="18" width="17.33203125" style="384" customWidth="1"/>
    <col min="19" max="19" width="20.44140625" style="384" customWidth="1"/>
    <col min="20" max="20" width="9.109375" style="384"/>
    <col min="21" max="21" width="12.33203125" style="384" bestFit="1" customWidth="1"/>
    <col min="22" max="23" width="15.5546875" style="587" bestFit="1" customWidth="1"/>
    <col min="24" max="24" width="16.5546875" style="587" bestFit="1" customWidth="1"/>
    <col min="25" max="25" width="28.44140625" style="587" bestFit="1" customWidth="1"/>
    <col min="26" max="26" width="15.5546875" style="587" bestFit="1" customWidth="1"/>
    <col min="27" max="27" width="12.88671875" style="384" customWidth="1"/>
    <col min="28" max="28" width="15" style="587" bestFit="1" customWidth="1"/>
    <col min="29" max="29" width="15.5546875" style="384" customWidth="1"/>
    <col min="30" max="30" width="14.5546875" style="384" customWidth="1"/>
    <col min="31" max="31" width="41.109375" style="384" customWidth="1"/>
    <col min="32" max="16384" width="9.109375" style="384"/>
  </cols>
  <sheetData>
    <row r="1" spans="1:32" ht="15.6">
      <c r="A1" s="290" t="s">
        <v>52</v>
      </c>
      <c r="B1" s="604"/>
      <c r="C1" s="604"/>
      <c r="D1" s="604"/>
      <c r="E1" s="604"/>
      <c r="F1" s="488" t="s">
        <v>740</v>
      </c>
      <c r="G1" s="488" t="s">
        <v>740</v>
      </c>
      <c r="H1" s="488" t="s">
        <v>740</v>
      </c>
      <c r="I1" s="488" t="s">
        <v>740</v>
      </c>
      <c r="J1" s="488" t="s">
        <v>740</v>
      </c>
      <c r="K1" s="488" t="s">
        <v>740</v>
      </c>
      <c r="L1" s="488" t="s">
        <v>740</v>
      </c>
      <c r="M1" s="488" t="s">
        <v>740</v>
      </c>
      <c r="N1" s="488" t="s">
        <v>740</v>
      </c>
      <c r="O1" s="488" t="s">
        <v>740</v>
      </c>
      <c r="P1" s="488" t="s">
        <v>740</v>
      </c>
      <c r="Q1" s="488" t="s">
        <v>740</v>
      </c>
      <c r="R1" s="488" t="s">
        <v>740</v>
      </c>
      <c r="S1" s="317"/>
      <c r="T1" s="604"/>
      <c r="U1" s="317"/>
      <c r="V1" s="694"/>
      <c r="W1" s="694"/>
      <c r="X1" s="694"/>
      <c r="Y1" s="694"/>
      <c r="Z1" s="694"/>
      <c r="AA1" s="317"/>
      <c r="AB1" s="694"/>
      <c r="AC1" s="604"/>
      <c r="AD1" s="604"/>
      <c r="AE1" s="604"/>
    </row>
    <row r="2" spans="1:32" ht="15.6">
      <c r="A2" s="290" t="s">
        <v>1817</v>
      </c>
      <c r="B2" s="604"/>
      <c r="C2" s="604"/>
      <c r="D2" s="604"/>
      <c r="E2" s="604"/>
      <c r="F2" s="488"/>
      <c r="G2" s="488"/>
      <c r="H2" s="488"/>
      <c r="I2" s="488"/>
      <c r="J2" s="488"/>
      <c r="K2" s="488"/>
      <c r="L2" s="488"/>
      <c r="M2" s="488"/>
      <c r="N2" s="488"/>
      <c r="O2" s="488"/>
      <c r="P2" s="488"/>
      <c r="Q2" s="488"/>
      <c r="R2" s="488"/>
      <c r="S2" s="317"/>
      <c r="T2" s="604"/>
      <c r="U2" s="317"/>
      <c r="V2" s="694"/>
      <c r="W2" s="694"/>
      <c r="X2" s="694"/>
      <c r="Y2" s="694"/>
      <c r="Z2" s="694"/>
      <c r="AA2" s="317"/>
      <c r="AB2" s="694"/>
      <c r="AC2" s="604"/>
      <c r="AD2" s="604"/>
      <c r="AE2" s="604"/>
    </row>
    <row r="3" spans="1:32" ht="15.6">
      <c r="A3" s="290" t="s">
        <v>1828</v>
      </c>
      <c r="B3" s="604"/>
      <c r="C3" s="604"/>
      <c r="D3" s="604"/>
      <c r="E3" s="604"/>
      <c r="F3" s="488"/>
      <c r="G3" s="488"/>
      <c r="H3" s="488"/>
      <c r="I3" s="488"/>
      <c r="J3" s="488"/>
      <c r="K3" s="488"/>
      <c r="L3" s="488"/>
      <c r="M3" s="488"/>
      <c r="N3" s="488"/>
      <c r="O3" s="488"/>
      <c r="P3" s="488"/>
      <c r="Q3" s="488"/>
      <c r="R3" s="488"/>
      <c r="S3" s="317"/>
      <c r="T3" s="604"/>
      <c r="U3" s="317"/>
      <c r="V3" s="694"/>
      <c r="W3" s="694"/>
      <c r="X3" s="694"/>
      <c r="Y3" s="694"/>
      <c r="Z3" s="694"/>
      <c r="AA3" s="317"/>
      <c r="AB3" s="694"/>
      <c r="AC3" s="604"/>
      <c r="AD3" s="604"/>
      <c r="AE3" s="604"/>
    </row>
    <row r="4" spans="1:32" ht="15.6">
      <c r="A4" s="290"/>
      <c r="B4" s="604"/>
      <c r="C4" s="604"/>
      <c r="D4" s="604"/>
      <c r="E4" s="604"/>
      <c r="F4" s="488"/>
      <c r="G4" s="488"/>
      <c r="H4" s="488"/>
      <c r="I4" s="488"/>
      <c r="J4" s="488"/>
      <c r="K4" s="488"/>
      <c r="L4" s="488"/>
      <c r="M4" s="488"/>
      <c r="N4" s="488"/>
      <c r="O4" s="488"/>
      <c r="P4" s="488"/>
      <c r="Q4" s="488"/>
      <c r="R4" s="488"/>
      <c r="S4" s="317"/>
      <c r="T4" s="604"/>
      <c r="U4" s="317"/>
      <c r="V4" s="694"/>
      <c r="W4" s="694"/>
      <c r="X4" s="694"/>
      <c r="Y4" s="694"/>
      <c r="Z4" s="694"/>
      <c r="AA4" s="317"/>
      <c r="AB4" s="694"/>
      <c r="AC4" s="604"/>
      <c r="AD4" s="604"/>
      <c r="AE4" s="604"/>
    </row>
    <row r="5" spans="1:32">
      <c r="A5" s="604"/>
      <c r="B5" s="604"/>
      <c r="C5" s="604"/>
      <c r="D5" s="604"/>
      <c r="E5" s="604"/>
      <c r="F5" s="488" t="s">
        <v>1305</v>
      </c>
      <c r="G5" s="488" t="s">
        <v>1827</v>
      </c>
      <c r="H5" s="488" t="s">
        <v>1827</v>
      </c>
      <c r="I5" s="488" t="s">
        <v>1827</v>
      </c>
      <c r="J5" s="488" t="s">
        <v>1827</v>
      </c>
      <c r="K5" s="488" t="s">
        <v>1827</v>
      </c>
      <c r="L5" s="488" t="s">
        <v>1827</v>
      </c>
      <c r="M5" s="488" t="s">
        <v>1827</v>
      </c>
      <c r="N5" s="488" t="s">
        <v>1827</v>
      </c>
      <c r="O5" s="488" t="s">
        <v>1827</v>
      </c>
      <c r="P5" s="488" t="s">
        <v>1827</v>
      </c>
      <c r="Q5" s="488" t="s">
        <v>1827</v>
      </c>
      <c r="R5" s="488" t="s">
        <v>1827</v>
      </c>
      <c r="S5" s="317"/>
      <c r="T5" s="604"/>
      <c r="U5" s="317"/>
      <c r="V5" s="694"/>
      <c r="W5" s="694"/>
      <c r="X5" s="694"/>
      <c r="Y5" s="694"/>
      <c r="Z5" s="694"/>
      <c r="AA5" s="317"/>
      <c r="AB5" s="694"/>
      <c r="AC5" s="604"/>
      <c r="AD5" s="604"/>
      <c r="AE5" s="604"/>
    </row>
    <row r="6" spans="1:32">
      <c r="A6" s="604"/>
      <c r="B6" s="604"/>
      <c r="C6" s="604"/>
      <c r="D6" s="604"/>
      <c r="E6" s="604"/>
      <c r="F6" s="488" t="s">
        <v>942</v>
      </c>
      <c r="G6" s="488" t="s">
        <v>942</v>
      </c>
      <c r="H6" s="488" t="s">
        <v>942</v>
      </c>
      <c r="I6" s="488" t="s">
        <v>942</v>
      </c>
      <c r="J6" s="488" t="s">
        <v>942</v>
      </c>
      <c r="K6" s="488" t="s">
        <v>942</v>
      </c>
      <c r="L6" s="488" t="s">
        <v>942</v>
      </c>
      <c r="M6" s="488" t="s">
        <v>942</v>
      </c>
      <c r="N6" s="488" t="s">
        <v>942</v>
      </c>
      <c r="O6" s="488" t="s">
        <v>942</v>
      </c>
      <c r="P6" s="488" t="s">
        <v>942</v>
      </c>
      <c r="Q6" s="488" t="s">
        <v>942</v>
      </c>
      <c r="R6" s="488" t="s">
        <v>942</v>
      </c>
      <c r="S6" s="317"/>
      <c r="T6" s="604"/>
      <c r="U6" s="317"/>
      <c r="V6" s="678"/>
      <c r="W6" s="694"/>
      <c r="X6" s="694"/>
      <c r="Y6" s="694" t="s">
        <v>1083</v>
      </c>
      <c r="Z6" s="694"/>
      <c r="AA6" s="317"/>
      <c r="AB6" s="694"/>
      <c r="AC6" s="604"/>
      <c r="AD6" s="604"/>
      <c r="AE6" s="604"/>
    </row>
    <row r="7" spans="1:32">
      <c r="A7" s="604"/>
      <c r="B7" s="604"/>
      <c r="C7" s="604"/>
      <c r="D7" s="604"/>
      <c r="E7" s="604"/>
      <c r="F7" s="488" t="s">
        <v>1084</v>
      </c>
      <c r="G7" s="488" t="s">
        <v>1084</v>
      </c>
      <c r="H7" s="488" t="s">
        <v>1084</v>
      </c>
      <c r="I7" s="488" t="s">
        <v>1084</v>
      </c>
      <c r="J7" s="488" t="s">
        <v>1084</v>
      </c>
      <c r="K7" s="488" t="s">
        <v>1084</v>
      </c>
      <c r="L7" s="488" t="s">
        <v>1084</v>
      </c>
      <c r="M7" s="488" t="s">
        <v>1084</v>
      </c>
      <c r="N7" s="488" t="s">
        <v>1084</v>
      </c>
      <c r="O7" s="488" t="s">
        <v>1084</v>
      </c>
      <c r="P7" s="488" t="s">
        <v>1084</v>
      </c>
      <c r="Q7" s="488" t="s">
        <v>1084</v>
      </c>
      <c r="R7" s="488" t="s">
        <v>1084</v>
      </c>
      <c r="S7" s="317"/>
      <c r="T7" s="604"/>
      <c r="U7" s="317"/>
      <c r="V7" s="678"/>
      <c r="W7" s="694"/>
      <c r="X7" s="694"/>
      <c r="Y7" s="694" t="s">
        <v>93</v>
      </c>
      <c r="Z7" s="678">
        <f>+'State Allocation Formulas'!C21</f>
        <v>0.75170000000000003</v>
      </c>
      <c r="AA7" s="317"/>
      <c r="AB7" s="694"/>
      <c r="AC7" s="604"/>
      <c r="AD7" s="604"/>
      <c r="AE7" s="604"/>
    </row>
    <row r="8" spans="1:32">
      <c r="A8" s="604"/>
      <c r="B8" s="604"/>
      <c r="C8" s="604"/>
      <c r="D8" s="604"/>
      <c r="E8" s="291"/>
      <c r="F8" s="489" t="s">
        <v>460</v>
      </c>
      <c r="G8" s="489" t="s">
        <v>515</v>
      </c>
      <c r="H8" s="489" t="s">
        <v>549</v>
      </c>
      <c r="I8" s="489" t="s">
        <v>550</v>
      </c>
      <c r="J8" s="489" t="s">
        <v>943</v>
      </c>
      <c r="K8" s="489" t="s">
        <v>944</v>
      </c>
      <c r="L8" s="489" t="s">
        <v>945</v>
      </c>
      <c r="M8" s="489" t="s">
        <v>946</v>
      </c>
      <c r="N8" s="489" t="s">
        <v>376</v>
      </c>
      <c r="O8" s="489" t="s">
        <v>947</v>
      </c>
      <c r="P8" s="489" t="s">
        <v>948</v>
      </c>
      <c r="Q8" s="489" t="s">
        <v>949</v>
      </c>
      <c r="R8" s="489" t="s">
        <v>460</v>
      </c>
      <c r="S8" s="317"/>
      <c r="T8" s="604"/>
      <c r="U8" s="317"/>
      <c r="V8" s="694"/>
      <c r="W8" s="694"/>
      <c r="X8" s="694"/>
      <c r="Y8" s="694" t="s">
        <v>70</v>
      </c>
      <c r="Z8" s="678">
        <f>+'State Allocation Formulas'!D21</f>
        <v>0.24829999999999999</v>
      </c>
      <c r="AA8" s="317"/>
      <c r="AB8" s="694"/>
      <c r="AC8" s="604"/>
      <c r="AD8" s="604"/>
      <c r="AE8" s="604"/>
    </row>
    <row r="9" spans="1:32">
      <c r="A9" s="604"/>
      <c r="B9" s="604"/>
      <c r="C9" s="604"/>
      <c r="D9" s="604"/>
      <c r="E9" s="291"/>
      <c r="F9" s="488" t="s">
        <v>712</v>
      </c>
      <c r="G9" s="488" t="s">
        <v>712</v>
      </c>
      <c r="H9" s="488" t="s">
        <v>712</v>
      </c>
      <c r="I9" s="488" t="s">
        <v>712</v>
      </c>
      <c r="J9" s="488" t="s">
        <v>712</v>
      </c>
      <c r="K9" s="488" t="s">
        <v>712</v>
      </c>
      <c r="L9" s="488" t="s">
        <v>712</v>
      </c>
      <c r="M9" s="488" t="s">
        <v>712</v>
      </c>
      <c r="N9" s="488" t="s">
        <v>712</v>
      </c>
      <c r="O9" s="488" t="s">
        <v>712</v>
      </c>
      <c r="P9" s="488" t="s">
        <v>712</v>
      </c>
      <c r="Q9" s="488" t="s">
        <v>712</v>
      </c>
      <c r="R9" s="488" t="s">
        <v>712</v>
      </c>
      <c r="S9" s="317"/>
      <c r="T9" s="604"/>
      <c r="U9" s="317"/>
      <c r="V9" s="694"/>
      <c r="W9" s="694"/>
      <c r="X9" s="694"/>
      <c r="Y9" s="694"/>
      <c r="Z9" s="694"/>
      <c r="AA9" s="317"/>
      <c r="AB9" s="694"/>
      <c r="AC9" s="604"/>
      <c r="AD9" s="604"/>
      <c r="AE9" s="604"/>
    </row>
    <row r="10" spans="1:32">
      <c r="A10" s="604"/>
      <c r="B10" s="604"/>
      <c r="C10" s="604"/>
      <c r="D10" s="604"/>
      <c r="E10" s="291"/>
      <c r="F10" s="488" t="s">
        <v>741</v>
      </c>
      <c r="G10" s="488" t="s">
        <v>741</v>
      </c>
      <c r="H10" s="488" t="s">
        <v>741</v>
      </c>
      <c r="I10" s="488" t="s">
        <v>741</v>
      </c>
      <c r="J10" s="488" t="s">
        <v>741</v>
      </c>
      <c r="K10" s="488" t="s">
        <v>741</v>
      </c>
      <c r="L10" s="488" t="s">
        <v>741</v>
      </c>
      <c r="M10" s="488" t="s">
        <v>741</v>
      </c>
      <c r="N10" s="488" t="s">
        <v>741</v>
      </c>
      <c r="O10" s="488" t="s">
        <v>741</v>
      </c>
      <c r="P10" s="488" t="s">
        <v>741</v>
      </c>
      <c r="Q10" s="488" t="s">
        <v>741</v>
      </c>
      <c r="R10" s="488" t="s">
        <v>741</v>
      </c>
      <c r="S10" s="317"/>
      <c r="T10" s="604"/>
      <c r="U10" s="317"/>
      <c r="V10" s="694"/>
      <c r="W10" s="694"/>
      <c r="X10" s="694"/>
      <c r="Y10" s="694"/>
      <c r="Z10" s="694"/>
      <c r="AA10" s="317"/>
      <c r="AB10" s="694"/>
      <c r="AC10" s="604"/>
      <c r="AD10" s="604"/>
      <c r="AE10" s="604"/>
    </row>
    <row r="11" spans="1:32">
      <c r="A11" s="604"/>
      <c r="B11" s="1956" t="s">
        <v>1085</v>
      </c>
      <c r="C11" s="490"/>
      <c r="D11" s="1956" t="s">
        <v>1086</v>
      </c>
      <c r="E11" s="604"/>
      <c r="F11" s="604"/>
      <c r="G11" s="604"/>
      <c r="H11" s="604"/>
      <c r="I11" s="604"/>
      <c r="J11" s="604"/>
      <c r="K11" s="604"/>
      <c r="L11" s="604"/>
      <c r="M11" s="604"/>
      <c r="N11" s="604"/>
      <c r="O11" s="604"/>
      <c r="P11" s="604"/>
      <c r="Q11" s="604"/>
      <c r="R11" s="604"/>
      <c r="S11" s="317"/>
      <c r="T11" s="604"/>
      <c r="U11" s="317"/>
      <c r="V11" s="694"/>
      <c r="W11" s="694"/>
      <c r="X11" s="694"/>
      <c r="Y11" s="695" t="s">
        <v>1087</v>
      </c>
      <c r="Z11" s="696"/>
      <c r="AA11" s="697"/>
      <c r="AB11" s="694"/>
      <c r="AC11" s="604"/>
      <c r="AD11" s="604"/>
      <c r="AE11" s="604"/>
    </row>
    <row r="12" spans="1:32">
      <c r="A12" s="491" t="s">
        <v>1088</v>
      </c>
      <c r="B12" s="1956"/>
      <c r="C12" s="490" t="s">
        <v>768</v>
      </c>
      <c r="D12" s="1956"/>
      <c r="E12" s="604"/>
      <c r="F12" s="604"/>
      <c r="G12" s="604"/>
      <c r="H12" s="604"/>
      <c r="I12" s="604"/>
      <c r="J12" s="604"/>
      <c r="K12" s="604"/>
      <c r="L12" s="604"/>
      <c r="M12" s="604"/>
      <c r="N12" s="604"/>
      <c r="O12" s="604"/>
      <c r="P12" s="604"/>
      <c r="Q12" s="604"/>
      <c r="R12" s="604"/>
      <c r="S12" s="317"/>
      <c r="T12" s="604"/>
      <c r="U12" s="698" t="s">
        <v>1089</v>
      </c>
      <c r="V12" s="699" t="s">
        <v>1089</v>
      </c>
      <c r="W12" s="699" t="s">
        <v>365</v>
      </c>
      <c r="X12" s="699" t="s">
        <v>51</v>
      </c>
      <c r="Y12" s="694"/>
      <c r="Z12" s="694"/>
      <c r="AA12" s="317"/>
      <c r="AB12" s="694"/>
      <c r="AC12" s="604"/>
      <c r="AD12" s="604"/>
      <c r="AE12" s="604"/>
    </row>
    <row r="13" spans="1:32">
      <c r="A13" s="491" t="s">
        <v>1090</v>
      </c>
      <c r="B13" s="490" t="s">
        <v>1091</v>
      </c>
      <c r="C13" s="490" t="s">
        <v>1090</v>
      </c>
      <c r="D13" s="490" t="s">
        <v>768</v>
      </c>
      <c r="E13" s="604"/>
      <c r="F13" s="292" t="s">
        <v>1375</v>
      </c>
      <c r="G13" s="492" t="s">
        <v>1929</v>
      </c>
      <c r="H13" s="292" t="s">
        <v>1930</v>
      </c>
      <c r="I13" s="292" t="s">
        <v>1931</v>
      </c>
      <c r="J13" s="292" t="s">
        <v>1932</v>
      </c>
      <c r="K13" s="292" t="s">
        <v>1933</v>
      </c>
      <c r="L13" s="292" t="s">
        <v>1934</v>
      </c>
      <c r="M13" s="292" t="s">
        <v>1935</v>
      </c>
      <c r="N13" s="292" t="s">
        <v>1936</v>
      </c>
      <c r="O13" s="292" t="s">
        <v>1937</v>
      </c>
      <c r="P13" s="292" t="s">
        <v>1938</v>
      </c>
      <c r="Q13" s="292" t="s">
        <v>1939</v>
      </c>
      <c r="R13" s="292" t="s">
        <v>1940</v>
      </c>
      <c r="S13" s="293" t="s">
        <v>797</v>
      </c>
      <c r="T13" s="604"/>
      <c r="U13" s="698" t="s">
        <v>1092</v>
      </c>
      <c r="V13" s="699" t="s">
        <v>1093</v>
      </c>
      <c r="W13" s="699" t="s">
        <v>366</v>
      </c>
      <c r="X13" s="699" t="s">
        <v>367</v>
      </c>
      <c r="Y13" s="699" t="s">
        <v>359</v>
      </c>
      <c r="Z13" s="699" t="s">
        <v>721</v>
      </c>
      <c r="AA13" s="698" t="s">
        <v>1094</v>
      </c>
      <c r="AB13" s="699" t="s">
        <v>1095</v>
      </c>
      <c r="AC13" s="604" t="s">
        <v>358</v>
      </c>
      <c r="AD13" s="604" t="s">
        <v>1096</v>
      </c>
      <c r="AE13" s="604"/>
    </row>
    <row r="14" spans="1:32">
      <c r="A14" s="491"/>
      <c r="B14" s="490"/>
      <c r="C14" s="490"/>
      <c r="D14" s="490"/>
      <c r="E14" s="604"/>
      <c r="F14" s="332"/>
      <c r="G14" s="493"/>
      <c r="H14" s="332"/>
      <c r="I14" s="332"/>
      <c r="J14" s="332"/>
      <c r="K14" s="332"/>
      <c r="L14" s="332"/>
      <c r="M14" s="332"/>
      <c r="N14" s="332"/>
      <c r="O14" s="332"/>
      <c r="P14" s="332"/>
      <c r="Q14" s="332"/>
      <c r="R14" s="332"/>
      <c r="S14" s="333" t="s">
        <v>97</v>
      </c>
      <c r="T14" s="604"/>
      <c r="U14" s="700" t="s">
        <v>98</v>
      </c>
      <c r="V14" s="701" t="s">
        <v>1097</v>
      </c>
      <c r="W14" s="701" t="s">
        <v>1098</v>
      </c>
      <c r="X14" s="701" t="s">
        <v>1099</v>
      </c>
      <c r="Y14" s="701" t="s">
        <v>1100</v>
      </c>
      <c r="Z14" s="701" t="s">
        <v>1101</v>
      </c>
      <c r="AA14" s="700"/>
      <c r="AB14" s="701" t="s">
        <v>1102</v>
      </c>
      <c r="AC14" s="643"/>
      <c r="AD14" s="643"/>
      <c r="AE14" s="643"/>
    </row>
    <row r="15" spans="1:32">
      <c r="A15" s="604">
        <v>1</v>
      </c>
      <c r="B15" s="316" t="s">
        <v>956</v>
      </c>
      <c r="C15" s="316" t="s">
        <v>368</v>
      </c>
      <c r="D15" s="604" t="s">
        <v>369</v>
      </c>
      <c r="E15" s="602" t="s">
        <v>370</v>
      </c>
      <c r="F15" s="603">
        <v>1054152346.6799999</v>
      </c>
      <c r="G15" s="603">
        <v>1055924116.6</v>
      </c>
      <c r="H15" s="603">
        <v>1057151346.5</v>
      </c>
      <c r="I15" s="603">
        <v>1056996938.39</v>
      </c>
      <c r="J15" s="603">
        <v>1057817061.09</v>
      </c>
      <c r="K15" s="603">
        <v>1061184611.87</v>
      </c>
      <c r="L15" s="603">
        <v>1061776905.48</v>
      </c>
      <c r="M15" s="603">
        <v>1059049576.8</v>
      </c>
      <c r="N15" s="603">
        <v>1061962190.64</v>
      </c>
      <c r="O15" s="603">
        <v>1063685158.17</v>
      </c>
      <c r="P15" s="603">
        <v>1067686772.83</v>
      </c>
      <c r="Q15" s="603">
        <v>1048741854.72</v>
      </c>
      <c r="R15" s="603">
        <v>1079798325.22</v>
      </c>
      <c r="S15" s="484">
        <f>((F15+R15)+((G15+H15+I15+J15+K15+L15+M15+N15+O15+P15+Q15)*2))/24</f>
        <v>1059912655.7533334</v>
      </c>
      <c r="T15" s="604"/>
      <c r="U15" s="642"/>
      <c r="V15" s="679"/>
      <c r="W15" s="679"/>
      <c r="X15" s="702">
        <f>+S15</f>
        <v>1059912655.7533334</v>
      </c>
      <c r="Y15" s="679">
        <f>+X15*Z7</f>
        <v>796736343.32978082</v>
      </c>
      <c r="Z15" s="679">
        <f>+X15*Z8</f>
        <v>263176312.42355269</v>
      </c>
      <c r="AA15" s="642"/>
      <c r="AB15" s="679"/>
      <c r="AC15" s="643"/>
      <c r="AD15" s="643"/>
      <c r="AE15" s="643" t="s">
        <v>1420</v>
      </c>
      <c r="AF15" s="677">
        <f t="shared" ref="AF15:AF85" si="0">+U15+V15-AD15</f>
        <v>0</v>
      </c>
    </row>
    <row r="16" spans="1:32">
      <c r="A16" s="604">
        <v>2</v>
      </c>
      <c r="B16" s="316" t="s">
        <v>956</v>
      </c>
      <c r="C16" s="316" t="s">
        <v>368</v>
      </c>
      <c r="D16" s="604">
        <v>20</v>
      </c>
      <c r="E16" s="602" t="s">
        <v>1829</v>
      </c>
      <c r="F16" s="603">
        <v>0</v>
      </c>
      <c r="G16" s="603">
        <v>0</v>
      </c>
      <c r="H16" s="603">
        <v>0</v>
      </c>
      <c r="I16" s="603">
        <v>0</v>
      </c>
      <c r="J16" s="603">
        <v>0</v>
      </c>
      <c r="K16" s="603">
        <v>0</v>
      </c>
      <c r="L16" s="603">
        <v>0</v>
      </c>
      <c r="M16" s="603">
        <v>0</v>
      </c>
      <c r="N16" s="603">
        <v>0</v>
      </c>
      <c r="O16" s="603">
        <v>0</v>
      </c>
      <c r="P16" s="603">
        <v>0</v>
      </c>
      <c r="Q16" s="603">
        <v>0</v>
      </c>
      <c r="R16" s="603">
        <v>0</v>
      </c>
      <c r="S16" s="484">
        <f>((F16+R16)+((G16+H16+I16+J16+K16+L16+M16+N16+O16+P16+Q16)*2))/24</f>
        <v>0</v>
      </c>
      <c r="T16" s="604"/>
      <c r="U16" s="642"/>
      <c r="V16" s="679"/>
      <c r="W16" s="679"/>
      <c r="X16" s="702"/>
      <c r="Y16" s="679"/>
      <c r="Z16" s="679"/>
      <c r="AA16" s="642"/>
      <c r="AB16" s="679"/>
      <c r="AC16" s="643"/>
      <c r="AD16" s="643"/>
      <c r="AE16" s="643"/>
      <c r="AF16" s="677"/>
    </row>
    <row r="17" spans="1:32">
      <c r="A17" s="604">
        <v>3</v>
      </c>
      <c r="B17" s="316" t="s">
        <v>956</v>
      </c>
      <c r="C17" s="676">
        <v>1014</v>
      </c>
      <c r="D17" s="604"/>
      <c r="E17" s="602" t="s">
        <v>1830</v>
      </c>
      <c r="F17" s="603">
        <v>0</v>
      </c>
      <c r="G17" s="603">
        <v>0</v>
      </c>
      <c r="H17" s="603">
        <v>0</v>
      </c>
      <c r="I17" s="603">
        <v>0</v>
      </c>
      <c r="J17" s="603">
        <v>0</v>
      </c>
      <c r="K17" s="603">
        <v>0</v>
      </c>
      <c r="L17" s="603">
        <v>0</v>
      </c>
      <c r="M17" s="603">
        <v>0</v>
      </c>
      <c r="N17" s="603">
        <v>0</v>
      </c>
      <c r="O17" s="603">
        <v>0</v>
      </c>
      <c r="P17" s="603">
        <v>0</v>
      </c>
      <c r="Q17" s="603">
        <v>22184758.190000001</v>
      </c>
      <c r="R17" s="603">
        <v>26337831.030000001</v>
      </c>
      <c r="S17" s="484">
        <f>((F17+R17)+((G17+H17+I17+J17+K17+L17+M17+N17+O17+P17+Q17)*2))/24</f>
        <v>2946139.4754166664</v>
      </c>
      <c r="T17" s="604"/>
      <c r="U17" s="642"/>
      <c r="V17" s="679"/>
      <c r="W17" s="679"/>
      <c r="X17" s="702">
        <f>+S17</f>
        <v>2946139.4754166664</v>
      </c>
      <c r="Y17" s="679">
        <f>+X17*Z7</f>
        <v>2214613.0436707083</v>
      </c>
      <c r="Z17" s="679">
        <f>+X17*Z8</f>
        <v>731526.43174595828</v>
      </c>
      <c r="AA17" s="642"/>
      <c r="AB17" s="679"/>
      <c r="AC17" s="643"/>
      <c r="AD17" s="643"/>
      <c r="AE17" s="643"/>
      <c r="AF17" s="677"/>
    </row>
    <row r="18" spans="1:32">
      <c r="A18" s="604">
        <v>4</v>
      </c>
      <c r="B18" s="316" t="s">
        <v>956</v>
      </c>
      <c r="C18" s="316" t="s">
        <v>371</v>
      </c>
      <c r="D18" s="604" t="s">
        <v>369</v>
      </c>
      <c r="E18" s="602" t="s">
        <v>372</v>
      </c>
      <c r="F18" s="603">
        <v>23074397.219999999</v>
      </c>
      <c r="G18" s="603">
        <v>25636100.859999999</v>
      </c>
      <c r="H18" s="603">
        <v>26460002.859999999</v>
      </c>
      <c r="I18" s="603">
        <v>30259467.850000001</v>
      </c>
      <c r="J18" s="603">
        <v>35060804.75</v>
      </c>
      <c r="K18" s="603">
        <v>36694345.130000003</v>
      </c>
      <c r="L18" s="603">
        <v>43280496.119999997</v>
      </c>
      <c r="M18" s="603">
        <v>46425665.93</v>
      </c>
      <c r="N18" s="603">
        <v>47962396.149999999</v>
      </c>
      <c r="O18" s="603">
        <v>53217186.020000003</v>
      </c>
      <c r="P18" s="603">
        <v>58768625.030000001</v>
      </c>
      <c r="Q18" s="603">
        <v>61542284.5</v>
      </c>
      <c r="R18" s="603">
        <v>42079945.729999997</v>
      </c>
      <c r="S18" s="484">
        <f>((F18+R18)+((G18+H18+I18+J18+K18+L18+M18+N18+O18+P18+Q18)*2))/24</f>
        <v>41490378.889583327</v>
      </c>
      <c r="T18" s="604"/>
      <c r="U18" s="642"/>
      <c r="V18" s="679"/>
      <c r="W18" s="679"/>
      <c r="X18" s="702">
        <f>+S18</f>
        <v>41490378.889583327</v>
      </c>
      <c r="Y18" s="679">
        <f>+X18*Z7</f>
        <v>31188317.81129979</v>
      </c>
      <c r="Z18" s="679">
        <f>+X18*Z8</f>
        <v>10302061.078283539</v>
      </c>
      <c r="AA18" s="642"/>
      <c r="AB18" s="679"/>
      <c r="AC18" s="643"/>
      <c r="AD18" s="643"/>
      <c r="AE18" s="643"/>
      <c r="AF18" s="677">
        <f t="shared" si="0"/>
        <v>0</v>
      </c>
    </row>
    <row r="19" spans="1:32">
      <c r="A19" s="604">
        <v>5</v>
      </c>
      <c r="B19" s="316" t="s">
        <v>956</v>
      </c>
      <c r="C19" s="316" t="s">
        <v>1831</v>
      </c>
      <c r="D19" s="316" t="s">
        <v>369</v>
      </c>
      <c r="E19" s="602" t="s">
        <v>373</v>
      </c>
      <c r="F19" s="603">
        <v>12854207.49</v>
      </c>
      <c r="G19" s="603">
        <v>13819507.289999999</v>
      </c>
      <c r="H19" s="603">
        <v>13773216.529999999</v>
      </c>
      <c r="I19" s="603">
        <v>15102320.949999999</v>
      </c>
      <c r="J19" s="603">
        <v>15365374.09</v>
      </c>
      <c r="K19" s="603">
        <v>17755694.91</v>
      </c>
      <c r="L19" s="603">
        <v>18176560.02</v>
      </c>
      <c r="M19" s="603">
        <v>24545725.66</v>
      </c>
      <c r="N19" s="603">
        <v>29893359.829999998</v>
      </c>
      <c r="O19" s="603">
        <v>28173698.039999999</v>
      </c>
      <c r="P19" s="603">
        <v>30659061.289999999</v>
      </c>
      <c r="Q19" s="603">
        <v>35235497.299999997</v>
      </c>
      <c r="R19" s="603">
        <v>31106071.859999999</v>
      </c>
      <c r="S19" s="484">
        <f>((F19+R19)+((G19+H19+I19+J19+K19+L19+M19+N19+O19+P19+Q19)*2))/24</f>
        <v>22040012.965416666</v>
      </c>
      <c r="T19" s="604"/>
      <c r="U19" s="642"/>
      <c r="V19" s="679"/>
      <c r="W19" s="679"/>
      <c r="X19" s="702">
        <f>+S19</f>
        <v>22040012.965416666</v>
      </c>
      <c r="Y19" s="679"/>
      <c r="Z19" s="679"/>
      <c r="AA19" s="642"/>
      <c r="AB19" s="679">
        <f>+S19</f>
        <v>22040012.965416666</v>
      </c>
      <c r="AC19" s="643"/>
      <c r="AD19" s="643"/>
      <c r="AE19" s="643"/>
      <c r="AF19" s="677">
        <f t="shared" si="0"/>
        <v>0</v>
      </c>
    </row>
    <row r="20" spans="1:32">
      <c r="A20" s="604">
        <v>6</v>
      </c>
      <c r="B20" s="604"/>
      <c r="C20" s="604"/>
      <c r="D20" s="604"/>
      <c r="E20" s="602" t="s">
        <v>374</v>
      </c>
      <c r="F20" s="295">
        <f t="shared" ref="F20:S20" si="1">SUM(F15:F19)</f>
        <v>1090080951.3899999</v>
      </c>
      <c r="G20" s="295">
        <f t="shared" si="1"/>
        <v>1095379724.75</v>
      </c>
      <c r="H20" s="295">
        <f t="shared" si="1"/>
        <v>1097384565.8899999</v>
      </c>
      <c r="I20" s="295">
        <f t="shared" si="1"/>
        <v>1102358727.1900001</v>
      </c>
      <c r="J20" s="295">
        <f t="shared" si="1"/>
        <v>1108243239.9300001</v>
      </c>
      <c r="K20" s="295">
        <f t="shared" si="1"/>
        <v>1115634651.9100001</v>
      </c>
      <c r="L20" s="295">
        <f t="shared" si="1"/>
        <v>1123233961.6199999</v>
      </c>
      <c r="M20" s="295">
        <f t="shared" si="1"/>
        <v>1130020968.3900001</v>
      </c>
      <c r="N20" s="295">
        <f t="shared" si="1"/>
        <v>1139817946.6199999</v>
      </c>
      <c r="O20" s="295">
        <f t="shared" si="1"/>
        <v>1145076042.23</v>
      </c>
      <c r="P20" s="295">
        <f t="shared" si="1"/>
        <v>1157114459.1500001</v>
      </c>
      <c r="Q20" s="295">
        <f t="shared" si="1"/>
        <v>1167704394.71</v>
      </c>
      <c r="R20" s="295">
        <f t="shared" si="1"/>
        <v>1179322173.8399999</v>
      </c>
      <c r="S20" s="486">
        <f t="shared" si="1"/>
        <v>1126389187.08375</v>
      </c>
      <c r="T20" s="604"/>
      <c r="U20" s="642"/>
      <c r="V20" s="679"/>
      <c r="W20" s="679"/>
      <c r="X20" s="702"/>
      <c r="Y20" s="679"/>
      <c r="Z20" s="679"/>
      <c r="AA20" s="642"/>
      <c r="AB20" s="679"/>
      <c r="AC20" s="643"/>
      <c r="AD20" s="643"/>
      <c r="AE20" s="643"/>
      <c r="AF20" s="677">
        <f t="shared" si="0"/>
        <v>0</v>
      </c>
    </row>
    <row r="21" spans="1:32">
      <c r="A21" s="604">
        <v>7</v>
      </c>
      <c r="B21" s="604"/>
      <c r="C21" s="604"/>
      <c r="D21" s="604"/>
      <c r="E21" s="602"/>
      <c r="F21" s="296"/>
      <c r="G21" s="494"/>
      <c r="H21" s="594"/>
      <c r="I21" s="594"/>
      <c r="J21" s="297"/>
      <c r="K21" s="598"/>
      <c r="L21" s="298"/>
      <c r="M21" s="299"/>
      <c r="N21" s="300"/>
      <c r="O21" s="301"/>
      <c r="P21" s="302"/>
      <c r="Q21" s="495"/>
      <c r="R21" s="296"/>
      <c r="S21" s="294"/>
      <c r="T21" s="604"/>
      <c r="U21" s="642"/>
      <c r="V21" s="679"/>
      <c r="W21" s="679"/>
      <c r="X21" s="702"/>
      <c r="Y21" s="679"/>
      <c r="Z21" s="679"/>
      <c r="AA21" s="642"/>
      <c r="AB21" s="679"/>
      <c r="AC21" s="643"/>
      <c r="AD21" s="643"/>
      <c r="AE21" s="643"/>
      <c r="AF21" s="677">
        <f t="shared" si="0"/>
        <v>0</v>
      </c>
    </row>
    <row r="22" spans="1:32">
      <c r="A22" s="604">
        <v>8</v>
      </c>
      <c r="B22" s="316" t="s">
        <v>956</v>
      </c>
      <c r="C22" s="316" t="s">
        <v>375</v>
      </c>
      <c r="D22" s="316" t="s">
        <v>376</v>
      </c>
      <c r="E22" s="590" t="s">
        <v>377</v>
      </c>
      <c r="F22" s="603">
        <v>205126.12</v>
      </c>
      <c r="G22" s="603">
        <v>104875.47</v>
      </c>
      <c r="H22" s="603">
        <v>1319478.07</v>
      </c>
      <c r="I22" s="603">
        <v>1339118.55</v>
      </c>
      <c r="J22" s="603">
        <v>1543414.16</v>
      </c>
      <c r="K22" s="603">
        <v>1621814.41</v>
      </c>
      <c r="L22" s="603">
        <v>1714099.23</v>
      </c>
      <c r="M22" s="603">
        <v>1785987.33</v>
      </c>
      <c r="N22" s="603">
        <v>1115790.24</v>
      </c>
      <c r="O22" s="603">
        <v>2019796.58</v>
      </c>
      <c r="P22" s="603">
        <v>2301942.16</v>
      </c>
      <c r="Q22" s="603">
        <v>1860887.28</v>
      </c>
      <c r="R22" s="603">
        <v>4047450.78</v>
      </c>
      <c r="S22" s="484">
        <f t="shared" ref="S22:S27" si="2">((F22+R22)+((G22+H22+I22+J22+K22+L22+M22+N22+O22+P22+Q22)*2))/24</f>
        <v>1571124.3274999999</v>
      </c>
      <c r="T22" s="604"/>
      <c r="U22" s="642"/>
      <c r="V22" s="679"/>
      <c r="W22" s="679"/>
      <c r="X22" s="702">
        <f>+S22</f>
        <v>1571124.3274999999</v>
      </c>
      <c r="Y22" s="679">
        <f>+X22*Z7</f>
        <v>1181014.1569817499</v>
      </c>
      <c r="Z22" s="679">
        <f>+X22*Z8</f>
        <v>390110.17051824997</v>
      </c>
      <c r="AA22" s="642"/>
      <c r="AB22" s="679"/>
      <c r="AC22" s="643"/>
      <c r="AD22" s="643"/>
      <c r="AE22" s="643"/>
      <c r="AF22" s="677">
        <f t="shared" si="0"/>
        <v>0</v>
      </c>
    </row>
    <row r="23" spans="1:32">
      <c r="A23" s="604">
        <v>9</v>
      </c>
      <c r="B23" s="316" t="s">
        <v>956</v>
      </c>
      <c r="C23" s="316" t="s">
        <v>375</v>
      </c>
      <c r="D23" s="316"/>
      <c r="E23" s="602" t="s">
        <v>378</v>
      </c>
      <c r="F23" s="603">
        <v>-333307309.50999999</v>
      </c>
      <c r="G23" s="603">
        <v>-334784379.86000001</v>
      </c>
      <c r="H23" s="603">
        <v>-336111297.52999997</v>
      </c>
      <c r="I23" s="603">
        <v>-337593470.36000001</v>
      </c>
      <c r="J23" s="603">
        <v>-339115841.30000001</v>
      </c>
      <c r="K23" s="603">
        <v>-340567118.13999999</v>
      </c>
      <c r="L23" s="603">
        <v>-342228662.63999999</v>
      </c>
      <c r="M23" s="603">
        <v>-339697837.17000002</v>
      </c>
      <c r="N23" s="603">
        <v>-341480619.95999998</v>
      </c>
      <c r="O23" s="603">
        <v>-343008173.07999998</v>
      </c>
      <c r="P23" s="603">
        <v>-344743995.41000003</v>
      </c>
      <c r="Q23" s="603">
        <v>-341591960.01999998</v>
      </c>
      <c r="R23" s="603">
        <v>-341582191.66000003</v>
      </c>
      <c r="S23" s="484">
        <f t="shared" si="2"/>
        <v>-339864008.83791667</v>
      </c>
      <c r="T23" s="604"/>
      <c r="U23" s="642"/>
      <c r="V23" s="679"/>
      <c r="W23" s="679"/>
      <c r="X23" s="702"/>
      <c r="Y23" s="679"/>
      <c r="Z23" s="679"/>
      <c r="AA23" s="642"/>
      <c r="AB23" s="679"/>
      <c r="AC23" s="643"/>
      <c r="AD23" s="643"/>
      <c r="AE23" s="643"/>
      <c r="AF23" s="677">
        <f t="shared" si="0"/>
        <v>0</v>
      </c>
    </row>
    <row r="24" spans="1:32">
      <c r="A24" s="604">
        <v>10</v>
      </c>
      <c r="B24" s="316" t="s">
        <v>956</v>
      </c>
      <c r="C24" s="316" t="s">
        <v>375</v>
      </c>
      <c r="D24" s="316">
        <v>20</v>
      </c>
      <c r="E24" s="602" t="s">
        <v>1832</v>
      </c>
      <c r="F24" s="603">
        <v>0</v>
      </c>
      <c r="G24" s="603">
        <v>0</v>
      </c>
      <c r="H24" s="603">
        <v>0</v>
      </c>
      <c r="I24" s="603">
        <v>0</v>
      </c>
      <c r="J24" s="603">
        <v>0</v>
      </c>
      <c r="K24" s="603">
        <v>0</v>
      </c>
      <c r="L24" s="603">
        <v>0</v>
      </c>
      <c r="M24" s="603">
        <v>0</v>
      </c>
      <c r="N24" s="603">
        <v>0</v>
      </c>
      <c r="O24" s="603">
        <v>0</v>
      </c>
      <c r="P24" s="603">
        <v>0</v>
      </c>
      <c r="Q24" s="603">
        <v>0</v>
      </c>
      <c r="R24" s="603">
        <v>0</v>
      </c>
      <c r="S24" s="484">
        <f t="shared" si="2"/>
        <v>0</v>
      </c>
      <c r="T24" s="604"/>
      <c r="U24" s="642"/>
      <c r="V24" s="679"/>
      <c r="W24" s="679"/>
      <c r="X24" s="702"/>
      <c r="Y24" s="679"/>
      <c r="Z24" s="679"/>
      <c r="AA24" s="642"/>
      <c r="AB24" s="679"/>
      <c r="AC24" s="643"/>
      <c r="AD24" s="643"/>
      <c r="AE24" s="643"/>
      <c r="AF24" s="677"/>
    </row>
    <row r="25" spans="1:32">
      <c r="A25" s="604">
        <v>11</v>
      </c>
      <c r="B25" s="316" t="s">
        <v>956</v>
      </c>
      <c r="C25" s="316" t="s">
        <v>1834</v>
      </c>
      <c r="D25" s="316"/>
      <c r="E25" s="602" t="s">
        <v>1833</v>
      </c>
      <c r="F25" s="603">
        <v>0</v>
      </c>
      <c r="G25" s="603">
        <v>0</v>
      </c>
      <c r="H25" s="603">
        <v>0</v>
      </c>
      <c r="I25" s="603">
        <v>0</v>
      </c>
      <c r="J25" s="603">
        <v>0</v>
      </c>
      <c r="K25" s="603">
        <v>0</v>
      </c>
      <c r="L25" s="603">
        <v>0</v>
      </c>
      <c r="M25" s="603">
        <v>0</v>
      </c>
      <c r="N25" s="603">
        <v>0</v>
      </c>
      <c r="O25" s="603">
        <v>0</v>
      </c>
      <c r="P25" s="603">
        <v>0</v>
      </c>
      <c r="Q25" s="603">
        <v>-4686032.05</v>
      </c>
      <c r="R25" s="603">
        <v>-4689205.91</v>
      </c>
      <c r="S25" s="484">
        <f t="shared" si="2"/>
        <v>-585886.25041666662</v>
      </c>
      <c r="T25" s="604"/>
      <c r="U25" s="642"/>
      <c r="V25" s="679"/>
      <c r="W25" s="679"/>
      <c r="X25" s="702"/>
      <c r="Y25" s="679"/>
      <c r="Z25" s="679"/>
      <c r="AA25" s="642"/>
      <c r="AB25" s="679"/>
      <c r="AC25" s="643"/>
      <c r="AD25" s="643"/>
      <c r="AE25" s="643"/>
      <c r="AF25" s="677"/>
    </row>
    <row r="26" spans="1:32">
      <c r="A26" s="604">
        <v>12</v>
      </c>
      <c r="B26" s="316" t="s">
        <v>956</v>
      </c>
      <c r="C26" s="316" t="s">
        <v>379</v>
      </c>
      <c r="D26" s="316"/>
      <c r="E26" s="602" t="s">
        <v>380</v>
      </c>
      <c r="F26" s="603">
        <v>-17326335.18</v>
      </c>
      <c r="G26" s="603">
        <v>-17614916.079999998</v>
      </c>
      <c r="H26" s="603">
        <v>-17903465.52</v>
      </c>
      <c r="I26" s="603">
        <v>-18079439.760000002</v>
      </c>
      <c r="J26" s="603">
        <v>-18365436.079999998</v>
      </c>
      <c r="K26" s="603">
        <v>-18652274.399999999</v>
      </c>
      <c r="L26" s="603">
        <v>-18939112.719999999</v>
      </c>
      <c r="M26" s="603">
        <v>-19225952.59</v>
      </c>
      <c r="N26" s="603">
        <v>-19512941.600000001</v>
      </c>
      <c r="O26" s="603">
        <v>-19799936.050000001</v>
      </c>
      <c r="P26" s="603">
        <v>-20090430.530000001</v>
      </c>
      <c r="Q26" s="603">
        <v>-20380051.460000001</v>
      </c>
      <c r="R26" s="603">
        <v>-20671419.25</v>
      </c>
      <c r="S26" s="484">
        <f t="shared" si="2"/>
        <v>-18963569.50041667</v>
      </c>
      <c r="T26" s="604"/>
      <c r="U26" s="642"/>
      <c r="V26" s="679"/>
      <c r="W26" s="679"/>
      <c r="X26" s="702"/>
      <c r="Y26" s="679"/>
      <c r="Z26" s="679"/>
      <c r="AA26" s="642"/>
      <c r="AB26" s="679"/>
      <c r="AC26" s="643"/>
      <c r="AD26" s="643"/>
      <c r="AE26" s="643"/>
      <c r="AF26" s="677">
        <f t="shared" si="0"/>
        <v>0</v>
      </c>
    </row>
    <row r="27" spans="1:32">
      <c r="A27" s="604">
        <v>13</v>
      </c>
      <c r="B27" s="316" t="s">
        <v>956</v>
      </c>
      <c r="C27" s="316" t="s">
        <v>381</v>
      </c>
      <c r="D27" s="316"/>
      <c r="E27" s="602" t="s">
        <v>382</v>
      </c>
      <c r="F27" s="303">
        <v>0</v>
      </c>
      <c r="G27" s="303">
        <v>0</v>
      </c>
      <c r="H27" s="303">
        <v>0</v>
      </c>
      <c r="I27" s="303">
        <v>0</v>
      </c>
      <c r="J27" s="303">
        <v>0</v>
      </c>
      <c r="K27" s="303">
        <v>0</v>
      </c>
      <c r="L27" s="303">
        <v>0</v>
      </c>
      <c r="M27" s="303">
        <v>0</v>
      </c>
      <c r="N27" s="303">
        <v>0</v>
      </c>
      <c r="O27" s="303">
        <v>0</v>
      </c>
      <c r="P27" s="303">
        <v>0</v>
      </c>
      <c r="Q27" s="303">
        <v>0</v>
      </c>
      <c r="R27" s="303">
        <v>0</v>
      </c>
      <c r="S27" s="484">
        <f t="shared" si="2"/>
        <v>0</v>
      </c>
      <c r="T27" s="604"/>
      <c r="U27" s="642"/>
      <c r="V27" s="679"/>
      <c r="W27" s="679"/>
      <c r="X27" s="702"/>
      <c r="Y27" s="679"/>
      <c r="Z27" s="679"/>
      <c r="AA27" s="642"/>
      <c r="AB27" s="679"/>
      <c r="AC27" s="643"/>
      <c r="AD27" s="643"/>
      <c r="AE27" s="643"/>
      <c r="AF27" s="677">
        <f t="shared" si="0"/>
        <v>0</v>
      </c>
    </row>
    <row r="28" spans="1:32">
      <c r="A28" s="604">
        <v>14</v>
      </c>
      <c r="B28" s="604"/>
      <c r="C28" s="604"/>
      <c r="D28" s="604"/>
      <c r="E28" s="602" t="s">
        <v>383</v>
      </c>
      <c r="F28" s="496">
        <f>SUM(F22:F27)</f>
        <v>-350428518.56999999</v>
      </c>
      <c r="G28" s="496">
        <f t="shared" ref="G28:R28" si="3">SUM(G22:G27)</f>
        <v>-352294420.46999997</v>
      </c>
      <c r="H28" s="496">
        <f t="shared" si="3"/>
        <v>-352695284.97999996</v>
      </c>
      <c r="I28" s="496">
        <f t="shared" si="3"/>
        <v>-354333791.56999999</v>
      </c>
      <c r="J28" s="496">
        <f t="shared" si="3"/>
        <v>-355937863.21999997</v>
      </c>
      <c r="K28" s="496">
        <f t="shared" si="3"/>
        <v>-357597578.12999994</v>
      </c>
      <c r="L28" s="496">
        <f t="shared" si="3"/>
        <v>-359453676.13</v>
      </c>
      <c r="M28" s="496">
        <f t="shared" si="3"/>
        <v>-357137802.43000001</v>
      </c>
      <c r="N28" s="496">
        <f t="shared" si="3"/>
        <v>-359877771.31999999</v>
      </c>
      <c r="O28" s="496">
        <f t="shared" si="3"/>
        <v>-360788312.55000001</v>
      </c>
      <c r="P28" s="496">
        <f t="shared" si="3"/>
        <v>-362532483.77999997</v>
      </c>
      <c r="Q28" s="496">
        <f t="shared" si="3"/>
        <v>-364797156.25</v>
      </c>
      <c r="R28" s="496">
        <f t="shared" si="3"/>
        <v>-362895366.04000008</v>
      </c>
      <c r="S28" s="484">
        <f>SUM(S22:S27)</f>
        <v>-357842340.26125008</v>
      </c>
      <c r="T28" s="604"/>
      <c r="U28" s="642"/>
      <c r="V28" s="679"/>
      <c r="W28" s="679"/>
      <c r="X28" s="702"/>
      <c r="Y28" s="679"/>
      <c r="Z28" s="679"/>
      <c r="AA28" s="642"/>
      <c r="AB28" s="679"/>
      <c r="AC28" s="643"/>
      <c r="AD28" s="643"/>
      <c r="AE28" s="643"/>
      <c r="AF28" s="677">
        <f t="shared" si="0"/>
        <v>0</v>
      </c>
    </row>
    <row r="29" spans="1:32">
      <c r="A29" s="604">
        <v>15</v>
      </c>
      <c r="B29" s="604"/>
      <c r="C29" s="604"/>
      <c r="D29" s="604"/>
      <c r="E29" s="602"/>
      <c r="F29" s="296"/>
      <c r="G29" s="494"/>
      <c r="H29" s="594"/>
      <c r="I29" s="594"/>
      <c r="J29" s="297"/>
      <c r="K29" s="598"/>
      <c r="L29" s="298"/>
      <c r="M29" s="299"/>
      <c r="N29" s="300"/>
      <c r="O29" s="301"/>
      <c r="P29" s="302"/>
      <c r="Q29" s="495"/>
      <c r="R29" s="296"/>
      <c r="S29" s="294"/>
      <c r="T29" s="604"/>
      <c r="U29" s="642"/>
      <c r="V29" s="679"/>
      <c r="W29" s="679"/>
      <c r="X29" s="702"/>
      <c r="Y29" s="679"/>
      <c r="Z29" s="679"/>
      <c r="AA29" s="642"/>
      <c r="AB29" s="679"/>
      <c r="AC29" s="643"/>
      <c r="AD29" s="643"/>
      <c r="AE29" s="643"/>
      <c r="AF29" s="677">
        <f t="shared" si="0"/>
        <v>0</v>
      </c>
    </row>
    <row r="30" spans="1:32">
      <c r="A30" s="604">
        <v>16</v>
      </c>
      <c r="B30" s="316" t="s">
        <v>956</v>
      </c>
      <c r="C30" s="316" t="s">
        <v>384</v>
      </c>
      <c r="D30" s="316"/>
      <c r="E30" s="602" t="s">
        <v>385</v>
      </c>
      <c r="F30" s="603">
        <v>-3052834.66</v>
      </c>
      <c r="G30" s="603">
        <v>-3071369.72</v>
      </c>
      <c r="H30" s="603">
        <v>-3088046.94</v>
      </c>
      <c r="I30" s="603">
        <v>-3107090.46</v>
      </c>
      <c r="J30" s="603">
        <v>-3122196.74</v>
      </c>
      <c r="K30" s="603">
        <v>-3109027.68</v>
      </c>
      <c r="L30" s="603">
        <v>-3128042.76</v>
      </c>
      <c r="M30" s="603">
        <v>-3142432.17</v>
      </c>
      <c r="N30" s="603">
        <v>-3128744.7</v>
      </c>
      <c r="O30" s="603">
        <v>-3148438.29</v>
      </c>
      <c r="P30" s="603">
        <v>-3168347.21</v>
      </c>
      <c r="Q30" s="603">
        <v>-3187186.86</v>
      </c>
      <c r="R30" s="603">
        <v>-3185032.92</v>
      </c>
      <c r="S30" s="484">
        <f>((F30+R30)+((G30+H30+I30+J30+K30+L30+M30+N30+O30+P30+Q30)*2))/24</f>
        <v>-3126654.7766666668</v>
      </c>
      <c r="T30" s="604"/>
      <c r="U30" s="642"/>
      <c r="V30" s="679"/>
      <c r="W30" s="679"/>
      <c r="X30" s="702"/>
      <c r="Y30" s="679"/>
      <c r="Z30" s="679"/>
      <c r="AA30" s="642"/>
      <c r="AB30" s="679"/>
      <c r="AC30" s="643"/>
      <c r="AD30" s="643"/>
      <c r="AE30" s="643"/>
      <c r="AF30" s="677">
        <f t="shared" si="0"/>
        <v>0</v>
      </c>
    </row>
    <row r="31" spans="1:32">
      <c r="A31" s="604">
        <v>17</v>
      </c>
      <c r="B31" s="316" t="s">
        <v>956</v>
      </c>
      <c r="C31" s="316" t="s">
        <v>713</v>
      </c>
      <c r="D31" s="316"/>
      <c r="E31" s="603" t="s">
        <v>714</v>
      </c>
      <c r="F31" s="303">
        <v>-137249402.78999999</v>
      </c>
      <c r="G31" s="303">
        <v>-137636754.03</v>
      </c>
      <c r="H31" s="303">
        <v>-138004595.44</v>
      </c>
      <c r="I31" s="303">
        <v>-138522604.65000001</v>
      </c>
      <c r="J31" s="303">
        <v>-139009059.03</v>
      </c>
      <c r="K31" s="303">
        <v>-139419314.46000001</v>
      </c>
      <c r="L31" s="303">
        <v>-139895803.72</v>
      </c>
      <c r="M31" s="303">
        <v>-140293114.25999999</v>
      </c>
      <c r="N31" s="303">
        <v>-140777750</v>
      </c>
      <c r="O31" s="303">
        <v>-141311614.78999999</v>
      </c>
      <c r="P31" s="303">
        <v>-141787696.77000001</v>
      </c>
      <c r="Q31" s="303">
        <v>-142008181.08000001</v>
      </c>
      <c r="R31" s="303">
        <v>-142248746.72</v>
      </c>
      <c r="S31" s="484">
        <f>((F31+R31)+((G31+H31+I31+J31+K31+L31+M31+N31+O31+P31+Q31)*2))/24</f>
        <v>-139867963.58208334</v>
      </c>
      <c r="T31" s="604"/>
      <c r="U31" s="642"/>
      <c r="V31" s="679"/>
      <c r="W31" s="679"/>
      <c r="X31" s="702"/>
      <c r="Y31" s="679"/>
      <c r="Z31" s="679"/>
      <c r="AA31" s="642"/>
      <c r="AB31" s="679"/>
      <c r="AC31" s="643"/>
      <c r="AD31" s="643"/>
      <c r="AE31" s="643"/>
      <c r="AF31" s="677">
        <f t="shared" si="0"/>
        <v>0</v>
      </c>
    </row>
    <row r="32" spans="1:32">
      <c r="A32" s="604">
        <v>18</v>
      </c>
      <c r="B32" s="604"/>
      <c r="C32" s="604"/>
      <c r="D32" s="604"/>
      <c r="E32" s="602" t="s">
        <v>386</v>
      </c>
      <c r="F32" s="497">
        <f>+F30+F31</f>
        <v>-140302237.44999999</v>
      </c>
      <c r="G32" s="497">
        <f t="shared" ref="G32:R32" si="4">+G30+G31</f>
        <v>-140708123.75</v>
      </c>
      <c r="H32" s="497">
        <f t="shared" si="4"/>
        <v>-141092642.38</v>
      </c>
      <c r="I32" s="497">
        <f t="shared" si="4"/>
        <v>-141629695.11000001</v>
      </c>
      <c r="J32" s="497">
        <f t="shared" si="4"/>
        <v>-142131255.77000001</v>
      </c>
      <c r="K32" s="497">
        <f t="shared" si="4"/>
        <v>-142528342.14000002</v>
      </c>
      <c r="L32" s="497">
        <f t="shared" si="4"/>
        <v>-143023846.47999999</v>
      </c>
      <c r="M32" s="497">
        <f t="shared" si="4"/>
        <v>-143435546.42999998</v>
      </c>
      <c r="N32" s="497">
        <f t="shared" si="4"/>
        <v>-143906494.69999999</v>
      </c>
      <c r="O32" s="497">
        <f t="shared" si="4"/>
        <v>-144460053.07999998</v>
      </c>
      <c r="P32" s="497">
        <f t="shared" si="4"/>
        <v>-144956043.98000002</v>
      </c>
      <c r="Q32" s="497">
        <f t="shared" si="4"/>
        <v>-145195367.94000003</v>
      </c>
      <c r="R32" s="497">
        <f t="shared" si="4"/>
        <v>-145433779.63999999</v>
      </c>
      <c r="S32" s="498">
        <f>+S30+S31</f>
        <v>-142994618.35875002</v>
      </c>
      <c r="T32" s="604"/>
      <c r="U32" s="642"/>
      <c r="V32" s="679"/>
      <c r="W32" s="679"/>
      <c r="X32" s="702"/>
      <c r="Y32" s="679"/>
      <c r="Z32" s="679"/>
      <c r="AA32" s="642"/>
      <c r="AB32" s="679"/>
      <c r="AC32" s="643"/>
      <c r="AD32" s="643"/>
      <c r="AE32" s="643"/>
      <c r="AF32" s="677">
        <f t="shared" si="0"/>
        <v>0</v>
      </c>
    </row>
    <row r="33" spans="1:32">
      <c r="A33" s="604">
        <v>19</v>
      </c>
      <c r="B33" s="604"/>
      <c r="C33" s="604"/>
      <c r="D33" s="604"/>
      <c r="E33" s="602"/>
      <c r="F33" s="296"/>
      <c r="G33" s="494"/>
      <c r="H33" s="594"/>
      <c r="I33" s="594"/>
      <c r="J33" s="297"/>
      <c r="K33" s="598"/>
      <c r="L33" s="298"/>
      <c r="M33" s="299"/>
      <c r="N33" s="300"/>
      <c r="O33" s="301"/>
      <c r="P33" s="302"/>
      <c r="Q33" s="495"/>
      <c r="R33" s="296"/>
      <c r="S33" s="294"/>
      <c r="T33" s="604"/>
      <c r="U33" s="642"/>
      <c r="V33" s="679"/>
      <c r="W33" s="679"/>
      <c r="X33" s="702"/>
      <c r="Y33" s="679"/>
      <c r="Z33" s="679"/>
      <c r="AA33" s="642"/>
      <c r="AB33" s="679"/>
      <c r="AC33" s="643"/>
      <c r="AD33" s="643"/>
      <c r="AE33" s="643"/>
      <c r="AF33" s="677">
        <f t="shared" si="0"/>
        <v>0</v>
      </c>
    </row>
    <row r="34" spans="1:32">
      <c r="A34" s="604">
        <v>20</v>
      </c>
      <c r="B34" s="604"/>
      <c r="C34" s="604"/>
      <c r="D34" s="604"/>
      <c r="E34" s="602" t="s">
        <v>387</v>
      </c>
      <c r="F34" s="499">
        <f>+F32+F28</f>
        <v>-490730756.01999998</v>
      </c>
      <c r="G34" s="499">
        <f t="shared" ref="G34:R34" si="5">+G32+G28</f>
        <v>-493002544.21999997</v>
      </c>
      <c r="H34" s="499">
        <f t="shared" si="5"/>
        <v>-493787927.35999995</v>
      </c>
      <c r="I34" s="499">
        <f t="shared" si="5"/>
        <v>-495963486.68000001</v>
      </c>
      <c r="J34" s="499">
        <f t="shared" si="5"/>
        <v>-498069118.99000001</v>
      </c>
      <c r="K34" s="499">
        <f t="shared" si="5"/>
        <v>-500125920.26999998</v>
      </c>
      <c r="L34" s="499">
        <f t="shared" si="5"/>
        <v>-502477522.61000001</v>
      </c>
      <c r="M34" s="499">
        <f t="shared" si="5"/>
        <v>-500573348.86000001</v>
      </c>
      <c r="N34" s="499">
        <f t="shared" si="5"/>
        <v>-503784266.01999998</v>
      </c>
      <c r="O34" s="499">
        <f t="shared" si="5"/>
        <v>-505248365.63</v>
      </c>
      <c r="P34" s="499">
        <f t="shared" si="5"/>
        <v>-507488527.75999999</v>
      </c>
      <c r="Q34" s="499">
        <f t="shared" si="5"/>
        <v>-509992524.19000006</v>
      </c>
      <c r="R34" s="499">
        <f t="shared" si="5"/>
        <v>-508329145.68000007</v>
      </c>
      <c r="S34" s="485">
        <f>+S32+S28</f>
        <v>-500836958.62000012</v>
      </c>
      <c r="T34" s="604"/>
      <c r="U34" s="642"/>
      <c r="V34" s="679"/>
      <c r="W34" s="679"/>
      <c r="X34" s="702">
        <f>+S34-S22</f>
        <v>-502408082.94750011</v>
      </c>
      <c r="Y34" s="679">
        <f>+X34*Z7</f>
        <v>-377660155.95163584</v>
      </c>
      <c r="Z34" s="679">
        <f>+X34*Z8</f>
        <v>-124747926.99586427</v>
      </c>
      <c r="AA34" s="642"/>
      <c r="AB34" s="679"/>
      <c r="AC34" s="643"/>
      <c r="AD34" s="643"/>
      <c r="AE34" s="643" t="s">
        <v>1419</v>
      </c>
      <c r="AF34" s="677">
        <f t="shared" si="0"/>
        <v>0</v>
      </c>
    </row>
    <row r="35" spans="1:32">
      <c r="A35" s="604">
        <v>21</v>
      </c>
      <c r="B35" s="604"/>
      <c r="C35" s="604"/>
      <c r="D35" s="604"/>
      <c r="E35" s="589"/>
      <c r="F35" s="500"/>
      <c r="G35" s="501"/>
      <c r="H35" s="502"/>
      <c r="I35" s="502"/>
      <c r="J35" s="503"/>
      <c r="K35" s="504"/>
      <c r="L35" s="505"/>
      <c r="M35" s="506"/>
      <c r="N35" s="507"/>
      <c r="O35" s="508"/>
      <c r="P35" s="509"/>
      <c r="Q35" s="510"/>
      <c r="R35" s="500"/>
      <c r="S35" s="294"/>
      <c r="T35" s="604"/>
      <c r="U35" s="642"/>
      <c r="V35" s="679"/>
      <c r="W35" s="679"/>
      <c r="X35" s="702"/>
      <c r="Y35" s="679"/>
      <c r="Z35" s="679"/>
      <c r="AA35" s="642"/>
      <c r="AB35" s="679"/>
      <c r="AC35" s="643"/>
      <c r="AD35" s="643"/>
      <c r="AE35" s="643"/>
      <c r="AF35" s="677">
        <f t="shared" si="0"/>
        <v>0</v>
      </c>
    </row>
    <row r="36" spans="1:32">
      <c r="A36" s="604">
        <v>22</v>
      </c>
      <c r="B36" s="604"/>
      <c r="C36" s="604"/>
      <c r="D36" s="604"/>
      <c r="E36" s="589" t="s">
        <v>388</v>
      </c>
      <c r="F36" s="511">
        <f>+F20+F34</f>
        <v>599350195.36999989</v>
      </c>
      <c r="G36" s="511">
        <f t="shared" ref="G36:S36" si="6">+G20+G34</f>
        <v>602377180.52999997</v>
      </c>
      <c r="H36" s="511">
        <f t="shared" si="6"/>
        <v>603596638.52999997</v>
      </c>
      <c r="I36" s="511">
        <f t="shared" si="6"/>
        <v>606395240.50999999</v>
      </c>
      <c r="J36" s="511">
        <f t="shared" si="6"/>
        <v>610174120.94000006</v>
      </c>
      <c r="K36" s="511">
        <f t="shared" si="6"/>
        <v>615508731.6400001</v>
      </c>
      <c r="L36" s="511">
        <f t="shared" si="6"/>
        <v>620756439.00999987</v>
      </c>
      <c r="M36" s="511">
        <f t="shared" si="6"/>
        <v>629447619.53000009</v>
      </c>
      <c r="N36" s="511">
        <f t="shared" si="6"/>
        <v>636033680.5999999</v>
      </c>
      <c r="O36" s="511">
        <f t="shared" si="6"/>
        <v>639827676.60000002</v>
      </c>
      <c r="P36" s="511">
        <f t="shared" si="6"/>
        <v>649625931.3900001</v>
      </c>
      <c r="Q36" s="511">
        <f t="shared" si="6"/>
        <v>657711870.51999998</v>
      </c>
      <c r="R36" s="511">
        <f t="shared" si="6"/>
        <v>670993028.15999985</v>
      </c>
      <c r="S36" s="484">
        <f t="shared" si="6"/>
        <v>625552228.46374989</v>
      </c>
      <c r="T36" s="604"/>
      <c r="U36" s="642"/>
      <c r="V36" s="679"/>
      <c r="W36" s="679"/>
      <c r="X36" s="702"/>
      <c r="Y36" s="679"/>
      <c r="Z36" s="679"/>
      <c r="AA36" s="642"/>
      <c r="AB36" s="679"/>
      <c r="AC36" s="643"/>
      <c r="AD36" s="643"/>
      <c r="AE36" s="643"/>
      <c r="AF36" s="677">
        <f t="shared" si="0"/>
        <v>0</v>
      </c>
    </row>
    <row r="37" spans="1:32">
      <c r="A37" s="604">
        <v>23</v>
      </c>
      <c r="B37" s="604"/>
      <c r="C37" s="604"/>
      <c r="D37" s="604"/>
      <c r="E37" s="589"/>
      <c r="F37" s="296"/>
      <c r="G37" s="494"/>
      <c r="H37" s="594"/>
      <c r="I37" s="594"/>
      <c r="J37" s="297"/>
      <c r="K37" s="598"/>
      <c r="L37" s="298"/>
      <c r="M37" s="299"/>
      <c r="N37" s="300"/>
      <c r="O37" s="301"/>
      <c r="P37" s="302"/>
      <c r="Q37" s="495"/>
      <c r="R37" s="296"/>
      <c r="S37" s="294"/>
      <c r="T37" s="604"/>
      <c r="U37" s="642"/>
      <c r="V37" s="679"/>
      <c r="W37" s="679"/>
      <c r="X37" s="702"/>
      <c r="Y37" s="679"/>
      <c r="Z37" s="679"/>
      <c r="AA37" s="642"/>
      <c r="AB37" s="679"/>
      <c r="AC37" s="643"/>
      <c r="AD37" s="643"/>
      <c r="AE37" s="643"/>
      <c r="AF37" s="677">
        <f t="shared" si="0"/>
        <v>0</v>
      </c>
    </row>
    <row r="38" spans="1:32">
      <c r="A38" s="604">
        <v>24</v>
      </c>
      <c r="B38" s="316" t="s">
        <v>956</v>
      </c>
      <c r="C38" s="316" t="s">
        <v>389</v>
      </c>
      <c r="D38" s="316"/>
      <c r="E38" s="602" t="s">
        <v>390</v>
      </c>
      <c r="F38" s="303">
        <v>0</v>
      </c>
      <c r="G38" s="303">
        <v>0</v>
      </c>
      <c r="H38" s="303">
        <v>0</v>
      </c>
      <c r="I38" s="303">
        <v>0</v>
      </c>
      <c r="J38" s="303">
        <v>0</v>
      </c>
      <c r="K38" s="303">
        <v>0</v>
      </c>
      <c r="L38" s="303">
        <v>0</v>
      </c>
      <c r="M38" s="303">
        <v>0</v>
      </c>
      <c r="N38" s="303">
        <v>0</v>
      </c>
      <c r="O38" s="303">
        <v>0</v>
      </c>
      <c r="P38" s="303">
        <v>0</v>
      </c>
      <c r="Q38" s="303">
        <v>0</v>
      </c>
      <c r="R38" s="303">
        <v>0</v>
      </c>
      <c r="S38" s="294">
        <f>((F38+R38)+((G38+H38+I38+J38+K38+L38+M38+N38+O38+P38+Q38)*2))/24</f>
        <v>0</v>
      </c>
      <c r="T38" s="604"/>
      <c r="U38" s="642">
        <f>+S38</f>
        <v>0</v>
      </c>
      <c r="V38" s="679"/>
      <c r="W38" s="679"/>
      <c r="X38" s="702"/>
      <c r="Y38" s="679"/>
      <c r="Z38" s="679"/>
      <c r="AA38" s="642"/>
      <c r="AB38" s="679"/>
      <c r="AC38" s="643"/>
      <c r="AD38" s="643"/>
      <c r="AE38" s="643"/>
      <c r="AF38" s="677">
        <f t="shared" si="0"/>
        <v>0</v>
      </c>
    </row>
    <row r="39" spans="1:32">
      <c r="A39" s="604">
        <v>25</v>
      </c>
      <c r="B39" s="604"/>
      <c r="C39" s="604"/>
      <c r="D39" s="604"/>
      <c r="E39" s="589" t="s">
        <v>391</v>
      </c>
      <c r="F39" s="295">
        <f>+F38</f>
        <v>0</v>
      </c>
      <c r="G39" s="512">
        <v>0</v>
      </c>
      <c r="H39" s="513">
        <v>0</v>
      </c>
      <c r="I39" s="513">
        <v>0</v>
      </c>
      <c r="J39" s="514">
        <v>0</v>
      </c>
      <c r="K39" s="515">
        <v>0</v>
      </c>
      <c r="L39" s="516">
        <v>0</v>
      </c>
      <c r="M39" s="517">
        <v>0</v>
      </c>
      <c r="N39" s="518">
        <v>0</v>
      </c>
      <c r="O39" s="519">
        <v>0</v>
      </c>
      <c r="P39" s="520">
        <v>0</v>
      </c>
      <c r="Q39" s="521">
        <v>0</v>
      </c>
      <c r="R39" s="295">
        <v>0</v>
      </c>
      <c r="S39" s="294">
        <f>((F39+R39)+((G39+H39+I39+J39+K39+L39+M39+N39+O39+P39+Q39)*2))/24</f>
        <v>0</v>
      </c>
      <c r="T39" s="604"/>
      <c r="U39" s="642"/>
      <c r="V39" s="679"/>
      <c r="W39" s="679"/>
      <c r="X39" s="702"/>
      <c r="Y39" s="679"/>
      <c r="Z39" s="679"/>
      <c r="AA39" s="642"/>
      <c r="AB39" s="679"/>
      <c r="AC39" s="643"/>
      <c r="AD39" s="643"/>
      <c r="AE39" s="643"/>
      <c r="AF39" s="677">
        <f t="shared" si="0"/>
        <v>0</v>
      </c>
    </row>
    <row r="40" spans="1:32">
      <c r="A40" s="604">
        <v>26</v>
      </c>
      <c r="B40" s="604"/>
      <c r="C40" s="604"/>
      <c r="D40" s="604"/>
      <c r="E40" s="589"/>
      <c r="F40" s="603"/>
      <c r="G40" s="304"/>
      <c r="H40" s="305"/>
      <c r="I40" s="305"/>
      <c r="J40" s="306"/>
      <c r="K40" s="307"/>
      <c r="L40" s="308"/>
      <c r="M40" s="309"/>
      <c r="N40" s="310"/>
      <c r="O40" s="590"/>
      <c r="P40" s="311"/>
      <c r="Q40" s="312"/>
      <c r="R40" s="603"/>
      <c r="S40" s="294"/>
      <c r="T40" s="604"/>
      <c r="U40" s="642"/>
      <c r="V40" s="679"/>
      <c r="W40" s="679"/>
      <c r="X40" s="702"/>
      <c r="Y40" s="679"/>
      <c r="Z40" s="679"/>
      <c r="AA40" s="642"/>
      <c r="AB40" s="679"/>
      <c r="AC40" s="643"/>
      <c r="AD40" s="643"/>
      <c r="AE40" s="643"/>
      <c r="AF40" s="677">
        <f t="shared" si="0"/>
        <v>0</v>
      </c>
    </row>
    <row r="41" spans="1:32">
      <c r="A41" s="604">
        <v>27</v>
      </c>
      <c r="B41" s="316" t="s">
        <v>956</v>
      </c>
      <c r="C41" s="316" t="s">
        <v>1103</v>
      </c>
      <c r="D41" s="316" t="s">
        <v>450</v>
      </c>
      <c r="E41" s="602" t="s">
        <v>1466</v>
      </c>
      <c r="F41" s="603">
        <v>1647363.37</v>
      </c>
      <c r="G41" s="603">
        <v>1650548.45</v>
      </c>
      <c r="H41" s="603">
        <v>1653418.79</v>
      </c>
      <c r="I41" s="603">
        <v>520974.97</v>
      </c>
      <c r="J41" s="603">
        <v>521959.48</v>
      </c>
      <c r="K41" s="603">
        <v>522960.61</v>
      </c>
      <c r="L41" s="603">
        <v>523922.01</v>
      </c>
      <c r="M41" s="603">
        <v>524913.85</v>
      </c>
      <c r="N41" s="603">
        <v>525804.73</v>
      </c>
      <c r="O41" s="603">
        <v>526658.93999999994</v>
      </c>
      <c r="P41" s="603">
        <v>527433.56999999995</v>
      </c>
      <c r="Q41" s="603">
        <v>528090.85</v>
      </c>
      <c r="R41" s="603">
        <v>528752.93000000005</v>
      </c>
      <c r="S41" s="703">
        <f>((F41+R41)+((G41+H41+I41+J41+K41+L41+M41+N41+O41+P41+Q41)*2))/24</f>
        <v>759562.03333333321</v>
      </c>
      <c r="T41" s="604"/>
      <c r="U41" s="642"/>
      <c r="V41" s="679"/>
      <c r="W41" s="679"/>
      <c r="X41" s="702">
        <f>+S41</f>
        <v>759562.03333333321</v>
      </c>
      <c r="Y41" s="679"/>
      <c r="Z41" s="679"/>
      <c r="AA41" s="642"/>
      <c r="AB41" s="679">
        <f>+S41</f>
        <v>759562.03333333321</v>
      </c>
      <c r="AC41" s="643"/>
      <c r="AD41" s="643"/>
      <c r="AE41" s="643"/>
      <c r="AF41" s="677">
        <f t="shared" si="0"/>
        <v>0</v>
      </c>
    </row>
    <row r="42" spans="1:32">
      <c r="A42" s="604">
        <v>28</v>
      </c>
      <c r="B42" s="316" t="s">
        <v>956</v>
      </c>
      <c r="C42" s="316" t="s">
        <v>1103</v>
      </c>
      <c r="D42" s="316" t="s">
        <v>437</v>
      </c>
      <c r="E42" s="602" t="s">
        <v>1467</v>
      </c>
      <c r="F42" s="603">
        <v>10584814.859999999</v>
      </c>
      <c r="G42" s="603">
        <v>10770808.609999999</v>
      </c>
      <c r="H42" s="603">
        <v>10830520.99</v>
      </c>
      <c r="I42" s="603">
        <v>10935394.75</v>
      </c>
      <c r="J42" s="603">
        <v>10989421.77</v>
      </c>
      <c r="K42" s="603">
        <v>10930533.949999999</v>
      </c>
      <c r="L42" s="603">
        <v>11104230.210000001</v>
      </c>
      <c r="M42" s="603">
        <v>11130863.68</v>
      </c>
      <c r="N42" s="603">
        <v>11185472.630000001</v>
      </c>
      <c r="O42" s="603">
        <v>11298649.32</v>
      </c>
      <c r="P42" s="603">
        <v>11332181.23</v>
      </c>
      <c r="Q42" s="603">
        <v>11408136.99</v>
      </c>
      <c r="R42" s="603">
        <v>11462788.92</v>
      </c>
      <c r="S42" s="703">
        <f>((F42+R42)+((G42+H42+I42+J42+K42+L42+M42+N42+O42+P42+Q42)*2))/24</f>
        <v>11078334.668333333</v>
      </c>
      <c r="T42" s="604"/>
      <c r="U42" s="642"/>
      <c r="V42" s="679"/>
      <c r="W42" s="679"/>
      <c r="X42" s="702">
        <f>+S42</f>
        <v>11078334.668333333</v>
      </c>
      <c r="Y42" s="679"/>
      <c r="Z42" s="679"/>
      <c r="AA42" s="642"/>
      <c r="AB42" s="679">
        <f>+S42</f>
        <v>11078334.668333333</v>
      </c>
      <c r="AC42" s="643"/>
      <c r="AD42" s="643"/>
      <c r="AE42" s="643"/>
      <c r="AF42" s="677">
        <f t="shared" si="0"/>
        <v>0</v>
      </c>
    </row>
    <row r="43" spans="1:32">
      <c r="A43" s="604">
        <v>29</v>
      </c>
      <c r="B43" s="316" t="s">
        <v>956</v>
      </c>
      <c r="C43" s="316" t="s">
        <v>1103</v>
      </c>
      <c r="D43" s="316" t="s">
        <v>482</v>
      </c>
      <c r="E43" s="602" t="s">
        <v>1468</v>
      </c>
      <c r="F43" s="603">
        <v>139136.91</v>
      </c>
      <c r="G43" s="603">
        <v>0</v>
      </c>
      <c r="H43" s="603">
        <v>0</v>
      </c>
      <c r="I43" s="603">
        <v>0</v>
      </c>
      <c r="J43" s="603">
        <v>0</v>
      </c>
      <c r="K43" s="603">
        <v>0</v>
      </c>
      <c r="L43" s="603">
        <v>0</v>
      </c>
      <c r="M43" s="603">
        <v>0</v>
      </c>
      <c r="N43" s="603">
        <v>0</v>
      </c>
      <c r="O43" s="603">
        <v>0</v>
      </c>
      <c r="P43" s="603">
        <v>0</v>
      </c>
      <c r="Q43" s="603">
        <v>0</v>
      </c>
      <c r="R43" s="603">
        <v>0</v>
      </c>
      <c r="S43" s="703">
        <f>((F43+R43)+((G43+H43+I43+J43+K43+L43+M43+N43+O43+P43+Q43)*2))/24</f>
        <v>5797.3712500000001</v>
      </c>
      <c r="T43" s="604"/>
      <c r="U43" s="642"/>
      <c r="V43" s="679"/>
      <c r="W43" s="679"/>
      <c r="X43" s="702">
        <f>+S43</f>
        <v>5797.3712500000001</v>
      </c>
      <c r="Y43" s="679"/>
      <c r="Z43" s="679"/>
      <c r="AA43" s="642"/>
      <c r="AB43" s="679">
        <f>+S43</f>
        <v>5797.3712500000001</v>
      </c>
      <c r="AC43" s="643"/>
      <c r="AD43" s="643"/>
      <c r="AE43" s="643"/>
      <c r="AF43" s="677">
        <f t="shared" si="0"/>
        <v>0</v>
      </c>
    </row>
    <row r="44" spans="1:32">
      <c r="A44" s="604">
        <v>30</v>
      </c>
      <c r="B44" s="316" t="s">
        <v>956</v>
      </c>
      <c r="C44" s="316" t="s">
        <v>392</v>
      </c>
      <c r="D44" s="316"/>
      <c r="E44" s="602" t="s">
        <v>393</v>
      </c>
      <c r="F44" s="603">
        <v>202030.18</v>
      </c>
      <c r="G44" s="603">
        <v>202030.18</v>
      </c>
      <c r="H44" s="603">
        <v>202030.18</v>
      </c>
      <c r="I44" s="603">
        <v>202030.18</v>
      </c>
      <c r="J44" s="603">
        <v>202030.18</v>
      </c>
      <c r="K44" s="603">
        <v>202030.18</v>
      </c>
      <c r="L44" s="603">
        <v>197964.51</v>
      </c>
      <c r="M44" s="603">
        <v>197964.51</v>
      </c>
      <c r="N44" s="603">
        <v>197964.51</v>
      </c>
      <c r="O44" s="603">
        <v>197964.51</v>
      </c>
      <c r="P44" s="603">
        <v>197964.51</v>
      </c>
      <c r="Q44" s="603">
        <v>197964.51</v>
      </c>
      <c r="R44" s="603">
        <v>197964.51</v>
      </c>
      <c r="S44" s="703">
        <f>((F44+R44)+((G44+H44+I44+J44+K44+L44+M44+N44+O44+P44+Q44)*2))/24</f>
        <v>199827.94208333336</v>
      </c>
      <c r="T44" s="604"/>
      <c r="U44" s="642"/>
      <c r="V44" s="679"/>
      <c r="W44" s="679"/>
      <c r="X44" s="702">
        <f>+S44</f>
        <v>199827.94208333336</v>
      </c>
      <c r="Y44" s="679"/>
      <c r="Z44" s="679"/>
      <c r="AA44" s="642"/>
      <c r="AB44" s="679">
        <f>+S44</f>
        <v>199827.94208333336</v>
      </c>
      <c r="AC44" s="643"/>
      <c r="AD44" s="643"/>
      <c r="AE44" s="643"/>
      <c r="AF44" s="677">
        <f t="shared" si="0"/>
        <v>0</v>
      </c>
    </row>
    <row r="45" spans="1:32">
      <c r="A45" s="604">
        <v>31</v>
      </c>
      <c r="B45" s="316" t="s">
        <v>956</v>
      </c>
      <c r="C45" s="316" t="s">
        <v>394</v>
      </c>
      <c r="D45" s="316"/>
      <c r="E45" s="602" t="s">
        <v>395</v>
      </c>
      <c r="F45" s="303">
        <v>0</v>
      </c>
      <c r="G45" s="303">
        <v>0</v>
      </c>
      <c r="H45" s="303">
        <v>0</v>
      </c>
      <c r="I45" s="303">
        <v>0</v>
      </c>
      <c r="J45" s="303">
        <v>0</v>
      </c>
      <c r="K45" s="303">
        <v>0</v>
      </c>
      <c r="L45" s="303">
        <v>0</v>
      </c>
      <c r="M45" s="303">
        <v>0</v>
      </c>
      <c r="N45" s="303">
        <v>0</v>
      </c>
      <c r="O45" s="303">
        <v>0</v>
      </c>
      <c r="P45" s="303">
        <v>0</v>
      </c>
      <c r="Q45" s="303">
        <v>0</v>
      </c>
      <c r="R45" s="303">
        <v>0</v>
      </c>
      <c r="S45" s="703">
        <f>((F45+R45)+((G45+H45+I45+J45+K45+L45+M45+N45+O45+P45+Q45)*2))/24</f>
        <v>0</v>
      </c>
      <c r="T45" s="604"/>
      <c r="U45" s="642">
        <f>+S45</f>
        <v>0</v>
      </c>
      <c r="V45" s="679"/>
      <c r="W45" s="679"/>
      <c r="X45" s="702"/>
      <c r="Y45" s="679"/>
      <c r="Z45" s="679"/>
      <c r="AA45" s="642"/>
      <c r="AB45" s="679">
        <f>+S45</f>
        <v>0</v>
      </c>
      <c r="AC45" s="643"/>
      <c r="AD45" s="643"/>
      <c r="AE45" s="643"/>
      <c r="AF45" s="677">
        <f t="shared" si="0"/>
        <v>0</v>
      </c>
    </row>
    <row r="46" spans="1:32">
      <c r="A46" s="604">
        <v>32</v>
      </c>
      <c r="B46" s="604"/>
      <c r="C46" s="604"/>
      <c r="D46" s="604"/>
      <c r="E46" s="589" t="s">
        <v>396</v>
      </c>
      <c r="F46" s="295">
        <f t="shared" ref="F46:S46" si="7">SUM(F41:F45)</f>
        <v>12573345.32</v>
      </c>
      <c r="G46" s="295">
        <f t="shared" si="7"/>
        <v>12623387.239999998</v>
      </c>
      <c r="H46" s="295">
        <f t="shared" si="7"/>
        <v>12685969.960000001</v>
      </c>
      <c r="I46" s="295">
        <f t="shared" si="7"/>
        <v>11658399.9</v>
      </c>
      <c r="J46" s="295">
        <f t="shared" si="7"/>
        <v>11713411.43</v>
      </c>
      <c r="K46" s="295">
        <f t="shared" si="7"/>
        <v>11655524.739999998</v>
      </c>
      <c r="L46" s="295">
        <f t="shared" si="7"/>
        <v>11826116.73</v>
      </c>
      <c r="M46" s="295">
        <f t="shared" si="7"/>
        <v>11853742.039999999</v>
      </c>
      <c r="N46" s="295">
        <f t="shared" si="7"/>
        <v>11909241.870000001</v>
      </c>
      <c r="O46" s="295">
        <f t="shared" si="7"/>
        <v>12023272.77</v>
      </c>
      <c r="P46" s="295">
        <f t="shared" si="7"/>
        <v>12057579.310000001</v>
      </c>
      <c r="Q46" s="295">
        <f t="shared" si="7"/>
        <v>12134192.35</v>
      </c>
      <c r="R46" s="295">
        <f t="shared" si="7"/>
        <v>12189506.359999999</v>
      </c>
      <c r="S46" s="486">
        <f t="shared" si="7"/>
        <v>12043522.014999999</v>
      </c>
      <c r="T46" s="604"/>
      <c r="U46" s="642"/>
      <c r="V46" s="679"/>
      <c r="W46" s="679"/>
      <c r="X46" s="702"/>
      <c r="Y46" s="679"/>
      <c r="Z46" s="679"/>
      <c r="AA46" s="642"/>
      <c r="AB46" s="679"/>
      <c r="AC46" s="643"/>
      <c r="AD46" s="643"/>
      <c r="AE46" s="643"/>
      <c r="AF46" s="677">
        <f t="shared" si="0"/>
        <v>0</v>
      </c>
    </row>
    <row r="47" spans="1:32">
      <c r="A47" s="604">
        <v>33</v>
      </c>
      <c r="B47" s="604"/>
      <c r="C47" s="604"/>
      <c r="D47" s="604"/>
      <c r="E47" s="589"/>
      <c r="F47" s="603"/>
      <c r="G47" s="304"/>
      <c r="H47" s="305"/>
      <c r="I47" s="305"/>
      <c r="J47" s="306"/>
      <c r="K47" s="307"/>
      <c r="L47" s="308"/>
      <c r="M47" s="309"/>
      <c r="N47" s="310"/>
      <c r="O47" s="590"/>
      <c r="P47" s="311"/>
      <c r="Q47" s="312"/>
      <c r="R47" s="603"/>
      <c r="S47" s="294"/>
      <c r="T47" s="604"/>
      <c r="U47" s="642"/>
      <c r="V47" s="679"/>
      <c r="W47" s="679"/>
      <c r="X47" s="702"/>
      <c r="Y47" s="679"/>
      <c r="Z47" s="679"/>
      <c r="AA47" s="642"/>
      <c r="AB47" s="679"/>
      <c r="AC47" s="643"/>
      <c r="AD47" s="643"/>
      <c r="AE47" s="643"/>
      <c r="AF47" s="677">
        <f t="shared" si="0"/>
        <v>0</v>
      </c>
    </row>
    <row r="48" spans="1:32">
      <c r="A48" s="604">
        <v>34</v>
      </c>
      <c r="B48" s="604"/>
      <c r="C48" s="490" t="s">
        <v>397</v>
      </c>
      <c r="D48" s="490" t="s">
        <v>369</v>
      </c>
      <c r="E48" s="589" t="s">
        <v>1469</v>
      </c>
      <c r="F48" s="603">
        <v>0</v>
      </c>
      <c r="G48" s="304">
        <v>713994.61</v>
      </c>
      <c r="H48" s="305">
        <v>0</v>
      </c>
      <c r="I48" s="305">
        <v>0</v>
      </c>
      <c r="J48" s="306">
        <v>0</v>
      </c>
      <c r="K48" s="307">
        <v>0</v>
      </c>
      <c r="L48" s="308">
        <v>0</v>
      </c>
      <c r="M48" s="309">
        <v>0</v>
      </c>
      <c r="N48" s="310">
        <v>72840.87</v>
      </c>
      <c r="O48" s="590">
        <v>0</v>
      </c>
      <c r="P48" s="311">
        <v>125578.49</v>
      </c>
      <c r="Q48" s="312">
        <v>525780</v>
      </c>
      <c r="R48" s="603">
        <v>0</v>
      </c>
      <c r="S48" s="484">
        <f t="shared" ref="S48:S58" si="8">((F48+R48)+((G48+H48+I48+J48+K48+L48+M48+N48+O48+P48+Q48)*2))/24</f>
        <v>119849.4975</v>
      </c>
      <c r="T48" s="604"/>
      <c r="U48" s="642">
        <f t="shared" ref="U48:U58" si="9">+S48</f>
        <v>119849.4975</v>
      </c>
      <c r="V48" s="679"/>
      <c r="W48" s="679"/>
      <c r="X48" s="702"/>
      <c r="Y48" s="679"/>
      <c r="Z48" s="679"/>
      <c r="AA48" s="642"/>
      <c r="AB48" s="679"/>
      <c r="AC48" s="643"/>
      <c r="AD48" s="644">
        <f>+S48</f>
        <v>119849.4975</v>
      </c>
      <c r="AE48" s="643"/>
      <c r="AF48" s="677">
        <f t="shared" si="0"/>
        <v>0</v>
      </c>
    </row>
    <row r="49" spans="1:32">
      <c r="A49" s="604">
        <v>35</v>
      </c>
      <c r="B49" s="316" t="s">
        <v>956</v>
      </c>
      <c r="C49" s="316" t="s">
        <v>397</v>
      </c>
      <c r="D49" s="316" t="s">
        <v>1104</v>
      </c>
      <c r="E49" s="602" t="s">
        <v>1470</v>
      </c>
      <c r="F49" s="603">
        <v>2550120.08</v>
      </c>
      <c r="G49" s="603">
        <v>507975.97</v>
      </c>
      <c r="H49" s="603">
        <v>1437715.44</v>
      </c>
      <c r="I49" s="603">
        <v>1186503.52</v>
      </c>
      <c r="J49" s="603">
        <v>2083270</v>
      </c>
      <c r="K49" s="603">
        <v>249413.81</v>
      </c>
      <c r="L49" s="603">
        <v>514625.83</v>
      </c>
      <c r="M49" s="603">
        <v>658393.63</v>
      </c>
      <c r="N49" s="603">
        <v>277608.32000000001</v>
      </c>
      <c r="O49" s="603">
        <v>784763.2</v>
      </c>
      <c r="P49" s="603">
        <v>300167.40000000002</v>
      </c>
      <c r="Q49" s="603">
        <v>-204205.54</v>
      </c>
      <c r="R49" s="603">
        <v>2461509.84</v>
      </c>
      <c r="S49" s="484">
        <f t="shared" si="8"/>
        <v>858503.8783333333</v>
      </c>
      <c r="T49" s="604"/>
      <c r="U49" s="642">
        <f t="shared" si="9"/>
        <v>858503.8783333333</v>
      </c>
      <c r="V49" s="679"/>
      <c r="W49" s="679"/>
      <c r="X49" s="702"/>
      <c r="Y49" s="679"/>
      <c r="Z49" s="679"/>
      <c r="AA49" s="642"/>
      <c r="AB49" s="679"/>
      <c r="AC49" s="643"/>
      <c r="AD49" s="644">
        <f t="shared" ref="AD49:AD58" si="10">+U49</f>
        <v>858503.8783333333</v>
      </c>
      <c r="AE49" s="643"/>
      <c r="AF49" s="677">
        <f t="shared" si="0"/>
        <v>0</v>
      </c>
    </row>
    <row r="50" spans="1:32">
      <c r="A50" s="604">
        <v>36</v>
      </c>
      <c r="B50" s="316" t="s">
        <v>956</v>
      </c>
      <c r="C50" s="316" t="s">
        <v>397</v>
      </c>
      <c r="D50" s="316" t="s">
        <v>1105</v>
      </c>
      <c r="E50" s="602" t="s">
        <v>1471</v>
      </c>
      <c r="F50" s="603">
        <v>-819556.52</v>
      </c>
      <c r="G50" s="603">
        <v>-1795112.87</v>
      </c>
      <c r="H50" s="603">
        <v>-1495402.81</v>
      </c>
      <c r="I50" s="603">
        <v>-796374.57</v>
      </c>
      <c r="J50" s="603">
        <v>-3153933.99</v>
      </c>
      <c r="K50" s="603">
        <v>-569582.86</v>
      </c>
      <c r="L50" s="603">
        <v>-506152.85</v>
      </c>
      <c r="M50" s="603">
        <v>-763947.96</v>
      </c>
      <c r="N50" s="603">
        <v>-544940.30000000005</v>
      </c>
      <c r="O50" s="603">
        <v>-798507.84</v>
      </c>
      <c r="P50" s="603">
        <v>-649035.34</v>
      </c>
      <c r="Q50" s="603">
        <v>-1002179.5</v>
      </c>
      <c r="R50" s="603">
        <v>-518690.26</v>
      </c>
      <c r="S50" s="484">
        <f t="shared" si="8"/>
        <v>-1062024.5233333334</v>
      </c>
      <c r="T50" s="604"/>
      <c r="U50" s="642">
        <f t="shared" si="9"/>
        <v>-1062024.5233333334</v>
      </c>
      <c r="V50" s="679"/>
      <c r="W50" s="679"/>
      <c r="X50" s="702"/>
      <c r="Y50" s="679"/>
      <c r="Z50" s="679"/>
      <c r="AA50" s="642"/>
      <c r="AB50" s="679"/>
      <c r="AC50" s="643"/>
      <c r="AD50" s="644">
        <f t="shared" si="10"/>
        <v>-1062024.5233333334</v>
      </c>
      <c r="AE50" s="643"/>
      <c r="AF50" s="677">
        <f t="shared" si="0"/>
        <v>0</v>
      </c>
    </row>
    <row r="51" spans="1:32">
      <c r="A51" s="604">
        <v>37</v>
      </c>
      <c r="B51" s="316" t="s">
        <v>956</v>
      </c>
      <c r="C51" s="316" t="s">
        <v>397</v>
      </c>
      <c r="D51" s="316" t="s">
        <v>1106</v>
      </c>
      <c r="E51" s="602" t="s">
        <v>1472</v>
      </c>
      <c r="F51" s="603">
        <v>-500.00000000001103</v>
      </c>
      <c r="G51" s="603">
        <v>1607.1</v>
      </c>
      <c r="H51" s="603">
        <v>-14873.24</v>
      </c>
      <c r="I51" s="603">
        <v>-1337.24</v>
      </c>
      <c r="J51" s="603">
        <v>-300</v>
      </c>
      <c r="K51" s="603">
        <v>2.2737367544323201E-13</v>
      </c>
      <c r="L51" s="603">
        <v>2.2737367544323201E-13</v>
      </c>
      <c r="M51" s="603">
        <v>2.2737367544323201E-13</v>
      </c>
      <c r="N51" s="603">
        <v>2.2737367544323201E-13</v>
      </c>
      <c r="O51" s="603">
        <v>-4240.28</v>
      </c>
      <c r="P51" s="603">
        <v>-173413.86</v>
      </c>
      <c r="Q51" s="603">
        <v>-173413.86</v>
      </c>
      <c r="R51" s="603">
        <v>0</v>
      </c>
      <c r="S51" s="484">
        <f t="shared" si="8"/>
        <v>-30518.448333333334</v>
      </c>
      <c r="T51" s="604"/>
      <c r="U51" s="642">
        <f t="shared" si="9"/>
        <v>-30518.448333333334</v>
      </c>
      <c r="V51" s="679"/>
      <c r="W51" s="679"/>
      <c r="X51" s="702"/>
      <c r="Y51" s="679"/>
      <c r="Z51" s="679"/>
      <c r="AA51" s="642"/>
      <c r="AB51" s="679"/>
      <c r="AC51" s="643"/>
      <c r="AD51" s="644">
        <f t="shared" si="10"/>
        <v>-30518.448333333334</v>
      </c>
      <c r="AE51" s="643"/>
      <c r="AF51" s="677">
        <f t="shared" si="0"/>
        <v>0</v>
      </c>
    </row>
    <row r="52" spans="1:32">
      <c r="A52" s="604">
        <v>38</v>
      </c>
      <c r="B52" s="316" t="s">
        <v>956</v>
      </c>
      <c r="C52" s="316" t="s">
        <v>397</v>
      </c>
      <c r="D52" s="316" t="s">
        <v>1107</v>
      </c>
      <c r="E52" s="602" t="s">
        <v>1473</v>
      </c>
      <c r="F52" s="603">
        <v>5000.0000000002301</v>
      </c>
      <c r="G52" s="603">
        <v>5000</v>
      </c>
      <c r="H52" s="603">
        <v>5000</v>
      </c>
      <c r="I52" s="603">
        <v>5000</v>
      </c>
      <c r="J52" s="603">
        <v>81586</v>
      </c>
      <c r="K52" s="603">
        <v>6478.84</v>
      </c>
      <c r="L52" s="603">
        <v>6360.09</v>
      </c>
      <c r="M52" s="603">
        <v>3120.38</v>
      </c>
      <c r="N52" s="603">
        <v>5000</v>
      </c>
      <c r="O52" s="603">
        <v>3438</v>
      </c>
      <c r="P52" s="603">
        <v>5000</v>
      </c>
      <c r="Q52" s="603">
        <v>5000</v>
      </c>
      <c r="R52" s="603">
        <v>5000</v>
      </c>
      <c r="S52" s="484">
        <f t="shared" si="8"/>
        <v>11331.94250000001</v>
      </c>
      <c r="T52" s="604"/>
      <c r="U52" s="642">
        <f>+S52</f>
        <v>11331.94250000001</v>
      </c>
      <c r="V52" s="679"/>
      <c r="W52" s="679"/>
      <c r="X52" s="702">
        <f>+S52-U52</f>
        <v>0</v>
      </c>
      <c r="Y52" s="679"/>
      <c r="Z52" s="679"/>
      <c r="AA52" s="642"/>
      <c r="AB52" s="679">
        <f>+X52</f>
        <v>0</v>
      </c>
      <c r="AC52" s="643"/>
      <c r="AD52" s="644">
        <f t="shared" si="10"/>
        <v>11331.94250000001</v>
      </c>
      <c r="AE52" s="643"/>
      <c r="AF52" s="677">
        <f t="shared" si="0"/>
        <v>0</v>
      </c>
    </row>
    <row r="53" spans="1:32">
      <c r="A53" s="604">
        <v>39</v>
      </c>
      <c r="B53" s="316" t="s">
        <v>956</v>
      </c>
      <c r="C53" s="316" t="s">
        <v>397</v>
      </c>
      <c r="D53" s="316" t="s">
        <v>1836</v>
      </c>
      <c r="E53" s="602" t="s">
        <v>1837</v>
      </c>
      <c r="F53" s="603">
        <v>0</v>
      </c>
      <c r="G53" s="603">
        <v>0</v>
      </c>
      <c r="H53" s="603">
        <v>0</v>
      </c>
      <c r="I53" s="603">
        <v>0</v>
      </c>
      <c r="J53" s="603">
        <v>0</v>
      </c>
      <c r="K53" s="603">
        <v>0</v>
      </c>
      <c r="L53" s="603">
        <v>0</v>
      </c>
      <c r="M53" s="603">
        <v>0</v>
      </c>
      <c r="N53" s="603">
        <v>0</v>
      </c>
      <c r="O53" s="603">
        <v>0</v>
      </c>
      <c r="P53" s="603">
        <v>0</v>
      </c>
      <c r="Q53" s="603">
        <v>0</v>
      </c>
      <c r="R53" s="603">
        <v>1163.8699999999999</v>
      </c>
      <c r="S53" s="484">
        <f t="shared" si="8"/>
        <v>48.494583333333331</v>
      </c>
      <c r="T53" s="604"/>
      <c r="U53" s="642">
        <f t="shared" si="9"/>
        <v>48.494583333333331</v>
      </c>
      <c r="V53" s="679"/>
      <c r="W53" s="679"/>
      <c r="X53" s="702"/>
      <c r="Y53" s="679"/>
      <c r="Z53" s="679"/>
      <c r="AA53" s="642"/>
      <c r="AB53" s="679"/>
      <c r="AC53" s="643"/>
      <c r="AD53" s="644">
        <f t="shared" si="10"/>
        <v>48.494583333333331</v>
      </c>
      <c r="AE53" s="643"/>
      <c r="AF53" s="677">
        <f t="shared" si="0"/>
        <v>0</v>
      </c>
    </row>
    <row r="54" spans="1:32">
      <c r="A54" s="604">
        <v>40</v>
      </c>
      <c r="B54" s="316"/>
      <c r="C54" s="316" t="s">
        <v>397</v>
      </c>
      <c r="D54" s="316" t="s">
        <v>1376</v>
      </c>
      <c r="E54" s="602" t="s">
        <v>1377</v>
      </c>
      <c r="F54" s="603">
        <v>1468095.37</v>
      </c>
      <c r="G54" s="603">
        <v>566535.18999999994</v>
      </c>
      <c r="H54" s="603">
        <v>619477.91</v>
      </c>
      <c r="I54" s="603">
        <v>1534647.82</v>
      </c>
      <c r="J54" s="603">
        <v>1100649.3600000001</v>
      </c>
      <c r="K54" s="603">
        <v>399615.65</v>
      </c>
      <c r="L54" s="603">
        <v>1098135.5</v>
      </c>
      <c r="M54" s="603">
        <v>465511.55</v>
      </c>
      <c r="N54" s="603">
        <v>189491.11</v>
      </c>
      <c r="O54" s="603">
        <v>2126914.0299999998</v>
      </c>
      <c r="P54" s="603">
        <v>391703.31</v>
      </c>
      <c r="Q54" s="603">
        <v>247855.03</v>
      </c>
      <c r="R54" s="603">
        <v>4947993.17</v>
      </c>
      <c r="S54" s="484">
        <f t="shared" si="8"/>
        <v>995715.06083333341</v>
      </c>
      <c r="T54" s="604"/>
      <c r="U54" s="642">
        <f>+S54</f>
        <v>995715.06083333341</v>
      </c>
      <c r="V54" s="679"/>
      <c r="W54" s="679"/>
      <c r="X54" s="702"/>
      <c r="Y54" s="679"/>
      <c r="Z54" s="679"/>
      <c r="AA54" s="642"/>
      <c r="AB54" s="679"/>
      <c r="AC54" s="643"/>
      <c r="AD54" s="644">
        <f t="shared" si="10"/>
        <v>995715.06083333341</v>
      </c>
      <c r="AE54" s="643"/>
      <c r="AF54" s="677">
        <f t="shared" si="0"/>
        <v>0</v>
      </c>
    </row>
    <row r="55" spans="1:32">
      <c r="A55" s="604">
        <v>41</v>
      </c>
      <c r="B55" s="316" t="s">
        <v>956</v>
      </c>
      <c r="C55" s="316" t="s">
        <v>399</v>
      </c>
      <c r="D55" s="316" t="s">
        <v>1108</v>
      </c>
      <c r="E55" s="602" t="s">
        <v>1474</v>
      </c>
      <c r="F55" s="603">
        <v>600</v>
      </c>
      <c r="G55" s="603">
        <v>600</v>
      </c>
      <c r="H55" s="603">
        <v>600</v>
      </c>
      <c r="I55" s="603">
        <v>600</v>
      </c>
      <c r="J55" s="603">
        <v>600</v>
      </c>
      <c r="K55" s="603">
        <v>330.48</v>
      </c>
      <c r="L55" s="603">
        <v>0</v>
      </c>
      <c r="M55" s="603">
        <v>0</v>
      </c>
      <c r="N55" s="603">
        <v>0</v>
      </c>
      <c r="O55" s="603">
        <v>0</v>
      </c>
      <c r="P55" s="603">
        <v>0</v>
      </c>
      <c r="Q55" s="603">
        <v>0</v>
      </c>
      <c r="R55" s="603">
        <v>0</v>
      </c>
      <c r="S55" s="484">
        <f t="shared" si="8"/>
        <v>252.54</v>
      </c>
      <c r="T55" s="604"/>
      <c r="U55" s="642">
        <f t="shared" si="9"/>
        <v>252.54</v>
      </c>
      <c r="V55" s="679"/>
      <c r="W55" s="679"/>
      <c r="X55" s="702"/>
      <c r="Y55" s="679"/>
      <c r="Z55" s="679"/>
      <c r="AA55" s="642"/>
      <c r="AB55" s="679"/>
      <c r="AC55" s="643"/>
      <c r="AD55" s="644">
        <f t="shared" si="10"/>
        <v>252.54</v>
      </c>
      <c r="AE55" s="643"/>
      <c r="AF55" s="677">
        <f t="shared" si="0"/>
        <v>0</v>
      </c>
    </row>
    <row r="56" spans="1:32">
      <c r="A56" s="604">
        <v>42</v>
      </c>
      <c r="B56" s="316" t="s">
        <v>956</v>
      </c>
      <c r="C56" s="316" t="s">
        <v>399</v>
      </c>
      <c r="D56" s="316" t="s">
        <v>1109</v>
      </c>
      <c r="E56" s="602" t="s">
        <v>1475</v>
      </c>
      <c r="F56" s="603">
        <v>300</v>
      </c>
      <c r="G56" s="603">
        <v>300</v>
      </c>
      <c r="H56" s="603">
        <v>300</v>
      </c>
      <c r="I56" s="603">
        <v>300</v>
      </c>
      <c r="J56" s="603">
        <v>300</v>
      </c>
      <c r="K56" s="603">
        <v>284.69</v>
      </c>
      <c r="L56" s="603">
        <v>0</v>
      </c>
      <c r="M56" s="603">
        <v>0</v>
      </c>
      <c r="N56" s="603">
        <v>0</v>
      </c>
      <c r="O56" s="603">
        <v>0</v>
      </c>
      <c r="P56" s="603">
        <v>0</v>
      </c>
      <c r="Q56" s="603">
        <v>0</v>
      </c>
      <c r="R56" s="603">
        <v>0</v>
      </c>
      <c r="S56" s="484">
        <f t="shared" si="8"/>
        <v>136.22416666666666</v>
      </c>
      <c r="T56" s="604"/>
      <c r="U56" s="642">
        <f t="shared" si="9"/>
        <v>136.22416666666666</v>
      </c>
      <c r="V56" s="679"/>
      <c r="W56" s="679"/>
      <c r="X56" s="702"/>
      <c r="Y56" s="679"/>
      <c r="Z56" s="679"/>
      <c r="AA56" s="642"/>
      <c r="AB56" s="679"/>
      <c r="AC56" s="643"/>
      <c r="AD56" s="644">
        <f t="shared" si="10"/>
        <v>136.22416666666666</v>
      </c>
      <c r="AE56" s="643"/>
      <c r="AF56" s="677">
        <f t="shared" si="0"/>
        <v>0</v>
      </c>
    </row>
    <row r="57" spans="1:32">
      <c r="A57" s="604">
        <v>43</v>
      </c>
      <c r="B57" s="316" t="s">
        <v>956</v>
      </c>
      <c r="C57" s="316" t="s">
        <v>399</v>
      </c>
      <c r="D57" s="522" t="s">
        <v>1110</v>
      </c>
      <c r="E57" s="602" t="s">
        <v>1476</v>
      </c>
      <c r="F57" s="603">
        <v>0</v>
      </c>
      <c r="G57" s="603">
        <v>0</v>
      </c>
      <c r="H57" s="603">
        <v>0</v>
      </c>
      <c r="I57" s="603">
        <v>0</v>
      </c>
      <c r="J57" s="603">
        <v>0</v>
      </c>
      <c r="K57" s="603">
        <v>0</v>
      </c>
      <c r="L57" s="603">
        <v>0</v>
      </c>
      <c r="M57" s="603">
        <v>0</v>
      </c>
      <c r="N57" s="603">
        <v>0</v>
      </c>
      <c r="O57" s="603">
        <v>0</v>
      </c>
      <c r="P57" s="603">
        <v>0</v>
      </c>
      <c r="Q57" s="603">
        <v>0</v>
      </c>
      <c r="R57" s="603">
        <v>0</v>
      </c>
      <c r="S57" s="484">
        <f t="shared" si="8"/>
        <v>0</v>
      </c>
      <c r="T57" s="604"/>
      <c r="U57" s="642">
        <f t="shared" si="9"/>
        <v>0</v>
      </c>
      <c r="V57" s="679"/>
      <c r="W57" s="679"/>
      <c r="X57" s="702"/>
      <c r="Y57" s="679"/>
      <c r="Z57" s="679"/>
      <c r="AA57" s="642"/>
      <c r="AB57" s="679"/>
      <c r="AC57" s="643"/>
      <c r="AD57" s="644">
        <f t="shared" si="10"/>
        <v>0</v>
      </c>
      <c r="AE57" s="643"/>
      <c r="AF57" s="677">
        <f t="shared" si="0"/>
        <v>0</v>
      </c>
    </row>
    <row r="58" spans="1:32">
      <c r="A58" s="604">
        <v>44</v>
      </c>
      <c r="B58" s="316" t="s">
        <v>956</v>
      </c>
      <c r="C58" s="316" t="s">
        <v>399</v>
      </c>
      <c r="D58" s="316" t="s">
        <v>1111</v>
      </c>
      <c r="E58" s="602" t="s">
        <v>1477</v>
      </c>
      <c r="F58" s="603">
        <v>250</v>
      </c>
      <c r="G58" s="603">
        <v>250</v>
      </c>
      <c r="H58" s="603">
        <v>250</v>
      </c>
      <c r="I58" s="603">
        <v>250</v>
      </c>
      <c r="J58" s="603">
        <v>250</v>
      </c>
      <c r="K58" s="603">
        <v>236.3</v>
      </c>
      <c r="L58" s="603">
        <v>0</v>
      </c>
      <c r="M58" s="603">
        <v>0</v>
      </c>
      <c r="N58" s="603">
        <v>0</v>
      </c>
      <c r="O58" s="603">
        <v>0</v>
      </c>
      <c r="P58" s="603">
        <v>0</v>
      </c>
      <c r="Q58" s="603">
        <v>0</v>
      </c>
      <c r="R58" s="603">
        <v>0</v>
      </c>
      <c r="S58" s="484">
        <f t="shared" si="8"/>
        <v>113.44166666666666</v>
      </c>
      <c r="T58" s="604"/>
      <c r="U58" s="642">
        <f t="shared" si="9"/>
        <v>113.44166666666666</v>
      </c>
      <c r="V58" s="679"/>
      <c r="W58" s="679"/>
      <c r="X58" s="702"/>
      <c r="Y58" s="679"/>
      <c r="Z58" s="679"/>
      <c r="AA58" s="642"/>
      <c r="AB58" s="679"/>
      <c r="AC58" s="643"/>
      <c r="AD58" s="644">
        <f t="shared" si="10"/>
        <v>113.44166666666666</v>
      </c>
      <c r="AE58" s="643"/>
      <c r="AF58" s="677">
        <f t="shared" si="0"/>
        <v>0</v>
      </c>
    </row>
    <row r="59" spans="1:32">
      <c r="A59" s="604">
        <v>45</v>
      </c>
      <c r="B59" s="604"/>
      <c r="C59" s="604" t="s">
        <v>399</v>
      </c>
      <c r="D59" s="604" t="s">
        <v>1111</v>
      </c>
      <c r="E59" s="589" t="s">
        <v>400</v>
      </c>
      <c r="F59" s="295">
        <f t="shared" ref="F59:S59" si="11">SUM(F48:F58)</f>
        <v>3204308.9300000006</v>
      </c>
      <c r="G59" s="295">
        <f t="shared" si="11"/>
        <v>1149.9999999998836</v>
      </c>
      <c r="H59" s="295">
        <f t="shared" si="11"/>
        <v>553067.29999999993</v>
      </c>
      <c r="I59" s="295">
        <f t="shared" si="11"/>
        <v>1929589.5300000003</v>
      </c>
      <c r="J59" s="295">
        <f t="shared" si="11"/>
        <v>112421.36999999988</v>
      </c>
      <c r="K59" s="295">
        <f t="shared" si="11"/>
        <v>86776.910000000062</v>
      </c>
      <c r="L59" s="295">
        <f t="shared" si="11"/>
        <v>1112968.57</v>
      </c>
      <c r="M59" s="295">
        <f t="shared" si="11"/>
        <v>363077.60000000003</v>
      </c>
      <c r="N59" s="295">
        <f t="shared" si="11"/>
        <v>-5.8207660913467407E-11</v>
      </c>
      <c r="O59" s="295">
        <f t="shared" si="11"/>
        <v>2112367.11</v>
      </c>
      <c r="P59" s="295">
        <f t="shared" si="11"/>
        <v>5.8207660913467407E-11</v>
      </c>
      <c r="Q59" s="295">
        <f t="shared" si="11"/>
        <v>-601163.87</v>
      </c>
      <c r="R59" s="295">
        <f t="shared" si="11"/>
        <v>6896976.6200000001</v>
      </c>
      <c r="S59" s="486">
        <f t="shared" si="11"/>
        <v>893408.10791666654</v>
      </c>
      <c r="T59" s="604"/>
      <c r="U59" s="642"/>
      <c r="V59" s="679"/>
      <c r="W59" s="679"/>
      <c r="X59" s="702"/>
      <c r="Y59" s="679"/>
      <c r="Z59" s="679"/>
      <c r="AA59" s="642"/>
      <c r="AB59" s="679"/>
      <c r="AC59" s="643"/>
      <c r="AD59" s="643"/>
      <c r="AE59" s="643"/>
      <c r="AF59" s="677">
        <f t="shared" si="0"/>
        <v>0</v>
      </c>
    </row>
    <row r="60" spans="1:32">
      <c r="A60" s="604">
        <v>46</v>
      </c>
      <c r="B60" s="604"/>
      <c r="C60" s="604"/>
      <c r="D60" s="604"/>
      <c r="E60" s="589"/>
      <c r="F60" s="603"/>
      <c r="G60" s="304"/>
      <c r="H60" s="305"/>
      <c r="I60" s="305"/>
      <c r="J60" s="306"/>
      <c r="K60" s="307"/>
      <c r="L60" s="308"/>
      <c r="M60" s="309"/>
      <c r="N60" s="310"/>
      <c r="O60" s="590"/>
      <c r="P60" s="311"/>
      <c r="Q60" s="312"/>
      <c r="R60" s="603"/>
      <c r="S60" s="294"/>
      <c r="T60" s="604"/>
      <c r="U60" s="642"/>
      <c r="V60" s="679"/>
      <c r="W60" s="679"/>
      <c r="X60" s="702"/>
      <c r="Y60" s="679"/>
      <c r="Z60" s="679"/>
      <c r="AA60" s="642"/>
      <c r="AB60" s="679"/>
      <c r="AC60" s="643"/>
      <c r="AD60" s="643"/>
      <c r="AE60" s="643"/>
      <c r="AF60" s="677">
        <f t="shared" si="0"/>
        <v>0</v>
      </c>
    </row>
    <row r="61" spans="1:32">
      <c r="A61" s="604">
        <v>47</v>
      </c>
      <c r="B61" s="316" t="s">
        <v>956</v>
      </c>
      <c r="C61" s="316" t="s">
        <v>401</v>
      </c>
      <c r="D61" s="316" t="s">
        <v>1835</v>
      </c>
      <c r="E61" s="602" t="s">
        <v>1838</v>
      </c>
      <c r="F61" s="601">
        <v>0</v>
      </c>
      <c r="G61" s="601">
        <v>0</v>
      </c>
      <c r="H61" s="601">
        <v>0</v>
      </c>
      <c r="I61" s="601">
        <v>0</v>
      </c>
      <c r="J61" s="601">
        <v>0</v>
      </c>
      <c r="K61" s="601">
        <v>0</v>
      </c>
      <c r="L61" s="601">
        <v>0</v>
      </c>
      <c r="M61" s="601">
        <v>0</v>
      </c>
      <c r="N61" s="601">
        <v>0</v>
      </c>
      <c r="O61" s="601">
        <v>0</v>
      </c>
      <c r="P61" s="601">
        <v>600463.32999999996</v>
      </c>
      <c r="Q61" s="601">
        <v>601163.87</v>
      </c>
      <c r="R61" s="601">
        <v>0</v>
      </c>
      <c r="S61" s="484">
        <f>((F61+R61)+((G61+H61+I61+J61+K61+L61+M61+N61+O61+P61+Q61)*2))/24</f>
        <v>100135.59999999999</v>
      </c>
      <c r="T61" s="604"/>
      <c r="U61" s="642">
        <f>+S61</f>
        <v>100135.59999999999</v>
      </c>
      <c r="V61" s="679"/>
      <c r="W61" s="679"/>
      <c r="X61" s="702"/>
      <c r="Y61" s="679"/>
      <c r="Z61" s="679"/>
      <c r="AA61" s="642"/>
      <c r="AB61" s="679"/>
      <c r="AC61" s="643"/>
      <c r="AD61" s="645">
        <f>+U61</f>
        <v>100135.59999999999</v>
      </c>
      <c r="AE61" s="643"/>
      <c r="AF61" s="677">
        <f t="shared" si="0"/>
        <v>0</v>
      </c>
    </row>
    <row r="62" spans="1:32">
      <c r="A62" s="604">
        <v>48</v>
      </c>
      <c r="B62" s="316"/>
      <c r="C62" s="316" t="s">
        <v>401</v>
      </c>
      <c r="D62" s="316" t="s">
        <v>1839</v>
      </c>
      <c r="E62" s="602" t="s">
        <v>1840</v>
      </c>
      <c r="F62" s="704">
        <v>0</v>
      </c>
      <c r="G62" s="704">
        <v>0</v>
      </c>
      <c r="H62" s="704">
        <v>0</v>
      </c>
      <c r="I62" s="704">
        <v>0</v>
      </c>
      <c r="J62" s="704">
        <v>0</v>
      </c>
      <c r="K62" s="704">
        <v>0</v>
      </c>
      <c r="L62" s="704">
        <v>0</v>
      </c>
      <c r="M62" s="704">
        <v>0</v>
      </c>
      <c r="N62" s="704">
        <v>0</v>
      </c>
      <c r="O62" s="704">
        <v>0</v>
      </c>
      <c r="P62" s="704">
        <v>0</v>
      </c>
      <c r="Q62" s="704">
        <v>0</v>
      </c>
      <c r="R62" s="704">
        <v>0</v>
      </c>
      <c r="S62" s="484">
        <f>((F62+R62)+((G62+H62+I62+J62+K62+L62+M62+N62+O62+P62+Q62)*2))/24</f>
        <v>0</v>
      </c>
      <c r="T62" s="604"/>
      <c r="U62" s="642"/>
      <c r="V62" s="679"/>
      <c r="W62" s="679"/>
      <c r="X62" s="702"/>
      <c r="Y62" s="679"/>
      <c r="Z62" s="679"/>
      <c r="AA62" s="642"/>
      <c r="AB62" s="679"/>
      <c r="AC62" s="643"/>
      <c r="AD62" s="645"/>
      <c r="AE62" s="643"/>
      <c r="AF62" s="677"/>
    </row>
    <row r="63" spans="1:32">
      <c r="A63" s="604">
        <v>49</v>
      </c>
      <c r="B63" s="604"/>
      <c r="C63" s="604"/>
      <c r="D63" s="604"/>
      <c r="E63" s="589" t="s">
        <v>402</v>
      </c>
      <c r="F63" s="601">
        <f t="shared" ref="F63:S63" si="12">+F61</f>
        <v>0</v>
      </c>
      <c r="G63" s="601">
        <f t="shared" si="12"/>
        <v>0</v>
      </c>
      <c r="H63" s="601">
        <f t="shared" si="12"/>
        <v>0</v>
      </c>
      <c r="I63" s="601">
        <f t="shared" si="12"/>
        <v>0</v>
      </c>
      <c r="J63" s="601">
        <f t="shared" si="12"/>
        <v>0</v>
      </c>
      <c r="K63" s="601">
        <f t="shared" si="12"/>
        <v>0</v>
      </c>
      <c r="L63" s="601">
        <f t="shared" si="12"/>
        <v>0</v>
      </c>
      <c r="M63" s="601">
        <f t="shared" si="12"/>
        <v>0</v>
      </c>
      <c r="N63" s="601">
        <f t="shared" si="12"/>
        <v>0</v>
      </c>
      <c r="O63" s="601">
        <f t="shared" si="12"/>
        <v>0</v>
      </c>
      <c r="P63" s="601">
        <f t="shared" si="12"/>
        <v>600463.32999999996</v>
      </c>
      <c r="Q63" s="601">
        <f t="shared" si="12"/>
        <v>601163.87</v>
      </c>
      <c r="R63" s="601">
        <f t="shared" si="12"/>
        <v>0</v>
      </c>
      <c r="S63" s="486">
        <f t="shared" si="12"/>
        <v>100135.59999999999</v>
      </c>
      <c r="T63" s="604"/>
      <c r="U63" s="642"/>
      <c r="V63" s="679"/>
      <c r="W63" s="679"/>
      <c r="X63" s="702"/>
      <c r="Y63" s="679"/>
      <c r="Z63" s="679"/>
      <c r="AA63" s="642"/>
      <c r="AB63" s="679"/>
      <c r="AC63" s="643"/>
      <c r="AD63" s="643"/>
      <c r="AE63" s="643"/>
      <c r="AF63" s="677">
        <f t="shared" si="0"/>
        <v>0</v>
      </c>
    </row>
    <row r="64" spans="1:32">
      <c r="A64" s="604">
        <v>50</v>
      </c>
      <c r="B64" s="604"/>
      <c r="C64" s="604"/>
      <c r="D64" s="604"/>
      <c r="E64" s="589"/>
      <c r="F64" s="603"/>
      <c r="G64" s="304"/>
      <c r="H64" s="305"/>
      <c r="I64" s="305"/>
      <c r="J64" s="306"/>
      <c r="K64" s="307"/>
      <c r="L64" s="308"/>
      <c r="M64" s="309"/>
      <c r="N64" s="310"/>
      <c r="O64" s="590"/>
      <c r="P64" s="311"/>
      <c r="Q64" s="312"/>
      <c r="R64" s="603"/>
      <c r="S64" s="294"/>
      <c r="T64" s="604"/>
      <c r="U64" s="642"/>
      <c r="V64" s="679"/>
      <c r="W64" s="679"/>
      <c r="X64" s="702"/>
      <c r="Y64" s="679"/>
      <c r="Z64" s="679"/>
      <c r="AA64" s="642"/>
      <c r="AB64" s="679"/>
      <c r="AC64" s="643"/>
      <c r="AD64" s="643"/>
      <c r="AE64" s="643"/>
      <c r="AF64" s="677">
        <f t="shared" si="0"/>
        <v>0</v>
      </c>
    </row>
    <row r="65" spans="1:32">
      <c r="A65" s="604">
        <v>51</v>
      </c>
      <c r="B65" s="316" t="s">
        <v>956</v>
      </c>
      <c r="C65" s="316" t="s">
        <v>403</v>
      </c>
      <c r="D65" s="316" t="s">
        <v>515</v>
      </c>
      <c r="E65" s="602" t="s">
        <v>1478</v>
      </c>
      <c r="F65" s="603">
        <v>945100.14</v>
      </c>
      <c r="G65" s="603">
        <v>77207.17</v>
      </c>
      <c r="H65" s="603">
        <v>-35501.22</v>
      </c>
      <c r="I65" s="603">
        <v>-2563.5099999999602</v>
      </c>
      <c r="J65" s="603">
        <v>-25324.03</v>
      </c>
      <c r="K65" s="603">
        <v>-2851.8199999999601</v>
      </c>
      <c r="L65" s="603">
        <v>-38329.089999999997</v>
      </c>
      <c r="M65" s="603">
        <v>-10234.5</v>
      </c>
      <c r="N65" s="603">
        <v>-3308.3499999999499</v>
      </c>
      <c r="O65" s="603">
        <v>-6784.3099999999504</v>
      </c>
      <c r="P65" s="603">
        <v>-28025.86</v>
      </c>
      <c r="Q65" s="603">
        <v>-25813.22</v>
      </c>
      <c r="R65" s="603">
        <v>-36000.230000000003</v>
      </c>
      <c r="S65" s="484">
        <f>((F65+R65)+((G65+H65+I65+J65+K65+L65+M65+N65+O65+P65+Q65)*2))/24</f>
        <v>29418.43458333335</v>
      </c>
      <c r="T65" s="604"/>
      <c r="U65" s="642">
        <f t="shared" ref="U65:U79" si="13">+S65</f>
        <v>29418.43458333335</v>
      </c>
      <c r="V65" s="679"/>
      <c r="W65" s="679"/>
      <c r="X65" s="702"/>
      <c r="Y65" s="679"/>
      <c r="Z65" s="679"/>
      <c r="AA65" s="642"/>
      <c r="AB65" s="679"/>
      <c r="AC65" s="643"/>
      <c r="AD65" s="644">
        <f t="shared" ref="AD65:AD80" si="14">+U65</f>
        <v>29418.43458333335</v>
      </c>
      <c r="AE65" s="643"/>
      <c r="AF65" s="677">
        <f t="shared" si="0"/>
        <v>0</v>
      </c>
    </row>
    <row r="66" spans="1:32">
      <c r="A66" s="604">
        <v>52</v>
      </c>
      <c r="B66" s="316" t="s">
        <v>984</v>
      </c>
      <c r="C66" s="316" t="s">
        <v>403</v>
      </c>
      <c r="D66" s="316" t="s">
        <v>515</v>
      </c>
      <c r="E66" s="602" t="s">
        <v>1483</v>
      </c>
      <c r="F66" s="603">
        <v>2449138.14</v>
      </c>
      <c r="G66" s="603">
        <v>3224853.65</v>
      </c>
      <c r="H66" s="603">
        <v>4270584.4000000004</v>
      </c>
      <c r="I66" s="603">
        <v>4555591.4800000004</v>
      </c>
      <c r="J66" s="603">
        <v>2924868.02</v>
      </c>
      <c r="K66" s="603">
        <v>1818952.73</v>
      </c>
      <c r="L66" s="603">
        <v>1233736.6000000001</v>
      </c>
      <c r="M66" s="603">
        <v>615442.89000000095</v>
      </c>
      <c r="N66" s="603">
        <v>109138.91000000099</v>
      </c>
      <c r="O66" s="603">
        <v>-122104.77999999899</v>
      </c>
      <c r="P66" s="603">
        <v>783535.89000000095</v>
      </c>
      <c r="Q66" s="603">
        <v>2056616.36</v>
      </c>
      <c r="R66" s="603">
        <v>3791764.54</v>
      </c>
      <c r="S66" s="484">
        <f t="shared" ref="S66:S74" si="15">((F66+R66)+((G66+H66+I66+J66+K66+L66+M66+N66+O66+P66+Q66)*2))/24</f>
        <v>2049305.6241666672</v>
      </c>
      <c r="T66" s="604"/>
      <c r="U66" s="642">
        <f t="shared" si="13"/>
        <v>2049305.6241666672</v>
      </c>
      <c r="V66" s="679"/>
      <c r="W66" s="679"/>
      <c r="X66" s="702"/>
      <c r="Y66" s="679"/>
      <c r="Z66" s="679"/>
      <c r="AA66" s="642"/>
      <c r="AB66" s="679"/>
      <c r="AC66" s="643"/>
      <c r="AD66" s="644">
        <f t="shared" si="14"/>
        <v>2049305.6241666672</v>
      </c>
      <c r="AE66" s="643"/>
      <c r="AF66" s="677">
        <f t="shared" si="0"/>
        <v>0</v>
      </c>
    </row>
    <row r="67" spans="1:32">
      <c r="A67" s="604">
        <v>53</v>
      </c>
      <c r="B67" s="316" t="s">
        <v>959</v>
      </c>
      <c r="C67" s="316" t="s">
        <v>403</v>
      </c>
      <c r="D67" s="316" t="s">
        <v>515</v>
      </c>
      <c r="E67" s="602" t="s">
        <v>1483</v>
      </c>
      <c r="F67" s="603">
        <v>7070459.8200000003</v>
      </c>
      <c r="G67" s="603">
        <v>8797923.8399999999</v>
      </c>
      <c r="H67" s="603">
        <v>13570803.08</v>
      </c>
      <c r="I67" s="603">
        <v>14612696.369999999</v>
      </c>
      <c r="J67" s="603">
        <v>7368251.1799999997</v>
      </c>
      <c r="K67" s="603">
        <v>4720081.41</v>
      </c>
      <c r="L67" s="603">
        <v>2456323.9900000002</v>
      </c>
      <c r="M67" s="603">
        <v>159505.82</v>
      </c>
      <c r="N67" s="603">
        <v>-943408.66</v>
      </c>
      <c r="O67" s="603">
        <v>-2231209.11</v>
      </c>
      <c r="P67" s="603">
        <v>-170826.56999999899</v>
      </c>
      <c r="Q67" s="603">
        <v>5610894.5300000003</v>
      </c>
      <c r="R67" s="603">
        <v>11509546.060000001</v>
      </c>
      <c r="S67" s="484">
        <f t="shared" si="15"/>
        <v>5270086.5683333343</v>
      </c>
      <c r="T67" s="604"/>
      <c r="U67" s="642">
        <f t="shared" si="13"/>
        <v>5270086.5683333343</v>
      </c>
      <c r="V67" s="679"/>
      <c r="W67" s="679"/>
      <c r="X67" s="702"/>
      <c r="Y67" s="679"/>
      <c r="Z67" s="679"/>
      <c r="AA67" s="642"/>
      <c r="AB67" s="679"/>
      <c r="AC67" s="643"/>
      <c r="AD67" s="644">
        <f t="shared" si="14"/>
        <v>5270086.5683333343</v>
      </c>
      <c r="AE67" s="643"/>
      <c r="AF67" s="677">
        <f t="shared" si="0"/>
        <v>0</v>
      </c>
    </row>
    <row r="68" spans="1:32">
      <c r="A68" s="604">
        <v>54</v>
      </c>
      <c r="B68" s="316" t="s">
        <v>984</v>
      </c>
      <c r="C68" s="316" t="s">
        <v>403</v>
      </c>
      <c r="D68" s="316" t="s">
        <v>549</v>
      </c>
      <c r="E68" s="602" t="s">
        <v>1484</v>
      </c>
      <c r="F68" s="603">
        <v>161397.89000000001</v>
      </c>
      <c r="G68" s="603">
        <v>20520.34</v>
      </c>
      <c r="H68" s="603">
        <v>224215.24</v>
      </c>
      <c r="I68" s="603">
        <v>16515.099999999999</v>
      </c>
      <c r="J68" s="603">
        <v>56070.1</v>
      </c>
      <c r="K68" s="603">
        <v>38983.660000000003</v>
      </c>
      <c r="L68" s="603">
        <v>25519.71</v>
      </c>
      <c r="M68" s="603">
        <v>24177.96</v>
      </c>
      <c r="N68" s="603">
        <v>33844.92</v>
      </c>
      <c r="O68" s="603">
        <v>55496.84</v>
      </c>
      <c r="P68" s="603">
        <v>30727.86</v>
      </c>
      <c r="Q68" s="603">
        <v>97435.35</v>
      </c>
      <c r="R68" s="603">
        <v>23387.360000000001</v>
      </c>
      <c r="S68" s="484">
        <f t="shared" si="15"/>
        <v>59658.308749999997</v>
      </c>
      <c r="T68" s="604"/>
      <c r="U68" s="642">
        <f t="shared" si="13"/>
        <v>59658.308749999997</v>
      </c>
      <c r="V68" s="679"/>
      <c r="W68" s="679"/>
      <c r="X68" s="702"/>
      <c r="Y68" s="679"/>
      <c r="Z68" s="679"/>
      <c r="AA68" s="642"/>
      <c r="AB68" s="679"/>
      <c r="AC68" s="643"/>
      <c r="AD68" s="644">
        <f t="shared" si="14"/>
        <v>59658.308749999997</v>
      </c>
      <c r="AE68" s="643"/>
      <c r="AF68" s="677">
        <f t="shared" si="0"/>
        <v>0</v>
      </c>
    </row>
    <row r="69" spans="1:32">
      <c r="A69" s="604">
        <v>55</v>
      </c>
      <c r="B69" s="316" t="s">
        <v>959</v>
      </c>
      <c r="C69" s="316" t="s">
        <v>403</v>
      </c>
      <c r="D69" s="316" t="s">
        <v>549</v>
      </c>
      <c r="E69" s="602" t="s">
        <v>1484</v>
      </c>
      <c r="F69" s="603">
        <v>150854.79</v>
      </c>
      <c r="G69" s="603">
        <v>159573</v>
      </c>
      <c r="H69" s="603">
        <v>259737.60000000001</v>
      </c>
      <c r="I69" s="603">
        <v>194116.22</v>
      </c>
      <c r="J69" s="603">
        <v>129670.29</v>
      </c>
      <c r="K69" s="603">
        <v>129990.04</v>
      </c>
      <c r="L69" s="603">
        <v>65209.33</v>
      </c>
      <c r="M69" s="603">
        <v>172461.87</v>
      </c>
      <c r="N69" s="603">
        <v>106331.78</v>
      </c>
      <c r="O69" s="603">
        <v>228476.34</v>
      </c>
      <c r="P69" s="603">
        <v>161198.41</v>
      </c>
      <c r="Q69" s="603">
        <v>250522.76</v>
      </c>
      <c r="R69" s="603">
        <v>266649.46999999997</v>
      </c>
      <c r="S69" s="484">
        <f t="shared" si="15"/>
        <v>172169.98083333333</v>
      </c>
      <c r="T69" s="604"/>
      <c r="U69" s="642">
        <f t="shared" si="13"/>
        <v>172169.98083333333</v>
      </c>
      <c r="V69" s="679"/>
      <c r="W69" s="679"/>
      <c r="X69" s="702"/>
      <c r="Y69" s="679"/>
      <c r="Z69" s="679"/>
      <c r="AA69" s="642"/>
      <c r="AB69" s="679"/>
      <c r="AC69" s="643"/>
      <c r="AD69" s="644">
        <f t="shared" si="14"/>
        <v>172169.98083333333</v>
      </c>
      <c r="AE69" s="643"/>
      <c r="AF69" s="677">
        <f t="shared" si="0"/>
        <v>0</v>
      </c>
    </row>
    <row r="70" spans="1:32">
      <c r="A70" s="604">
        <v>56</v>
      </c>
      <c r="B70" s="316" t="s">
        <v>984</v>
      </c>
      <c r="C70" s="316" t="s">
        <v>403</v>
      </c>
      <c r="D70" s="316" t="s">
        <v>943</v>
      </c>
      <c r="E70" s="602" t="s">
        <v>1485</v>
      </c>
      <c r="F70" s="603">
        <v>1518612.94</v>
      </c>
      <c r="G70" s="603">
        <v>0</v>
      </c>
      <c r="H70" s="603">
        <v>0</v>
      </c>
      <c r="I70" s="603">
        <v>0</v>
      </c>
      <c r="J70" s="603">
        <v>0</v>
      </c>
      <c r="K70" s="603">
        <v>0</v>
      </c>
      <c r="L70" s="603">
        <v>0</v>
      </c>
      <c r="M70" s="603">
        <v>0</v>
      </c>
      <c r="N70" s="603">
        <v>0</v>
      </c>
      <c r="O70" s="603">
        <v>0</v>
      </c>
      <c r="P70" s="603">
        <v>0</v>
      </c>
      <c r="Q70" s="603">
        <v>0</v>
      </c>
      <c r="R70" s="603">
        <v>0</v>
      </c>
      <c r="S70" s="484">
        <f t="shared" si="15"/>
        <v>63275.539166666662</v>
      </c>
      <c r="T70" s="604"/>
      <c r="U70" s="642">
        <f t="shared" si="13"/>
        <v>63275.539166666662</v>
      </c>
      <c r="V70" s="679"/>
      <c r="W70" s="679"/>
      <c r="X70" s="702"/>
      <c r="Y70" s="679"/>
      <c r="Z70" s="679"/>
      <c r="AA70" s="642"/>
      <c r="AB70" s="679"/>
      <c r="AC70" s="643"/>
      <c r="AD70" s="644">
        <f t="shared" si="14"/>
        <v>63275.539166666662</v>
      </c>
      <c r="AE70" s="643"/>
      <c r="AF70" s="677">
        <f t="shared" si="0"/>
        <v>0</v>
      </c>
    </row>
    <row r="71" spans="1:32">
      <c r="A71" s="604">
        <v>57</v>
      </c>
      <c r="B71" s="316" t="s">
        <v>959</v>
      </c>
      <c r="C71" s="316" t="s">
        <v>403</v>
      </c>
      <c r="D71" s="316" t="s">
        <v>943</v>
      </c>
      <c r="E71" s="602" t="s">
        <v>1485</v>
      </c>
      <c r="F71" s="603">
        <v>5330310.5</v>
      </c>
      <c r="G71" s="603"/>
      <c r="H71" s="603"/>
      <c r="I71" s="603"/>
      <c r="J71" s="603"/>
      <c r="K71" s="603"/>
      <c r="L71" s="603"/>
      <c r="M71" s="603"/>
      <c r="N71" s="603"/>
      <c r="O71" s="603"/>
      <c r="P71" s="603"/>
      <c r="Q71" s="603"/>
      <c r="R71" s="603"/>
      <c r="S71" s="484">
        <f t="shared" si="15"/>
        <v>222096.27083333334</v>
      </c>
      <c r="T71" s="604"/>
      <c r="U71" s="642">
        <f t="shared" si="13"/>
        <v>222096.27083333334</v>
      </c>
      <c r="V71" s="679"/>
      <c r="W71" s="679"/>
      <c r="X71" s="702"/>
      <c r="Y71" s="679"/>
      <c r="Z71" s="679"/>
      <c r="AA71" s="642"/>
      <c r="AB71" s="679"/>
      <c r="AC71" s="643"/>
      <c r="AD71" s="644">
        <f t="shared" si="14"/>
        <v>222096.27083333334</v>
      </c>
      <c r="AE71" s="643"/>
      <c r="AF71" s="677">
        <f t="shared" si="0"/>
        <v>0</v>
      </c>
    </row>
    <row r="72" spans="1:32">
      <c r="A72" s="604">
        <v>58</v>
      </c>
      <c r="B72" s="316" t="s">
        <v>956</v>
      </c>
      <c r="C72" s="316" t="s">
        <v>404</v>
      </c>
      <c r="D72" s="316" t="s">
        <v>1112</v>
      </c>
      <c r="E72" s="602" t="s">
        <v>1479</v>
      </c>
      <c r="F72" s="603">
        <v>1902279.41</v>
      </c>
      <c r="G72" s="603">
        <v>2597806.41</v>
      </c>
      <c r="H72" s="603">
        <v>945119.02</v>
      </c>
      <c r="I72" s="603">
        <v>2906113.03</v>
      </c>
      <c r="J72" s="603">
        <v>4127184.76</v>
      </c>
      <c r="K72" s="603">
        <v>1054693.96</v>
      </c>
      <c r="L72" s="603">
        <v>924373.96</v>
      </c>
      <c r="M72" s="603">
        <v>794790.47</v>
      </c>
      <c r="N72" s="603">
        <v>860599.65</v>
      </c>
      <c r="O72" s="603">
        <v>823984.28</v>
      </c>
      <c r="P72" s="603">
        <v>729266.75</v>
      </c>
      <c r="Q72" s="603">
        <v>903384.87</v>
      </c>
      <c r="R72" s="603">
        <v>1539318.94</v>
      </c>
      <c r="S72" s="484">
        <f t="shared" si="15"/>
        <v>1532343.0279166668</v>
      </c>
      <c r="T72" s="604"/>
      <c r="U72" s="642">
        <f t="shared" si="13"/>
        <v>1532343.0279166668</v>
      </c>
      <c r="V72" s="679"/>
      <c r="W72" s="679"/>
      <c r="X72" s="702"/>
      <c r="Y72" s="679"/>
      <c r="Z72" s="679"/>
      <c r="AA72" s="642"/>
      <c r="AB72" s="679"/>
      <c r="AC72" s="643"/>
      <c r="AD72" s="644">
        <f t="shared" si="14"/>
        <v>1532343.0279166668</v>
      </c>
      <c r="AE72" s="643"/>
      <c r="AF72" s="677">
        <f t="shared" si="0"/>
        <v>0</v>
      </c>
    </row>
    <row r="73" spans="1:32">
      <c r="A73" s="604">
        <v>59</v>
      </c>
      <c r="B73" s="316" t="s">
        <v>956</v>
      </c>
      <c r="C73" s="316" t="s">
        <v>404</v>
      </c>
      <c r="D73" s="316" t="s">
        <v>450</v>
      </c>
      <c r="E73" s="602" t="s">
        <v>1480</v>
      </c>
      <c r="F73" s="603">
        <v>0</v>
      </c>
      <c r="G73" s="603">
        <v>0</v>
      </c>
      <c r="H73" s="603">
        <v>0</v>
      </c>
      <c r="I73" s="603">
        <v>-3804.8</v>
      </c>
      <c r="J73" s="603">
        <v>-3804.8</v>
      </c>
      <c r="K73" s="603">
        <v>-3804.8</v>
      </c>
      <c r="L73" s="603">
        <v>-3804.8</v>
      </c>
      <c r="M73" s="603">
        <v>-3804.8</v>
      </c>
      <c r="N73" s="603">
        <v>-3804.8</v>
      </c>
      <c r="O73" s="603">
        <v>0</v>
      </c>
      <c r="P73" s="603">
        <v>-1908.26</v>
      </c>
      <c r="Q73" s="603">
        <v>-1908.26</v>
      </c>
      <c r="R73" s="603">
        <v>-1908.26</v>
      </c>
      <c r="S73" s="484">
        <f>((F73+R73)+((G73+H73+I73+J73+K73+L73+M73+N73+O73+P73+Q73)*2))/24</f>
        <v>-2299.9541666666664</v>
      </c>
      <c r="T73" s="604"/>
      <c r="U73" s="642">
        <f t="shared" si="13"/>
        <v>-2299.9541666666664</v>
      </c>
      <c r="V73" s="679"/>
      <c r="W73" s="679"/>
      <c r="X73" s="702"/>
      <c r="Y73" s="679"/>
      <c r="Z73" s="679"/>
      <c r="AA73" s="642"/>
      <c r="AB73" s="679"/>
      <c r="AC73" s="643"/>
      <c r="AD73" s="644">
        <f t="shared" si="14"/>
        <v>-2299.9541666666664</v>
      </c>
      <c r="AE73" s="643"/>
      <c r="AF73" s="677">
        <f t="shared" si="0"/>
        <v>0</v>
      </c>
    </row>
    <row r="74" spans="1:32">
      <c r="A74" s="604">
        <v>60</v>
      </c>
      <c r="B74" s="316" t="s">
        <v>956</v>
      </c>
      <c r="C74" s="316" t="s">
        <v>404</v>
      </c>
      <c r="D74" s="316" t="s">
        <v>481</v>
      </c>
      <c r="E74" s="602" t="s">
        <v>1481</v>
      </c>
      <c r="F74" s="603">
        <v>359.95999999999901</v>
      </c>
      <c r="G74" s="603">
        <v>566.5</v>
      </c>
      <c r="H74" s="603">
        <v>1764.32</v>
      </c>
      <c r="I74" s="603">
        <v>1105.6600000000001</v>
      </c>
      <c r="J74" s="603">
        <v>991.9</v>
      </c>
      <c r="K74" s="603">
        <v>666.52</v>
      </c>
      <c r="L74" s="603">
        <v>551.62</v>
      </c>
      <c r="M74" s="603">
        <v>590.4</v>
      </c>
      <c r="N74" s="603">
        <v>330.14</v>
      </c>
      <c r="O74" s="603">
        <v>1586.19</v>
      </c>
      <c r="P74" s="603">
        <v>529.12</v>
      </c>
      <c r="Q74" s="603">
        <v>515.58000000000004</v>
      </c>
      <c r="R74" s="603">
        <v>658.36</v>
      </c>
      <c r="S74" s="484">
        <f t="shared" si="15"/>
        <v>808.92583333333334</v>
      </c>
      <c r="T74" s="604"/>
      <c r="U74" s="642">
        <f t="shared" si="13"/>
        <v>808.92583333333334</v>
      </c>
      <c r="V74" s="679"/>
      <c r="W74" s="679"/>
      <c r="X74" s="702"/>
      <c r="Y74" s="679"/>
      <c r="Z74" s="679"/>
      <c r="AA74" s="642"/>
      <c r="AB74" s="679"/>
      <c r="AC74" s="643"/>
      <c r="AD74" s="644">
        <f t="shared" si="14"/>
        <v>808.92583333333334</v>
      </c>
      <c r="AE74" s="643"/>
      <c r="AF74" s="677">
        <f t="shared" si="0"/>
        <v>0</v>
      </c>
    </row>
    <row r="75" spans="1:32">
      <c r="A75" s="604">
        <v>61</v>
      </c>
      <c r="B75" s="316" t="s">
        <v>956</v>
      </c>
      <c r="C75" s="316" t="s">
        <v>404</v>
      </c>
      <c r="D75" s="316" t="s">
        <v>482</v>
      </c>
      <c r="E75" s="602" t="s">
        <v>1482</v>
      </c>
      <c r="F75" s="603">
        <v>257648.3</v>
      </c>
      <c r="G75" s="603">
        <v>303949.43</v>
      </c>
      <c r="H75" s="603">
        <v>355535.21</v>
      </c>
      <c r="I75" s="603">
        <v>262964.24</v>
      </c>
      <c r="J75" s="603">
        <v>307173.12</v>
      </c>
      <c r="K75" s="603">
        <v>104646.39</v>
      </c>
      <c r="L75" s="603">
        <v>152666.29</v>
      </c>
      <c r="M75" s="603">
        <v>7580.0199999999904</v>
      </c>
      <c r="N75" s="603">
        <v>7990.0199999999904</v>
      </c>
      <c r="O75" s="603">
        <v>8314.0099999999893</v>
      </c>
      <c r="P75" s="603">
        <v>8084.0099999999902</v>
      </c>
      <c r="Q75" s="603">
        <v>8084.0099999999902</v>
      </c>
      <c r="R75" s="603">
        <v>8084.0099999999902</v>
      </c>
      <c r="S75" s="484">
        <f t="shared" ref="S75:S80" si="16">((F75+R75)+((G75+H75+I75+J75+K75+L75+M75+N75+O75+P75+Q75)*2))/24</f>
        <v>138321.07541666666</v>
      </c>
      <c r="T75" s="604"/>
      <c r="U75" s="642">
        <f t="shared" si="13"/>
        <v>138321.07541666666</v>
      </c>
      <c r="V75" s="679"/>
      <c r="W75" s="679"/>
      <c r="X75" s="702"/>
      <c r="Y75" s="679"/>
      <c r="Z75" s="679"/>
      <c r="AA75" s="642"/>
      <c r="AB75" s="679"/>
      <c r="AC75" s="643"/>
      <c r="AD75" s="644">
        <f t="shared" si="14"/>
        <v>138321.07541666666</v>
      </c>
      <c r="AE75" s="643"/>
      <c r="AF75" s="677">
        <f t="shared" si="0"/>
        <v>0</v>
      </c>
    </row>
    <row r="76" spans="1:32">
      <c r="A76" s="604">
        <v>62</v>
      </c>
      <c r="B76" s="316" t="s">
        <v>956</v>
      </c>
      <c r="C76" s="316" t="s">
        <v>404</v>
      </c>
      <c r="D76" s="316" t="s">
        <v>567</v>
      </c>
      <c r="E76" s="602" t="s">
        <v>1841</v>
      </c>
      <c r="F76" s="603">
        <v>0</v>
      </c>
      <c r="G76" s="603">
        <v>10173859.369999999</v>
      </c>
      <c r="H76" s="603">
        <v>7365699.0300000003</v>
      </c>
      <c r="I76" s="603">
        <v>11008430.640000001</v>
      </c>
      <c r="J76" s="603">
        <v>8320373.6100000003</v>
      </c>
      <c r="K76" s="603">
        <v>9136725.1199999992</v>
      </c>
      <c r="L76" s="603">
        <v>9109102.8499999996</v>
      </c>
      <c r="M76" s="603">
        <v>10662515.24</v>
      </c>
      <c r="N76" s="603">
        <v>12105733.43</v>
      </c>
      <c r="O76" s="603">
        <v>10372514.91</v>
      </c>
      <c r="P76" s="603">
        <v>10522789.140000001</v>
      </c>
      <c r="Q76" s="603">
        <v>5534647.2800000003</v>
      </c>
      <c r="R76" s="603">
        <v>3362650.77</v>
      </c>
      <c r="S76" s="484">
        <f t="shared" si="16"/>
        <v>8832809.6670833323</v>
      </c>
      <c r="T76" s="604"/>
      <c r="U76" s="642">
        <f t="shared" si="13"/>
        <v>8832809.6670833323</v>
      </c>
      <c r="V76" s="679"/>
      <c r="W76" s="679"/>
      <c r="X76" s="702"/>
      <c r="Y76" s="679"/>
      <c r="Z76" s="679"/>
      <c r="AA76" s="642"/>
      <c r="AB76" s="679"/>
      <c r="AC76" s="643"/>
      <c r="AD76" s="644">
        <f t="shared" si="14"/>
        <v>8832809.6670833323</v>
      </c>
      <c r="AE76" s="643"/>
      <c r="AF76" s="677"/>
    </row>
    <row r="77" spans="1:32">
      <c r="A77" s="604">
        <v>63</v>
      </c>
      <c r="B77" s="316" t="s">
        <v>984</v>
      </c>
      <c r="C77" s="316" t="s">
        <v>404</v>
      </c>
      <c r="D77" s="316" t="s">
        <v>568</v>
      </c>
      <c r="E77" s="602" t="s">
        <v>1842</v>
      </c>
      <c r="F77" s="603">
        <v>0</v>
      </c>
      <c r="G77" s="603">
        <v>803513.12</v>
      </c>
      <c r="H77" s="603">
        <v>1136244.72</v>
      </c>
      <c r="I77" s="603">
        <v>1476991.49</v>
      </c>
      <c r="J77" s="603">
        <v>710674.26</v>
      </c>
      <c r="K77" s="603">
        <v>782041.4</v>
      </c>
      <c r="L77" s="603">
        <v>921213.06</v>
      </c>
      <c r="M77" s="603">
        <v>1056901.3799999999</v>
      </c>
      <c r="N77" s="603">
        <v>1182944.8400000001</v>
      </c>
      <c r="O77" s="603">
        <v>1218165.53</v>
      </c>
      <c r="P77" s="603">
        <v>1231042.8400000001</v>
      </c>
      <c r="Q77" s="603">
        <v>281899.87</v>
      </c>
      <c r="R77" s="603">
        <v>282015.99</v>
      </c>
      <c r="S77" s="484">
        <f t="shared" si="16"/>
        <v>911886.70874999987</v>
      </c>
      <c r="T77" s="604"/>
      <c r="U77" s="642">
        <f t="shared" si="13"/>
        <v>911886.70874999987</v>
      </c>
      <c r="V77" s="679"/>
      <c r="W77" s="679"/>
      <c r="X77" s="702"/>
      <c r="Y77" s="679"/>
      <c r="Z77" s="679"/>
      <c r="AA77" s="642"/>
      <c r="AB77" s="679"/>
      <c r="AC77" s="643"/>
      <c r="AD77" s="644">
        <f t="shared" si="14"/>
        <v>911886.70874999987</v>
      </c>
      <c r="AE77" s="643"/>
      <c r="AF77" s="677"/>
    </row>
    <row r="78" spans="1:32">
      <c r="A78" s="604">
        <v>64</v>
      </c>
      <c r="B78" s="316" t="s">
        <v>956</v>
      </c>
      <c r="C78" s="316" t="s">
        <v>404</v>
      </c>
      <c r="D78" s="316" t="s">
        <v>470</v>
      </c>
      <c r="E78" s="602" t="s">
        <v>1843</v>
      </c>
      <c r="F78" s="603">
        <v>0</v>
      </c>
      <c r="G78" s="603">
        <v>-71714</v>
      </c>
      <c r="H78" s="603">
        <v>-71714</v>
      </c>
      <c r="I78" s="603">
        <v>-78024</v>
      </c>
      <c r="J78" s="603">
        <v>-78024</v>
      </c>
      <c r="K78" s="603">
        <v>-78024</v>
      </c>
      <c r="L78" s="603">
        <v>-86412</v>
      </c>
      <c r="M78" s="603">
        <v>-86412</v>
      </c>
      <c r="N78" s="603">
        <v>-86412</v>
      </c>
      <c r="O78" s="603">
        <v>-93428.9</v>
      </c>
      <c r="P78" s="603">
        <v>-93428.9</v>
      </c>
      <c r="Q78" s="603">
        <v>-93428.9</v>
      </c>
      <c r="R78" s="603">
        <v>-103941.2</v>
      </c>
      <c r="S78" s="484">
        <f t="shared" si="16"/>
        <v>-80749.441666666666</v>
      </c>
      <c r="T78" s="604"/>
      <c r="U78" s="642">
        <f t="shared" si="13"/>
        <v>-80749.441666666666</v>
      </c>
      <c r="V78" s="679"/>
      <c r="W78" s="679"/>
      <c r="X78" s="702"/>
      <c r="Y78" s="679"/>
      <c r="Z78" s="679"/>
      <c r="AA78" s="642"/>
      <c r="AB78" s="679"/>
      <c r="AC78" s="643"/>
      <c r="AD78" s="644">
        <f t="shared" si="14"/>
        <v>-80749.441666666666</v>
      </c>
      <c r="AE78" s="643"/>
      <c r="AF78" s="677"/>
    </row>
    <row r="79" spans="1:32">
      <c r="A79" s="604">
        <v>65</v>
      </c>
      <c r="B79" s="316" t="s">
        <v>1844</v>
      </c>
      <c r="C79" s="316" t="s">
        <v>404</v>
      </c>
      <c r="D79" s="316" t="s">
        <v>1113</v>
      </c>
      <c r="E79" s="602" t="s">
        <v>1845</v>
      </c>
      <c r="F79" s="603">
        <v>0</v>
      </c>
      <c r="G79" s="603">
        <v>0</v>
      </c>
      <c r="H79" s="603">
        <v>0</v>
      </c>
      <c r="I79" s="603">
        <v>-12407398.130000001</v>
      </c>
      <c r="J79" s="603">
        <v>0</v>
      </c>
      <c r="K79" s="603">
        <v>0</v>
      </c>
      <c r="L79" s="603">
        <v>0</v>
      </c>
      <c r="M79" s="603">
        <v>0</v>
      </c>
      <c r="N79" s="603">
        <v>0</v>
      </c>
      <c r="O79" s="603">
        <v>0</v>
      </c>
      <c r="P79" s="603">
        <v>0</v>
      </c>
      <c r="Q79" s="603">
        <v>0</v>
      </c>
      <c r="R79" s="603">
        <v>0</v>
      </c>
      <c r="S79" s="484">
        <f t="shared" si="16"/>
        <v>-1033949.8441666667</v>
      </c>
      <c r="T79" s="604"/>
      <c r="U79" s="642">
        <f t="shared" si="13"/>
        <v>-1033949.8441666667</v>
      </c>
      <c r="V79" s="679"/>
      <c r="W79" s="679"/>
      <c r="X79" s="702"/>
      <c r="Y79" s="679"/>
      <c r="Z79" s="679"/>
      <c r="AA79" s="642"/>
      <c r="AB79" s="679"/>
      <c r="AC79" s="643"/>
      <c r="AD79" s="644">
        <f t="shared" si="14"/>
        <v>-1033949.8441666667</v>
      </c>
      <c r="AE79" s="643"/>
      <c r="AF79" s="677"/>
    </row>
    <row r="80" spans="1:32">
      <c r="A80" s="604">
        <v>66</v>
      </c>
      <c r="B80" s="316" t="s">
        <v>1844</v>
      </c>
      <c r="C80" s="316" t="s">
        <v>403</v>
      </c>
      <c r="D80" s="316" t="s">
        <v>369</v>
      </c>
      <c r="E80" s="602" t="s">
        <v>1485</v>
      </c>
      <c r="F80" s="603">
        <v>0</v>
      </c>
      <c r="G80" s="603">
        <v>5838301.9000000004</v>
      </c>
      <c r="H80" s="603">
        <v>4633485.24</v>
      </c>
      <c r="I80" s="603">
        <v>3540579.51</v>
      </c>
      <c r="J80" s="603">
        <v>3642714.65</v>
      </c>
      <c r="K80" s="603">
        <v>4098905.74</v>
      </c>
      <c r="L80" s="603">
        <v>4827107.67</v>
      </c>
      <c r="M80" s="603">
        <v>5806606.46</v>
      </c>
      <c r="N80" s="603">
        <v>6744026.6699999999</v>
      </c>
      <c r="O80" s="603">
        <v>7810745.5800000001</v>
      </c>
      <c r="P80" s="603">
        <v>8303914.0999999996</v>
      </c>
      <c r="Q80" s="603">
        <v>7709249.4000000004</v>
      </c>
      <c r="R80" s="603">
        <v>6456802.7800000003</v>
      </c>
      <c r="S80" s="484">
        <f t="shared" si="16"/>
        <v>5515336.5258333338</v>
      </c>
      <c r="T80" s="604"/>
      <c r="U80" s="642">
        <f>+S80</f>
        <v>5515336.5258333338</v>
      </c>
      <c r="V80" s="679"/>
      <c r="W80" s="679"/>
      <c r="X80" s="702"/>
      <c r="Y80" s="679"/>
      <c r="Z80" s="679"/>
      <c r="AA80" s="642"/>
      <c r="AB80" s="679"/>
      <c r="AC80" s="643"/>
      <c r="AD80" s="644">
        <f t="shared" si="14"/>
        <v>5515336.5258333338</v>
      </c>
      <c r="AE80" s="643"/>
      <c r="AF80" s="677"/>
    </row>
    <row r="81" spans="1:32">
      <c r="A81" s="604">
        <v>67</v>
      </c>
      <c r="B81" s="604"/>
      <c r="C81" s="604"/>
      <c r="D81" s="604"/>
      <c r="E81" s="589" t="s">
        <v>405</v>
      </c>
      <c r="F81" s="603">
        <f t="shared" ref="F81:Q81" si="17">SUM(F65:F80)</f>
        <v>19786161.890000001</v>
      </c>
      <c r="G81" s="603">
        <f t="shared" si="17"/>
        <v>31926360.730000004</v>
      </c>
      <c r="H81" s="603">
        <f t="shared" si="17"/>
        <v>32655972.640000001</v>
      </c>
      <c r="I81" s="603">
        <f t="shared" si="17"/>
        <v>26083313.299999997</v>
      </c>
      <c r="J81" s="603">
        <f t="shared" si="17"/>
        <v>27480819.059999999</v>
      </c>
      <c r="K81" s="603">
        <f t="shared" si="17"/>
        <v>21801006.350000001</v>
      </c>
      <c r="L81" s="603">
        <f t="shared" si="17"/>
        <v>19587259.190000001</v>
      </c>
      <c r="M81" s="603">
        <f t="shared" si="17"/>
        <v>19200121.210000001</v>
      </c>
      <c r="N81" s="603">
        <f t="shared" si="17"/>
        <v>20114006.550000001</v>
      </c>
      <c r="O81" s="603">
        <f t="shared" si="17"/>
        <v>18065756.579999998</v>
      </c>
      <c r="P81" s="603">
        <f t="shared" si="17"/>
        <v>21476898.530000001</v>
      </c>
      <c r="Q81" s="603">
        <f t="shared" si="17"/>
        <v>22332099.629999995</v>
      </c>
      <c r="R81" s="603">
        <f>SUM(R65:R80)</f>
        <v>27099028.59</v>
      </c>
      <c r="S81" s="484">
        <f>SUM(S65:S80)</f>
        <v>23680517.4175</v>
      </c>
      <c r="T81" s="604"/>
      <c r="U81" s="642"/>
      <c r="V81" s="679"/>
      <c r="W81" s="679"/>
      <c r="X81" s="702"/>
      <c r="Y81" s="679"/>
      <c r="Z81" s="679"/>
      <c r="AA81" s="642"/>
      <c r="AB81" s="679"/>
      <c r="AC81" s="643"/>
      <c r="AD81" s="643"/>
      <c r="AE81" s="643"/>
      <c r="AF81" s="677">
        <f t="shared" si="0"/>
        <v>0</v>
      </c>
    </row>
    <row r="82" spans="1:32">
      <c r="A82" s="604">
        <v>68</v>
      </c>
      <c r="B82" s="604"/>
      <c r="C82" s="604"/>
      <c r="D82" s="604"/>
      <c r="E82" s="589" t="s">
        <v>91</v>
      </c>
      <c r="F82" s="603"/>
      <c r="G82" s="304"/>
      <c r="H82" s="305"/>
      <c r="I82" s="305"/>
      <c r="J82" s="306"/>
      <c r="K82" s="307"/>
      <c r="L82" s="308"/>
      <c r="M82" s="309"/>
      <c r="N82" s="310"/>
      <c r="O82" s="590"/>
      <c r="P82" s="311"/>
      <c r="Q82" s="312"/>
      <c r="R82" s="603"/>
      <c r="S82" s="294"/>
      <c r="T82" s="604"/>
      <c r="U82" s="642"/>
      <c r="V82" s="679"/>
      <c r="W82" s="679"/>
      <c r="X82" s="702"/>
      <c r="Y82" s="679"/>
      <c r="Z82" s="679"/>
      <c r="AA82" s="642"/>
      <c r="AB82" s="679"/>
      <c r="AC82" s="643"/>
      <c r="AD82" s="643"/>
      <c r="AE82" s="643"/>
      <c r="AF82" s="677">
        <f t="shared" si="0"/>
        <v>0</v>
      </c>
    </row>
    <row r="83" spans="1:32">
      <c r="A83" s="604">
        <v>69</v>
      </c>
      <c r="B83" s="316" t="s">
        <v>956</v>
      </c>
      <c r="C83" s="316" t="s">
        <v>406</v>
      </c>
      <c r="D83" s="316" t="s">
        <v>398</v>
      </c>
      <c r="E83" s="589" t="s">
        <v>407</v>
      </c>
      <c r="F83" s="603">
        <v>0</v>
      </c>
      <c r="G83" s="603">
        <v>0</v>
      </c>
      <c r="H83" s="603">
        <v>0</v>
      </c>
      <c r="I83" s="603">
        <v>0</v>
      </c>
      <c r="J83" s="603">
        <v>0</v>
      </c>
      <c r="K83" s="603">
        <v>0</v>
      </c>
      <c r="L83" s="603">
        <v>0</v>
      </c>
      <c r="M83" s="603">
        <v>0</v>
      </c>
      <c r="N83" s="603">
        <v>0</v>
      </c>
      <c r="O83" s="603">
        <v>0</v>
      </c>
      <c r="P83" s="603">
        <v>0</v>
      </c>
      <c r="Q83" s="603">
        <v>0</v>
      </c>
      <c r="R83" s="603">
        <v>0</v>
      </c>
      <c r="S83" s="484">
        <f>((F83+R83)+((G83+H83+I83+J83+K83+L83+M83+N83+O83+P83+Q83)*2))/24</f>
        <v>0</v>
      </c>
      <c r="T83" s="604"/>
      <c r="U83" s="642">
        <f>+S83</f>
        <v>0</v>
      </c>
      <c r="V83" s="679"/>
      <c r="W83" s="679"/>
      <c r="X83" s="702"/>
      <c r="Y83" s="679"/>
      <c r="Z83" s="679"/>
      <c r="AA83" s="642"/>
      <c r="AB83" s="679"/>
      <c r="AC83" s="643"/>
      <c r="AD83" s="643"/>
      <c r="AE83" s="643"/>
      <c r="AF83" s="677">
        <f t="shared" si="0"/>
        <v>0</v>
      </c>
    </row>
    <row r="84" spans="1:32">
      <c r="A84" s="604">
        <v>70</v>
      </c>
      <c r="B84" s="316" t="s">
        <v>956</v>
      </c>
      <c r="C84" s="316" t="s">
        <v>406</v>
      </c>
      <c r="D84" s="316" t="s">
        <v>408</v>
      </c>
      <c r="E84" s="589" t="s">
        <v>409</v>
      </c>
      <c r="F84" s="603">
        <v>0</v>
      </c>
      <c r="G84" s="603">
        <v>0</v>
      </c>
      <c r="H84" s="603">
        <v>0</v>
      </c>
      <c r="I84" s="603">
        <v>0</v>
      </c>
      <c r="J84" s="603">
        <v>0</v>
      </c>
      <c r="K84" s="603">
        <v>0</v>
      </c>
      <c r="L84" s="603">
        <v>0</v>
      </c>
      <c r="M84" s="603">
        <v>0</v>
      </c>
      <c r="N84" s="603">
        <v>0</v>
      </c>
      <c r="O84" s="603">
        <v>0</v>
      </c>
      <c r="P84" s="603">
        <v>0</v>
      </c>
      <c r="Q84" s="603">
        <v>0</v>
      </c>
      <c r="R84" s="603">
        <v>0</v>
      </c>
      <c r="S84" s="484">
        <f>((F84+R84)+((G84+H84+I84+J84+K84+L84+M84+N84+O84+P84+Q84)*2))/24</f>
        <v>0</v>
      </c>
      <c r="T84" s="604"/>
      <c r="U84" s="642">
        <f>+S84</f>
        <v>0</v>
      </c>
      <c r="V84" s="679"/>
      <c r="W84" s="679"/>
      <c r="X84" s="702"/>
      <c r="Y84" s="679"/>
      <c r="Z84" s="679"/>
      <c r="AA84" s="642"/>
      <c r="AB84" s="679"/>
      <c r="AC84" s="643"/>
      <c r="AD84" s="643"/>
      <c r="AE84" s="643"/>
      <c r="AF84" s="677">
        <f t="shared" si="0"/>
        <v>0</v>
      </c>
    </row>
    <row r="85" spans="1:32">
      <c r="A85" s="604">
        <v>71</v>
      </c>
      <c r="B85" s="604"/>
      <c r="C85" s="604"/>
      <c r="D85" s="604"/>
      <c r="E85" s="589"/>
      <c r="F85" s="603"/>
      <c r="G85" s="304"/>
      <c r="H85" s="305"/>
      <c r="I85" s="305"/>
      <c r="J85" s="306"/>
      <c r="K85" s="307"/>
      <c r="L85" s="308"/>
      <c r="M85" s="309"/>
      <c r="N85" s="310"/>
      <c r="O85" s="590"/>
      <c r="P85" s="311"/>
      <c r="Q85" s="312"/>
      <c r="R85" s="603"/>
      <c r="S85" s="484"/>
      <c r="T85" s="604"/>
      <c r="U85" s="642"/>
      <c r="V85" s="679"/>
      <c r="W85" s="679"/>
      <c r="X85" s="702">
        <f>+S85</f>
        <v>0</v>
      </c>
      <c r="Y85" s="679"/>
      <c r="Z85" s="679"/>
      <c r="AA85" s="642"/>
      <c r="AB85" s="679"/>
      <c r="AC85" s="643"/>
      <c r="AD85" s="643"/>
      <c r="AE85" s="643"/>
      <c r="AF85" s="677">
        <f t="shared" si="0"/>
        <v>0</v>
      </c>
    </row>
    <row r="86" spans="1:32">
      <c r="A86" s="604">
        <v>72</v>
      </c>
      <c r="B86" s="316" t="s">
        <v>956</v>
      </c>
      <c r="C86" s="316" t="s">
        <v>410</v>
      </c>
      <c r="D86" s="316" t="s">
        <v>718</v>
      </c>
      <c r="E86" s="589" t="s">
        <v>411</v>
      </c>
      <c r="F86" s="603">
        <v>109738.76</v>
      </c>
      <c r="G86" s="603">
        <v>116759.12</v>
      </c>
      <c r="H86" s="603">
        <v>7020.36</v>
      </c>
      <c r="I86" s="603">
        <v>7020.36</v>
      </c>
      <c r="J86" s="603">
        <v>7020.36</v>
      </c>
      <c r="K86" s="603">
        <v>9.0949470177292804E-13</v>
      </c>
      <c r="L86" s="603">
        <v>9.0949470177292804E-13</v>
      </c>
      <c r="M86" s="603">
        <v>9.0949470177292804E-13</v>
      </c>
      <c r="N86" s="603">
        <v>9.0949470177292804E-13</v>
      </c>
      <c r="O86" s="603">
        <v>9.0949470177292804E-13</v>
      </c>
      <c r="P86" s="603">
        <v>9.0949470177292804E-13</v>
      </c>
      <c r="Q86" s="603">
        <v>9.0949470177292804E-13</v>
      </c>
      <c r="R86" s="603">
        <v>13039.55</v>
      </c>
      <c r="S86" s="484">
        <f t="shared" ref="S86:S94" si="18">((F86+R86)+((G86+H86+I86+J86+K86+L86+M86+N86+O86+P86+Q86)*2))/24</f>
        <v>16600.779583333333</v>
      </c>
      <c r="T86" s="604"/>
      <c r="U86" s="642"/>
      <c r="V86" s="679"/>
      <c r="W86" s="679"/>
      <c r="X86" s="702">
        <f>+S86</f>
        <v>16600.779583333333</v>
      </c>
      <c r="Y86" s="679"/>
      <c r="Z86" s="679"/>
      <c r="AA86" s="642"/>
      <c r="AB86" s="679">
        <f t="shared" ref="AB86:AB94" si="19">+S86</f>
        <v>16600.779583333333</v>
      </c>
      <c r="AC86" s="643"/>
      <c r="AD86" s="643"/>
      <c r="AE86" s="643"/>
      <c r="AF86" s="677">
        <f t="shared" ref="AF86:AF149" si="20">+U86+V86-AD86</f>
        <v>0</v>
      </c>
    </row>
    <row r="87" spans="1:32">
      <c r="A87" s="604">
        <v>73</v>
      </c>
      <c r="B87" s="316" t="s">
        <v>956</v>
      </c>
      <c r="C87" s="316" t="s">
        <v>410</v>
      </c>
      <c r="D87" s="316" t="s">
        <v>412</v>
      </c>
      <c r="E87" s="589" t="s">
        <v>1378</v>
      </c>
      <c r="F87" s="603">
        <v>0</v>
      </c>
      <c r="G87" s="603">
        <v>0</v>
      </c>
      <c r="H87" s="603">
        <v>109738.76</v>
      </c>
      <c r="I87" s="603">
        <v>73733.149999999994</v>
      </c>
      <c r="J87" s="603">
        <v>73733.149999999994</v>
      </c>
      <c r="K87" s="603">
        <v>73733.149999999994</v>
      </c>
      <c r="L87" s="603">
        <v>73733.149999999994</v>
      </c>
      <c r="M87" s="603">
        <v>20174.68</v>
      </c>
      <c r="N87" s="603">
        <v>19934.080000000002</v>
      </c>
      <c r="O87" s="603">
        <v>-7.2759576141834308E-12</v>
      </c>
      <c r="P87" s="603">
        <v>-7.2759576141834308E-12</v>
      </c>
      <c r="Q87" s="603">
        <v>-7.2759576141834308E-12</v>
      </c>
      <c r="R87" s="603">
        <v>74428.789999999994</v>
      </c>
      <c r="S87" s="484">
        <f t="shared" si="18"/>
        <v>40166.209583333337</v>
      </c>
      <c r="T87" s="604"/>
      <c r="U87" s="642"/>
      <c r="V87" s="679"/>
      <c r="W87" s="679"/>
      <c r="X87" s="702">
        <f>+S87</f>
        <v>40166.209583333337</v>
      </c>
      <c r="Y87" s="679"/>
      <c r="Z87" s="679"/>
      <c r="AA87" s="642"/>
      <c r="AB87" s="679">
        <f t="shared" si="19"/>
        <v>40166.209583333337</v>
      </c>
      <c r="AC87" s="643"/>
      <c r="AD87" s="643"/>
      <c r="AE87" s="643"/>
      <c r="AF87" s="677">
        <f t="shared" si="20"/>
        <v>0</v>
      </c>
    </row>
    <row r="88" spans="1:32">
      <c r="A88" s="604">
        <v>74</v>
      </c>
      <c r="B88" s="316" t="s">
        <v>956</v>
      </c>
      <c r="C88" s="316" t="s">
        <v>410</v>
      </c>
      <c r="D88" s="316" t="s">
        <v>413</v>
      </c>
      <c r="E88" s="589" t="s">
        <v>1379</v>
      </c>
      <c r="F88" s="603">
        <v>19792.61</v>
      </c>
      <c r="G88" s="603">
        <v>19792.61</v>
      </c>
      <c r="H88" s="603">
        <v>0</v>
      </c>
      <c r="I88" s="603">
        <v>0</v>
      </c>
      <c r="J88" s="603">
        <v>0</v>
      </c>
      <c r="K88" s="603">
        <v>0</v>
      </c>
      <c r="L88" s="603">
        <v>0</v>
      </c>
      <c r="M88" s="603">
        <v>0</v>
      </c>
      <c r="N88" s="603">
        <v>0</v>
      </c>
      <c r="O88" s="603">
        <v>0</v>
      </c>
      <c r="P88" s="603">
        <v>16217.62</v>
      </c>
      <c r="Q88" s="603">
        <v>16217.62</v>
      </c>
      <c r="R88" s="603">
        <v>34554.699999999997</v>
      </c>
      <c r="S88" s="484">
        <f t="shared" si="18"/>
        <v>6616.7920833333337</v>
      </c>
      <c r="T88" s="604"/>
      <c r="U88" s="642"/>
      <c r="V88" s="679"/>
      <c r="W88" s="679"/>
      <c r="X88" s="702">
        <f t="shared" ref="X88:X94" si="21">+S88</f>
        <v>6616.7920833333337</v>
      </c>
      <c r="Y88" s="679"/>
      <c r="Z88" s="679"/>
      <c r="AA88" s="642"/>
      <c r="AB88" s="679">
        <f t="shared" si="19"/>
        <v>6616.7920833333337</v>
      </c>
      <c r="AC88" s="643"/>
      <c r="AD88" s="643"/>
      <c r="AE88" s="643"/>
      <c r="AF88" s="677">
        <f t="shared" si="20"/>
        <v>0</v>
      </c>
    </row>
    <row r="89" spans="1:32">
      <c r="A89" s="604">
        <v>75</v>
      </c>
      <c r="B89" s="316" t="s">
        <v>956</v>
      </c>
      <c r="C89" s="316" t="s">
        <v>410</v>
      </c>
      <c r="D89" s="316" t="s">
        <v>414</v>
      </c>
      <c r="E89" s="589" t="s">
        <v>415</v>
      </c>
      <c r="F89" s="603">
        <v>0</v>
      </c>
      <c r="G89" s="603">
        <v>0</v>
      </c>
      <c r="H89" s="603">
        <v>0</v>
      </c>
      <c r="I89" s="603">
        <v>0</v>
      </c>
      <c r="J89" s="603">
        <v>0</v>
      </c>
      <c r="K89" s="603">
        <v>0</v>
      </c>
      <c r="L89" s="603">
        <v>0</v>
      </c>
      <c r="M89" s="603">
        <v>0</v>
      </c>
      <c r="N89" s="603">
        <v>0</v>
      </c>
      <c r="O89" s="603">
        <v>0</v>
      </c>
      <c r="P89" s="603">
        <v>0</v>
      </c>
      <c r="Q89" s="603">
        <v>0</v>
      </c>
      <c r="R89" s="603">
        <v>0</v>
      </c>
      <c r="S89" s="484">
        <f t="shared" si="18"/>
        <v>0</v>
      </c>
      <c r="T89" s="604"/>
      <c r="U89" s="642"/>
      <c r="V89" s="679"/>
      <c r="W89" s="679"/>
      <c r="X89" s="702">
        <f t="shared" si="21"/>
        <v>0</v>
      </c>
      <c r="Y89" s="679"/>
      <c r="Z89" s="679"/>
      <c r="AA89" s="642"/>
      <c r="AB89" s="679">
        <f t="shared" si="19"/>
        <v>0</v>
      </c>
      <c r="AC89" s="643"/>
      <c r="AD89" s="643"/>
      <c r="AE89" s="643"/>
      <c r="AF89" s="677">
        <f t="shared" si="20"/>
        <v>0</v>
      </c>
    </row>
    <row r="90" spans="1:32">
      <c r="A90" s="604">
        <v>76</v>
      </c>
      <c r="B90" s="316" t="s">
        <v>956</v>
      </c>
      <c r="C90" s="316" t="s">
        <v>410</v>
      </c>
      <c r="D90" s="316" t="s">
        <v>416</v>
      </c>
      <c r="E90" s="589" t="s">
        <v>1846</v>
      </c>
      <c r="F90" s="603">
        <v>0</v>
      </c>
      <c r="G90" s="603">
        <v>0</v>
      </c>
      <c r="H90" s="603">
        <v>0</v>
      </c>
      <c r="I90" s="603">
        <v>0</v>
      </c>
      <c r="J90" s="603">
        <v>0</v>
      </c>
      <c r="K90" s="603">
        <v>0</v>
      </c>
      <c r="L90" s="603">
        <v>0</v>
      </c>
      <c r="M90" s="603">
        <v>0</v>
      </c>
      <c r="N90" s="603">
        <v>0</v>
      </c>
      <c r="O90" s="603">
        <v>0</v>
      </c>
      <c r="P90" s="603">
        <v>0</v>
      </c>
      <c r="Q90" s="603">
        <v>0</v>
      </c>
      <c r="R90" s="603">
        <v>0</v>
      </c>
      <c r="S90" s="484">
        <f t="shared" si="18"/>
        <v>0</v>
      </c>
      <c r="T90" s="604"/>
      <c r="U90" s="642"/>
      <c r="V90" s="679"/>
      <c r="W90" s="679"/>
      <c r="X90" s="702">
        <f t="shared" si="21"/>
        <v>0</v>
      </c>
      <c r="Y90" s="679"/>
      <c r="Z90" s="679"/>
      <c r="AA90" s="642"/>
      <c r="AB90" s="679">
        <f t="shared" si="19"/>
        <v>0</v>
      </c>
      <c r="AC90" s="643"/>
      <c r="AD90" s="643"/>
      <c r="AE90" s="643"/>
      <c r="AF90" s="677">
        <f t="shared" si="20"/>
        <v>0</v>
      </c>
    </row>
    <row r="91" spans="1:32">
      <c r="A91" s="604">
        <v>77</v>
      </c>
      <c r="B91" s="316" t="s">
        <v>956</v>
      </c>
      <c r="C91" s="316" t="s">
        <v>410</v>
      </c>
      <c r="D91" s="316" t="s">
        <v>417</v>
      </c>
      <c r="E91" s="589" t="s">
        <v>418</v>
      </c>
      <c r="F91" s="603">
        <v>0</v>
      </c>
      <c r="G91" s="603">
        <v>0</v>
      </c>
      <c r="H91" s="603">
        <v>0</v>
      </c>
      <c r="I91" s="603">
        <v>0</v>
      </c>
      <c r="J91" s="603">
        <v>0</v>
      </c>
      <c r="K91" s="603">
        <v>0</v>
      </c>
      <c r="L91" s="603">
        <v>0</v>
      </c>
      <c r="M91" s="603">
        <v>0</v>
      </c>
      <c r="N91" s="603">
        <v>0</v>
      </c>
      <c r="O91" s="603">
        <v>0</v>
      </c>
      <c r="P91" s="603">
        <v>0</v>
      </c>
      <c r="Q91" s="603">
        <v>0</v>
      </c>
      <c r="R91" s="603">
        <v>0</v>
      </c>
      <c r="S91" s="484">
        <f t="shared" si="18"/>
        <v>0</v>
      </c>
      <c r="T91" s="604"/>
      <c r="U91" s="642"/>
      <c r="V91" s="679"/>
      <c r="W91" s="679"/>
      <c r="X91" s="702">
        <f t="shared" si="21"/>
        <v>0</v>
      </c>
      <c r="Y91" s="679"/>
      <c r="Z91" s="679"/>
      <c r="AA91" s="642"/>
      <c r="AB91" s="679">
        <f t="shared" si="19"/>
        <v>0</v>
      </c>
      <c r="AC91" s="643"/>
      <c r="AD91" s="643"/>
      <c r="AE91" s="643"/>
      <c r="AF91" s="677">
        <f t="shared" si="20"/>
        <v>0</v>
      </c>
    </row>
    <row r="92" spans="1:32">
      <c r="A92" s="604">
        <v>79</v>
      </c>
      <c r="B92" s="316" t="s">
        <v>956</v>
      </c>
      <c r="C92" s="316" t="s">
        <v>410</v>
      </c>
      <c r="D92" s="316" t="s">
        <v>419</v>
      </c>
      <c r="E92" s="589" t="s">
        <v>420</v>
      </c>
      <c r="F92" s="603">
        <v>0</v>
      </c>
      <c r="G92" s="603">
        <v>0</v>
      </c>
      <c r="H92" s="603">
        <v>0</v>
      </c>
      <c r="I92" s="603">
        <v>0</v>
      </c>
      <c r="J92" s="603">
        <v>0</v>
      </c>
      <c r="K92" s="603">
        <v>0</v>
      </c>
      <c r="L92" s="603">
        <v>813.04</v>
      </c>
      <c r="M92" s="603">
        <v>975.64</v>
      </c>
      <c r="N92" s="603">
        <v>975.64</v>
      </c>
      <c r="O92" s="603">
        <v>1385.39</v>
      </c>
      <c r="P92" s="603">
        <v>1446.87</v>
      </c>
      <c r="Q92" s="603">
        <v>0</v>
      </c>
      <c r="R92" s="603">
        <v>0</v>
      </c>
      <c r="S92" s="484">
        <f t="shared" si="18"/>
        <v>466.38166666666666</v>
      </c>
      <c r="T92" s="604"/>
      <c r="U92" s="642"/>
      <c r="V92" s="679"/>
      <c r="W92" s="679"/>
      <c r="X92" s="702">
        <f t="shared" si="21"/>
        <v>466.38166666666666</v>
      </c>
      <c r="Y92" s="679"/>
      <c r="Z92" s="679"/>
      <c r="AA92" s="642"/>
      <c r="AB92" s="679">
        <f t="shared" si="19"/>
        <v>466.38166666666666</v>
      </c>
      <c r="AC92" s="643"/>
      <c r="AD92" s="643"/>
      <c r="AE92" s="643"/>
      <c r="AF92" s="677">
        <f t="shared" si="20"/>
        <v>0</v>
      </c>
    </row>
    <row r="93" spans="1:32">
      <c r="A93" s="604">
        <v>80</v>
      </c>
      <c r="B93" s="316" t="s">
        <v>956</v>
      </c>
      <c r="C93" s="316" t="s">
        <v>410</v>
      </c>
      <c r="D93" s="316" t="s">
        <v>421</v>
      </c>
      <c r="E93" s="589" t="s">
        <v>422</v>
      </c>
      <c r="F93" s="603">
        <v>0</v>
      </c>
      <c r="G93" s="603">
        <v>0</v>
      </c>
      <c r="H93" s="603">
        <v>0</v>
      </c>
      <c r="I93" s="603">
        <v>0</v>
      </c>
      <c r="J93" s="603">
        <v>0</v>
      </c>
      <c r="K93" s="603">
        <v>0</v>
      </c>
      <c r="L93" s="603">
        <v>0</v>
      </c>
      <c r="M93" s="603">
        <v>0</v>
      </c>
      <c r="N93" s="603">
        <v>0</v>
      </c>
      <c r="O93" s="603">
        <v>0</v>
      </c>
      <c r="P93" s="603">
        <v>0</v>
      </c>
      <c r="Q93" s="603">
        <v>0</v>
      </c>
      <c r="R93" s="603">
        <v>0</v>
      </c>
      <c r="S93" s="484">
        <f t="shared" si="18"/>
        <v>0</v>
      </c>
      <c r="T93" s="604"/>
      <c r="U93" s="642"/>
      <c r="V93" s="679"/>
      <c r="W93" s="679"/>
      <c r="X93" s="702">
        <f t="shared" si="21"/>
        <v>0</v>
      </c>
      <c r="Y93" s="679"/>
      <c r="Z93" s="679"/>
      <c r="AA93" s="642"/>
      <c r="AB93" s="679">
        <f t="shared" si="19"/>
        <v>0</v>
      </c>
      <c r="AC93" s="643"/>
      <c r="AD93" s="643"/>
      <c r="AE93" s="643"/>
      <c r="AF93" s="677">
        <f t="shared" si="20"/>
        <v>0</v>
      </c>
    </row>
    <row r="94" spans="1:32">
      <c r="A94" s="604">
        <v>81</v>
      </c>
      <c r="B94" s="316" t="s">
        <v>956</v>
      </c>
      <c r="C94" s="316" t="s">
        <v>410</v>
      </c>
      <c r="D94" s="316" t="s">
        <v>423</v>
      </c>
      <c r="E94" s="589" t="s">
        <v>424</v>
      </c>
      <c r="F94" s="303">
        <v>0</v>
      </c>
      <c r="G94" s="303">
        <v>0</v>
      </c>
      <c r="H94" s="303">
        <v>0</v>
      </c>
      <c r="I94" s="303">
        <v>0</v>
      </c>
      <c r="J94" s="303">
        <v>0</v>
      </c>
      <c r="K94" s="303">
        <v>0</v>
      </c>
      <c r="L94" s="303">
        <v>0</v>
      </c>
      <c r="M94" s="303">
        <v>0</v>
      </c>
      <c r="N94" s="303">
        <v>0</v>
      </c>
      <c r="O94" s="303">
        <v>0</v>
      </c>
      <c r="P94" s="303">
        <v>0</v>
      </c>
      <c r="Q94" s="303">
        <v>18085.240000000002</v>
      </c>
      <c r="R94" s="303">
        <v>18085.240000000002</v>
      </c>
      <c r="S94" s="484">
        <f t="shared" si="18"/>
        <v>2260.6550000000002</v>
      </c>
      <c r="T94" s="604"/>
      <c r="U94" s="642"/>
      <c r="V94" s="679"/>
      <c r="W94" s="679"/>
      <c r="X94" s="702">
        <f t="shared" si="21"/>
        <v>2260.6550000000002</v>
      </c>
      <c r="Y94" s="679"/>
      <c r="Z94" s="679"/>
      <c r="AA94" s="642"/>
      <c r="AB94" s="679">
        <f t="shared" si="19"/>
        <v>2260.6550000000002</v>
      </c>
      <c r="AC94" s="643"/>
      <c r="AD94" s="643"/>
      <c r="AE94" s="643"/>
      <c r="AF94" s="677">
        <f t="shared" si="20"/>
        <v>0</v>
      </c>
    </row>
    <row r="95" spans="1:32">
      <c r="A95" s="604">
        <v>82</v>
      </c>
      <c r="B95" s="604"/>
      <c r="C95" s="604"/>
      <c r="D95" s="604"/>
      <c r="E95" s="589" t="s">
        <v>425</v>
      </c>
      <c r="F95" s="295">
        <f t="shared" ref="F95:S95" si="22">SUM(F83:F94)</f>
        <v>129531.37</v>
      </c>
      <c r="G95" s="295">
        <f t="shared" si="22"/>
        <v>136551.72999999998</v>
      </c>
      <c r="H95" s="295">
        <f t="shared" si="22"/>
        <v>116759.12</v>
      </c>
      <c r="I95" s="295">
        <f t="shared" si="22"/>
        <v>80753.509999999995</v>
      </c>
      <c r="J95" s="295">
        <f t="shared" si="22"/>
        <v>80753.509999999995</v>
      </c>
      <c r="K95" s="295">
        <f t="shared" si="22"/>
        <v>73733.149999999994</v>
      </c>
      <c r="L95" s="295">
        <f t="shared" si="22"/>
        <v>74546.189999999988</v>
      </c>
      <c r="M95" s="295">
        <f t="shared" si="22"/>
        <v>21150.32</v>
      </c>
      <c r="N95" s="295">
        <f t="shared" si="22"/>
        <v>20909.72</v>
      </c>
      <c r="O95" s="295">
        <f t="shared" si="22"/>
        <v>1385.3899999999937</v>
      </c>
      <c r="P95" s="295">
        <f t="shared" si="22"/>
        <v>17664.489999999994</v>
      </c>
      <c r="Q95" s="295">
        <f t="shared" si="22"/>
        <v>34302.86</v>
      </c>
      <c r="R95" s="295">
        <f t="shared" si="22"/>
        <v>140108.28</v>
      </c>
      <c r="S95" s="486">
        <f t="shared" si="22"/>
        <v>66110.817916666667</v>
      </c>
      <c r="T95" s="604"/>
      <c r="U95" s="642"/>
      <c r="V95" s="679"/>
      <c r="W95" s="679"/>
      <c r="X95" s="702"/>
      <c r="Y95" s="679"/>
      <c r="Z95" s="679"/>
      <c r="AA95" s="642"/>
      <c r="AB95" s="679"/>
      <c r="AC95" s="643"/>
      <c r="AD95" s="643"/>
      <c r="AE95" s="643"/>
      <c r="AF95" s="677">
        <f t="shared" si="20"/>
        <v>0</v>
      </c>
    </row>
    <row r="96" spans="1:32">
      <c r="A96" s="604">
        <v>83</v>
      </c>
      <c r="B96" s="604"/>
      <c r="C96" s="604"/>
      <c r="D96" s="604"/>
      <c r="E96" s="589"/>
      <c r="F96" s="603"/>
      <c r="G96" s="304"/>
      <c r="H96" s="305"/>
      <c r="I96" s="305"/>
      <c r="J96" s="306"/>
      <c r="K96" s="307"/>
      <c r="L96" s="308"/>
      <c r="M96" s="309"/>
      <c r="N96" s="310"/>
      <c r="O96" s="313"/>
      <c r="P96" s="311"/>
      <c r="Q96" s="312"/>
      <c r="R96" s="603"/>
      <c r="S96" s="294"/>
      <c r="T96" s="604"/>
      <c r="U96" s="642"/>
      <c r="V96" s="679"/>
      <c r="W96" s="679"/>
      <c r="X96" s="702"/>
      <c r="Y96" s="679"/>
      <c r="Z96" s="679"/>
      <c r="AA96" s="642"/>
      <c r="AB96" s="679"/>
      <c r="AC96" s="643"/>
      <c r="AD96" s="643"/>
      <c r="AE96" s="643"/>
      <c r="AF96" s="677">
        <f t="shared" si="20"/>
        <v>0</v>
      </c>
    </row>
    <row r="97" spans="1:32">
      <c r="A97" s="604">
        <v>84</v>
      </c>
      <c r="B97" s="316" t="s">
        <v>956</v>
      </c>
      <c r="C97" s="316" t="s">
        <v>426</v>
      </c>
      <c r="D97" s="604"/>
      <c r="E97" s="589" t="s">
        <v>427</v>
      </c>
      <c r="F97" s="603">
        <v>0</v>
      </c>
      <c r="G97" s="603">
        <v>0</v>
      </c>
      <c r="H97" s="603">
        <v>0</v>
      </c>
      <c r="I97" s="603">
        <v>0</v>
      </c>
      <c r="J97" s="603">
        <v>0</v>
      </c>
      <c r="K97" s="603">
        <v>0</v>
      </c>
      <c r="L97" s="603">
        <v>0</v>
      </c>
      <c r="M97" s="603">
        <v>0</v>
      </c>
      <c r="N97" s="603">
        <v>0</v>
      </c>
      <c r="O97" s="603">
        <v>0</v>
      </c>
      <c r="P97" s="603">
        <v>0</v>
      </c>
      <c r="Q97" s="603">
        <v>0</v>
      </c>
      <c r="R97" s="603">
        <v>0</v>
      </c>
      <c r="S97" s="294">
        <f>((F97+R97)+((G97+H97+I97+J97+K97+L97+M97+N97+O97+P97+Q97)*2))/24</f>
        <v>0</v>
      </c>
      <c r="T97" s="604"/>
      <c r="U97" s="642"/>
      <c r="V97" s="679"/>
      <c r="W97" s="679"/>
      <c r="X97" s="702"/>
      <c r="Y97" s="679"/>
      <c r="Z97" s="679"/>
      <c r="AA97" s="642"/>
      <c r="AB97" s="679"/>
      <c r="AC97" s="643"/>
      <c r="AD97" s="643"/>
      <c r="AE97" s="643"/>
      <c r="AF97" s="677">
        <f t="shared" si="20"/>
        <v>0</v>
      </c>
    </row>
    <row r="98" spans="1:32">
      <c r="A98" s="604">
        <v>85</v>
      </c>
      <c r="B98" s="604"/>
      <c r="C98" s="604"/>
      <c r="D98" s="604"/>
      <c r="E98" s="589"/>
      <c r="F98" s="603"/>
      <c r="G98" s="304"/>
      <c r="H98" s="305"/>
      <c r="I98" s="305"/>
      <c r="J98" s="306"/>
      <c r="K98" s="307"/>
      <c r="L98" s="308"/>
      <c r="M98" s="309"/>
      <c r="N98" s="310"/>
      <c r="O98" s="590"/>
      <c r="P98" s="311"/>
      <c r="Q98" s="312"/>
      <c r="R98" s="603"/>
      <c r="S98" s="294"/>
      <c r="T98" s="604"/>
      <c r="U98" s="642"/>
      <c r="V98" s="679"/>
      <c r="W98" s="679"/>
      <c r="X98" s="702"/>
      <c r="Y98" s="679"/>
      <c r="Z98" s="679"/>
      <c r="AA98" s="642"/>
      <c r="AB98" s="679"/>
      <c r="AC98" s="643"/>
      <c r="AD98" s="643"/>
      <c r="AE98" s="643"/>
      <c r="AF98" s="677">
        <f t="shared" si="20"/>
        <v>0</v>
      </c>
    </row>
    <row r="99" spans="1:32">
      <c r="A99" s="604">
        <v>86</v>
      </c>
      <c r="B99" s="604"/>
      <c r="C99" s="604"/>
      <c r="D99" s="604"/>
      <c r="E99" s="589" t="s">
        <v>428</v>
      </c>
      <c r="F99" s="603">
        <f t="shared" ref="F99:S99" si="23">+F97+F95+F81</f>
        <v>19915693.260000002</v>
      </c>
      <c r="G99" s="603">
        <f t="shared" si="23"/>
        <v>32062912.460000005</v>
      </c>
      <c r="H99" s="603">
        <f t="shared" si="23"/>
        <v>32772731.760000002</v>
      </c>
      <c r="I99" s="603">
        <f t="shared" si="23"/>
        <v>26164066.809999999</v>
      </c>
      <c r="J99" s="603">
        <f t="shared" si="23"/>
        <v>27561572.57</v>
      </c>
      <c r="K99" s="603">
        <f t="shared" si="23"/>
        <v>21874739.5</v>
      </c>
      <c r="L99" s="603">
        <f t="shared" si="23"/>
        <v>19661805.380000003</v>
      </c>
      <c r="M99" s="603">
        <f t="shared" si="23"/>
        <v>19221271.530000001</v>
      </c>
      <c r="N99" s="603">
        <f t="shared" si="23"/>
        <v>20134916.27</v>
      </c>
      <c r="O99" s="603">
        <f t="shared" si="23"/>
        <v>18067141.969999999</v>
      </c>
      <c r="P99" s="603">
        <f t="shared" si="23"/>
        <v>21494563.02</v>
      </c>
      <c r="Q99" s="603">
        <f t="shared" si="23"/>
        <v>22366402.489999995</v>
      </c>
      <c r="R99" s="603">
        <f t="shared" si="23"/>
        <v>27239136.870000001</v>
      </c>
      <c r="S99" s="484">
        <f t="shared" si="23"/>
        <v>23746628.235416666</v>
      </c>
      <c r="T99" s="604"/>
      <c r="U99" s="642"/>
      <c r="V99" s="679"/>
      <c r="W99" s="679"/>
      <c r="X99" s="702"/>
      <c r="Y99" s="679"/>
      <c r="Z99" s="679"/>
      <c r="AA99" s="642"/>
      <c r="AB99" s="679"/>
      <c r="AC99" s="643"/>
      <c r="AD99" s="643"/>
      <c r="AE99" s="643"/>
      <c r="AF99" s="677">
        <f t="shared" si="20"/>
        <v>0</v>
      </c>
    </row>
    <row r="100" spans="1:32">
      <c r="A100" s="604">
        <v>87</v>
      </c>
      <c r="B100" s="604"/>
      <c r="C100" s="604"/>
      <c r="D100" s="604"/>
      <c r="E100" s="589"/>
      <c r="F100" s="603"/>
      <c r="G100" s="304"/>
      <c r="H100" s="305"/>
      <c r="I100" s="305"/>
      <c r="J100" s="306"/>
      <c r="K100" s="307"/>
      <c r="L100" s="308"/>
      <c r="M100" s="309"/>
      <c r="N100" s="310"/>
      <c r="O100" s="590"/>
      <c r="P100" s="311"/>
      <c r="Q100" s="312"/>
      <c r="R100" s="603"/>
      <c r="S100" s="294">
        <f>((F100+R100)+((G100+H100+I100+J100+K100+L100+M100+N100+O100+P100+Q100)*2))/24</f>
        <v>0</v>
      </c>
      <c r="T100" s="604"/>
      <c r="U100" s="642"/>
      <c r="V100" s="679"/>
      <c r="W100" s="679"/>
      <c r="X100" s="702"/>
      <c r="Y100" s="679"/>
      <c r="Z100" s="679"/>
      <c r="AA100" s="642"/>
      <c r="AB100" s="679"/>
      <c r="AC100" s="643"/>
      <c r="AD100" s="643"/>
      <c r="AE100" s="643"/>
      <c r="AF100" s="677">
        <f t="shared" si="20"/>
        <v>0</v>
      </c>
    </row>
    <row r="101" spans="1:32">
      <c r="A101" s="604">
        <v>88</v>
      </c>
      <c r="B101" s="316" t="s">
        <v>984</v>
      </c>
      <c r="C101" s="316" t="s">
        <v>429</v>
      </c>
      <c r="D101" s="316" t="s">
        <v>718</v>
      </c>
      <c r="E101" s="602" t="s">
        <v>1490</v>
      </c>
      <c r="F101" s="603">
        <v>-122637.92</v>
      </c>
      <c r="G101" s="603">
        <v>-124312.5</v>
      </c>
      <c r="H101" s="603">
        <v>-124312.5</v>
      </c>
      <c r="I101" s="603">
        <v>-124312.5</v>
      </c>
      <c r="J101" s="603">
        <v>-124312.5</v>
      </c>
      <c r="K101" s="603">
        <v>-124312.5</v>
      </c>
      <c r="L101" s="603">
        <v>-124312.5</v>
      </c>
      <c r="M101" s="603">
        <v>-124312.5</v>
      </c>
      <c r="N101" s="603">
        <v>-124312.5</v>
      </c>
      <c r="O101" s="603">
        <v>-124312.5</v>
      </c>
      <c r="P101" s="603">
        <v>-124312.5</v>
      </c>
      <c r="Q101" s="603">
        <v>-124312.5</v>
      </c>
      <c r="R101" s="603">
        <v>-124312.5</v>
      </c>
      <c r="S101" s="484">
        <f>((F101+R101)+((G101+H101+I101+J101+K101+L101+M101+N101+O101+P101+Q101)*2))/24</f>
        <v>-124242.72583333333</v>
      </c>
      <c r="T101" s="604"/>
      <c r="U101" s="642">
        <f t="shared" ref="U101:U119" si="24">+S101</f>
        <v>-124242.72583333333</v>
      </c>
      <c r="V101" s="679"/>
      <c r="W101" s="679"/>
      <c r="X101" s="702"/>
      <c r="Y101" s="679"/>
      <c r="Z101" s="679"/>
      <c r="AA101" s="642"/>
      <c r="AB101" s="679"/>
      <c r="AC101" s="643"/>
      <c r="AD101" s="644">
        <f t="shared" ref="AD101:AD119" si="25">+U101</f>
        <v>-124242.72583333333</v>
      </c>
      <c r="AE101" s="643"/>
      <c r="AF101" s="677">
        <f t="shared" si="20"/>
        <v>0</v>
      </c>
    </row>
    <row r="102" spans="1:32">
      <c r="A102" s="604">
        <v>89</v>
      </c>
      <c r="B102" s="316" t="s">
        <v>959</v>
      </c>
      <c r="C102" s="316" t="s">
        <v>429</v>
      </c>
      <c r="D102" s="316" t="s">
        <v>718</v>
      </c>
      <c r="E102" s="602" t="s">
        <v>1490</v>
      </c>
      <c r="F102" s="603">
        <v>-288682.78000000003</v>
      </c>
      <c r="G102" s="603">
        <v>-286609.34000000003</v>
      </c>
      <c r="H102" s="603">
        <v>-286609.34000000003</v>
      </c>
      <c r="I102" s="603">
        <v>-286609.34000000003</v>
      </c>
      <c r="J102" s="603">
        <v>-286609.34000000003</v>
      </c>
      <c r="K102" s="603">
        <v>-286609.34000000003</v>
      </c>
      <c r="L102" s="603">
        <v>-286609.34000000003</v>
      </c>
      <c r="M102" s="603">
        <v>-286609.34000000003</v>
      </c>
      <c r="N102" s="603">
        <v>-286609.34000000003</v>
      </c>
      <c r="O102" s="603">
        <v>-286609.34000000003</v>
      </c>
      <c r="P102" s="603">
        <v>-286609.34000000003</v>
      </c>
      <c r="Q102" s="603">
        <v>-286609.34000000003</v>
      </c>
      <c r="R102" s="603">
        <v>-286609.34000000003</v>
      </c>
      <c r="S102" s="484">
        <f t="shared" ref="S102:S114" si="26">((F102+R102)+((G102+H102+I102+J102+K102+L102+M102+N102+O102+P102+Q102)*2))/24</f>
        <v>-286695.73333333334</v>
      </c>
      <c r="T102" s="604"/>
      <c r="U102" s="642">
        <f t="shared" si="24"/>
        <v>-286695.73333333334</v>
      </c>
      <c r="V102" s="679"/>
      <c r="W102" s="679"/>
      <c r="X102" s="702"/>
      <c r="Y102" s="679"/>
      <c r="Z102" s="679"/>
      <c r="AA102" s="642"/>
      <c r="AB102" s="679"/>
      <c r="AC102" s="643"/>
      <c r="AD102" s="644">
        <f t="shared" si="25"/>
        <v>-286695.73333333334</v>
      </c>
      <c r="AE102" s="643"/>
      <c r="AF102" s="677">
        <f t="shared" si="20"/>
        <v>0</v>
      </c>
    </row>
    <row r="103" spans="1:32">
      <c r="A103" s="604">
        <v>90</v>
      </c>
      <c r="B103" s="316" t="s">
        <v>984</v>
      </c>
      <c r="C103" s="316" t="s">
        <v>429</v>
      </c>
      <c r="D103" s="316" t="s">
        <v>1113</v>
      </c>
      <c r="E103" s="602" t="s">
        <v>1491</v>
      </c>
      <c r="F103" s="603">
        <v>282955.15999999997</v>
      </c>
      <c r="G103" s="603">
        <v>11327.84</v>
      </c>
      <c r="H103" s="603">
        <v>22213.93</v>
      </c>
      <c r="I103" s="603">
        <v>32387.98</v>
      </c>
      <c r="J103" s="603">
        <v>54779.91</v>
      </c>
      <c r="K103" s="603">
        <v>78665.52</v>
      </c>
      <c r="L103" s="603">
        <v>100681.26</v>
      </c>
      <c r="M103" s="603">
        <v>151328.31</v>
      </c>
      <c r="N103" s="603">
        <v>204997.67</v>
      </c>
      <c r="O103" s="603">
        <v>246804.94</v>
      </c>
      <c r="P103" s="603">
        <v>284071.87</v>
      </c>
      <c r="Q103" s="603">
        <v>310348.12</v>
      </c>
      <c r="R103" s="603">
        <v>325220.74</v>
      </c>
      <c r="S103" s="484">
        <f t="shared" si="26"/>
        <v>150141.27499999999</v>
      </c>
      <c r="T103" s="604"/>
      <c r="U103" s="642">
        <f t="shared" si="24"/>
        <v>150141.27499999999</v>
      </c>
      <c r="V103" s="679"/>
      <c r="W103" s="679"/>
      <c r="X103" s="702"/>
      <c r="Y103" s="679"/>
      <c r="Z103" s="679"/>
      <c r="AA103" s="642"/>
      <c r="AB103" s="679"/>
      <c r="AC103" s="643"/>
      <c r="AD103" s="644">
        <f t="shared" si="25"/>
        <v>150141.27499999999</v>
      </c>
      <c r="AE103" s="643"/>
      <c r="AF103" s="677">
        <f t="shared" si="20"/>
        <v>0</v>
      </c>
    </row>
    <row r="104" spans="1:32">
      <c r="A104" s="604">
        <v>91</v>
      </c>
      <c r="B104" s="316" t="s">
        <v>959</v>
      </c>
      <c r="C104" s="316" t="s">
        <v>429</v>
      </c>
      <c r="D104" s="316" t="s">
        <v>1113</v>
      </c>
      <c r="E104" s="602" t="s">
        <v>1491</v>
      </c>
      <c r="F104" s="603">
        <v>1101392.3700000001</v>
      </c>
      <c r="G104" s="603">
        <v>49071.930000000197</v>
      </c>
      <c r="H104" s="603">
        <v>83217.950000000201</v>
      </c>
      <c r="I104" s="603">
        <v>113578.86</v>
      </c>
      <c r="J104" s="603">
        <v>183011.42</v>
      </c>
      <c r="K104" s="603">
        <v>280115.62</v>
      </c>
      <c r="L104" s="603">
        <v>371146.91</v>
      </c>
      <c r="M104" s="603">
        <v>586783.9</v>
      </c>
      <c r="N104" s="603">
        <v>727245.54</v>
      </c>
      <c r="O104" s="603">
        <v>861027.18</v>
      </c>
      <c r="P104" s="603">
        <v>995353.46</v>
      </c>
      <c r="Q104" s="603">
        <v>1079903.93</v>
      </c>
      <c r="R104" s="603">
        <v>1144052.1599999999</v>
      </c>
      <c r="S104" s="484">
        <f t="shared" si="26"/>
        <v>537764.91374999995</v>
      </c>
      <c r="T104" s="604"/>
      <c r="U104" s="642">
        <f t="shared" si="24"/>
        <v>537764.91374999995</v>
      </c>
      <c r="V104" s="679"/>
      <c r="W104" s="679"/>
      <c r="X104" s="702"/>
      <c r="Y104" s="679"/>
      <c r="Z104" s="679"/>
      <c r="AA104" s="642"/>
      <c r="AB104" s="679"/>
      <c r="AC104" s="643"/>
      <c r="AD104" s="644">
        <f t="shared" si="25"/>
        <v>537764.91374999995</v>
      </c>
      <c r="AE104" s="643"/>
      <c r="AF104" s="677">
        <f t="shared" si="20"/>
        <v>0</v>
      </c>
    </row>
    <row r="105" spans="1:32">
      <c r="A105" s="604">
        <v>92</v>
      </c>
      <c r="B105" s="316" t="s">
        <v>984</v>
      </c>
      <c r="C105" s="316" t="s">
        <v>429</v>
      </c>
      <c r="D105" s="316" t="s">
        <v>964</v>
      </c>
      <c r="E105" s="602" t="s">
        <v>1492</v>
      </c>
      <c r="F105" s="603">
        <v>-109625.87</v>
      </c>
      <c r="G105" s="603">
        <v>-5087.0099999999902</v>
      </c>
      <c r="H105" s="603">
        <v>-11592.06</v>
      </c>
      <c r="I105" s="603">
        <v>-22824.77</v>
      </c>
      <c r="J105" s="603">
        <v>-33531.83</v>
      </c>
      <c r="K105" s="603">
        <v>-39091.54</v>
      </c>
      <c r="L105" s="603">
        <v>-46511.82</v>
      </c>
      <c r="M105" s="603">
        <v>-56105.72</v>
      </c>
      <c r="N105" s="603">
        <v>-61630.54</v>
      </c>
      <c r="O105" s="603">
        <v>-72130.33</v>
      </c>
      <c r="P105" s="603">
        <v>-89524.45</v>
      </c>
      <c r="Q105" s="603">
        <v>-98226.01</v>
      </c>
      <c r="R105" s="603">
        <v>-105119.37</v>
      </c>
      <c r="S105" s="484">
        <f t="shared" si="26"/>
        <v>-53635.724999999999</v>
      </c>
      <c r="T105" s="604"/>
      <c r="U105" s="642">
        <f t="shared" si="24"/>
        <v>-53635.724999999999</v>
      </c>
      <c r="V105" s="679"/>
      <c r="W105" s="679"/>
      <c r="X105" s="702"/>
      <c r="Y105" s="679"/>
      <c r="Z105" s="679"/>
      <c r="AA105" s="642"/>
      <c r="AB105" s="679"/>
      <c r="AC105" s="643"/>
      <c r="AD105" s="644">
        <f t="shared" si="25"/>
        <v>-53635.724999999999</v>
      </c>
      <c r="AE105" s="643"/>
      <c r="AF105" s="677">
        <f t="shared" si="20"/>
        <v>0</v>
      </c>
    </row>
    <row r="106" spans="1:32">
      <c r="A106" s="604">
        <v>93</v>
      </c>
      <c r="B106" s="316" t="s">
        <v>959</v>
      </c>
      <c r="C106" s="316" t="s">
        <v>429</v>
      </c>
      <c r="D106" s="316" t="s">
        <v>964</v>
      </c>
      <c r="E106" s="602" t="s">
        <v>1492</v>
      </c>
      <c r="F106" s="603">
        <v>-420596.92</v>
      </c>
      <c r="G106" s="603">
        <v>-21507.34</v>
      </c>
      <c r="H106" s="603">
        <v>-43443.11</v>
      </c>
      <c r="I106" s="603">
        <v>-59322.21</v>
      </c>
      <c r="J106" s="603">
        <v>-74592.69</v>
      </c>
      <c r="K106" s="603">
        <v>-89640.48</v>
      </c>
      <c r="L106" s="603">
        <v>-101404.6</v>
      </c>
      <c r="M106" s="603">
        <v>-124327.71</v>
      </c>
      <c r="N106" s="603">
        <v>-139121.70000000001</v>
      </c>
      <c r="O106" s="603">
        <v>-160352.97</v>
      </c>
      <c r="P106" s="603">
        <v>-203725.22</v>
      </c>
      <c r="Q106" s="603">
        <v>-225037.69</v>
      </c>
      <c r="R106" s="603">
        <v>-247474.88</v>
      </c>
      <c r="S106" s="484">
        <f t="shared" si="26"/>
        <v>-131375.96833333335</v>
      </c>
      <c r="T106" s="604"/>
      <c r="U106" s="642">
        <f t="shared" si="24"/>
        <v>-131375.96833333335</v>
      </c>
      <c r="V106" s="679"/>
      <c r="W106" s="679"/>
      <c r="X106" s="702"/>
      <c r="Y106" s="679"/>
      <c r="Z106" s="679"/>
      <c r="AA106" s="642"/>
      <c r="AB106" s="679"/>
      <c r="AC106" s="643"/>
      <c r="AD106" s="644">
        <f t="shared" si="25"/>
        <v>-131375.96833333335</v>
      </c>
      <c r="AE106" s="643"/>
      <c r="AF106" s="677">
        <f t="shared" si="20"/>
        <v>0</v>
      </c>
    </row>
    <row r="107" spans="1:32">
      <c r="A107" s="604">
        <v>94</v>
      </c>
      <c r="B107" s="316" t="s">
        <v>984</v>
      </c>
      <c r="C107" s="316" t="s">
        <v>429</v>
      </c>
      <c r="D107" s="316" t="s">
        <v>1114</v>
      </c>
      <c r="E107" s="602" t="s">
        <v>1493</v>
      </c>
      <c r="F107" s="603">
        <v>-175003.87</v>
      </c>
      <c r="G107" s="603">
        <v>-38111.449999999997</v>
      </c>
      <c r="H107" s="603">
        <v>-39869.29</v>
      </c>
      <c r="I107" s="603">
        <v>-61466.66</v>
      </c>
      <c r="J107" s="603">
        <v>-40298.74</v>
      </c>
      <c r="K107" s="603">
        <v>-59310.23</v>
      </c>
      <c r="L107" s="603">
        <v>-56447.34</v>
      </c>
      <c r="M107" s="603">
        <v>-92652.3</v>
      </c>
      <c r="N107" s="603">
        <v>-117529.4</v>
      </c>
      <c r="O107" s="603">
        <v>-142688.54</v>
      </c>
      <c r="P107" s="603">
        <v>-162904.01</v>
      </c>
      <c r="Q107" s="603">
        <v>-191713.73</v>
      </c>
      <c r="R107" s="603">
        <v>-223987.58</v>
      </c>
      <c r="S107" s="484">
        <f t="shared" si="26"/>
        <v>-100207.28458333334</v>
      </c>
      <c r="T107" s="604"/>
      <c r="U107" s="642">
        <f t="shared" si="24"/>
        <v>-100207.28458333334</v>
      </c>
      <c r="V107" s="679"/>
      <c r="W107" s="679"/>
      <c r="X107" s="702"/>
      <c r="Y107" s="679"/>
      <c r="Z107" s="679"/>
      <c r="AA107" s="642"/>
      <c r="AB107" s="679"/>
      <c r="AC107" s="643"/>
      <c r="AD107" s="644">
        <f t="shared" si="25"/>
        <v>-100207.28458333334</v>
      </c>
      <c r="AE107" s="643"/>
      <c r="AF107" s="677">
        <f t="shared" si="20"/>
        <v>0</v>
      </c>
    </row>
    <row r="108" spans="1:32">
      <c r="A108" s="604">
        <v>95</v>
      </c>
      <c r="B108" s="316" t="s">
        <v>959</v>
      </c>
      <c r="C108" s="316" t="s">
        <v>429</v>
      </c>
      <c r="D108" s="316" t="s">
        <v>1114</v>
      </c>
      <c r="E108" s="602" t="s">
        <v>1493</v>
      </c>
      <c r="F108" s="603">
        <v>-678722.01</v>
      </c>
      <c r="G108" s="603">
        <v>-145961.84</v>
      </c>
      <c r="H108" s="603">
        <v>-177647.74</v>
      </c>
      <c r="I108" s="603">
        <v>-269231.44</v>
      </c>
      <c r="J108" s="603">
        <v>-215433.89</v>
      </c>
      <c r="K108" s="603">
        <v>-225081.71</v>
      </c>
      <c r="L108" s="603">
        <v>-269526.67</v>
      </c>
      <c r="M108" s="603">
        <v>-402230.81</v>
      </c>
      <c r="N108" s="603">
        <v>-482900.77</v>
      </c>
      <c r="O108" s="603">
        <v>-593285.81000000006</v>
      </c>
      <c r="P108" s="603">
        <v>-682880.71</v>
      </c>
      <c r="Q108" s="603">
        <v>-802882.52</v>
      </c>
      <c r="R108" s="603">
        <v>-950124.39</v>
      </c>
      <c r="S108" s="484">
        <f t="shared" si="26"/>
        <v>-423457.25916666671</v>
      </c>
      <c r="T108" s="604"/>
      <c r="U108" s="642">
        <f t="shared" si="24"/>
        <v>-423457.25916666671</v>
      </c>
      <c r="V108" s="679"/>
      <c r="W108" s="679"/>
      <c r="X108" s="702"/>
      <c r="Y108" s="679"/>
      <c r="Z108" s="679"/>
      <c r="AA108" s="642"/>
      <c r="AB108" s="679"/>
      <c r="AC108" s="643"/>
      <c r="AD108" s="644">
        <f t="shared" si="25"/>
        <v>-423457.25916666671</v>
      </c>
      <c r="AE108" s="643"/>
      <c r="AF108" s="677">
        <f t="shared" si="20"/>
        <v>0</v>
      </c>
    </row>
    <row r="109" spans="1:32">
      <c r="A109" s="604">
        <v>96</v>
      </c>
      <c r="B109" s="316" t="s">
        <v>984</v>
      </c>
      <c r="C109" s="316" t="s">
        <v>430</v>
      </c>
      <c r="D109" s="316" t="s">
        <v>718</v>
      </c>
      <c r="E109" s="602" t="s">
        <v>1494</v>
      </c>
      <c r="F109" s="603">
        <v>-9984</v>
      </c>
      <c r="G109" s="603">
        <v>-10060</v>
      </c>
      <c r="H109" s="603">
        <v>-10060</v>
      </c>
      <c r="I109" s="603">
        <v>-10060</v>
      </c>
      <c r="J109" s="603">
        <v>-10060</v>
      </c>
      <c r="K109" s="603">
        <v>-10060</v>
      </c>
      <c r="L109" s="603">
        <v>-10060</v>
      </c>
      <c r="M109" s="603">
        <v>-10060</v>
      </c>
      <c r="N109" s="603">
        <v>-10060</v>
      </c>
      <c r="O109" s="603">
        <v>-10060</v>
      </c>
      <c r="P109" s="603">
        <v>-10060</v>
      </c>
      <c r="Q109" s="603">
        <v>-10060</v>
      </c>
      <c r="R109" s="603">
        <v>-10060</v>
      </c>
      <c r="S109" s="484">
        <f t="shared" si="26"/>
        <v>-10056.833333333334</v>
      </c>
      <c r="T109" s="604"/>
      <c r="U109" s="642">
        <f t="shared" si="24"/>
        <v>-10056.833333333334</v>
      </c>
      <c r="V109" s="679"/>
      <c r="W109" s="679"/>
      <c r="X109" s="702"/>
      <c r="Y109" s="679"/>
      <c r="Z109" s="679"/>
      <c r="AA109" s="642"/>
      <c r="AB109" s="679"/>
      <c r="AC109" s="643"/>
      <c r="AD109" s="644">
        <f t="shared" si="25"/>
        <v>-10056.833333333334</v>
      </c>
      <c r="AE109" s="643"/>
      <c r="AF109" s="677">
        <f t="shared" si="20"/>
        <v>0</v>
      </c>
    </row>
    <row r="110" spans="1:32">
      <c r="A110" s="604">
        <v>97</v>
      </c>
      <c r="B110" s="316" t="s">
        <v>959</v>
      </c>
      <c r="C110" s="316" t="s">
        <v>430</v>
      </c>
      <c r="D110" s="316" t="s">
        <v>718</v>
      </c>
      <c r="E110" s="602" t="s">
        <v>1494</v>
      </c>
      <c r="F110" s="603">
        <v>-30016</v>
      </c>
      <c r="G110" s="603">
        <v>-29940</v>
      </c>
      <c r="H110" s="603">
        <v>-29940</v>
      </c>
      <c r="I110" s="603">
        <v>-29940</v>
      </c>
      <c r="J110" s="603">
        <v>-29940</v>
      </c>
      <c r="K110" s="603">
        <v>-29940</v>
      </c>
      <c r="L110" s="603">
        <v>-29940</v>
      </c>
      <c r="M110" s="603">
        <v>-29940</v>
      </c>
      <c r="N110" s="603">
        <v>-29940</v>
      </c>
      <c r="O110" s="603">
        <v>-29940</v>
      </c>
      <c r="P110" s="603">
        <v>-29940</v>
      </c>
      <c r="Q110" s="603">
        <v>-29940</v>
      </c>
      <c r="R110" s="603">
        <v>-29940</v>
      </c>
      <c r="S110" s="484">
        <f t="shared" si="26"/>
        <v>-29943.166666666668</v>
      </c>
      <c r="T110" s="604"/>
      <c r="U110" s="642">
        <f t="shared" si="24"/>
        <v>-29943.166666666668</v>
      </c>
      <c r="V110" s="679"/>
      <c r="W110" s="679"/>
      <c r="X110" s="702"/>
      <c r="Y110" s="679"/>
      <c r="Z110" s="679"/>
      <c r="AA110" s="642"/>
      <c r="AB110" s="679"/>
      <c r="AC110" s="643"/>
      <c r="AD110" s="644">
        <f t="shared" si="25"/>
        <v>-29943.166666666668</v>
      </c>
      <c r="AE110" s="643"/>
      <c r="AF110" s="677">
        <f t="shared" si="20"/>
        <v>0</v>
      </c>
    </row>
    <row r="111" spans="1:32">
      <c r="A111" s="604">
        <v>98</v>
      </c>
      <c r="B111" s="316" t="s">
        <v>984</v>
      </c>
      <c r="C111" s="316" t="s">
        <v>430</v>
      </c>
      <c r="D111" s="316" t="s">
        <v>1113</v>
      </c>
      <c r="E111" s="602" t="s">
        <v>1496</v>
      </c>
      <c r="F111" s="603">
        <v>0</v>
      </c>
      <c r="G111" s="603">
        <v>0</v>
      </c>
      <c r="H111" s="603">
        <v>0</v>
      </c>
      <c r="I111" s="603">
        <v>0</v>
      </c>
      <c r="J111" s="603">
        <v>0</v>
      </c>
      <c r="K111" s="603">
        <v>0</v>
      </c>
      <c r="L111" s="603">
        <v>0</v>
      </c>
      <c r="M111" s="603">
        <v>0</v>
      </c>
      <c r="N111" s="603">
        <v>0</v>
      </c>
      <c r="O111" s="603">
        <v>0</v>
      </c>
      <c r="P111" s="603">
        <v>0</v>
      </c>
      <c r="Q111" s="603">
        <v>0</v>
      </c>
      <c r="R111" s="603">
        <v>0</v>
      </c>
      <c r="S111" s="484">
        <f>((F111+R111)+((G111+H111+I111+J111+K111+L111+M111+N111+O111+P111+Q111)*2))/24</f>
        <v>0</v>
      </c>
      <c r="T111" s="604"/>
      <c r="U111" s="642">
        <f t="shared" si="24"/>
        <v>0</v>
      </c>
      <c r="V111" s="679"/>
      <c r="W111" s="679"/>
      <c r="X111" s="702"/>
      <c r="Y111" s="679"/>
      <c r="Z111" s="679"/>
      <c r="AA111" s="642"/>
      <c r="AB111" s="679"/>
      <c r="AC111" s="643"/>
      <c r="AD111" s="644">
        <f t="shared" si="25"/>
        <v>0</v>
      </c>
      <c r="AE111" s="643"/>
      <c r="AF111" s="677">
        <f t="shared" si="20"/>
        <v>0</v>
      </c>
    </row>
    <row r="112" spans="1:32">
      <c r="A112" s="604">
        <v>99</v>
      </c>
      <c r="B112" s="316" t="s">
        <v>959</v>
      </c>
      <c r="C112" s="316" t="s">
        <v>430</v>
      </c>
      <c r="D112" s="316" t="s">
        <v>1113</v>
      </c>
      <c r="E112" s="602" t="s">
        <v>1496</v>
      </c>
      <c r="F112" s="603">
        <v>0</v>
      </c>
      <c r="G112" s="603">
        <v>0</v>
      </c>
      <c r="H112" s="603">
        <v>0</v>
      </c>
      <c r="I112" s="603">
        <v>0</v>
      </c>
      <c r="J112" s="603">
        <v>0</v>
      </c>
      <c r="K112" s="603">
        <v>182.61</v>
      </c>
      <c r="L112" s="603">
        <v>1543.52</v>
      </c>
      <c r="M112" s="603">
        <v>1543.52</v>
      </c>
      <c r="N112" s="603">
        <v>1543.52</v>
      </c>
      <c r="O112" s="603">
        <v>21528.560000000001</v>
      </c>
      <c r="P112" s="603">
        <v>21528.560000000001</v>
      </c>
      <c r="Q112" s="603">
        <v>21528.560000000001</v>
      </c>
      <c r="R112" s="603">
        <v>21528.560000000001</v>
      </c>
      <c r="S112" s="484">
        <f t="shared" si="26"/>
        <v>6680.2608333333337</v>
      </c>
      <c r="T112" s="604"/>
      <c r="U112" s="642">
        <f t="shared" si="24"/>
        <v>6680.2608333333337</v>
      </c>
      <c r="V112" s="679"/>
      <c r="W112" s="679"/>
      <c r="X112" s="702"/>
      <c r="Y112" s="679"/>
      <c r="Z112" s="679"/>
      <c r="AA112" s="642"/>
      <c r="AB112" s="679"/>
      <c r="AC112" s="643"/>
      <c r="AD112" s="644">
        <f t="shared" si="25"/>
        <v>6680.2608333333337</v>
      </c>
      <c r="AE112" s="643"/>
      <c r="AF112" s="677">
        <f t="shared" si="20"/>
        <v>0</v>
      </c>
    </row>
    <row r="113" spans="1:32">
      <c r="A113" s="604">
        <v>100</v>
      </c>
      <c r="B113" s="316" t="s">
        <v>959</v>
      </c>
      <c r="C113" s="316" t="s">
        <v>430</v>
      </c>
      <c r="D113" s="316" t="s">
        <v>964</v>
      </c>
      <c r="E113" s="602" t="s">
        <v>1497</v>
      </c>
      <c r="F113" s="603">
        <v>0</v>
      </c>
      <c r="G113" s="603">
        <v>0</v>
      </c>
      <c r="H113" s="603">
        <v>0</v>
      </c>
      <c r="I113" s="603">
        <v>0</v>
      </c>
      <c r="J113" s="603">
        <v>0</v>
      </c>
      <c r="K113" s="603">
        <v>0</v>
      </c>
      <c r="L113" s="603">
        <v>0</v>
      </c>
      <c r="M113" s="603">
        <v>0</v>
      </c>
      <c r="N113" s="603">
        <v>0</v>
      </c>
      <c r="O113" s="603">
        <v>0</v>
      </c>
      <c r="P113" s="603">
        <v>0</v>
      </c>
      <c r="Q113" s="603">
        <v>0</v>
      </c>
      <c r="R113" s="603">
        <v>0</v>
      </c>
      <c r="S113" s="484">
        <f t="shared" si="26"/>
        <v>0</v>
      </c>
      <c r="T113" s="604"/>
      <c r="U113" s="642">
        <f t="shared" si="24"/>
        <v>0</v>
      </c>
      <c r="V113" s="679"/>
      <c r="W113" s="679"/>
      <c r="X113" s="702"/>
      <c r="Y113" s="679"/>
      <c r="Z113" s="679"/>
      <c r="AA113" s="642"/>
      <c r="AB113" s="679"/>
      <c r="AC113" s="643"/>
      <c r="AD113" s="644">
        <f t="shared" si="25"/>
        <v>0</v>
      </c>
      <c r="AE113" s="643"/>
      <c r="AF113" s="677">
        <f t="shared" si="20"/>
        <v>0</v>
      </c>
    </row>
    <row r="114" spans="1:32">
      <c r="A114" s="604">
        <v>101</v>
      </c>
      <c r="B114" s="316" t="s">
        <v>984</v>
      </c>
      <c r="C114" s="316" t="s">
        <v>430</v>
      </c>
      <c r="D114" s="316" t="s">
        <v>1114</v>
      </c>
      <c r="E114" s="602" t="s">
        <v>1495</v>
      </c>
      <c r="F114" s="603">
        <v>-76</v>
      </c>
      <c r="G114" s="603">
        <v>0</v>
      </c>
      <c r="H114" s="603">
        <v>0</v>
      </c>
      <c r="I114" s="603">
        <v>0</v>
      </c>
      <c r="J114" s="603">
        <v>0</v>
      </c>
      <c r="K114" s="603">
        <v>0</v>
      </c>
      <c r="L114" s="603">
        <v>0</v>
      </c>
      <c r="M114" s="603">
        <v>0</v>
      </c>
      <c r="N114" s="603">
        <v>0</v>
      </c>
      <c r="O114" s="603">
        <v>0</v>
      </c>
      <c r="P114" s="603">
        <v>0</v>
      </c>
      <c r="Q114" s="603">
        <v>0</v>
      </c>
      <c r="R114" s="603">
        <v>2611</v>
      </c>
      <c r="S114" s="484">
        <f t="shared" si="26"/>
        <v>105.625</v>
      </c>
      <c r="T114" s="604"/>
      <c r="U114" s="642">
        <f t="shared" si="24"/>
        <v>105.625</v>
      </c>
      <c r="V114" s="679"/>
      <c r="W114" s="679"/>
      <c r="X114" s="702"/>
      <c r="Y114" s="679"/>
      <c r="Z114" s="679"/>
      <c r="AA114" s="642"/>
      <c r="AB114" s="679"/>
      <c r="AC114" s="643"/>
      <c r="AD114" s="644">
        <f t="shared" si="25"/>
        <v>105.625</v>
      </c>
      <c r="AE114" s="643"/>
      <c r="AF114" s="677">
        <f t="shared" si="20"/>
        <v>0</v>
      </c>
    </row>
    <row r="115" spans="1:32">
      <c r="A115" s="604">
        <v>102</v>
      </c>
      <c r="B115" s="316" t="s">
        <v>959</v>
      </c>
      <c r="C115" s="316" t="s">
        <v>430</v>
      </c>
      <c r="D115" s="316" t="s">
        <v>1114</v>
      </c>
      <c r="E115" s="602" t="s">
        <v>1495</v>
      </c>
      <c r="F115" s="603">
        <v>76</v>
      </c>
      <c r="G115" s="603">
        <v>0</v>
      </c>
      <c r="H115" s="603">
        <v>0</v>
      </c>
      <c r="I115" s="603">
        <v>0</v>
      </c>
      <c r="J115" s="603">
        <v>0</v>
      </c>
      <c r="K115" s="603">
        <v>0</v>
      </c>
      <c r="L115" s="603">
        <v>0</v>
      </c>
      <c r="M115" s="603">
        <v>0</v>
      </c>
      <c r="N115" s="603">
        <v>0</v>
      </c>
      <c r="O115" s="603">
        <v>0</v>
      </c>
      <c r="P115" s="603">
        <v>0</v>
      </c>
      <c r="Q115" s="603">
        <v>0</v>
      </c>
      <c r="R115" s="603">
        <v>-14139.56</v>
      </c>
      <c r="S115" s="484">
        <f>((F115+R115)+((G115+H115+I115+J115+K115+L115+M115+N115+O115+P115+Q115)*2))/24</f>
        <v>-585.98166666666668</v>
      </c>
      <c r="T115" s="604"/>
      <c r="U115" s="642">
        <f t="shared" si="24"/>
        <v>-585.98166666666668</v>
      </c>
      <c r="V115" s="679"/>
      <c r="W115" s="679"/>
      <c r="X115" s="702"/>
      <c r="Y115" s="679"/>
      <c r="Z115" s="679"/>
      <c r="AA115" s="642"/>
      <c r="AB115" s="679"/>
      <c r="AC115" s="643"/>
      <c r="AD115" s="644">
        <f t="shared" si="25"/>
        <v>-585.98166666666668</v>
      </c>
      <c r="AE115" s="643"/>
      <c r="AF115" s="677">
        <f t="shared" si="20"/>
        <v>0</v>
      </c>
    </row>
    <row r="116" spans="1:32">
      <c r="A116" s="604">
        <v>103</v>
      </c>
      <c r="B116" s="316" t="s">
        <v>956</v>
      </c>
      <c r="C116" s="316" t="s">
        <v>431</v>
      </c>
      <c r="D116" s="316" t="s">
        <v>718</v>
      </c>
      <c r="E116" s="602" t="s">
        <v>1486</v>
      </c>
      <c r="F116" s="603">
        <v>-20000</v>
      </c>
      <c r="G116" s="603">
        <v>-10000</v>
      </c>
      <c r="H116" s="603">
        <v>-10000</v>
      </c>
      <c r="I116" s="603">
        <v>-10000</v>
      </c>
      <c r="J116" s="603">
        <v>-10000</v>
      </c>
      <c r="K116" s="603">
        <v>-10000</v>
      </c>
      <c r="L116" s="603">
        <v>-10000</v>
      </c>
      <c r="M116" s="603">
        <v>-10000</v>
      </c>
      <c r="N116" s="603">
        <v>-10000</v>
      </c>
      <c r="O116" s="603">
        <v>-10000</v>
      </c>
      <c r="P116" s="603">
        <v>-10000</v>
      </c>
      <c r="Q116" s="603">
        <v>-10000</v>
      </c>
      <c r="R116" s="603">
        <v>-10000</v>
      </c>
      <c r="S116" s="484">
        <f>((F116+R116)+((G116+H116+I116+J116+K116+L116+M116+N116+O116+P116+Q116)*2))/24</f>
        <v>-10416.666666666666</v>
      </c>
      <c r="T116" s="604"/>
      <c r="U116" s="642">
        <f t="shared" si="24"/>
        <v>-10416.666666666666</v>
      </c>
      <c r="V116" s="679"/>
      <c r="W116" s="679"/>
      <c r="X116" s="702"/>
      <c r="Y116" s="679"/>
      <c r="Z116" s="679"/>
      <c r="AA116" s="642"/>
      <c r="AB116" s="679"/>
      <c r="AC116" s="643"/>
      <c r="AD116" s="644">
        <f t="shared" si="25"/>
        <v>-10416.666666666666</v>
      </c>
      <c r="AE116" s="643"/>
      <c r="AF116" s="677">
        <f t="shared" si="20"/>
        <v>0</v>
      </c>
    </row>
    <row r="117" spans="1:32">
      <c r="A117" s="604">
        <v>104</v>
      </c>
      <c r="B117" s="316" t="s">
        <v>956</v>
      </c>
      <c r="C117" s="316" t="s">
        <v>431</v>
      </c>
      <c r="D117" s="316" t="s">
        <v>1113</v>
      </c>
      <c r="E117" s="602" t="s">
        <v>1487</v>
      </c>
      <c r="F117" s="603">
        <v>32877.919999999998</v>
      </c>
      <c r="G117" s="603">
        <v>1003.22</v>
      </c>
      <c r="H117" s="603">
        <v>1003.22</v>
      </c>
      <c r="I117" s="603">
        <v>1708.18</v>
      </c>
      <c r="J117" s="603">
        <v>1708.18</v>
      </c>
      <c r="K117" s="603">
        <v>3677.61</v>
      </c>
      <c r="L117" s="603">
        <v>25095.45</v>
      </c>
      <c r="M117" s="603">
        <v>25095.45</v>
      </c>
      <c r="N117" s="603">
        <v>25095.45</v>
      </c>
      <c r="O117" s="603">
        <v>31605.26</v>
      </c>
      <c r="P117" s="603">
        <v>31605.26</v>
      </c>
      <c r="Q117" s="603">
        <v>34847.89</v>
      </c>
      <c r="R117" s="603">
        <v>34847.89</v>
      </c>
      <c r="S117" s="484">
        <f>((F117+R117)+((G117+H117+I117+J117+K117+L117+M117+N117+O117+P117+Q117)*2))/24</f>
        <v>18025.672916666666</v>
      </c>
      <c r="T117" s="604"/>
      <c r="U117" s="642">
        <f t="shared" si="24"/>
        <v>18025.672916666666</v>
      </c>
      <c r="V117" s="679"/>
      <c r="W117" s="679"/>
      <c r="X117" s="702"/>
      <c r="Y117" s="679"/>
      <c r="Z117" s="679"/>
      <c r="AA117" s="642"/>
      <c r="AB117" s="679"/>
      <c r="AC117" s="643"/>
      <c r="AD117" s="644">
        <f t="shared" si="25"/>
        <v>18025.672916666666</v>
      </c>
      <c r="AE117" s="643"/>
      <c r="AF117" s="677">
        <f t="shared" si="20"/>
        <v>0</v>
      </c>
    </row>
    <row r="118" spans="1:32">
      <c r="A118" s="604">
        <v>105</v>
      </c>
      <c r="B118" s="316" t="s">
        <v>956</v>
      </c>
      <c r="C118" s="316" t="s">
        <v>431</v>
      </c>
      <c r="D118" s="316" t="s">
        <v>964</v>
      </c>
      <c r="E118" s="602" t="s">
        <v>1488</v>
      </c>
      <c r="F118" s="603">
        <v>-916.75</v>
      </c>
      <c r="G118" s="603">
        <v>0</v>
      </c>
      <c r="H118" s="603">
        <v>0</v>
      </c>
      <c r="I118" s="603">
        <v>0</v>
      </c>
      <c r="J118" s="603">
        <v>0</v>
      </c>
      <c r="K118" s="603">
        <v>0</v>
      </c>
      <c r="L118" s="603">
        <v>0</v>
      </c>
      <c r="M118" s="603">
        <v>0</v>
      </c>
      <c r="N118" s="603">
        <v>0</v>
      </c>
      <c r="O118" s="603">
        <v>0</v>
      </c>
      <c r="P118" s="603">
        <v>0</v>
      </c>
      <c r="Q118" s="603">
        <v>0</v>
      </c>
      <c r="R118" s="603">
        <v>0</v>
      </c>
      <c r="S118" s="484">
        <f>((F118+R118)+((G118+H118+I118+J118+K118+L118+M118+N118+O118+P118+Q118)*2))/24</f>
        <v>-38.197916666666664</v>
      </c>
      <c r="T118" s="604"/>
      <c r="U118" s="642">
        <f t="shared" si="24"/>
        <v>-38.197916666666664</v>
      </c>
      <c r="V118" s="679"/>
      <c r="W118" s="679"/>
      <c r="X118" s="702"/>
      <c r="Y118" s="679"/>
      <c r="Z118" s="679"/>
      <c r="AA118" s="642"/>
      <c r="AB118" s="679"/>
      <c r="AC118" s="643"/>
      <c r="AD118" s="644">
        <f t="shared" si="25"/>
        <v>-38.197916666666664</v>
      </c>
      <c r="AE118" s="643"/>
      <c r="AF118" s="677">
        <f t="shared" si="20"/>
        <v>0</v>
      </c>
    </row>
    <row r="119" spans="1:32">
      <c r="A119" s="604">
        <v>106</v>
      </c>
      <c r="B119" s="316" t="s">
        <v>956</v>
      </c>
      <c r="C119" s="316" t="s">
        <v>431</v>
      </c>
      <c r="D119" s="316" t="s">
        <v>1114</v>
      </c>
      <c r="E119" s="602" t="s">
        <v>1489</v>
      </c>
      <c r="F119" s="303">
        <v>-21961.17</v>
      </c>
      <c r="G119" s="303">
        <v>0</v>
      </c>
      <c r="H119" s="303">
        <v>0</v>
      </c>
      <c r="I119" s="303">
        <v>0</v>
      </c>
      <c r="J119" s="303">
        <v>0</v>
      </c>
      <c r="K119" s="303">
        <v>0</v>
      </c>
      <c r="L119" s="303">
        <v>-30095.45</v>
      </c>
      <c r="M119" s="303">
        <v>-30095.45</v>
      </c>
      <c r="N119" s="303">
        <v>-30095.45</v>
      </c>
      <c r="O119" s="303">
        <v>-30095.45</v>
      </c>
      <c r="P119" s="303">
        <v>-30095.45</v>
      </c>
      <c r="Q119" s="303">
        <v>-30095.45</v>
      </c>
      <c r="R119" s="303">
        <v>-39847.89</v>
      </c>
      <c r="S119" s="485">
        <f>((F119+R119)+((G119+H119+I119+J119+K119+L119+M119+N119+O119+P119+Q119)*2))/24</f>
        <v>-17623.102500000001</v>
      </c>
      <c r="T119" s="604"/>
      <c r="U119" s="642">
        <f t="shared" si="24"/>
        <v>-17623.102500000001</v>
      </c>
      <c r="V119" s="679"/>
      <c r="W119" s="679"/>
      <c r="X119" s="702"/>
      <c r="Y119" s="679"/>
      <c r="Z119" s="679"/>
      <c r="AA119" s="642"/>
      <c r="AB119" s="679"/>
      <c r="AC119" s="643"/>
      <c r="AD119" s="644">
        <f t="shared" si="25"/>
        <v>-17623.102500000001</v>
      </c>
      <c r="AE119" s="643"/>
      <c r="AF119" s="677">
        <f t="shared" si="20"/>
        <v>0</v>
      </c>
    </row>
    <row r="120" spans="1:32">
      <c r="A120" s="604">
        <v>107</v>
      </c>
      <c r="B120" s="604"/>
      <c r="C120" s="604"/>
      <c r="D120" s="604"/>
      <c r="E120" s="589" t="s">
        <v>432</v>
      </c>
      <c r="F120" s="601">
        <f t="shared" ref="F120:S120" si="27">SUM(F101:F119)</f>
        <v>-460921.83999999991</v>
      </c>
      <c r="G120" s="601">
        <f t="shared" si="27"/>
        <v>-610186.48999999987</v>
      </c>
      <c r="H120" s="601">
        <f t="shared" si="27"/>
        <v>-627038.93999999983</v>
      </c>
      <c r="I120" s="601">
        <f t="shared" si="27"/>
        <v>-726091.9</v>
      </c>
      <c r="J120" s="601">
        <f t="shared" si="27"/>
        <v>-585279.48</v>
      </c>
      <c r="K120" s="601">
        <f t="shared" si="27"/>
        <v>-511404.44000000006</v>
      </c>
      <c r="L120" s="601">
        <f t="shared" si="27"/>
        <v>-466440.58</v>
      </c>
      <c r="M120" s="601">
        <f t="shared" si="27"/>
        <v>-401582.64999999997</v>
      </c>
      <c r="N120" s="601">
        <f t="shared" si="27"/>
        <v>-333317.52</v>
      </c>
      <c r="O120" s="601">
        <f t="shared" si="27"/>
        <v>-298509</v>
      </c>
      <c r="P120" s="601">
        <f t="shared" si="27"/>
        <v>-297492.52999999991</v>
      </c>
      <c r="Q120" s="601">
        <f t="shared" si="27"/>
        <v>-362248.74</v>
      </c>
      <c r="R120" s="601">
        <f t="shared" si="27"/>
        <v>-513355.16000000015</v>
      </c>
      <c r="S120" s="487">
        <f t="shared" si="27"/>
        <v>-475560.8975000002</v>
      </c>
      <c r="T120" s="604"/>
      <c r="U120" s="642"/>
      <c r="V120" s="679"/>
      <c r="W120" s="679"/>
      <c r="X120" s="702"/>
      <c r="Y120" s="679"/>
      <c r="Z120" s="679"/>
      <c r="AA120" s="642"/>
      <c r="AB120" s="679"/>
      <c r="AC120" s="643"/>
      <c r="AD120" s="643"/>
      <c r="AE120" s="643"/>
      <c r="AF120" s="677">
        <f t="shared" si="20"/>
        <v>0</v>
      </c>
    </row>
    <row r="121" spans="1:32">
      <c r="A121" s="604">
        <v>108</v>
      </c>
      <c r="B121" s="604"/>
      <c r="C121" s="604"/>
      <c r="D121" s="604"/>
      <c r="E121" s="589"/>
      <c r="F121" s="296"/>
      <c r="G121" s="296"/>
      <c r="H121" s="296"/>
      <c r="I121" s="296"/>
      <c r="J121" s="296"/>
      <c r="K121" s="296"/>
      <c r="L121" s="296"/>
      <c r="M121" s="296"/>
      <c r="N121" s="296"/>
      <c r="O121" s="296"/>
      <c r="P121" s="296"/>
      <c r="Q121" s="296"/>
      <c r="R121" s="296"/>
      <c r="S121" s="294"/>
      <c r="T121" s="604"/>
      <c r="U121" s="642"/>
      <c r="V121" s="679"/>
      <c r="W121" s="679"/>
      <c r="X121" s="702"/>
      <c r="Y121" s="679"/>
      <c r="Z121" s="679"/>
      <c r="AA121" s="642"/>
      <c r="AB121" s="679"/>
      <c r="AC121" s="643"/>
      <c r="AD121" s="643"/>
      <c r="AE121" s="643"/>
      <c r="AF121" s="677">
        <f t="shared" si="20"/>
        <v>0</v>
      </c>
    </row>
    <row r="122" spans="1:32">
      <c r="A122" s="604">
        <v>109</v>
      </c>
      <c r="B122" s="604"/>
      <c r="C122" s="604"/>
      <c r="D122" s="604"/>
      <c r="E122" s="589" t="s">
        <v>433</v>
      </c>
      <c r="F122" s="295">
        <f t="shared" ref="F122:S122" si="28">+F99+F120</f>
        <v>19454771.420000002</v>
      </c>
      <c r="G122" s="295">
        <f t="shared" si="28"/>
        <v>31452725.970000006</v>
      </c>
      <c r="H122" s="295">
        <f t="shared" si="28"/>
        <v>32145692.82</v>
      </c>
      <c r="I122" s="295">
        <f t="shared" si="28"/>
        <v>25437974.91</v>
      </c>
      <c r="J122" s="295">
        <f t="shared" si="28"/>
        <v>26976293.09</v>
      </c>
      <c r="K122" s="295">
        <f t="shared" si="28"/>
        <v>21363335.059999999</v>
      </c>
      <c r="L122" s="295">
        <f t="shared" si="28"/>
        <v>19195364.800000004</v>
      </c>
      <c r="M122" s="295">
        <f t="shared" si="28"/>
        <v>18819688.880000003</v>
      </c>
      <c r="N122" s="295">
        <f t="shared" si="28"/>
        <v>19801598.75</v>
      </c>
      <c r="O122" s="295">
        <f t="shared" si="28"/>
        <v>17768632.969999999</v>
      </c>
      <c r="P122" s="295">
        <f t="shared" si="28"/>
        <v>21197070.489999998</v>
      </c>
      <c r="Q122" s="295">
        <f t="shared" si="28"/>
        <v>22004153.749999996</v>
      </c>
      <c r="R122" s="295">
        <f t="shared" si="28"/>
        <v>26725781.710000001</v>
      </c>
      <c r="S122" s="486">
        <f t="shared" si="28"/>
        <v>23271067.337916665</v>
      </c>
      <c r="T122" s="604"/>
      <c r="U122" s="642"/>
      <c r="V122" s="679"/>
      <c r="W122" s="679"/>
      <c r="X122" s="702"/>
      <c r="Y122" s="679"/>
      <c r="Z122" s="679"/>
      <c r="AA122" s="642"/>
      <c r="AB122" s="679"/>
      <c r="AC122" s="643"/>
      <c r="AD122" s="643"/>
      <c r="AE122" s="643"/>
      <c r="AF122" s="677">
        <f t="shared" si="20"/>
        <v>0</v>
      </c>
    </row>
    <row r="123" spans="1:32">
      <c r="A123" s="604">
        <v>110</v>
      </c>
      <c r="B123" s="604"/>
      <c r="C123" s="604"/>
      <c r="D123" s="604"/>
      <c r="E123" s="589"/>
      <c r="F123" s="603"/>
      <c r="G123" s="304"/>
      <c r="H123" s="305"/>
      <c r="I123" s="305"/>
      <c r="J123" s="306"/>
      <c r="K123" s="307"/>
      <c r="L123" s="308"/>
      <c r="M123" s="309"/>
      <c r="N123" s="310"/>
      <c r="O123" s="590"/>
      <c r="P123" s="311"/>
      <c r="Q123" s="312"/>
      <c r="R123" s="603"/>
      <c r="S123" s="294"/>
      <c r="T123" s="604"/>
      <c r="U123" s="642"/>
      <c r="V123" s="679"/>
      <c r="W123" s="679"/>
      <c r="X123" s="702"/>
      <c r="Y123" s="679"/>
      <c r="Z123" s="679"/>
      <c r="AA123" s="642"/>
      <c r="AB123" s="679"/>
      <c r="AC123" s="643"/>
      <c r="AD123" s="643"/>
      <c r="AE123" s="643"/>
      <c r="AF123" s="677">
        <f t="shared" si="20"/>
        <v>0</v>
      </c>
    </row>
    <row r="124" spans="1:32">
      <c r="A124" s="604">
        <v>111</v>
      </c>
      <c r="B124" s="316" t="s">
        <v>956</v>
      </c>
      <c r="C124" s="316" t="s">
        <v>434</v>
      </c>
      <c r="D124" s="316" t="s">
        <v>618</v>
      </c>
      <c r="E124" s="602" t="s">
        <v>1498</v>
      </c>
      <c r="F124" s="603">
        <v>1148188.3600000001</v>
      </c>
      <c r="G124" s="603">
        <v>1066587.8600000001</v>
      </c>
      <c r="H124" s="603">
        <v>1095338.69</v>
      </c>
      <c r="I124" s="603">
        <v>1107745.56</v>
      </c>
      <c r="J124" s="603">
        <v>1038046.72</v>
      </c>
      <c r="K124" s="603">
        <v>1078038.79</v>
      </c>
      <c r="L124" s="603">
        <v>1054031.1299999999</v>
      </c>
      <c r="M124" s="603">
        <v>1071865.8899999999</v>
      </c>
      <c r="N124" s="603">
        <v>1036434.56</v>
      </c>
      <c r="O124" s="603">
        <v>985139.99</v>
      </c>
      <c r="P124" s="603">
        <v>1046597.64</v>
      </c>
      <c r="Q124" s="603">
        <v>1045860.97</v>
      </c>
      <c r="R124" s="603">
        <v>1079770.6299999999</v>
      </c>
      <c r="S124" s="484">
        <f>((F124+R124)+((G124+H124+I124+J124+K124+L124+M124+N124+O124+P124+Q124)*2))/24</f>
        <v>1061638.9412500001</v>
      </c>
      <c r="T124" s="604"/>
      <c r="U124" s="642">
        <f t="shared" ref="U124:U148" si="29">+S124</f>
        <v>1061638.9412500001</v>
      </c>
      <c r="V124" s="679"/>
      <c r="W124" s="679"/>
      <c r="X124" s="702"/>
      <c r="Y124" s="679"/>
      <c r="Z124" s="679"/>
      <c r="AA124" s="642"/>
      <c r="AB124" s="679"/>
      <c r="AC124" s="643"/>
      <c r="AD124" s="644">
        <f t="shared" ref="AD124:AD148" si="30">+U124</f>
        <v>1061638.9412500001</v>
      </c>
      <c r="AE124" s="643"/>
      <c r="AF124" s="677">
        <f t="shared" si="20"/>
        <v>0</v>
      </c>
    </row>
    <row r="125" spans="1:32">
      <c r="A125" s="604">
        <v>112</v>
      </c>
      <c r="B125" s="316" t="s">
        <v>1115</v>
      </c>
      <c r="C125" s="316" t="s">
        <v>434</v>
      </c>
      <c r="D125" s="316" t="s">
        <v>618</v>
      </c>
      <c r="E125" s="602" t="s">
        <v>1499</v>
      </c>
      <c r="F125" s="603">
        <v>286270.45</v>
      </c>
      <c r="G125" s="603">
        <v>296702.57</v>
      </c>
      <c r="H125" s="603">
        <v>296956.48</v>
      </c>
      <c r="I125" s="603">
        <v>311992.88</v>
      </c>
      <c r="J125" s="603">
        <v>313145.15999999997</v>
      </c>
      <c r="K125" s="603">
        <v>316290.89</v>
      </c>
      <c r="L125" s="603">
        <v>313205.25</v>
      </c>
      <c r="M125" s="603">
        <v>317461.34999999998</v>
      </c>
      <c r="N125" s="603">
        <v>310609.33</v>
      </c>
      <c r="O125" s="603">
        <v>314118.74</v>
      </c>
      <c r="P125" s="603">
        <v>367328.16</v>
      </c>
      <c r="Q125" s="603">
        <v>362816.84</v>
      </c>
      <c r="R125" s="603">
        <v>369715.35</v>
      </c>
      <c r="S125" s="484">
        <f t="shared" ref="S125:S142" si="31">((F125+R125)+((G125+H125+I125+J125+K125+L125+M125+N125+O125+P125+Q125)*2))/24</f>
        <v>320718.37916666671</v>
      </c>
      <c r="T125" s="604"/>
      <c r="U125" s="642">
        <f t="shared" si="29"/>
        <v>320718.37916666671</v>
      </c>
      <c r="V125" s="679"/>
      <c r="W125" s="679"/>
      <c r="X125" s="702"/>
      <c r="Y125" s="679"/>
      <c r="Z125" s="679"/>
      <c r="AA125" s="642"/>
      <c r="AB125" s="679"/>
      <c r="AC125" s="643"/>
      <c r="AD125" s="644">
        <f t="shared" si="30"/>
        <v>320718.37916666671</v>
      </c>
      <c r="AE125" s="643"/>
      <c r="AF125" s="677">
        <f t="shared" si="20"/>
        <v>0</v>
      </c>
    </row>
    <row r="126" spans="1:32">
      <c r="A126" s="604">
        <v>113</v>
      </c>
      <c r="B126" s="316" t="s">
        <v>1116</v>
      </c>
      <c r="C126" s="316" t="s">
        <v>434</v>
      </c>
      <c r="D126" s="316" t="s">
        <v>618</v>
      </c>
      <c r="E126" s="602" t="s">
        <v>1500</v>
      </c>
      <c r="F126" s="603">
        <v>565509.80000000005</v>
      </c>
      <c r="G126" s="603">
        <v>557942.81000000006</v>
      </c>
      <c r="H126" s="603">
        <v>529928.81999999995</v>
      </c>
      <c r="I126" s="603">
        <v>548886.77</v>
      </c>
      <c r="J126" s="603">
        <v>632294.38</v>
      </c>
      <c r="K126" s="603">
        <v>752330.31</v>
      </c>
      <c r="L126" s="603">
        <v>763438.39</v>
      </c>
      <c r="M126" s="603">
        <v>793373.22</v>
      </c>
      <c r="N126" s="603">
        <v>785538.39</v>
      </c>
      <c r="O126" s="603">
        <v>840933.18</v>
      </c>
      <c r="P126" s="603">
        <v>784135.39</v>
      </c>
      <c r="Q126" s="603">
        <v>823376.38</v>
      </c>
      <c r="R126" s="603">
        <v>759358.35</v>
      </c>
      <c r="S126" s="484">
        <f t="shared" si="31"/>
        <v>706217.6762499999</v>
      </c>
      <c r="T126" s="604"/>
      <c r="U126" s="642">
        <f t="shared" si="29"/>
        <v>706217.6762499999</v>
      </c>
      <c r="V126" s="679"/>
      <c r="W126" s="679"/>
      <c r="X126" s="702"/>
      <c r="Y126" s="679"/>
      <c r="Z126" s="679"/>
      <c r="AA126" s="642"/>
      <c r="AB126" s="679"/>
      <c r="AC126" s="643"/>
      <c r="AD126" s="644">
        <f t="shared" si="30"/>
        <v>706217.6762499999</v>
      </c>
      <c r="AE126" s="643"/>
      <c r="AF126" s="677">
        <f t="shared" si="20"/>
        <v>0</v>
      </c>
    </row>
    <row r="127" spans="1:32">
      <c r="A127" s="604">
        <v>114</v>
      </c>
      <c r="B127" s="316" t="s">
        <v>1117</v>
      </c>
      <c r="C127" s="316" t="s">
        <v>434</v>
      </c>
      <c r="D127" s="316" t="s">
        <v>618</v>
      </c>
      <c r="E127" s="602" t="s">
        <v>1501</v>
      </c>
      <c r="F127" s="603">
        <v>487398.36</v>
      </c>
      <c r="G127" s="603">
        <v>520148.81</v>
      </c>
      <c r="H127" s="603">
        <v>530813.31000000006</v>
      </c>
      <c r="I127" s="603">
        <v>528475.22</v>
      </c>
      <c r="J127" s="603">
        <v>522217.27</v>
      </c>
      <c r="K127" s="603">
        <v>513403.15</v>
      </c>
      <c r="L127" s="603">
        <v>490312.09</v>
      </c>
      <c r="M127" s="603">
        <v>558594.31000000006</v>
      </c>
      <c r="N127" s="603">
        <v>713660.09</v>
      </c>
      <c r="O127" s="603">
        <v>565130.98</v>
      </c>
      <c r="P127" s="603">
        <v>565532.80000000005</v>
      </c>
      <c r="Q127" s="603">
        <v>554393.81000000006</v>
      </c>
      <c r="R127" s="603">
        <v>555522.68999999994</v>
      </c>
      <c r="S127" s="484">
        <f t="shared" si="31"/>
        <v>548678.53041666665</v>
      </c>
      <c r="T127" s="604"/>
      <c r="U127" s="642">
        <f t="shared" si="29"/>
        <v>548678.53041666665</v>
      </c>
      <c r="V127" s="679"/>
      <c r="W127" s="679"/>
      <c r="X127" s="702"/>
      <c r="Y127" s="679"/>
      <c r="Z127" s="679"/>
      <c r="AA127" s="642"/>
      <c r="AB127" s="679"/>
      <c r="AC127" s="643"/>
      <c r="AD127" s="644">
        <f t="shared" si="30"/>
        <v>548678.53041666665</v>
      </c>
      <c r="AE127" s="643"/>
      <c r="AF127" s="677">
        <f t="shared" si="20"/>
        <v>0</v>
      </c>
    </row>
    <row r="128" spans="1:32">
      <c r="A128" s="604">
        <v>115</v>
      </c>
      <c r="B128" s="316" t="s">
        <v>1118</v>
      </c>
      <c r="C128" s="316" t="s">
        <v>434</v>
      </c>
      <c r="D128" s="316" t="s">
        <v>618</v>
      </c>
      <c r="E128" s="602" t="s">
        <v>1502</v>
      </c>
      <c r="F128" s="603">
        <v>407258.54</v>
      </c>
      <c r="G128" s="603">
        <v>422847.83</v>
      </c>
      <c r="H128" s="603">
        <v>439067.36</v>
      </c>
      <c r="I128" s="603">
        <v>431343.95</v>
      </c>
      <c r="J128" s="603">
        <v>463934.18</v>
      </c>
      <c r="K128" s="603">
        <v>471312.56</v>
      </c>
      <c r="L128" s="603">
        <v>485744.1</v>
      </c>
      <c r="M128" s="603">
        <v>450857.4</v>
      </c>
      <c r="N128" s="603">
        <v>463587.29</v>
      </c>
      <c r="O128" s="603">
        <v>474397.51</v>
      </c>
      <c r="P128" s="603">
        <v>475167.87</v>
      </c>
      <c r="Q128" s="603">
        <v>471439.59</v>
      </c>
      <c r="R128" s="603">
        <v>441378.52</v>
      </c>
      <c r="S128" s="484">
        <f t="shared" si="31"/>
        <v>456168.18083333335</v>
      </c>
      <c r="T128" s="604"/>
      <c r="U128" s="642">
        <f t="shared" si="29"/>
        <v>456168.18083333335</v>
      </c>
      <c r="V128" s="679"/>
      <c r="W128" s="679"/>
      <c r="X128" s="702"/>
      <c r="Y128" s="679"/>
      <c r="Z128" s="679"/>
      <c r="AA128" s="642"/>
      <c r="AB128" s="679"/>
      <c r="AC128" s="643"/>
      <c r="AD128" s="644">
        <f t="shared" si="30"/>
        <v>456168.18083333335</v>
      </c>
      <c r="AE128" s="643"/>
      <c r="AF128" s="677">
        <f t="shared" si="20"/>
        <v>0</v>
      </c>
    </row>
    <row r="129" spans="1:32">
      <c r="A129" s="604">
        <v>116</v>
      </c>
      <c r="B129" s="316" t="s">
        <v>1119</v>
      </c>
      <c r="C129" s="316" t="s">
        <v>434</v>
      </c>
      <c r="D129" s="316" t="s">
        <v>618</v>
      </c>
      <c r="E129" s="602" t="s">
        <v>1503</v>
      </c>
      <c r="F129" s="603">
        <v>135918.65</v>
      </c>
      <c r="G129" s="603">
        <v>142005.07999999999</v>
      </c>
      <c r="H129" s="603">
        <v>136239.81</v>
      </c>
      <c r="I129" s="603">
        <v>133922.47</v>
      </c>
      <c r="J129" s="603">
        <v>133522.87</v>
      </c>
      <c r="K129" s="603">
        <v>135561.39000000001</v>
      </c>
      <c r="L129" s="603">
        <v>114554.61</v>
      </c>
      <c r="M129" s="603">
        <v>121688.17</v>
      </c>
      <c r="N129" s="603">
        <v>121049.79</v>
      </c>
      <c r="O129" s="603">
        <v>119420.88</v>
      </c>
      <c r="P129" s="603">
        <v>121183.77</v>
      </c>
      <c r="Q129" s="603">
        <v>127331.22</v>
      </c>
      <c r="R129" s="603">
        <v>107415.88</v>
      </c>
      <c r="S129" s="484">
        <f t="shared" si="31"/>
        <v>127345.61041666666</v>
      </c>
      <c r="T129" s="604"/>
      <c r="U129" s="642">
        <f t="shared" si="29"/>
        <v>127345.61041666666</v>
      </c>
      <c r="V129" s="679"/>
      <c r="W129" s="679"/>
      <c r="X129" s="702"/>
      <c r="Y129" s="679"/>
      <c r="Z129" s="679"/>
      <c r="AA129" s="642"/>
      <c r="AB129" s="679"/>
      <c r="AC129" s="643"/>
      <c r="AD129" s="644">
        <f t="shared" si="30"/>
        <v>127345.61041666666</v>
      </c>
      <c r="AE129" s="643"/>
      <c r="AF129" s="677">
        <f t="shared" si="20"/>
        <v>0</v>
      </c>
    </row>
    <row r="130" spans="1:32">
      <c r="A130" s="604">
        <v>117</v>
      </c>
      <c r="B130" s="316" t="s">
        <v>1120</v>
      </c>
      <c r="C130" s="316" t="s">
        <v>434</v>
      </c>
      <c r="D130" s="316" t="s">
        <v>618</v>
      </c>
      <c r="E130" s="602" t="s">
        <v>1504</v>
      </c>
      <c r="F130" s="603">
        <v>291155.42</v>
      </c>
      <c r="G130" s="603">
        <v>256774.73</v>
      </c>
      <c r="H130" s="603">
        <v>257911.49</v>
      </c>
      <c r="I130" s="603">
        <v>291273.14</v>
      </c>
      <c r="J130" s="603">
        <v>323272.15000000002</v>
      </c>
      <c r="K130" s="603">
        <v>288981.40000000002</v>
      </c>
      <c r="L130" s="603">
        <v>302630.07</v>
      </c>
      <c r="M130" s="603">
        <v>298178.46000000002</v>
      </c>
      <c r="N130" s="603">
        <v>339653.89</v>
      </c>
      <c r="O130" s="603">
        <v>271255.34000000003</v>
      </c>
      <c r="P130" s="603">
        <v>313485.19</v>
      </c>
      <c r="Q130" s="603">
        <v>342981.09</v>
      </c>
      <c r="R130" s="603">
        <v>304137.73</v>
      </c>
      <c r="S130" s="484">
        <f t="shared" si="31"/>
        <v>298670.29374999995</v>
      </c>
      <c r="T130" s="604"/>
      <c r="U130" s="642">
        <f t="shared" si="29"/>
        <v>298670.29374999995</v>
      </c>
      <c r="V130" s="679"/>
      <c r="W130" s="679"/>
      <c r="X130" s="702"/>
      <c r="Y130" s="679"/>
      <c r="Z130" s="679"/>
      <c r="AA130" s="642"/>
      <c r="AB130" s="679"/>
      <c r="AC130" s="643"/>
      <c r="AD130" s="644">
        <f t="shared" si="30"/>
        <v>298670.29374999995</v>
      </c>
      <c r="AE130" s="643"/>
      <c r="AF130" s="677">
        <f t="shared" si="20"/>
        <v>0</v>
      </c>
    </row>
    <row r="131" spans="1:32">
      <c r="A131" s="604">
        <v>118</v>
      </c>
      <c r="B131" s="316" t="s">
        <v>1121</v>
      </c>
      <c r="C131" s="316" t="s">
        <v>434</v>
      </c>
      <c r="D131" s="316" t="s">
        <v>618</v>
      </c>
      <c r="E131" s="602" t="s">
        <v>1505</v>
      </c>
      <c r="F131" s="603">
        <v>363923.37</v>
      </c>
      <c r="G131" s="603">
        <v>364023.92</v>
      </c>
      <c r="H131" s="603">
        <v>361795.99</v>
      </c>
      <c r="I131" s="603">
        <v>362910.55</v>
      </c>
      <c r="J131" s="603">
        <v>295140.8</v>
      </c>
      <c r="K131" s="603">
        <v>330264.78000000003</v>
      </c>
      <c r="L131" s="603">
        <v>353339.79</v>
      </c>
      <c r="M131" s="603">
        <v>544471.72</v>
      </c>
      <c r="N131" s="603">
        <v>716071.25</v>
      </c>
      <c r="O131" s="603">
        <v>536277.96</v>
      </c>
      <c r="P131" s="603">
        <v>485547.63</v>
      </c>
      <c r="Q131" s="603">
        <v>472140.26</v>
      </c>
      <c r="R131" s="603">
        <v>377671.84</v>
      </c>
      <c r="S131" s="484">
        <f t="shared" si="31"/>
        <v>432731.85458333325</v>
      </c>
      <c r="T131" s="604"/>
      <c r="U131" s="642">
        <f t="shared" si="29"/>
        <v>432731.85458333325</v>
      </c>
      <c r="V131" s="679"/>
      <c r="W131" s="679"/>
      <c r="X131" s="702"/>
      <c r="Y131" s="679"/>
      <c r="Z131" s="679"/>
      <c r="AA131" s="642"/>
      <c r="AB131" s="679"/>
      <c r="AC131" s="643"/>
      <c r="AD131" s="644">
        <f t="shared" si="30"/>
        <v>432731.85458333325</v>
      </c>
      <c r="AE131" s="643"/>
      <c r="AF131" s="677">
        <f t="shared" si="20"/>
        <v>0</v>
      </c>
    </row>
    <row r="132" spans="1:32">
      <c r="A132" s="604">
        <v>119</v>
      </c>
      <c r="B132" s="316" t="s">
        <v>1122</v>
      </c>
      <c r="C132" s="316" t="s">
        <v>434</v>
      </c>
      <c r="D132" s="316" t="s">
        <v>618</v>
      </c>
      <c r="E132" s="602" t="s">
        <v>1506</v>
      </c>
      <c r="F132" s="603">
        <v>75781.679999999993</v>
      </c>
      <c r="G132" s="603">
        <v>91002.5</v>
      </c>
      <c r="H132" s="603">
        <v>90986.23</v>
      </c>
      <c r="I132" s="603">
        <v>80120.36</v>
      </c>
      <c r="J132" s="603">
        <v>79391.5</v>
      </c>
      <c r="K132" s="603">
        <v>79384.240000000005</v>
      </c>
      <c r="L132" s="603">
        <v>88942.11</v>
      </c>
      <c r="M132" s="603">
        <v>96893.64</v>
      </c>
      <c r="N132" s="603">
        <v>105341.28</v>
      </c>
      <c r="O132" s="603">
        <v>104635.52</v>
      </c>
      <c r="P132" s="603">
        <v>99291.48</v>
      </c>
      <c r="Q132" s="603">
        <v>132638.14000000001</v>
      </c>
      <c r="R132" s="603">
        <v>132295.67999999999</v>
      </c>
      <c r="S132" s="484">
        <f t="shared" si="31"/>
        <v>96055.473333333328</v>
      </c>
      <c r="T132" s="604"/>
      <c r="U132" s="642">
        <f t="shared" si="29"/>
        <v>96055.473333333328</v>
      </c>
      <c r="V132" s="679"/>
      <c r="W132" s="679"/>
      <c r="X132" s="702"/>
      <c r="Y132" s="679"/>
      <c r="Z132" s="679"/>
      <c r="AA132" s="642"/>
      <c r="AB132" s="679"/>
      <c r="AC132" s="643"/>
      <c r="AD132" s="644">
        <f t="shared" si="30"/>
        <v>96055.473333333328</v>
      </c>
      <c r="AE132" s="643"/>
      <c r="AF132" s="677">
        <f t="shared" si="20"/>
        <v>0</v>
      </c>
    </row>
    <row r="133" spans="1:32">
      <c r="A133" s="604">
        <v>120</v>
      </c>
      <c r="B133" s="316" t="s">
        <v>1123</v>
      </c>
      <c r="C133" s="316" t="s">
        <v>434</v>
      </c>
      <c r="D133" s="316" t="s">
        <v>618</v>
      </c>
      <c r="E133" s="602" t="s">
        <v>1507</v>
      </c>
      <c r="F133" s="603">
        <v>476417.96</v>
      </c>
      <c r="G133" s="603">
        <v>467459.95</v>
      </c>
      <c r="H133" s="603">
        <v>472879.54</v>
      </c>
      <c r="I133" s="603">
        <v>492583.51</v>
      </c>
      <c r="J133" s="603">
        <v>492493.29</v>
      </c>
      <c r="K133" s="603">
        <v>569146.01</v>
      </c>
      <c r="L133" s="603">
        <v>611348.47999999998</v>
      </c>
      <c r="M133" s="603">
        <v>688643.7</v>
      </c>
      <c r="N133" s="603">
        <v>656213.01</v>
      </c>
      <c r="O133" s="603">
        <v>673920.71</v>
      </c>
      <c r="P133" s="603">
        <v>712010.12</v>
      </c>
      <c r="Q133" s="603">
        <v>712732.27</v>
      </c>
      <c r="R133" s="603">
        <v>748426.94</v>
      </c>
      <c r="S133" s="484">
        <f t="shared" si="31"/>
        <v>596821.08666666667</v>
      </c>
      <c r="T133" s="604"/>
      <c r="U133" s="642">
        <f t="shared" si="29"/>
        <v>596821.08666666667</v>
      </c>
      <c r="V133" s="679"/>
      <c r="W133" s="679"/>
      <c r="X133" s="702"/>
      <c r="Y133" s="679"/>
      <c r="Z133" s="679"/>
      <c r="AA133" s="642"/>
      <c r="AB133" s="679"/>
      <c r="AC133" s="643"/>
      <c r="AD133" s="644">
        <f t="shared" si="30"/>
        <v>596821.08666666667</v>
      </c>
      <c r="AE133" s="643"/>
      <c r="AF133" s="677">
        <f t="shared" si="20"/>
        <v>0</v>
      </c>
    </row>
    <row r="134" spans="1:32">
      <c r="A134" s="604">
        <v>121</v>
      </c>
      <c r="B134" s="316" t="s">
        <v>1380</v>
      </c>
      <c r="C134" s="316" t="s">
        <v>434</v>
      </c>
      <c r="D134" s="316" t="s">
        <v>618</v>
      </c>
      <c r="E134" s="602" t="s">
        <v>1508</v>
      </c>
      <c r="F134" s="603">
        <v>536.36</v>
      </c>
      <c r="G134" s="603">
        <v>-9.9999999999909103E-3</v>
      </c>
      <c r="H134" s="603">
        <v>-9.9999999999909103E-3</v>
      </c>
      <c r="I134" s="603">
        <v>-0.119999999999991</v>
      </c>
      <c r="J134" s="603">
        <v>-0.119999999999991</v>
      </c>
      <c r="K134" s="603">
        <v>-0.119999999999991</v>
      </c>
      <c r="L134" s="603">
        <v>-0.12999999999999101</v>
      </c>
      <c r="M134" s="603">
        <v>-0.12999999999999101</v>
      </c>
      <c r="N134" s="603">
        <v>-0.12999999999999101</v>
      </c>
      <c r="O134" s="603">
        <v>-0.12999999999999101</v>
      </c>
      <c r="P134" s="603">
        <v>438.24</v>
      </c>
      <c r="Q134" s="603">
        <v>301</v>
      </c>
      <c r="R134" s="603">
        <v>0</v>
      </c>
      <c r="S134" s="484">
        <f t="shared" si="31"/>
        <v>83.876666666666679</v>
      </c>
      <c r="T134" s="604"/>
      <c r="U134" s="642">
        <f t="shared" si="29"/>
        <v>83.876666666666679</v>
      </c>
      <c r="V134" s="679"/>
      <c r="W134" s="679"/>
      <c r="X134" s="702"/>
      <c r="Y134" s="679"/>
      <c r="Z134" s="679"/>
      <c r="AA134" s="642"/>
      <c r="AB134" s="679"/>
      <c r="AC134" s="643"/>
      <c r="AD134" s="644">
        <f t="shared" si="30"/>
        <v>83.876666666666679</v>
      </c>
      <c r="AE134" s="643"/>
      <c r="AF134" s="677">
        <f t="shared" si="20"/>
        <v>0</v>
      </c>
    </row>
    <row r="135" spans="1:32">
      <c r="A135" s="604">
        <v>122</v>
      </c>
      <c r="B135" s="316" t="s">
        <v>1124</v>
      </c>
      <c r="C135" s="316" t="s">
        <v>434</v>
      </c>
      <c r="D135" s="316" t="s">
        <v>618</v>
      </c>
      <c r="E135" s="602" t="s">
        <v>1509</v>
      </c>
      <c r="F135" s="603">
        <v>307766.09000000003</v>
      </c>
      <c r="G135" s="603">
        <v>333531.90999999997</v>
      </c>
      <c r="H135" s="603">
        <v>337831.14</v>
      </c>
      <c r="I135" s="603">
        <v>376089.57</v>
      </c>
      <c r="J135" s="603">
        <v>373404.21</v>
      </c>
      <c r="K135" s="603">
        <v>400312.55</v>
      </c>
      <c r="L135" s="603">
        <v>401400.87</v>
      </c>
      <c r="M135" s="603">
        <v>394222.13</v>
      </c>
      <c r="N135" s="603">
        <v>334060.74</v>
      </c>
      <c r="O135" s="603">
        <v>334039.48</v>
      </c>
      <c r="P135" s="603">
        <v>327504.84999999998</v>
      </c>
      <c r="Q135" s="603">
        <v>342023.69</v>
      </c>
      <c r="R135" s="603">
        <v>335701.16</v>
      </c>
      <c r="S135" s="484">
        <f t="shared" si="31"/>
        <v>356346.23041666672</v>
      </c>
      <c r="T135" s="604"/>
      <c r="U135" s="642">
        <f t="shared" si="29"/>
        <v>356346.23041666672</v>
      </c>
      <c r="V135" s="679"/>
      <c r="W135" s="679"/>
      <c r="X135" s="702"/>
      <c r="Y135" s="679"/>
      <c r="Z135" s="679"/>
      <c r="AA135" s="642"/>
      <c r="AB135" s="679"/>
      <c r="AC135" s="643"/>
      <c r="AD135" s="644">
        <f t="shared" si="30"/>
        <v>356346.23041666672</v>
      </c>
      <c r="AE135" s="643"/>
      <c r="AF135" s="677">
        <f t="shared" si="20"/>
        <v>0</v>
      </c>
    </row>
    <row r="136" spans="1:32">
      <c r="A136" s="604">
        <v>123</v>
      </c>
      <c r="B136" s="316" t="s">
        <v>1125</v>
      </c>
      <c r="C136" s="316" t="s">
        <v>434</v>
      </c>
      <c r="D136" s="316" t="s">
        <v>618</v>
      </c>
      <c r="E136" s="602" t="s">
        <v>1510</v>
      </c>
      <c r="F136" s="603">
        <v>348930.45</v>
      </c>
      <c r="G136" s="603">
        <v>316020.49</v>
      </c>
      <c r="H136" s="603">
        <v>311190.42</v>
      </c>
      <c r="I136" s="603">
        <v>313079.14</v>
      </c>
      <c r="J136" s="603">
        <v>308208.81</v>
      </c>
      <c r="K136" s="603">
        <v>333227.8</v>
      </c>
      <c r="L136" s="603">
        <v>325831.02</v>
      </c>
      <c r="M136" s="603">
        <v>318188.95</v>
      </c>
      <c r="N136" s="603">
        <v>310247.08</v>
      </c>
      <c r="O136" s="603">
        <v>318837.53000000003</v>
      </c>
      <c r="P136" s="603">
        <v>339435.53</v>
      </c>
      <c r="Q136" s="603">
        <v>338797.96</v>
      </c>
      <c r="R136" s="603">
        <v>251761.23</v>
      </c>
      <c r="S136" s="484">
        <f t="shared" si="31"/>
        <v>319450.88083333336</v>
      </c>
      <c r="T136" s="604"/>
      <c r="U136" s="642">
        <f t="shared" si="29"/>
        <v>319450.88083333336</v>
      </c>
      <c r="V136" s="679"/>
      <c r="W136" s="679"/>
      <c r="X136" s="702"/>
      <c r="Y136" s="679"/>
      <c r="Z136" s="679"/>
      <c r="AA136" s="642"/>
      <c r="AB136" s="679"/>
      <c r="AC136" s="643"/>
      <c r="AD136" s="644">
        <f t="shared" si="30"/>
        <v>319450.88083333336</v>
      </c>
      <c r="AE136" s="643"/>
      <c r="AF136" s="677">
        <f t="shared" si="20"/>
        <v>0</v>
      </c>
    </row>
    <row r="137" spans="1:32">
      <c r="A137" s="604">
        <v>124</v>
      </c>
      <c r="B137" s="316" t="s">
        <v>1126</v>
      </c>
      <c r="C137" s="316" t="s">
        <v>434</v>
      </c>
      <c r="D137" s="316" t="s">
        <v>618</v>
      </c>
      <c r="E137" s="602" t="s">
        <v>1511</v>
      </c>
      <c r="F137" s="603">
        <v>144477.1</v>
      </c>
      <c r="G137" s="603">
        <v>141959.82</v>
      </c>
      <c r="H137" s="603">
        <v>143740.49</v>
      </c>
      <c r="I137" s="603">
        <v>148297.29999999999</v>
      </c>
      <c r="J137" s="603">
        <v>148045.94</v>
      </c>
      <c r="K137" s="603">
        <v>147676.54</v>
      </c>
      <c r="L137" s="603">
        <v>143696.63</v>
      </c>
      <c r="M137" s="603">
        <v>138270.57999999999</v>
      </c>
      <c r="N137" s="603">
        <v>150672.95999999999</v>
      </c>
      <c r="O137" s="603">
        <v>153418.91</v>
      </c>
      <c r="P137" s="603">
        <v>141472.29</v>
      </c>
      <c r="Q137" s="603">
        <v>143707.03</v>
      </c>
      <c r="R137" s="603">
        <v>142314.16</v>
      </c>
      <c r="S137" s="484">
        <f t="shared" si="31"/>
        <v>145362.84333333335</v>
      </c>
      <c r="T137" s="604"/>
      <c r="U137" s="642">
        <f t="shared" si="29"/>
        <v>145362.84333333335</v>
      </c>
      <c r="V137" s="679"/>
      <c r="W137" s="679"/>
      <c r="X137" s="702"/>
      <c r="Y137" s="679"/>
      <c r="Z137" s="679"/>
      <c r="AA137" s="642"/>
      <c r="AB137" s="679"/>
      <c r="AC137" s="643"/>
      <c r="AD137" s="644">
        <f t="shared" si="30"/>
        <v>145362.84333333335</v>
      </c>
      <c r="AE137" s="643"/>
      <c r="AF137" s="677">
        <f t="shared" si="20"/>
        <v>0</v>
      </c>
    </row>
    <row r="138" spans="1:32">
      <c r="A138" s="604">
        <v>125</v>
      </c>
      <c r="B138" s="316" t="s">
        <v>1127</v>
      </c>
      <c r="C138" s="316" t="s">
        <v>434</v>
      </c>
      <c r="D138" s="316" t="s">
        <v>618</v>
      </c>
      <c r="E138" s="602" t="s">
        <v>1512</v>
      </c>
      <c r="F138" s="603">
        <v>58203.88</v>
      </c>
      <c r="G138" s="603">
        <v>59485.39</v>
      </c>
      <c r="H138" s="603">
        <v>59610.83</v>
      </c>
      <c r="I138" s="603">
        <v>59165.21</v>
      </c>
      <c r="J138" s="603">
        <v>58764.37</v>
      </c>
      <c r="K138" s="603">
        <v>56733.97</v>
      </c>
      <c r="L138" s="603">
        <v>56958.17</v>
      </c>
      <c r="M138" s="603">
        <v>55829.18</v>
      </c>
      <c r="N138" s="603">
        <v>56518.74</v>
      </c>
      <c r="O138" s="603">
        <v>55774.22</v>
      </c>
      <c r="P138" s="603">
        <v>66490.77</v>
      </c>
      <c r="Q138" s="603">
        <v>62884.21</v>
      </c>
      <c r="R138" s="603">
        <v>62373.23</v>
      </c>
      <c r="S138" s="484">
        <f t="shared" si="31"/>
        <v>59041.967916666668</v>
      </c>
      <c r="T138" s="604"/>
      <c r="U138" s="642">
        <f t="shared" si="29"/>
        <v>59041.967916666668</v>
      </c>
      <c r="V138" s="679"/>
      <c r="W138" s="679"/>
      <c r="X138" s="702"/>
      <c r="Y138" s="679"/>
      <c r="Z138" s="679"/>
      <c r="AA138" s="642"/>
      <c r="AB138" s="679"/>
      <c r="AC138" s="643"/>
      <c r="AD138" s="644">
        <f t="shared" si="30"/>
        <v>59041.967916666668</v>
      </c>
      <c r="AE138" s="643"/>
      <c r="AF138" s="677">
        <f t="shared" si="20"/>
        <v>0</v>
      </c>
    </row>
    <row r="139" spans="1:32">
      <c r="A139" s="604">
        <v>126</v>
      </c>
      <c r="B139" s="316" t="s">
        <v>1128</v>
      </c>
      <c r="C139" s="316" t="s">
        <v>434</v>
      </c>
      <c r="D139" s="316" t="s">
        <v>618</v>
      </c>
      <c r="E139" s="602" t="s">
        <v>1513</v>
      </c>
      <c r="F139" s="603">
        <v>255478.3</v>
      </c>
      <c r="G139" s="603">
        <v>259044.32</v>
      </c>
      <c r="H139" s="603">
        <v>252470.7</v>
      </c>
      <c r="I139" s="603">
        <v>319141.57</v>
      </c>
      <c r="J139" s="603">
        <v>328578.74</v>
      </c>
      <c r="K139" s="603">
        <v>321366.49</v>
      </c>
      <c r="L139" s="603">
        <v>253625.88</v>
      </c>
      <c r="M139" s="603">
        <v>256666.02</v>
      </c>
      <c r="N139" s="603">
        <v>222846.84</v>
      </c>
      <c r="O139" s="603">
        <v>250737.87</v>
      </c>
      <c r="P139" s="603">
        <v>378460.07</v>
      </c>
      <c r="Q139" s="603">
        <v>402588.21</v>
      </c>
      <c r="R139" s="603">
        <v>446580.76</v>
      </c>
      <c r="S139" s="484">
        <f t="shared" si="31"/>
        <v>299713.02</v>
      </c>
      <c r="T139" s="604"/>
      <c r="U139" s="642">
        <f t="shared" si="29"/>
        <v>299713.02</v>
      </c>
      <c r="V139" s="679"/>
      <c r="W139" s="679"/>
      <c r="X139" s="702"/>
      <c r="Y139" s="679"/>
      <c r="Z139" s="679"/>
      <c r="AA139" s="642"/>
      <c r="AB139" s="679"/>
      <c r="AC139" s="643"/>
      <c r="AD139" s="644">
        <f t="shared" si="30"/>
        <v>299713.02</v>
      </c>
      <c r="AE139" s="643"/>
      <c r="AF139" s="677">
        <f t="shared" si="20"/>
        <v>0</v>
      </c>
    </row>
    <row r="140" spans="1:32">
      <c r="A140" s="604">
        <v>127</v>
      </c>
      <c r="B140" s="316" t="s">
        <v>1381</v>
      </c>
      <c r="C140" s="316" t="s">
        <v>434</v>
      </c>
      <c r="D140" s="316" t="s">
        <v>618</v>
      </c>
      <c r="E140" s="602" t="s">
        <v>1514</v>
      </c>
      <c r="F140" s="603">
        <v>-1541.61</v>
      </c>
      <c r="G140" s="603">
        <v>0</v>
      </c>
      <c r="H140" s="603">
        <v>0</v>
      </c>
      <c r="I140" s="603">
        <v>-0.01</v>
      </c>
      <c r="J140" s="603">
        <v>-0.01</v>
      </c>
      <c r="K140" s="603">
        <v>9811.2099999999991</v>
      </c>
      <c r="L140" s="603">
        <v>-1.00000000002183E-2</v>
      </c>
      <c r="M140" s="603">
        <v>-1.00000000002183E-2</v>
      </c>
      <c r="N140" s="603">
        <v>-1.00000000002183E-2</v>
      </c>
      <c r="O140" s="603">
        <v>-1.00000000002183E-2</v>
      </c>
      <c r="P140" s="603">
        <v>-1.00000000002183E-2</v>
      </c>
      <c r="Q140" s="603">
        <v>-1.00000000002183E-2</v>
      </c>
      <c r="R140" s="603">
        <v>-2.1827852025868599E-13</v>
      </c>
      <c r="S140" s="484">
        <f t="shared" si="31"/>
        <v>753.36041666666642</v>
      </c>
      <c r="T140" s="604"/>
      <c r="U140" s="642">
        <f t="shared" si="29"/>
        <v>753.36041666666642</v>
      </c>
      <c r="V140" s="679"/>
      <c r="W140" s="679"/>
      <c r="X140" s="702"/>
      <c r="Y140" s="679"/>
      <c r="Z140" s="679"/>
      <c r="AA140" s="642"/>
      <c r="AB140" s="679"/>
      <c r="AC140" s="643"/>
      <c r="AD140" s="644">
        <f t="shared" si="30"/>
        <v>753.36041666666642</v>
      </c>
      <c r="AE140" s="643"/>
      <c r="AF140" s="677">
        <f t="shared" si="20"/>
        <v>0</v>
      </c>
    </row>
    <row r="141" spans="1:32">
      <c r="A141" s="604">
        <v>128</v>
      </c>
      <c r="B141" s="316" t="s">
        <v>956</v>
      </c>
      <c r="C141" s="316" t="s">
        <v>434</v>
      </c>
      <c r="D141" s="316" t="s">
        <v>1129</v>
      </c>
      <c r="E141" s="602" t="s">
        <v>1515</v>
      </c>
      <c r="F141" s="603">
        <v>342609.97</v>
      </c>
      <c r="G141" s="603">
        <v>270974.21000000002</v>
      </c>
      <c r="H141" s="603">
        <v>314373.59999999998</v>
      </c>
      <c r="I141" s="603">
        <v>314373.59999999998</v>
      </c>
      <c r="J141" s="603">
        <v>360932.07</v>
      </c>
      <c r="K141" s="603">
        <v>366522.79</v>
      </c>
      <c r="L141" s="603">
        <v>366522.79</v>
      </c>
      <c r="M141" s="603">
        <v>305781.68</v>
      </c>
      <c r="N141" s="603">
        <v>309144.18</v>
      </c>
      <c r="O141" s="603">
        <v>428507.61</v>
      </c>
      <c r="P141" s="603">
        <v>362627.49</v>
      </c>
      <c r="Q141" s="603">
        <v>361977.49</v>
      </c>
      <c r="R141" s="603">
        <v>361977.49</v>
      </c>
      <c r="S141" s="484">
        <f t="shared" si="31"/>
        <v>342835.9366666667</v>
      </c>
      <c r="T141" s="604"/>
      <c r="U141" s="642">
        <f t="shared" si="29"/>
        <v>342835.9366666667</v>
      </c>
      <c r="V141" s="679"/>
      <c r="W141" s="679"/>
      <c r="X141" s="702"/>
      <c r="Y141" s="679"/>
      <c r="Z141" s="679"/>
      <c r="AA141" s="642"/>
      <c r="AB141" s="679"/>
      <c r="AC141" s="643"/>
      <c r="AD141" s="644">
        <f t="shared" si="30"/>
        <v>342835.9366666667</v>
      </c>
      <c r="AE141" s="643"/>
      <c r="AF141" s="677">
        <f t="shared" si="20"/>
        <v>0</v>
      </c>
    </row>
    <row r="142" spans="1:32">
      <c r="A142" s="604"/>
      <c r="B142" s="316"/>
      <c r="C142" s="316" t="s">
        <v>434</v>
      </c>
      <c r="D142" s="316" t="s">
        <v>1130</v>
      </c>
      <c r="E142" s="602" t="s">
        <v>1847</v>
      </c>
      <c r="F142" s="603">
        <v>0</v>
      </c>
      <c r="G142" s="603">
        <v>0</v>
      </c>
      <c r="H142" s="603">
        <v>0</v>
      </c>
      <c r="I142" s="603">
        <v>0</v>
      </c>
      <c r="J142" s="603">
        <v>0</v>
      </c>
      <c r="K142" s="603">
        <v>30.08</v>
      </c>
      <c r="L142" s="603">
        <v>30.08</v>
      </c>
      <c r="M142" s="603">
        <v>30.08</v>
      </c>
      <c r="N142" s="603">
        <v>30.08</v>
      </c>
      <c r="O142" s="603">
        <v>0</v>
      </c>
      <c r="P142" s="603">
        <v>0</v>
      </c>
      <c r="Q142" s="603">
        <v>0</v>
      </c>
      <c r="R142" s="603">
        <v>0</v>
      </c>
      <c r="S142" s="484">
        <f t="shared" si="31"/>
        <v>10.026666666666666</v>
      </c>
      <c r="T142" s="604"/>
      <c r="U142" s="642">
        <f>+S142</f>
        <v>10.026666666666666</v>
      </c>
      <c r="V142" s="679"/>
      <c r="W142" s="679"/>
      <c r="X142" s="702"/>
      <c r="Y142" s="679"/>
      <c r="Z142" s="679"/>
      <c r="AA142" s="642"/>
      <c r="AB142" s="679"/>
      <c r="AC142" s="643"/>
      <c r="AD142" s="644">
        <f t="shared" si="30"/>
        <v>10.026666666666666</v>
      </c>
      <c r="AE142" s="643"/>
      <c r="AF142" s="677">
        <f t="shared" si="20"/>
        <v>0</v>
      </c>
    </row>
    <row r="143" spans="1:32">
      <c r="A143" s="604">
        <v>129</v>
      </c>
      <c r="B143" s="316" t="s">
        <v>956</v>
      </c>
      <c r="C143" s="316" t="s">
        <v>435</v>
      </c>
      <c r="D143" s="316" t="s">
        <v>1131</v>
      </c>
      <c r="E143" s="602" t="s">
        <v>1516</v>
      </c>
      <c r="F143" s="603">
        <v>0</v>
      </c>
      <c r="G143" s="603">
        <v>5554.66</v>
      </c>
      <c r="H143" s="603">
        <v>7006</v>
      </c>
      <c r="I143" s="603">
        <v>12453.95</v>
      </c>
      <c r="J143" s="603">
        <v>24053.51</v>
      </c>
      <c r="K143" s="603">
        <v>31758.91</v>
      </c>
      <c r="L143" s="603">
        <v>35174.400000000001</v>
      </c>
      <c r="M143" s="603">
        <v>40466.97</v>
      </c>
      <c r="N143" s="603">
        <v>46492.78</v>
      </c>
      <c r="O143" s="603">
        <v>49842.92</v>
      </c>
      <c r="P143" s="603">
        <v>52568.959999999999</v>
      </c>
      <c r="Q143" s="603">
        <v>56544.08</v>
      </c>
      <c r="R143" s="603">
        <v>0</v>
      </c>
      <c r="S143" s="484">
        <f t="shared" ref="S143:S148" si="32">((F143+R143)+((G143+H143+I143+J143+K143+L143+M143+N143+O143+P143+Q143)*2))/24</f>
        <v>30159.761666666669</v>
      </c>
      <c r="T143" s="604"/>
      <c r="U143" s="642">
        <f t="shared" si="29"/>
        <v>30159.761666666669</v>
      </c>
      <c r="V143" s="679"/>
      <c r="W143" s="679"/>
      <c r="X143" s="702"/>
      <c r="Y143" s="679"/>
      <c r="Z143" s="679"/>
      <c r="AA143" s="642"/>
      <c r="AB143" s="679"/>
      <c r="AC143" s="643"/>
      <c r="AD143" s="644">
        <f t="shared" si="30"/>
        <v>30159.761666666669</v>
      </c>
      <c r="AE143" s="643"/>
      <c r="AF143" s="677">
        <f t="shared" si="20"/>
        <v>0</v>
      </c>
    </row>
    <row r="144" spans="1:32">
      <c r="A144" s="604">
        <v>130</v>
      </c>
      <c r="B144" s="316" t="s">
        <v>956</v>
      </c>
      <c r="C144" s="316" t="s">
        <v>435</v>
      </c>
      <c r="D144" s="316" t="s">
        <v>1132</v>
      </c>
      <c r="E144" s="602" t="s">
        <v>1848</v>
      </c>
      <c r="F144" s="603">
        <v>0</v>
      </c>
      <c r="G144" s="603">
        <v>1200.6099999999999</v>
      </c>
      <c r="H144" s="603">
        <v>0</v>
      </c>
      <c r="I144" s="603">
        <v>0</v>
      </c>
      <c r="J144" s="603">
        <v>0</v>
      </c>
      <c r="K144" s="603">
        <v>0</v>
      </c>
      <c r="L144" s="603">
        <v>0</v>
      </c>
      <c r="M144" s="603">
        <v>0</v>
      </c>
      <c r="N144" s="603">
        <v>0</v>
      </c>
      <c r="O144" s="603">
        <v>0</v>
      </c>
      <c r="P144" s="603">
        <v>0</v>
      </c>
      <c r="Q144" s="603">
        <v>0</v>
      </c>
      <c r="R144" s="603">
        <v>0</v>
      </c>
      <c r="S144" s="484">
        <f t="shared" si="32"/>
        <v>100.05083333333333</v>
      </c>
      <c r="T144" s="604"/>
      <c r="U144" s="642">
        <f t="shared" si="29"/>
        <v>100.05083333333333</v>
      </c>
      <c r="V144" s="679"/>
      <c r="W144" s="679"/>
      <c r="X144" s="702"/>
      <c r="Y144" s="679"/>
      <c r="Z144" s="679"/>
      <c r="AA144" s="642"/>
      <c r="AB144" s="679"/>
      <c r="AC144" s="643"/>
      <c r="AD144" s="644">
        <f t="shared" si="30"/>
        <v>100.05083333333333</v>
      </c>
      <c r="AE144" s="643"/>
      <c r="AF144" s="677">
        <f t="shared" si="20"/>
        <v>0</v>
      </c>
    </row>
    <row r="145" spans="1:32">
      <c r="A145" s="604">
        <v>131</v>
      </c>
      <c r="B145" s="316" t="s">
        <v>956</v>
      </c>
      <c r="C145" s="316" t="s">
        <v>435</v>
      </c>
      <c r="D145" s="316" t="s">
        <v>1133</v>
      </c>
      <c r="E145" s="602" t="s">
        <v>1517</v>
      </c>
      <c r="F145" s="603">
        <v>1.45519152283669E-11</v>
      </c>
      <c r="G145" s="603">
        <v>5491.47</v>
      </c>
      <c r="H145" s="603">
        <v>4727.83</v>
      </c>
      <c r="I145" s="603">
        <v>5058.41</v>
      </c>
      <c r="J145" s="603">
        <v>16509</v>
      </c>
      <c r="K145" s="603">
        <v>265880.13</v>
      </c>
      <c r="L145" s="603">
        <v>0</v>
      </c>
      <c r="M145" s="603">
        <v>170.96</v>
      </c>
      <c r="N145" s="603">
        <v>4905.74</v>
      </c>
      <c r="O145" s="603">
        <v>4968.67</v>
      </c>
      <c r="P145" s="603">
        <v>4861.63</v>
      </c>
      <c r="Q145" s="603">
        <v>5867.16</v>
      </c>
      <c r="R145" s="603">
        <v>0</v>
      </c>
      <c r="S145" s="484">
        <f t="shared" si="32"/>
        <v>26536.75</v>
      </c>
      <c r="T145" s="604"/>
      <c r="U145" s="642">
        <f t="shared" si="29"/>
        <v>26536.75</v>
      </c>
      <c r="V145" s="679"/>
      <c r="W145" s="679"/>
      <c r="X145" s="702"/>
      <c r="Y145" s="679"/>
      <c r="Z145" s="679"/>
      <c r="AA145" s="642"/>
      <c r="AB145" s="679"/>
      <c r="AC145" s="643"/>
      <c r="AD145" s="644">
        <f t="shared" si="30"/>
        <v>26536.75</v>
      </c>
      <c r="AE145" s="643"/>
      <c r="AF145" s="677">
        <f t="shared" si="20"/>
        <v>0</v>
      </c>
    </row>
    <row r="146" spans="1:32">
      <c r="A146" s="604">
        <v>132</v>
      </c>
      <c r="B146" s="316" t="s">
        <v>956</v>
      </c>
      <c r="C146" s="316" t="s">
        <v>436</v>
      </c>
      <c r="D146" s="316" t="s">
        <v>437</v>
      </c>
      <c r="E146" s="602" t="s">
        <v>438</v>
      </c>
      <c r="F146" s="603">
        <v>299383.02</v>
      </c>
      <c r="G146" s="603">
        <v>352269.37</v>
      </c>
      <c r="H146" s="603">
        <v>0</v>
      </c>
      <c r="I146" s="603">
        <v>1962286.41</v>
      </c>
      <c r="J146" s="603">
        <v>174242.51</v>
      </c>
      <c r="K146" s="603">
        <v>45156.81</v>
      </c>
      <c r="L146" s="603">
        <v>52366.44</v>
      </c>
      <c r="M146" s="603">
        <v>28125.27</v>
      </c>
      <c r="N146" s="603">
        <v>74226.77</v>
      </c>
      <c r="O146" s="603">
        <v>86273</v>
      </c>
      <c r="P146" s="603">
        <v>1.45519152283669E-11</v>
      </c>
      <c r="Q146" s="603">
        <v>85807.33</v>
      </c>
      <c r="R146" s="603">
        <v>792674.16</v>
      </c>
      <c r="S146" s="484">
        <f t="shared" si="32"/>
        <v>283898.54166666669</v>
      </c>
      <c r="T146" s="604"/>
      <c r="U146" s="642">
        <f t="shared" si="29"/>
        <v>283898.54166666669</v>
      </c>
      <c r="V146" s="679"/>
      <c r="W146" s="679"/>
      <c r="X146" s="702"/>
      <c r="Y146" s="679"/>
      <c r="Z146" s="679"/>
      <c r="AA146" s="642"/>
      <c r="AB146" s="679"/>
      <c r="AC146" s="643"/>
      <c r="AD146" s="644">
        <f t="shared" si="30"/>
        <v>283898.54166666669</v>
      </c>
      <c r="AE146" s="643"/>
      <c r="AF146" s="677">
        <f t="shared" si="20"/>
        <v>0</v>
      </c>
    </row>
    <row r="147" spans="1:32">
      <c r="A147" s="604">
        <v>133</v>
      </c>
      <c r="B147" s="316" t="s">
        <v>956</v>
      </c>
      <c r="C147" s="316" t="s">
        <v>436</v>
      </c>
      <c r="D147" s="316" t="s">
        <v>482</v>
      </c>
      <c r="E147" s="602" t="s">
        <v>715</v>
      </c>
      <c r="F147" s="603">
        <v>97275.8</v>
      </c>
      <c r="G147" s="603">
        <v>124685.06</v>
      </c>
      <c r="H147" s="603">
        <v>152853.23000000001</v>
      </c>
      <c r="I147" s="603">
        <v>96949.61</v>
      </c>
      <c r="J147" s="603">
        <v>107933.45</v>
      </c>
      <c r="K147" s="603">
        <v>117734.06</v>
      </c>
      <c r="L147" s="603">
        <v>134136.34</v>
      </c>
      <c r="M147" s="603">
        <v>89459.73</v>
      </c>
      <c r="N147" s="603">
        <v>109607.47</v>
      </c>
      <c r="O147" s="603">
        <v>133693.88</v>
      </c>
      <c r="P147" s="603">
        <v>44634.29</v>
      </c>
      <c r="Q147" s="603">
        <v>71995.61</v>
      </c>
      <c r="R147" s="603">
        <v>100984.61</v>
      </c>
      <c r="S147" s="484">
        <f t="shared" si="32"/>
        <v>106901.07791666669</v>
      </c>
      <c r="T147" s="604"/>
      <c r="U147" s="642">
        <f t="shared" si="29"/>
        <v>106901.07791666669</v>
      </c>
      <c r="V147" s="679"/>
      <c r="W147" s="679"/>
      <c r="X147" s="702"/>
      <c r="Y147" s="679"/>
      <c r="Z147" s="679"/>
      <c r="AA147" s="642"/>
      <c r="AB147" s="679"/>
      <c r="AC147" s="643"/>
      <c r="AD147" s="644">
        <f t="shared" si="30"/>
        <v>106901.07791666669</v>
      </c>
      <c r="AE147" s="643"/>
      <c r="AF147" s="677">
        <f t="shared" si="20"/>
        <v>0</v>
      </c>
    </row>
    <row r="148" spans="1:32">
      <c r="A148" s="604">
        <v>134</v>
      </c>
      <c r="B148" s="316" t="s">
        <v>956</v>
      </c>
      <c r="C148" s="316" t="s">
        <v>439</v>
      </c>
      <c r="D148" s="316" t="s">
        <v>450</v>
      </c>
      <c r="E148" s="602" t="s">
        <v>440</v>
      </c>
      <c r="F148" s="603">
        <v>1940548.63</v>
      </c>
      <c r="G148" s="603">
        <v>1806480.37</v>
      </c>
      <c r="H148" s="603">
        <v>459068.21</v>
      </c>
      <c r="I148" s="603">
        <v>151095.42000000001</v>
      </c>
      <c r="J148" s="603">
        <v>480683.88</v>
      </c>
      <c r="K148" s="603">
        <v>826643.67</v>
      </c>
      <c r="L148" s="603">
        <v>1367391.12</v>
      </c>
      <c r="M148" s="603">
        <v>1817922.09</v>
      </c>
      <c r="N148" s="603">
        <v>2343168.5299999998</v>
      </c>
      <c r="O148" s="603">
        <v>3003087.8</v>
      </c>
      <c r="P148" s="603">
        <v>3407746.16</v>
      </c>
      <c r="Q148" s="603">
        <v>3032829.84</v>
      </c>
      <c r="R148" s="603">
        <v>1844137.53</v>
      </c>
      <c r="S148" s="484">
        <f t="shared" si="32"/>
        <v>1715705.0141666669</v>
      </c>
      <c r="T148" s="604"/>
      <c r="U148" s="642">
        <f t="shared" si="29"/>
        <v>1715705.0141666669</v>
      </c>
      <c r="V148" s="679"/>
      <c r="W148" s="679"/>
      <c r="X148" s="702"/>
      <c r="Y148" s="679"/>
      <c r="Z148" s="679"/>
      <c r="AA148" s="642"/>
      <c r="AB148" s="679"/>
      <c r="AC148" s="643"/>
      <c r="AD148" s="644">
        <f t="shared" si="30"/>
        <v>1715705.0141666669</v>
      </c>
      <c r="AE148" s="643"/>
      <c r="AF148" s="677">
        <f t="shared" si="20"/>
        <v>0</v>
      </c>
    </row>
    <row r="149" spans="1:32">
      <c r="A149" s="604">
        <v>135</v>
      </c>
      <c r="B149" s="604"/>
      <c r="C149" s="604"/>
      <c r="D149" s="604"/>
      <c r="E149" s="602" t="s">
        <v>441</v>
      </c>
      <c r="F149" s="295">
        <f t="shared" ref="F149:S149" si="33">SUM(F124:F148)</f>
        <v>8031490.5800000001</v>
      </c>
      <c r="G149" s="295">
        <f t="shared" si="33"/>
        <v>7862193.7300000014</v>
      </c>
      <c r="H149" s="295">
        <f t="shared" si="33"/>
        <v>6254790.1600000001</v>
      </c>
      <c r="I149" s="295">
        <f t="shared" si="33"/>
        <v>8047244.4700000007</v>
      </c>
      <c r="J149" s="295">
        <f t="shared" si="33"/>
        <v>6674814.6799999997</v>
      </c>
      <c r="K149" s="295">
        <f t="shared" si="33"/>
        <v>7457568.4099999992</v>
      </c>
      <c r="L149" s="295">
        <f t="shared" si="33"/>
        <v>7714679.6200000001</v>
      </c>
      <c r="M149" s="295">
        <f t="shared" si="33"/>
        <v>8387161.3599999985</v>
      </c>
      <c r="N149" s="295">
        <f t="shared" si="33"/>
        <v>9210080.6500000004</v>
      </c>
      <c r="O149" s="295">
        <f t="shared" si="33"/>
        <v>9704412.5600000005</v>
      </c>
      <c r="P149" s="295">
        <f t="shared" si="33"/>
        <v>10096520.32</v>
      </c>
      <c r="Q149" s="295">
        <f t="shared" si="33"/>
        <v>9951034.1700000018</v>
      </c>
      <c r="R149" s="295">
        <f t="shared" si="33"/>
        <v>9214197.9400000013</v>
      </c>
      <c r="S149" s="486">
        <f t="shared" si="33"/>
        <v>8331945.3658333337</v>
      </c>
      <c r="T149" s="604"/>
      <c r="U149" s="642"/>
      <c r="V149" s="679"/>
      <c r="W149" s="679"/>
      <c r="X149" s="702"/>
      <c r="Y149" s="679"/>
      <c r="Z149" s="679"/>
      <c r="AA149" s="642"/>
      <c r="AB149" s="679"/>
      <c r="AC149" s="643"/>
      <c r="AD149" s="643"/>
      <c r="AE149" s="643"/>
      <c r="AF149" s="677">
        <f t="shared" si="20"/>
        <v>0</v>
      </c>
    </row>
    <row r="150" spans="1:32">
      <c r="A150" s="604">
        <v>136</v>
      </c>
      <c r="B150" s="604"/>
      <c r="C150" s="604"/>
      <c r="D150" s="604"/>
      <c r="E150" s="589"/>
      <c r="F150" s="603"/>
      <c r="G150" s="304"/>
      <c r="H150" s="305"/>
      <c r="I150" s="305"/>
      <c r="J150" s="306"/>
      <c r="K150" s="307"/>
      <c r="L150" s="308"/>
      <c r="M150" s="309"/>
      <c r="N150" s="310"/>
      <c r="O150" s="590"/>
      <c r="P150" s="311"/>
      <c r="Q150" s="312"/>
      <c r="R150" s="603"/>
      <c r="S150" s="294"/>
      <c r="T150" s="604"/>
      <c r="U150" s="642"/>
      <c r="V150" s="679"/>
      <c r="W150" s="679"/>
      <c r="X150" s="702"/>
      <c r="Y150" s="679"/>
      <c r="Z150" s="679"/>
      <c r="AA150" s="642"/>
      <c r="AB150" s="679"/>
      <c r="AC150" s="643"/>
      <c r="AD150" s="643"/>
      <c r="AE150" s="643"/>
      <c r="AF150" s="677">
        <f t="shared" ref="AF150:AF224" si="34">+U150+V150-AD150</f>
        <v>0</v>
      </c>
    </row>
    <row r="151" spans="1:32">
      <c r="A151" s="604">
        <v>137</v>
      </c>
      <c r="B151" s="316" t="s">
        <v>956</v>
      </c>
      <c r="C151" s="316" t="s">
        <v>442</v>
      </c>
      <c r="D151" s="316" t="s">
        <v>949</v>
      </c>
      <c r="E151" s="602" t="s">
        <v>1849</v>
      </c>
      <c r="F151" s="603">
        <v>130504.06</v>
      </c>
      <c r="G151" s="603">
        <v>1134528.29</v>
      </c>
      <c r="H151" s="603">
        <v>1068508.95</v>
      </c>
      <c r="I151" s="603">
        <v>1009952.35</v>
      </c>
      <c r="J151" s="603">
        <v>853139</v>
      </c>
      <c r="K151" s="603">
        <v>744691.34</v>
      </c>
      <c r="L151" s="603">
        <v>645685.64</v>
      </c>
      <c r="M151" s="603">
        <v>527132.48</v>
      </c>
      <c r="N151" s="603">
        <v>408579.32</v>
      </c>
      <c r="O151" s="603">
        <v>329784.62</v>
      </c>
      <c r="P151" s="603">
        <v>211491.97</v>
      </c>
      <c r="Q151" s="603">
        <v>257118.74</v>
      </c>
      <c r="R151" s="603">
        <v>138018.51999999999</v>
      </c>
      <c r="S151" s="484">
        <f t="shared" ref="S151:S168" si="35">((F151+R151)+((G151+H151+I151+J151+K151+L151+M151+N151+O151+P151+Q151)*2))/24</f>
        <v>610406.16583333339</v>
      </c>
      <c r="T151" s="604"/>
      <c r="U151" s="642">
        <f t="shared" ref="U151:U166" si="36">+S151</f>
        <v>610406.16583333339</v>
      </c>
      <c r="V151" s="679"/>
      <c r="W151" s="679"/>
      <c r="X151" s="702"/>
      <c r="Y151" s="679"/>
      <c r="Z151" s="679"/>
      <c r="AA151" s="642"/>
      <c r="AB151" s="679"/>
      <c r="AC151" s="643"/>
      <c r="AD151" s="644">
        <f t="shared" ref="AD151:AD168" si="37">+U151</f>
        <v>610406.16583333339</v>
      </c>
      <c r="AE151" s="643"/>
      <c r="AF151" s="677">
        <f t="shared" si="34"/>
        <v>0</v>
      </c>
    </row>
    <row r="152" spans="1:32">
      <c r="A152" s="604">
        <v>138</v>
      </c>
      <c r="B152" s="316" t="s">
        <v>956</v>
      </c>
      <c r="C152" s="316" t="s">
        <v>443</v>
      </c>
      <c r="D152" s="316" t="s">
        <v>466</v>
      </c>
      <c r="E152" s="592" t="s">
        <v>1520</v>
      </c>
      <c r="F152" s="603">
        <v>10266422.640000001</v>
      </c>
      <c r="G152" s="603">
        <v>0</v>
      </c>
      <c r="H152" s="603">
        <v>0</v>
      </c>
      <c r="I152" s="603">
        <v>0</v>
      </c>
      <c r="J152" s="603">
        <v>0</v>
      </c>
      <c r="K152" s="603">
        <v>0</v>
      </c>
      <c r="L152" s="603">
        <v>0</v>
      </c>
      <c r="M152" s="603">
        <v>0</v>
      </c>
      <c r="N152" s="603">
        <v>0</v>
      </c>
      <c r="O152" s="603">
        <v>0</v>
      </c>
      <c r="P152" s="603">
        <v>0</v>
      </c>
      <c r="Q152" s="603">
        <v>0</v>
      </c>
      <c r="R152" s="603">
        <v>0</v>
      </c>
      <c r="S152" s="484">
        <f t="shared" si="35"/>
        <v>427767.61000000004</v>
      </c>
      <c r="T152" s="604"/>
      <c r="U152" s="642">
        <f t="shared" si="36"/>
        <v>427767.61000000004</v>
      </c>
      <c r="V152" s="679"/>
      <c r="W152" s="679"/>
      <c r="X152" s="702"/>
      <c r="Y152" s="679"/>
      <c r="Z152" s="679"/>
      <c r="AA152" s="642"/>
      <c r="AB152" s="679"/>
      <c r="AC152" s="643"/>
      <c r="AD152" s="644">
        <f t="shared" si="37"/>
        <v>427767.61000000004</v>
      </c>
      <c r="AE152" s="643"/>
      <c r="AF152" s="677">
        <f t="shared" si="34"/>
        <v>0</v>
      </c>
    </row>
    <row r="153" spans="1:32">
      <c r="A153" s="604">
        <v>139</v>
      </c>
      <c r="B153" s="316" t="s">
        <v>984</v>
      </c>
      <c r="C153" s="316" t="s">
        <v>443</v>
      </c>
      <c r="D153" s="316" t="s">
        <v>468</v>
      </c>
      <c r="E153" s="592" t="s">
        <v>1525</v>
      </c>
      <c r="F153" s="603">
        <v>810941.04</v>
      </c>
      <c r="G153" s="603">
        <v>0</v>
      </c>
      <c r="H153" s="603">
        <v>0</v>
      </c>
      <c r="I153" s="603">
        <v>0</v>
      </c>
      <c r="J153" s="603">
        <v>0</v>
      </c>
      <c r="K153" s="603">
        <v>0</v>
      </c>
      <c r="L153" s="603">
        <v>0</v>
      </c>
      <c r="M153" s="603">
        <v>0</v>
      </c>
      <c r="N153" s="603">
        <v>0</v>
      </c>
      <c r="O153" s="603">
        <v>0</v>
      </c>
      <c r="P153" s="603">
        <v>0</v>
      </c>
      <c r="Q153" s="603">
        <v>0</v>
      </c>
      <c r="R153" s="603">
        <v>0</v>
      </c>
      <c r="S153" s="484">
        <f t="shared" si="35"/>
        <v>33789.21</v>
      </c>
      <c r="T153" s="604"/>
      <c r="U153" s="642">
        <f t="shared" si="36"/>
        <v>33789.21</v>
      </c>
      <c r="V153" s="679"/>
      <c r="W153" s="679"/>
      <c r="X153" s="702"/>
      <c r="Y153" s="679"/>
      <c r="Z153" s="679"/>
      <c r="AA153" s="642"/>
      <c r="AB153" s="679"/>
      <c r="AC153" s="643"/>
      <c r="AD153" s="644">
        <f t="shared" si="37"/>
        <v>33789.21</v>
      </c>
      <c r="AE153" s="643"/>
      <c r="AF153" s="677">
        <f t="shared" si="34"/>
        <v>0</v>
      </c>
    </row>
    <row r="154" spans="1:32">
      <c r="A154" s="604">
        <v>140</v>
      </c>
      <c r="B154" s="316" t="s">
        <v>956</v>
      </c>
      <c r="C154" s="316" t="s">
        <v>443</v>
      </c>
      <c r="D154" s="316" t="s">
        <v>470</v>
      </c>
      <c r="E154" s="592" t="s">
        <v>1521</v>
      </c>
      <c r="F154" s="603">
        <v>-71714</v>
      </c>
      <c r="G154" s="603">
        <v>0</v>
      </c>
      <c r="H154" s="603">
        <v>0</v>
      </c>
      <c r="I154" s="603">
        <v>0</v>
      </c>
      <c r="J154" s="603">
        <v>0</v>
      </c>
      <c r="K154" s="603">
        <v>0</v>
      </c>
      <c r="L154" s="603">
        <v>0</v>
      </c>
      <c r="M154" s="603">
        <v>0</v>
      </c>
      <c r="N154" s="603">
        <v>0</v>
      </c>
      <c r="O154" s="603">
        <v>0</v>
      </c>
      <c r="P154" s="603">
        <v>0</v>
      </c>
      <c r="Q154" s="603">
        <v>0</v>
      </c>
      <c r="R154" s="603">
        <v>0</v>
      </c>
      <c r="S154" s="484">
        <f t="shared" si="35"/>
        <v>-2988.0833333333335</v>
      </c>
      <c r="T154" s="604"/>
      <c r="U154" s="642">
        <f t="shared" si="36"/>
        <v>-2988.0833333333335</v>
      </c>
      <c r="V154" s="679"/>
      <c r="W154" s="679"/>
      <c r="X154" s="702"/>
      <c r="Y154" s="679"/>
      <c r="Z154" s="679"/>
      <c r="AA154" s="642"/>
      <c r="AB154" s="679"/>
      <c r="AC154" s="643"/>
      <c r="AD154" s="644">
        <f t="shared" si="37"/>
        <v>-2988.0833333333335</v>
      </c>
      <c r="AE154" s="643"/>
      <c r="AF154" s="677">
        <f t="shared" si="34"/>
        <v>0</v>
      </c>
    </row>
    <row r="155" spans="1:32">
      <c r="A155" s="604">
        <v>141</v>
      </c>
      <c r="B155" s="316" t="s">
        <v>956</v>
      </c>
      <c r="C155" s="316" t="s">
        <v>443</v>
      </c>
      <c r="D155" s="316" t="s">
        <v>444</v>
      </c>
      <c r="E155" s="592" t="s">
        <v>445</v>
      </c>
      <c r="F155" s="603">
        <v>3059262.74</v>
      </c>
      <c r="G155" s="603">
        <v>1737616.51</v>
      </c>
      <c r="H155" s="603">
        <v>419291.36</v>
      </c>
      <c r="I155" s="603">
        <v>3271523.49</v>
      </c>
      <c r="J155" s="603">
        <v>3808129.94</v>
      </c>
      <c r="K155" s="603">
        <v>3919844.69</v>
      </c>
      <c r="L155" s="603">
        <v>4186822.04</v>
      </c>
      <c r="M155" s="603">
        <v>4639280.42</v>
      </c>
      <c r="N155" s="603">
        <v>4836448.09</v>
      </c>
      <c r="O155" s="603">
        <v>4927090.6100000003</v>
      </c>
      <c r="P155" s="603">
        <v>4366986.1399999997</v>
      </c>
      <c r="Q155" s="603">
        <v>3550736.14</v>
      </c>
      <c r="R155" s="603">
        <v>3853770.95</v>
      </c>
      <c r="S155" s="484">
        <f t="shared" si="35"/>
        <v>3593357.1895833332</v>
      </c>
      <c r="T155" s="604"/>
      <c r="U155" s="642">
        <f t="shared" si="36"/>
        <v>3593357.1895833332</v>
      </c>
      <c r="V155" s="679"/>
      <c r="W155" s="679"/>
      <c r="X155" s="702"/>
      <c r="Y155" s="679"/>
      <c r="Z155" s="679"/>
      <c r="AA155" s="642"/>
      <c r="AB155" s="679"/>
      <c r="AC155" s="643"/>
      <c r="AD155" s="644">
        <f t="shared" si="37"/>
        <v>3593357.1895833332</v>
      </c>
      <c r="AE155" s="643"/>
      <c r="AF155" s="677">
        <f t="shared" si="34"/>
        <v>0</v>
      </c>
    </row>
    <row r="156" spans="1:32">
      <c r="A156" s="604">
        <v>142</v>
      </c>
      <c r="B156" s="316" t="s">
        <v>956</v>
      </c>
      <c r="C156" s="316" t="s">
        <v>443</v>
      </c>
      <c r="D156" s="316" t="s">
        <v>475</v>
      </c>
      <c r="E156" s="592" t="s">
        <v>1383</v>
      </c>
      <c r="F156" s="603">
        <v>218269.33</v>
      </c>
      <c r="G156" s="603">
        <v>0</v>
      </c>
      <c r="H156" s="603">
        <v>0</v>
      </c>
      <c r="I156" s="603">
        <v>0</v>
      </c>
      <c r="J156" s="603">
        <v>0</v>
      </c>
      <c r="K156" s="603">
        <v>0</v>
      </c>
      <c r="L156" s="603">
        <v>0</v>
      </c>
      <c r="M156" s="603">
        <v>0</v>
      </c>
      <c r="N156" s="603">
        <v>0</v>
      </c>
      <c r="O156" s="603">
        <v>0</v>
      </c>
      <c r="P156" s="603">
        <v>0</v>
      </c>
      <c r="Q156" s="603">
        <v>45364.26</v>
      </c>
      <c r="R156" s="603">
        <v>319155.09999999998</v>
      </c>
      <c r="S156" s="484">
        <f t="shared" si="35"/>
        <v>26173.039583333331</v>
      </c>
      <c r="T156" s="604"/>
      <c r="U156" s="642">
        <f t="shared" si="36"/>
        <v>26173.039583333331</v>
      </c>
      <c r="V156" s="679"/>
      <c r="W156" s="679"/>
      <c r="X156" s="702"/>
      <c r="Y156" s="679"/>
      <c r="Z156" s="679"/>
      <c r="AA156" s="642"/>
      <c r="AB156" s="679"/>
      <c r="AC156" s="643"/>
      <c r="AD156" s="644">
        <f t="shared" si="37"/>
        <v>26173.039583333331</v>
      </c>
      <c r="AE156" s="643"/>
      <c r="AF156" s="677">
        <f t="shared" si="34"/>
        <v>0</v>
      </c>
    </row>
    <row r="157" spans="1:32">
      <c r="A157" s="604">
        <v>143</v>
      </c>
      <c r="B157" s="316" t="s">
        <v>956</v>
      </c>
      <c r="C157" s="316" t="s">
        <v>443</v>
      </c>
      <c r="D157" s="316" t="s">
        <v>1134</v>
      </c>
      <c r="E157" s="602" t="s">
        <v>1384</v>
      </c>
      <c r="F157" s="603">
        <v>157660.22</v>
      </c>
      <c r="G157" s="603">
        <v>0</v>
      </c>
      <c r="H157" s="603">
        <v>0</v>
      </c>
      <c r="I157" s="603">
        <v>0</v>
      </c>
      <c r="J157" s="603">
        <v>0</v>
      </c>
      <c r="K157" s="603">
        <v>0</v>
      </c>
      <c r="L157" s="603">
        <v>0</v>
      </c>
      <c r="M157" s="603">
        <v>0</v>
      </c>
      <c r="N157" s="603">
        <v>0</v>
      </c>
      <c r="O157" s="603">
        <v>0</v>
      </c>
      <c r="P157" s="603">
        <v>0</v>
      </c>
      <c r="Q157" s="603">
        <v>28021.95</v>
      </c>
      <c r="R157" s="603">
        <v>167630.71</v>
      </c>
      <c r="S157" s="484">
        <f t="shared" si="35"/>
        <v>15888.95125</v>
      </c>
      <c r="T157" s="604"/>
      <c r="U157" s="642">
        <f t="shared" si="36"/>
        <v>15888.95125</v>
      </c>
      <c r="V157" s="679"/>
      <c r="W157" s="679"/>
      <c r="X157" s="702"/>
      <c r="Y157" s="679"/>
      <c r="Z157" s="679"/>
      <c r="AA157" s="642"/>
      <c r="AB157" s="679"/>
      <c r="AC157" s="643"/>
      <c r="AD157" s="644">
        <f t="shared" si="37"/>
        <v>15888.95125</v>
      </c>
      <c r="AE157" s="643"/>
      <c r="AF157" s="677">
        <f t="shared" si="34"/>
        <v>0</v>
      </c>
    </row>
    <row r="158" spans="1:32">
      <c r="A158" s="604">
        <v>144</v>
      </c>
      <c r="B158" s="316" t="s">
        <v>956</v>
      </c>
      <c r="C158" s="316" t="s">
        <v>443</v>
      </c>
      <c r="D158" s="316" t="s">
        <v>1382</v>
      </c>
      <c r="E158" s="602" t="s">
        <v>1519</v>
      </c>
      <c r="F158" s="603">
        <v>0</v>
      </c>
      <c r="G158" s="603">
        <v>0</v>
      </c>
      <c r="H158" s="603">
        <v>0</v>
      </c>
      <c r="I158" s="603">
        <v>0</v>
      </c>
      <c r="J158" s="603">
        <v>0</v>
      </c>
      <c r="K158" s="603">
        <v>0</v>
      </c>
      <c r="L158" s="603">
        <v>0</v>
      </c>
      <c r="M158" s="603">
        <v>0</v>
      </c>
      <c r="N158" s="603">
        <v>0</v>
      </c>
      <c r="O158" s="603">
        <v>0</v>
      </c>
      <c r="P158" s="603">
        <v>0</v>
      </c>
      <c r="Q158" s="603">
        <v>0</v>
      </c>
      <c r="R158" s="603">
        <v>0</v>
      </c>
      <c r="S158" s="484">
        <f t="shared" si="35"/>
        <v>0</v>
      </c>
      <c r="T158" s="604"/>
      <c r="U158" s="642">
        <f t="shared" si="36"/>
        <v>0</v>
      </c>
      <c r="V158" s="679"/>
      <c r="W158" s="679"/>
      <c r="X158" s="702"/>
      <c r="Y158" s="679"/>
      <c r="Z158" s="679"/>
      <c r="AA158" s="642"/>
      <c r="AB158" s="679"/>
      <c r="AC158" s="643"/>
      <c r="AD158" s="644">
        <f t="shared" si="37"/>
        <v>0</v>
      </c>
      <c r="AE158" s="643"/>
      <c r="AF158" s="677">
        <f t="shared" si="34"/>
        <v>0</v>
      </c>
    </row>
    <row r="159" spans="1:32">
      <c r="A159" s="604">
        <v>145</v>
      </c>
      <c r="B159" s="316" t="s">
        <v>984</v>
      </c>
      <c r="C159" s="316" t="s">
        <v>443</v>
      </c>
      <c r="D159" s="316" t="s">
        <v>450</v>
      </c>
      <c r="E159" s="602" t="s">
        <v>1522</v>
      </c>
      <c r="F159" s="603">
        <v>-3.2741809263825397E-11</v>
      </c>
      <c r="G159" s="603">
        <v>0</v>
      </c>
      <c r="H159" s="603">
        <v>0</v>
      </c>
      <c r="I159" s="603">
        <v>139384.79999999999</v>
      </c>
      <c r="J159" s="603">
        <v>123897.54</v>
      </c>
      <c r="K159" s="603">
        <v>108410.28</v>
      </c>
      <c r="L159" s="603">
        <v>92923.02</v>
      </c>
      <c r="M159" s="603">
        <v>77435.759999999995</v>
      </c>
      <c r="N159" s="603">
        <v>61948.5</v>
      </c>
      <c r="O159" s="603">
        <v>46461.24</v>
      </c>
      <c r="P159" s="603">
        <v>30973.98</v>
      </c>
      <c r="Q159" s="603">
        <v>15486.72</v>
      </c>
      <c r="R159" s="603">
        <v>-0.53999999999723503</v>
      </c>
      <c r="S159" s="484">
        <f t="shared" si="35"/>
        <v>58076.797499999993</v>
      </c>
      <c r="T159" s="604"/>
      <c r="U159" s="642">
        <f t="shared" si="36"/>
        <v>58076.797499999993</v>
      </c>
      <c r="V159" s="679"/>
      <c r="W159" s="679"/>
      <c r="X159" s="702"/>
      <c r="Y159" s="679"/>
      <c r="Z159" s="679"/>
      <c r="AA159" s="642"/>
      <c r="AB159" s="679"/>
      <c r="AC159" s="643"/>
      <c r="AD159" s="644">
        <f t="shared" si="37"/>
        <v>58076.797499999993</v>
      </c>
      <c r="AE159" s="643"/>
      <c r="AF159" s="677">
        <f t="shared" si="34"/>
        <v>0</v>
      </c>
    </row>
    <row r="160" spans="1:32">
      <c r="A160" s="604">
        <v>146</v>
      </c>
      <c r="B160" s="316" t="s">
        <v>984</v>
      </c>
      <c r="C160" s="316" t="s">
        <v>443</v>
      </c>
      <c r="D160" s="316" t="s">
        <v>437</v>
      </c>
      <c r="E160" s="602" t="s">
        <v>1523</v>
      </c>
      <c r="F160" s="603">
        <v>34487.9</v>
      </c>
      <c r="G160" s="603">
        <v>27590.32</v>
      </c>
      <c r="H160" s="603">
        <v>20692.740000000002</v>
      </c>
      <c r="I160" s="603">
        <v>13795.16</v>
      </c>
      <c r="J160" s="603">
        <v>6897.58</v>
      </c>
      <c r="K160" s="603">
        <v>-1.8189894035458601E-12</v>
      </c>
      <c r="L160" s="603">
        <v>-1.8189894035458601E-12</v>
      </c>
      <c r="M160" s="603">
        <v>-1.8189894035458601E-12</v>
      </c>
      <c r="N160" s="603">
        <v>-1.8189894035458601E-12</v>
      </c>
      <c r="O160" s="603">
        <v>48622.28</v>
      </c>
      <c r="P160" s="603">
        <v>42544.5</v>
      </c>
      <c r="Q160" s="603">
        <v>36466.720000000001</v>
      </c>
      <c r="R160" s="603">
        <v>30388.94</v>
      </c>
      <c r="S160" s="484">
        <f t="shared" si="35"/>
        <v>19087.310000000001</v>
      </c>
      <c r="T160" s="604"/>
      <c r="U160" s="642">
        <f t="shared" si="36"/>
        <v>19087.310000000001</v>
      </c>
      <c r="V160" s="679"/>
      <c r="W160" s="679"/>
      <c r="X160" s="702"/>
      <c r="Y160" s="679"/>
      <c r="Z160" s="679"/>
      <c r="AA160" s="642"/>
      <c r="AB160" s="679"/>
      <c r="AC160" s="643"/>
      <c r="AD160" s="644">
        <f t="shared" si="37"/>
        <v>19087.310000000001</v>
      </c>
      <c r="AE160" s="643"/>
      <c r="AF160" s="677">
        <f t="shared" si="34"/>
        <v>0</v>
      </c>
    </row>
    <row r="161" spans="1:32">
      <c r="A161" s="604">
        <v>147</v>
      </c>
      <c r="B161" s="316" t="s">
        <v>984</v>
      </c>
      <c r="C161" s="316" t="s">
        <v>443</v>
      </c>
      <c r="D161" s="316" t="s">
        <v>481</v>
      </c>
      <c r="E161" s="602" t="s">
        <v>1524</v>
      </c>
      <c r="F161" s="603">
        <v>843102</v>
      </c>
      <c r="G161" s="603">
        <v>702585</v>
      </c>
      <c r="H161" s="603">
        <v>562068</v>
      </c>
      <c r="I161" s="603">
        <v>421551</v>
      </c>
      <c r="J161" s="603">
        <v>281034</v>
      </c>
      <c r="K161" s="603">
        <v>140517</v>
      </c>
      <c r="L161" s="603">
        <v>0</v>
      </c>
      <c r="M161" s="603">
        <v>0</v>
      </c>
      <c r="N161" s="603">
        <v>0</v>
      </c>
      <c r="O161" s="603">
        <v>0</v>
      </c>
      <c r="P161" s="603">
        <v>0</v>
      </c>
      <c r="Q161" s="603">
        <v>1095682</v>
      </c>
      <c r="R161" s="603">
        <v>939156</v>
      </c>
      <c r="S161" s="484">
        <f t="shared" si="35"/>
        <v>341213.83333333331</v>
      </c>
      <c r="T161" s="604"/>
      <c r="U161" s="642">
        <f t="shared" si="36"/>
        <v>341213.83333333331</v>
      </c>
      <c r="V161" s="679"/>
      <c r="W161" s="679"/>
      <c r="X161" s="702"/>
      <c r="Y161" s="679"/>
      <c r="Z161" s="679"/>
      <c r="AA161" s="642"/>
      <c r="AB161" s="679"/>
      <c r="AC161" s="643"/>
      <c r="AD161" s="644">
        <f t="shared" si="37"/>
        <v>341213.83333333331</v>
      </c>
      <c r="AE161" s="643"/>
      <c r="AF161" s="677">
        <f t="shared" si="34"/>
        <v>0</v>
      </c>
    </row>
    <row r="162" spans="1:32">
      <c r="A162" s="604">
        <v>148</v>
      </c>
      <c r="B162" s="316" t="s">
        <v>956</v>
      </c>
      <c r="C162" s="316" t="s">
        <v>443</v>
      </c>
      <c r="D162" s="316" t="s">
        <v>482</v>
      </c>
      <c r="E162" s="602" t="s">
        <v>1518</v>
      </c>
      <c r="F162" s="603">
        <v>54001.75</v>
      </c>
      <c r="G162" s="603">
        <v>0</v>
      </c>
      <c r="H162" s="603">
        <v>0</v>
      </c>
      <c r="I162" s="603">
        <v>0</v>
      </c>
      <c r="J162" s="603">
        <v>0</v>
      </c>
      <c r="K162" s="603">
        <v>0</v>
      </c>
      <c r="L162" s="603">
        <v>0</v>
      </c>
      <c r="M162" s="603">
        <v>0</v>
      </c>
      <c r="N162" s="603">
        <v>0</v>
      </c>
      <c r="O162" s="603">
        <v>0</v>
      </c>
      <c r="P162" s="603">
        <v>0</v>
      </c>
      <c r="Q162" s="603">
        <v>0</v>
      </c>
      <c r="R162" s="603">
        <v>54525.75</v>
      </c>
      <c r="S162" s="484">
        <f t="shared" si="35"/>
        <v>4521.979166666667</v>
      </c>
      <c r="T162" s="604"/>
      <c r="U162" s="642">
        <f t="shared" si="36"/>
        <v>4521.979166666667</v>
      </c>
      <c r="V162" s="679"/>
      <c r="W162" s="679"/>
      <c r="X162" s="702"/>
      <c r="Y162" s="679"/>
      <c r="Z162" s="679"/>
      <c r="AA162" s="642"/>
      <c r="AB162" s="679"/>
      <c r="AC162" s="643"/>
      <c r="AD162" s="644">
        <f t="shared" si="37"/>
        <v>4521.979166666667</v>
      </c>
      <c r="AE162" s="643"/>
      <c r="AF162" s="677">
        <f t="shared" si="34"/>
        <v>0</v>
      </c>
    </row>
    <row r="163" spans="1:32">
      <c r="A163" s="604">
        <v>149</v>
      </c>
      <c r="B163" s="316" t="s">
        <v>984</v>
      </c>
      <c r="C163" s="316" t="s">
        <v>446</v>
      </c>
      <c r="D163" s="316" t="s">
        <v>1135</v>
      </c>
      <c r="E163" s="602" t="s">
        <v>1526</v>
      </c>
      <c r="F163" s="603">
        <v>0</v>
      </c>
      <c r="G163" s="603">
        <v>0</v>
      </c>
      <c r="H163" s="603">
        <v>0</v>
      </c>
      <c r="I163" s="603">
        <v>0</v>
      </c>
      <c r="J163" s="603">
        <v>0</v>
      </c>
      <c r="K163" s="603">
        <v>0</v>
      </c>
      <c r="L163" s="603">
        <v>0</v>
      </c>
      <c r="M163" s="603">
        <v>0</v>
      </c>
      <c r="N163" s="603">
        <v>0</v>
      </c>
      <c r="O163" s="603">
        <v>0</v>
      </c>
      <c r="P163" s="603">
        <v>0</v>
      </c>
      <c r="Q163" s="603">
        <v>179.76</v>
      </c>
      <c r="R163" s="603">
        <v>0</v>
      </c>
      <c r="S163" s="484">
        <f t="shared" si="35"/>
        <v>14.979999999999999</v>
      </c>
      <c r="T163" s="604"/>
      <c r="U163" s="642">
        <f t="shared" si="36"/>
        <v>14.979999999999999</v>
      </c>
      <c r="V163" s="679"/>
      <c r="W163" s="679"/>
      <c r="X163" s="702"/>
      <c r="Y163" s="679"/>
      <c r="Z163" s="679"/>
      <c r="AA163" s="642"/>
      <c r="AB163" s="679"/>
      <c r="AC163" s="643"/>
      <c r="AD163" s="644">
        <f t="shared" si="37"/>
        <v>14.979999999999999</v>
      </c>
      <c r="AE163" s="643"/>
      <c r="AF163" s="677">
        <f t="shared" si="34"/>
        <v>0</v>
      </c>
    </row>
    <row r="164" spans="1:32">
      <c r="A164" s="604">
        <v>150</v>
      </c>
      <c r="B164" s="316" t="s">
        <v>959</v>
      </c>
      <c r="C164" s="316" t="s">
        <v>446</v>
      </c>
      <c r="D164" s="316" t="s">
        <v>1136</v>
      </c>
      <c r="E164" s="602" t="s">
        <v>1526</v>
      </c>
      <c r="F164" s="603">
        <v>0</v>
      </c>
      <c r="G164" s="603">
        <v>0</v>
      </c>
      <c r="H164" s="603">
        <v>0</v>
      </c>
      <c r="I164" s="603">
        <v>0</v>
      </c>
      <c r="J164" s="603">
        <v>0</v>
      </c>
      <c r="K164" s="603">
        <v>0</v>
      </c>
      <c r="L164" s="603">
        <v>0</v>
      </c>
      <c r="M164" s="603">
        <v>0</v>
      </c>
      <c r="N164" s="603">
        <v>0</v>
      </c>
      <c r="O164" s="603">
        <v>0</v>
      </c>
      <c r="P164" s="603">
        <v>0</v>
      </c>
      <c r="Q164" s="603">
        <v>650.24</v>
      </c>
      <c r="R164" s="603">
        <v>0</v>
      </c>
      <c r="S164" s="484">
        <f t="shared" si="35"/>
        <v>54.186666666666667</v>
      </c>
      <c r="T164" s="604"/>
      <c r="U164" s="642">
        <f t="shared" si="36"/>
        <v>54.186666666666667</v>
      </c>
      <c r="V164" s="679"/>
      <c r="W164" s="679"/>
      <c r="X164" s="702"/>
      <c r="Y164" s="679"/>
      <c r="Z164" s="679"/>
      <c r="AA164" s="642"/>
      <c r="AB164" s="679"/>
      <c r="AC164" s="643"/>
      <c r="AD164" s="644">
        <f t="shared" si="37"/>
        <v>54.186666666666667</v>
      </c>
      <c r="AE164" s="643"/>
      <c r="AF164" s="677">
        <f t="shared" si="34"/>
        <v>0</v>
      </c>
    </row>
    <row r="165" spans="1:32">
      <c r="A165" s="604">
        <v>151</v>
      </c>
      <c r="B165" s="316" t="s">
        <v>956</v>
      </c>
      <c r="C165" s="316" t="s">
        <v>447</v>
      </c>
      <c r="D165" s="316" t="s">
        <v>450</v>
      </c>
      <c r="E165" s="602" t="s">
        <v>448</v>
      </c>
      <c r="F165" s="603">
        <v>0</v>
      </c>
      <c r="G165" s="603">
        <v>0</v>
      </c>
      <c r="H165" s="603">
        <v>0</v>
      </c>
      <c r="I165" s="603">
        <v>0</v>
      </c>
      <c r="J165" s="603">
        <v>0</v>
      </c>
      <c r="K165" s="603">
        <v>0</v>
      </c>
      <c r="L165" s="603">
        <v>0</v>
      </c>
      <c r="M165" s="603">
        <v>0</v>
      </c>
      <c r="N165" s="603">
        <v>0</v>
      </c>
      <c r="O165" s="603">
        <v>0</v>
      </c>
      <c r="P165" s="603">
        <v>0</v>
      </c>
      <c r="Q165" s="603">
        <v>0</v>
      </c>
      <c r="R165" s="603">
        <v>0</v>
      </c>
      <c r="S165" s="484">
        <f t="shared" si="35"/>
        <v>0</v>
      </c>
      <c r="T165" s="604"/>
      <c r="U165" s="642">
        <f t="shared" si="36"/>
        <v>0</v>
      </c>
      <c r="V165" s="679"/>
      <c r="W165" s="679"/>
      <c r="X165" s="702"/>
      <c r="Y165" s="679"/>
      <c r="Z165" s="679"/>
      <c r="AA165" s="642"/>
      <c r="AB165" s="679"/>
      <c r="AC165" s="643"/>
      <c r="AD165" s="644">
        <f t="shared" si="37"/>
        <v>0</v>
      </c>
      <c r="AE165" s="643"/>
      <c r="AF165" s="677">
        <f t="shared" si="34"/>
        <v>0</v>
      </c>
    </row>
    <row r="166" spans="1:32">
      <c r="A166" s="604">
        <v>152</v>
      </c>
      <c r="B166" s="316" t="s">
        <v>956</v>
      </c>
      <c r="C166" s="316" t="s">
        <v>449</v>
      </c>
      <c r="D166" s="316" t="s">
        <v>450</v>
      </c>
      <c r="E166" s="602" t="s">
        <v>451</v>
      </c>
      <c r="F166" s="603">
        <v>0</v>
      </c>
      <c r="G166" s="603">
        <v>0</v>
      </c>
      <c r="H166" s="603">
        <v>0</v>
      </c>
      <c r="I166" s="603">
        <v>0</v>
      </c>
      <c r="J166" s="603">
        <v>0</v>
      </c>
      <c r="K166" s="603">
        <v>0</v>
      </c>
      <c r="L166" s="603">
        <v>0</v>
      </c>
      <c r="M166" s="603">
        <v>0</v>
      </c>
      <c r="N166" s="603">
        <v>0</v>
      </c>
      <c r="O166" s="603">
        <v>0</v>
      </c>
      <c r="P166" s="603">
        <v>970</v>
      </c>
      <c r="Q166" s="603">
        <v>0</v>
      </c>
      <c r="R166" s="603">
        <v>138098</v>
      </c>
      <c r="S166" s="484">
        <f t="shared" si="35"/>
        <v>5834.916666666667</v>
      </c>
      <c r="T166" s="604"/>
      <c r="U166" s="642">
        <f t="shared" si="36"/>
        <v>5834.916666666667</v>
      </c>
      <c r="V166" s="679"/>
      <c r="W166" s="679"/>
      <c r="X166" s="702"/>
      <c r="Y166" s="679"/>
      <c r="Z166" s="679"/>
      <c r="AA166" s="642"/>
      <c r="AB166" s="679"/>
      <c r="AC166" s="643"/>
      <c r="AD166" s="644">
        <f t="shared" si="37"/>
        <v>5834.916666666667</v>
      </c>
      <c r="AE166" s="643"/>
      <c r="AF166" s="677">
        <f t="shared" si="34"/>
        <v>0</v>
      </c>
    </row>
    <row r="167" spans="1:32">
      <c r="A167" s="604">
        <v>153</v>
      </c>
      <c r="B167" s="316" t="s">
        <v>1844</v>
      </c>
      <c r="C167" s="316" t="s">
        <v>443</v>
      </c>
      <c r="D167" s="316" t="s">
        <v>1113</v>
      </c>
      <c r="E167" s="602" t="s">
        <v>1850</v>
      </c>
      <c r="F167" s="603">
        <v>0</v>
      </c>
      <c r="G167" s="603">
        <v>0</v>
      </c>
      <c r="H167" s="603">
        <v>0</v>
      </c>
      <c r="I167" s="603">
        <v>12407398.130000001</v>
      </c>
      <c r="J167" s="603">
        <v>0</v>
      </c>
      <c r="K167" s="603">
        <v>0</v>
      </c>
      <c r="L167" s="603">
        <v>0</v>
      </c>
      <c r="M167" s="603">
        <v>0</v>
      </c>
      <c r="N167" s="603">
        <v>0</v>
      </c>
      <c r="O167" s="603">
        <v>0</v>
      </c>
      <c r="P167" s="603">
        <v>0</v>
      </c>
      <c r="Q167" s="603">
        <v>0</v>
      </c>
      <c r="R167" s="603">
        <v>0</v>
      </c>
      <c r="S167" s="484">
        <f t="shared" si="35"/>
        <v>1033949.8441666667</v>
      </c>
      <c r="T167" s="604"/>
      <c r="U167" s="642">
        <f>+S167</f>
        <v>1033949.8441666667</v>
      </c>
      <c r="V167" s="679"/>
      <c r="W167" s="679"/>
      <c r="X167" s="702"/>
      <c r="Y167" s="679"/>
      <c r="Z167" s="679"/>
      <c r="AA167" s="642"/>
      <c r="AB167" s="679"/>
      <c r="AC167" s="643"/>
      <c r="AD167" s="644">
        <f t="shared" si="37"/>
        <v>1033949.8441666667</v>
      </c>
      <c r="AE167" s="643"/>
      <c r="AF167" s="677">
        <f t="shared" si="34"/>
        <v>0</v>
      </c>
    </row>
    <row r="168" spans="1:32">
      <c r="A168" s="604">
        <v>154</v>
      </c>
      <c r="B168" s="316" t="s">
        <v>1844</v>
      </c>
      <c r="C168" s="316" t="s">
        <v>447</v>
      </c>
      <c r="D168" s="316" t="s">
        <v>369</v>
      </c>
      <c r="E168" s="602" t="s">
        <v>448</v>
      </c>
      <c r="F168" s="603">
        <v>0</v>
      </c>
      <c r="G168" s="603">
        <v>6608847.7199999997</v>
      </c>
      <c r="H168" s="603">
        <v>5786788.9500000002</v>
      </c>
      <c r="I168" s="603">
        <v>5526639.8300000001</v>
      </c>
      <c r="J168" s="603">
        <v>5959971.2999999998</v>
      </c>
      <c r="K168" s="603">
        <v>6195366.1200000001</v>
      </c>
      <c r="L168" s="603">
        <v>6744853.4000000004</v>
      </c>
      <c r="M168" s="603">
        <v>7218543.9699999997</v>
      </c>
      <c r="N168" s="603">
        <v>7648108.7699999996</v>
      </c>
      <c r="O168" s="603">
        <v>8128912.3099999996</v>
      </c>
      <c r="P168" s="603">
        <v>8088749.96</v>
      </c>
      <c r="Q168" s="603">
        <v>7546135.9699999997</v>
      </c>
      <c r="R168" s="603">
        <v>7163930.3700000001</v>
      </c>
      <c r="S168" s="484">
        <f t="shared" si="35"/>
        <v>6586240.2904166663</v>
      </c>
      <c r="T168" s="604"/>
      <c r="U168" s="642">
        <f>+S168</f>
        <v>6586240.2904166663</v>
      </c>
      <c r="V168" s="679"/>
      <c r="W168" s="679"/>
      <c r="X168" s="702"/>
      <c r="Y168" s="679"/>
      <c r="Z168" s="679"/>
      <c r="AA168" s="642"/>
      <c r="AB168" s="679"/>
      <c r="AC168" s="643"/>
      <c r="AD168" s="644">
        <f t="shared" si="37"/>
        <v>6586240.2904166663</v>
      </c>
      <c r="AE168" s="643"/>
      <c r="AF168" s="677">
        <f t="shared" si="34"/>
        <v>0</v>
      </c>
    </row>
    <row r="169" spans="1:32">
      <c r="A169" s="604">
        <v>155</v>
      </c>
      <c r="B169" s="604"/>
      <c r="C169" s="604"/>
      <c r="D169" s="604"/>
      <c r="E169" s="602" t="s">
        <v>452</v>
      </c>
      <c r="F169" s="486">
        <f t="shared" ref="F169:R169" si="38">SUM(F151:F168)</f>
        <v>15502937.680000003</v>
      </c>
      <c r="G169" s="486">
        <f t="shared" si="38"/>
        <v>10211167.84</v>
      </c>
      <c r="H169" s="486">
        <f t="shared" si="38"/>
        <v>7857350</v>
      </c>
      <c r="I169" s="486">
        <f t="shared" si="38"/>
        <v>22790244.759999998</v>
      </c>
      <c r="J169" s="486">
        <f t="shared" si="38"/>
        <v>11033069.359999999</v>
      </c>
      <c r="K169" s="486">
        <f t="shared" si="38"/>
        <v>11108829.43</v>
      </c>
      <c r="L169" s="486">
        <f t="shared" si="38"/>
        <v>11670284.1</v>
      </c>
      <c r="M169" s="486">
        <f t="shared" si="38"/>
        <v>12462392.629999999</v>
      </c>
      <c r="N169" s="486">
        <f t="shared" si="38"/>
        <v>12955084.68</v>
      </c>
      <c r="O169" s="486">
        <f t="shared" si="38"/>
        <v>13480871.060000001</v>
      </c>
      <c r="P169" s="486">
        <f t="shared" si="38"/>
        <v>12741716.550000001</v>
      </c>
      <c r="Q169" s="486">
        <f t="shared" si="38"/>
        <v>12575842.5</v>
      </c>
      <c r="R169" s="486">
        <f t="shared" si="38"/>
        <v>12804673.800000001</v>
      </c>
      <c r="S169" s="486">
        <f>SUM(S151:S168)</f>
        <v>12753388.220833335</v>
      </c>
      <c r="T169" s="604"/>
      <c r="U169" s="642"/>
      <c r="V169" s="679"/>
      <c r="W169" s="679"/>
      <c r="X169" s="702"/>
      <c r="Y169" s="679"/>
      <c r="Z169" s="679"/>
      <c r="AA169" s="642"/>
      <c r="AB169" s="679"/>
      <c r="AC169" s="643"/>
      <c r="AD169" s="643"/>
      <c r="AE169" s="643"/>
      <c r="AF169" s="677">
        <f t="shared" si="34"/>
        <v>0</v>
      </c>
    </row>
    <row r="170" spans="1:32">
      <c r="A170" s="604">
        <v>156</v>
      </c>
      <c r="B170" s="604"/>
      <c r="C170" s="604"/>
      <c r="D170" s="604"/>
      <c r="E170" s="589"/>
      <c r="F170" s="603"/>
      <c r="G170" s="314"/>
      <c r="H170" s="305"/>
      <c r="I170" s="305"/>
      <c r="J170" s="306"/>
      <c r="K170" s="307"/>
      <c r="L170" s="308"/>
      <c r="M170" s="309"/>
      <c r="N170" s="310"/>
      <c r="O170" s="590"/>
      <c r="P170" s="311"/>
      <c r="Q170" s="315"/>
      <c r="R170" s="603"/>
      <c r="S170" s="294"/>
      <c r="T170" s="604"/>
      <c r="U170" s="642"/>
      <c r="V170" s="679"/>
      <c r="W170" s="679"/>
      <c r="X170" s="702"/>
      <c r="Y170" s="679"/>
      <c r="Z170" s="679"/>
      <c r="AA170" s="642"/>
      <c r="AB170" s="679"/>
      <c r="AC170" s="643"/>
      <c r="AD170" s="643"/>
      <c r="AE170" s="643"/>
      <c r="AF170" s="677">
        <f t="shared" si="34"/>
        <v>0</v>
      </c>
    </row>
    <row r="171" spans="1:32">
      <c r="A171" s="604">
        <v>157</v>
      </c>
      <c r="B171" s="316" t="s">
        <v>984</v>
      </c>
      <c r="C171" s="316" t="s">
        <v>453</v>
      </c>
      <c r="D171" s="316" t="s">
        <v>450</v>
      </c>
      <c r="E171" s="602" t="s">
        <v>1527</v>
      </c>
      <c r="F171" s="603">
        <v>3996207.51</v>
      </c>
      <c r="G171" s="603">
        <v>4142082.6</v>
      </c>
      <c r="H171" s="603">
        <v>4519025.45</v>
      </c>
      <c r="I171" s="603">
        <v>3009326.44</v>
      </c>
      <c r="J171" s="603">
        <v>1956278.65</v>
      </c>
      <c r="K171" s="603">
        <v>962759.14999999898</v>
      </c>
      <c r="L171" s="603">
        <v>731962.76999999897</v>
      </c>
      <c r="M171" s="603">
        <v>565739.179999999</v>
      </c>
      <c r="N171" s="603">
        <v>288823.299999999</v>
      </c>
      <c r="O171" s="603">
        <v>718108.98</v>
      </c>
      <c r="P171" s="603">
        <v>2314646.5499999998</v>
      </c>
      <c r="Q171" s="603">
        <v>3445820.69</v>
      </c>
      <c r="R171" s="603">
        <v>3995882.3</v>
      </c>
      <c r="S171" s="484">
        <f>((F171+R171)+((G171+H171+I171+J171+K171+L171+M171+N171+O171+P171+Q171)*2))/24</f>
        <v>2220884.8887499999</v>
      </c>
      <c r="T171" s="604"/>
      <c r="U171" s="642">
        <f t="shared" ref="U171:U180" si="39">+S171</f>
        <v>2220884.8887499999</v>
      </c>
      <c r="V171" s="679"/>
      <c r="W171" s="679"/>
      <c r="X171" s="702"/>
      <c r="Y171" s="679"/>
      <c r="Z171" s="679"/>
      <c r="AA171" s="642"/>
      <c r="AB171" s="679"/>
      <c r="AC171" s="643"/>
      <c r="AD171" s="644">
        <f t="shared" ref="AD171:AD180" si="40">+U171</f>
        <v>2220884.8887499999</v>
      </c>
      <c r="AE171" s="643"/>
      <c r="AF171" s="677">
        <f t="shared" si="34"/>
        <v>0</v>
      </c>
    </row>
    <row r="172" spans="1:32">
      <c r="A172" s="604">
        <v>158</v>
      </c>
      <c r="B172" s="316" t="s">
        <v>959</v>
      </c>
      <c r="C172" s="316" t="s">
        <v>453</v>
      </c>
      <c r="D172" s="316" t="s">
        <v>450</v>
      </c>
      <c r="E172" s="602" t="s">
        <v>1527</v>
      </c>
      <c r="F172" s="603">
        <v>9812907.4100000001</v>
      </c>
      <c r="G172" s="603">
        <v>9814210.4800000004</v>
      </c>
      <c r="H172" s="603">
        <v>12289714.92</v>
      </c>
      <c r="I172" s="603">
        <v>7916537.5599999996</v>
      </c>
      <c r="J172" s="603">
        <v>4541958.57</v>
      </c>
      <c r="K172" s="603">
        <v>2644109.17</v>
      </c>
      <c r="L172" s="603">
        <v>1735971.12</v>
      </c>
      <c r="M172" s="603">
        <v>1633900.5</v>
      </c>
      <c r="N172" s="603">
        <v>873816.87</v>
      </c>
      <c r="O172" s="603">
        <v>2140292.2200000002</v>
      </c>
      <c r="P172" s="603">
        <v>5885722.04</v>
      </c>
      <c r="Q172" s="603">
        <v>10448165.050000001</v>
      </c>
      <c r="R172" s="603">
        <v>12363365.84</v>
      </c>
      <c r="S172" s="484">
        <f t="shared" ref="S172:S179" si="41">((F172+R172)+((G172+H172+I172+J172+K172+L172+M172+N172+O172+P172+Q172)*2))/24</f>
        <v>5917711.260416667</v>
      </c>
      <c r="T172" s="604"/>
      <c r="U172" s="642">
        <f t="shared" si="39"/>
        <v>5917711.260416667</v>
      </c>
      <c r="V172" s="679"/>
      <c r="W172" s="679"/>
      <c r="X172" s="702"/>
      <c r="Y172" s="679"/>
      <c r="Z172" s="679"/>
      <c r="AA172" s="642"/>
      <c r="AB172" s="679"/>
      <c r="AC172" s="643"/>
      <c r="AD172" s="644">
        <f t="shared" si="40"/>
        <v>5917711.260416667</v>
      </c>
      <c r="AE172" s="643"/>
      <c r="AF172" s="677">
        <f t="shared" si="34"/>
        <v>0</v>
      </c>
    </row>
    <row r="173" spans="1:32">
      <c r="A173" s="604">
        <v>159</v>
      </c>
      <c r="B173" s="316" t="s">
        <v>984</v>
      </c>
      <c r="C173" s="316" t="s">
        <v>453</v>
      </c>
      <c r="D173" s="316" t="s">
        <v>437</v>
      </c>
      <c r="E173" s="602" t="s">
        <v>1528</v>
      </c>
      <c r="F173" s="603">
        <v>2076923.47</v>
      </c>
      <c r="G173" s="603">
        <v>2053249.37</v>
      </c>
      <c r="H173" s="603">
        <v>2290904.6800000002</v>
      </c>
      <c r="I173" s="603">
        <v>1537587.61</v>
      </c>
      <c r="J173" s="603">
        <v>967695.83</v>
      </c>
      <c r="K173" s="603">
        <v>498879.2</v>
      </c>
      <c r="L173" s="603">
        <v>403631.59</v>
      </c>
      <c r="M173" s="603">
        <v>376763.13</v>
      </c>
      <c r="N173" s="603">
        <v>205193.59</v>
      </c>
      <c r="O173" s="603">
        <v>492757.75</v>
      </c>
      <c r="P173" s="603">
        <v>1334048.1200000001</v>
      </c>
      <c r="Q173" s="603">
        <v>2147785.9700000002</v>
      </c>
      <c r="R173" s="603">
        <v>2358929.9900000002</v>
      </c>
      <c r="S173" s="484">
        <f t="shared" si="41"/>
        <v>1210535.2975000001</v>
      </c>
      <c r="T173" s="604"/>
      <c r="U173" s="642">
        <f t="shared" si="39"/>
        <v>1210535.2975000001</v>
      </c>
      <c r="V173" s="679"/>
      <c r="W173" s="679"/>
      <c r="X173" s="702"/>
      <c r="Y173" s="679"/>
      <c r="Z173" s="679"/>
      <c r="AA173" s="642"/>
      <c r="AB173" s="679"/>
      <c r="AC173" s="643"/>
      <c r="AD173" s="644">
        <f t="shared" si="40"/>
        <v>1210535.2975000001</v>
      </c>
      <c r="AE173" s="643"/>
      <c r="AF173" s="677">
        <f t="shared" si="34"/>
        <v>0</v>
      </c>
    </row>
    <row r="174" spans="1:32">
      <c r="A174" s="604">
        <v>160</v>
      </c>
      <c r="B174" s="316" t="s">
        <v>959</v>
      </c>
      <c r="C174" s="316" t="s">
        <v>453</v>
      </c>
      <c r="D174" s="316" t="s">
        <v>437</v>
      </c>
      <c r="E174" s="602" t="s">
        <v>1528</v>
      </c>
      <c r="F174" s="603">
        <v>6666508.6600000001</v>
      </c>
      <c r="G174" s="603">
        <v>6649850.4900000002</v>
      </c>
      <c r="H174" s="603">
        <v>8273711.4400000004</v>
      </c>
      <c r="I174" s="603">
        <v>5636600.1699999999</v>
      </c>
      <c r="J174" s="603">
        <v>3435315.38</v>
      </c>
      <c r="K174" s="603">
        <v>1959769.25</v>
      </c>
      <c r="L174" s="603">
        <v>1523835.36</v>
      </c>
      <c r="M174" s="603">
        <v>1586638.99</v>
      </c>
      <c r="N174" s="603">
        <v>901948.3</v>
      </c>
      <c r="O174" s="603">
        <v>2164917.37</v>
      </c>
      <c r="P174" s="603">
        <v>4639424.57</v>
      </c>
      <c r="Q174" s="603">
        <v>8421329.5999999996</v>
      </c>
      <c r="R174" s="603">
        <v>9421371.3000000007</v>
      </c>
      <c r="S174" s="484">
        <f t="shared" si="41"/>
        <v>4436440.0750000002</v>
      </c>
      <c r="T174" s="604"/>
      <c r="U174" s="642">
        <f t="shared" si="39"/>
        <v>4436440.0750000002</v>
      </c>
      <c r="V174" s="679"/>
      <c r="W174" s="679"/>
      <c r="X174" s="702"/>
      <c r="Y174" s="679"/>
      <c r="Z174" s="679"/>
      <c r="AA174" s="642"/>
      <c r="AB174" s="679"/>
      <c r="AC174" s="643"/>
      <c r="AD174" s="644">
        <f t="shared" si="40"/>
        <v>4436440.0750000002</v>
      </c>
      <c r="AE174" s="643"/>
      <c r="AF174" s="677">
        <f t="shared" si="34"/>
        <v>0</v>
      </c>
    </row>
    <row r="175" spans="1:32">
      <c r="A175" s="604">
        <v>161</v>
      </c>
      <c r="B175" s="316" t="s">
        <v>984</v>
      </c>
      <c r="C175" s="316" t="s">
        <v>453</v>
      </c>
      <c r="D175" s="316" t="s">
        <v>481</v>
      </c>
      <c r="E175" s="602" t="s">
        <v>1529</v>
      </c>
      <c r="F175" s="603">
        <v>160375.5</v>
      </c>
      <c r="G175" s="603">
        <v>164204.10999999999</v>
      </c>
      <c r="H175" s="603">
        <v>164627.15</v>
      </c>
      <c r="I175" s="603">
        <v>142983.69</v>
      </c>
      <c r="J175" s="603">
        <v>90175.79</v>
      </c>
      <c r="K175" s="603">
        <v>70393.39</v>
      </c>
      <c r="L175" s="603">
        <v>57118.6</v>
      </c>
      <c r="M175" s="603">
        <v>55829.62</v>
      </c>
      <c r="N175" s="603">
        <v>53275.48</v>
      </c>
      <c r="O175" s="603">
        <v>58696.7</v>
      </c>
      <c r="P175" s="603">
        <v>117247.05</v>
      </c>
      <c r="Q175" s="603">
        <v>80567.87</v>
      </c>
      <c r="R175" s="603">
        <v>11691.44</v>
      </c>
      <c r="S175" s="484">
        <f t="shared" si="41"/>
        <v>95096.07666666666</v>
      </c>
      <c r="T175" s="604"/>
      <c r="U175" s="642">
        <f t="shared" si="39"/>
        <v>95096.07666666666</v>
      </c>
      <c r="V175" s="679"/>
      <c r="W175" s="679"/>
      <c r="X175" s="702"/>
      <c r="Y175" s="679"/>
      <c r="Z175" s="679"/>
      <c r="AA175" s="642"/>
      <c r="AB175" s="679"/>
      <c r="AC175" s="643"/>
      <c r="AD175" s="644">
        <f t="shared" si="40"/>
        <v>95096.07666666666</v>
      </c>
      <c r="AE175" s="643"/>
      <c r="AF175" s="677">
        <f t="shared" si="34"/>
        <v>0</v>
      </c>
    </row>
    <row r="176" spans="1:32">
      <c r="A176" s="604">
        <v>162</v>
      </c>
      <c r="B176" s="316" t="s">
        <v>959</v>
      </c>
      <c r="C176" s="316" t="s">
        <v>453</v>
      </c>
      <c r="D176" s="316" t="s">
        <v>481</v>
      </c>
      <c r="E176" s="602" t="s">
        <v>1529</v>
      </c>
      <c r="F176" s="603">
        <v>136949.03</v>
      </c>
      <c r="G176" s="603">
        <v>135933.35999999999</v>
      </c>
      <c r="H176" s="603">
        <v>142057.14000000001</v>
      </c>
      <c r="I176" s="603">
        <v>129581.72</v>
      </c>
      <c r="J176" s="603">
        <v>115413.98</v>
      </c>
      <c r="K176" s="603">
        <v>85958.92</v>
      </c>
      <c r="L176" s="603">
        <v>67762.22</v>
      </c>
      <c r="M176" s="603">
        <v>74171.570000000007</v>
      </c>
      <c r="N176" s="603">
        <v>57928.02</v>
      </c>
      <c r="O176" s="603">
        <v>68424.179999999993</v>
      </c>
      <c r="P176" s="603">
        <v>895072.26</v>
      </c>
      <c r="Q176" s="603">
        <v>1128354.18</v>
      </c>
      <c r="R176" s="603">
        <v>1264015.1200000001</v>
      </c>
      <c r="S176" s="484">
        <f t="shared" si="41"/>
        <v>300094.96875</v>
      </c>
      <c r="T176" s="604"/>
      <c r="U176" s="642">
        <f t="shared" si="39"/>
        <v>300094.96875</v>
      </c>
      <c r="V176" s="679"/>
      <c r="W176" s="679"/>
      <c r="X176" s="702"/>
      <c r="Y176" s="679"/>
      <c r="Z176" s="679"/>
      <c r="AA176" s="642"/>
      <c r="AB176" s="679"/>
      <c r="AC176" s="643"/>
      <c r="AD176" s="644">
        <f t="shared" si="40"/>
        <v>300094.96875</v>
      </c>
      <c r="AE176" s="643"/>
      <c r="AF176" s="677">
        <f t="shared" si="34"/>
        <v>0</v>
      </c>
    </row>
    <row r="177" spans="1:32">
      <c r="A177" s="604">
        <v>163</v>
      </c>
      <c r="B177" s="316" t="s">
        <v>984</v>
      </c>
      <c r="C177" s="316" t="s">
        <v>454</v>
      </c>
      <c r="D177" s="316" t="s">
        <v>481</v>
      </c>
      <c r="E177" s="602" t="s">
        <v>1530</v>
      </c>
      <c r="F177" s="603">
        <v>217372.61</v>
      </c>
      <c r="G177" s="603">
        <v>237798.2</v>
      </c>
      <c r="H177" s="603">
        <v>220817.29</v>
      </c>
      <c r="I177" s="603">
        <v>240347.6</v>
      </c>
      <c r="J177" s="603">
        <v>234810.43</v>
      </c>
      <c r="K177" s="603">
        <v>260714.04</v>
      </c>
      <c r="L177" s="603">
        <v>257076.87</v>
      </c>
      <c r="M177" s="603">
        <v>248708.24</v>
      </c>
      <c r="N177" s="603">
        <v>251855.92</v>
      </c>
      <c r="O177" s="603">
        <v>263967.65000000002</v>
      </c>
      <c r="P177" s="603">
        <v>281100.45</v>
      </c>
      <c r="Q177" s="603">
        <v>253310.96</v>
      </c>
      <c r="R177" s="603">
        <v>248515.71</v>
      </c>
      <c r="S177" s="484">
        <f t="shared" si="41"/>
        <v>248620.98416666672</v>
      </c>
      <c r="T177" s="604"/>
      <c r="U177" s="642">
        <f t="shared" si="39"/>
        <v>248620.98416666672</v>
      </c>
      <c r="V177" s="679"/>
      <c r="W177" s="679"/>
      <c r="X177" s="702"/>
      <c r="Y177" s="679"/>
      <c r="Z177" s="679"/>
      <c r="AA177" s="642"/>
      <c r="AB177" s="679"/>
      <c r="AC177" s="643"/>
      <c r="AD177" s="644">
        <f t="shared" si="40"/>
        <v>248620.98416666672</v>
      </c>
      <c r="AE177" s="643"/>
      <c r="AF177" s="677">
        <f t="shared" si="34"/>
        <v>0</v>
      </c>
    </row>
    <row r="178" spans="1:32">
      <c r="A178" s="604">
        <v>164</v>
      </c>
      <c r="B178" s="316" t="s">
        <v>959</v>
      </c>
      <c r="C178" s="316" t="s">
        <v>454</v>
      </c>
      <c r="D178" s="522" t="s">
        <v>481</v>
      </c>
      <c r="E178" s="602" t="s">
        <v>1530</v>
      </c>
      <c r="F178" s="603">
        <v>1287630.96</v>
      </c>
      <c r="G178" s="603">
        <v>1369074.9</v>
      </c>
      <c r="H178" s="603">
        <v>1344197.03</v>
      </c>
      <c r="I178" s="603">
        <v>1328253.71</v>
      </c>
      <c r="J178" s="603">
        <v>1274208.5900000001</v>
      </c>
      <c r="K178" s="603">
        <v>1255156.82</v>
      </c>
      <c r="L178" s="603">
        <v>1239995.3799999999</v>
      </c>
      <c r="M178" s="603">
        <v>1213999.1299999999</v>
      </c>
      <c r="N178" s="603">
        <v>1240715.43</v>
      </c>
      <c r="O178" s="603">
        <v>1281485.6100000001</v>
      </c>
      <c r="P178" s="603">
        <v>1376337.89</v>
      </c>
      <c r="Q178" s="603">
        <v>1306930.72</v>
      </c>
      <c r="R178" s="603">
        <v>1349347.15</v>
      </c>
      <c r="S178" s="484">
        <f t="shared" si="41"/>
        <v>1295737.0220833332</v>
      </c>
      <c r="T178" s="604"/>
      <c r="U178" s="642">
        <f t="shared" si="39"/>
        <v>1295737.0220833332</v>
      </c>
      <c r="V178" s="679"/>
      <c r="W178" s="679"/>
      <c r="X178" s="702"/>
      <c r="Y178" s="679"/>
      <c r="Z178" s="679"/>
      <c r="AA178" s="642"/>
      <c r="AB178" s="679"/>
      <c r="AC178" s="643"/>
      <c r="AD178" s="644">
        <f t="shared" si="40"/>
        <v>1295737.0220833332</v>
      </c>
      <c r="AE178" s="643"/>
      <c r="AF178" s="677">
        <f t="shared" si="34"/>
        <v>0</v>
      </c>
    </row>
    <row r="179" spans="1:32">
      <c r="A179" s="604">
        <v>165</v>
      </c>
      <c r="B179" s="316" t="s">
        <v>984</v>
      </c>
      <c r="C179" s="316" t="s">
        <v>454</v>
      </c>
      <c r="D179" s="316" t="s">
        <v>482</v>
      </c>
      <c r="E179" s="602" t="s">
        <v>1531</v>
      </c>
      <c r="F179" s="603">
        <v>131375.94</v>
      </c>
      <c r="G179" s="603">
        <v>121852.75</v>
      </c>
      <c r="H179" s="603">
        <v>127017.49</v>
      </c>
      <c r="I179" s="603">
        <v>119652.65</v>
      </c>
      <c r="J179" s="603">
        <v>105493.9</v>
      </c>
      <c r="K179" s="603">
        <v>100627.94</v>
      </c>
      <c r="L179" s="603">
        <v>109752.04</v>
      </c>
      <c r="M179" s="603">
        <v>127696.94</v>
      </c>
      <c r="N179" s="603">
        <v>128311.34</v>
      </c>
      <c r="O179" s="603">
        <v>125645.68</v>
      </c>
      <c r="P179" s="603">
        <v>128657.13</v>
      </c>
      <c r="Q179" s="603">
        <v>127628.79</v>
      </c>
      <c r="R179" s="603">
        <v>131522.85999999999</v>
      </c>
      <c r="S179" s="484">
        <f t="shared" si="41"/>
        <v>121148.83749999998</v>
      </c>
      <c r="T179" s="604"/>
      <c r="U179" s="642">
        <f t="shared" si="39"/>
        <v>121148.83749999998</v>
      </c>
      <c r="V179" s="679"/>
      <c r="W179" s="679"/>
      <c r="X179" s="702"/>
      <c r="Y179" s="679"/>
      <c r="Z179" s="679"/>
      <c r="AA179" s="642"/>
      <c r="AB179" s="679"/>
      <c r="AC179" s="643"/>
      <c r="AD179" s="644">
        <f t="shared" si="40"/>
        <v>121148.83749999998</v>
      </c>
      <c r="AE179" s="643"/>
      <c r="AF179" s="677">
        <f t="shared" si="34"/>
        <v>0</v>
      </c>
    </row>
    <row r="180" spans="1:32">
      <c r="A180" s="604">
        <v>166</v>
      </c>
      <c r="B180" s="316" t="s">
        <v>959</v>
      </c>
      <c r="C180" s="316" t="s">
        <v>454</v>
      </c>
      <c r="D180" s="316" t="s">
        <v>482</v>
      </c>
      <c r="E180" s="602" t="s">
        <v>1531</v>
      </c>
      <c r="F180" s="303">
        <v>678698.73</v>
      </c>
      <c r="G180" s="303">
        <v>671884.93</v>
      </c>
      <c r="H180" s="303">
        <v>674056.5</v>
      </c>
      <c r="I180" s="303">
        <v>661556.25</v>
      </c>
      <c r="J180" s="303">
        <v>621975.87</v>
      </c>
      <c r="K180" s="303">
        <v>552268.14</v>
      </c>
      <c r="L180" s="303">
        <v>611119.44999999995</v>
      </c>
      <c r="M180" s="303">
        <v>867027.65</v>
      </c>
      <c r="N180" s="303">
        <v>925701.44</v>
      </c>
      <c r="O180" s="303">
        <v>848272.93</v>
      </c>
      <c r="P180" s="303">
        <v>656542.81000000006</v>
      </c>
      <c r="Q180" s="303">
        <v>676138.75</v>
      </c>
      <c r="R180" s="303">
        <v>859829.44</v>
      </c>
      <c r="S180" s="485">
        <f>((F180+R180)+((G180+H180+I180+J180+K180+L180+M180+N180+O180+P180+Q180)*2))/24</f>
        <v>711317.40041666664</v>
      </c>
      <c r="T180" s="604"/>
      <c r="U180" s="642">
        <f t="shared" si="39"/>
        <v>711317.40041666664</v>
      </c>
      <c r="V180" s="679"/>
      <c r="W180" s="679"/>
      <c r="X180" s="702"/>
      <c r="Y180" s="679"/>
      <c r="Z180" s="679"/>
      <c r="AA180" s="642"/>
      <c r="AB180" s="679"/>
      <c r="AC180" s="643"/>
      <c r="AD180" s="644">
        <f t="shared" si="40"/>
        <v>711317.40041666664</v>
      </c>
      <c r="AE180" s="643"/>
      <c r="AF180" s="677">
        <f t="shared" si="34"/>
        <v>0</v>
      </c>
    </row>
    <row r="181" spans="1:32">
      <c r="A181" s="604">
        <v>167</v>
      </c>
      <c r="B181" s="604"/>
      <c r="C181" s="604"/>
      <c r="D181" s="604"/>
      <c r="E181" s="602" t="s">
        <v>455</v>
      </c>
      <c r="F181" s="295">
        <f>SUM(F171:F180)</f>
        <v>25164949.820000004</v>
      </c>
      <c r="G181" s="295">
        <f t="shared" ref="G181:R181" si="42">SUM(G171:G180)</f>
        <v>25360141.189999994</v>
      </c>
      <c r="H181" s="295">
        <f t="shared" si="42"/>
        <v>30046129.09</v>
      </c>
      <c r="I181" s="295">
        <f t="shared" si="42"/>
        <v>20722427.400000002</v>
      </c>
      <c r="J181" s="295">
        <f t="shared" si="42"/>
        <v>13343326.989999998</v>
      </c>
      <c r="K181" s="295">
        <f t="shared" si="42"/>
        <v>8390636.0199999996</v>
      </c>
      <c r="L181" s="295">
        <f t="shared" si="42"/>
        <v>6738225.3999999985</v>
      </c>
      <c r="M181" s="295">
        <f t="shared" si="42"/>
        <v>6750474.9500000002</v>
      </c>
      <c r="N181" s="295">
        <f t="shared" si="42"/>
        <v>4927569.6899999995</v>
      </c>
      <c r="O181" s="295">
        <f t="shared" si="42"/>
        <v>8162569.0700000003</v>
      </c>
      <c r="P181" s="295">
        <f t="shared" si="42"/>
        <v>17628798.869999997</v>
      </c>
      <c r="Q181" s="295">
        <f t="shared" si="42"/>
        <v>28036032.580000002</v>
      </c>
      <c r="R181" s="295">
        <f t="shared" si="42"/>
        <v>32004471.150000006</v>
      </c>
      <c r="S181" s="486">
        <f>SUM(S171:S180)</f>
        <v>16557586.811250001</v>
      </c>
      <c r="T181" s="604"/>
      <c r="U181" s="642"/>
      <c r="V181" s="679"/>
      <c r="W181" s="679"/>
      <c r="X181" s="702"/>
      <c r="Y181" s="679"/>
      <c r="Z181" s="679"/>
      <c r="AA181" s="642"/>
      <c r="AB181" s="679"/>
      <c r="AC181" s="643"/>
      <c r="AD181" s="643"/>
      <c r="AE181" s="643"/>
      <c r="AF181" s="677">
        <f t="shared" si="34"/>
        <v>0</v>
      </c>
    </row>
    <row r="182" spans="1:32">
      <c r="A182" s="604">
        <v>168</v>
      </c>
      <c r="B182" s="604"/>
      <c r="C182" s="604"/>
      <c r="D182" s="604"/>
      <c r="E182" s="589"/>
      <c r="F182" s="603"/>
      <c r="G182" s="314"/>
      <c r="H182" s="305"/>
      <c r="I182" s="305"/>
      <c r="J182" s="306"/>
      <c r="K182" s="307"/>
      <c r="L182" s="308"/>
      <c r="M182" s="309"/>
      <c r="N182" s="310"/>
      <c r="O182" s="590"/>
      <c r="P182" s="311"/>
      <c r="Q182" s="315"/>
      <c r="R182" s="603"/>
      <c r="S182" s="294"/>
      <c r="T182" s="604"/>
      <c r="U182" s="642"/>
      <c r="V182" s="679"/>
      <c r="W182" s="679"/>
      <c r="X182" s="702"/>
      <c r="Y182" s="679"/>
      <c r="Z182" s="679"/>
      <c r="AA182" s="642"/>
      <c r="AB182" s="679"/>
      <c r="AC182" s="643"/>
      <c r="AD182" s="643"/>
      <c r="AE182" s="643"/>
      <c r="AF182" s="677">
        <f t="shared" si="34"/>
        <v>0</v>
      </c>
    </row>
    <row r="183" spans="1:32">
      <c r="A183" s="604">
        <v>169</v>
      </c>
      <c r="B183" s="316" t="s">
        <v>956</v>
      </c>
      <c r="C183" s="316" t="s">
        <v>456</v>
      </c>
      <c r="D183" s="316" t="s">
        <v>988</v>
      </c>
      <c r="E183" s="602" t="s">
        <v>1532</v>
      </c>
      <c r="F183" s="603">
        <v>-82824.95</v>
      </c>
      <c r="G183" s="603">
        <v>-81863.039999999994</v>
      </c>
      <c r="H183" s="603">
        <v>-80901.16</v>
      </c>
      <c r="I183" s="603">
        <v>-79939.23</v>
      </c>
      <c r="J183" s="603">
        <v>-78977.33</v>
      </c>
      <c r="K183" s="603">
        <v>-78015.429999999993</v>
      </c>
      <c r="L183" s="603">
        <v>-77053.539999999994</v>
      </c>
      <c r="M183" s="603">
        <v>-76091.649999999994</v>
      </c>
      <c r="N183" s="603">
        <v>-75129.75</v>
      </c>
      <c r="O183" s="603">
        <v>-74167.83</v>
      </c>
      <c r="P183" s="603">
        <v>-73205.919999999998</v>
      </c>
      <c r="Q183" s="603">
        <v>-72244.02</v>
      </c>
      <c r="R183" s="603">
        <v>-71282.13</v>
      </c>
      <c r="S183" s="484">
        <f>((F183+R183)+((G183+H183+I183+J183+K183+L183+M183+N183+O183+P183+Q183)*2))/24</f>
        <v>-77053.536666666667</v>
      </c>
      <c r="T183" s="604"/>
      <c r="U183" s="642"/>
      <c r="V183" s="679"/>
      <c r="W183" s="679"/>
      <c r="X183" s="702">
        <f>+S183</f>
        <v>-77053.536666666667</v>
      </c>
      <c r="Y183" s="679"/>
      <c r="Z183" s="679"/>
      <c r="AA183" s="642"/>
      <c r="AB183" s="679">
        <f>+S183</f>
        <v>-77053.536666666667</v>
      </c>
      <c r="AC183" s="643"/>
      <c r="AD183" s="644">
        <f>+U183</f>
        <v>0</v>
      </c>
      <c r="AE183" s="643"/>
      <c r="AF183" s="677">
        <f t="shared" si="34"/>
        <v>0</v>
      </c>
    </row>
    <row r="184" spans="1:32">
      <c r="A184" s="604">
        <v>170</v>
      </c>
      <c r="B184" s="316" t="s">
        <v>956</v>
      </c>
      <c r="C184" s="316" t="s">
        <v>456</v>
      </c>
      <c r="D184" s="316" t="s">
        <v>989</v>
      </c>
      <c r="E184" s="602" t="s">
        <v>1533</v>
      </c>
      <c r="F184" s="603">
        <v>-314153.82</v>
      </c>
      <c r="G184" s="603">
        <v>-310487.56</v>
      </c>
      <c r="H184" s="603">
        <v>-306821.32</v>
      </c>
      <c r="I184" s="603">
        <v>-303155.03999999998</v>
      </c>
      <c r="J184" s="603">
        <v>-299488.8</v>
      </c>
      <c r="K184" s="603">
        <v>-295822.51</v>
      </c>
      <c r="L184" s="603">
        <v>-292156.31</v>
      </c>
      <c r="M184" s="603">
        <v>-288490.09000000003</v>
      </c>
      <c r="N184" s="603">
        <v>-284823.81</v>
      </c>
      <c r="O184" s="603">
        <v>-281157.56</v>
      </c>
      <c r="P184" s="603">
        <v>-277491.31</v>
      </c>
      <c r="Q184" s="603">
        <v>-273824.98</v>
      </c>
      <c r="R184" s="603">
        <v>-270158.8</v>
      </c>
      <c r="S184" s="484">
        <f>((F184+R184)+((G184+H184+I184+J184+K184+L184+M184+N184+O184+P184+Q184)*2))/24</f>
        <v>-292156.3</v>
      </c>
      <c r="T184" s="604"/>
      <c r="U184" s="642"/>
      <c r="V184" s="679"/>
      <c r="W184" s="679"/>
      <c r="X184" s="702">
        <f>+S184</f>
        <v>-292156.3</v>
      </c>
      <c r="Y184" s="679"/>
      <c r="Z184" s="679"/>
      <c r="AA184" s="642"/>
      <c r="AB184" s="679">
        <f>+S184</f>
        <v>-292156.3</v>
      </c>
      <c r="AC184" s="643"/>
      <c r="AD184" s="644">
        <f>+U184</f>
        <v>0</v>
      </c>
      <c r="AE184" s="643"/>
      <c r="AF184" s="677">
        <f t="shared" si="34"/>
        <v>0</v>
      </c>
    </row>
    <row r="185" spans="1:32">
      <c r="A185" s="604">
        <v>171</v>
      </c>
      <c r="B185" s="316" t="s">
        <v>956</v>
      </c>
      <c r="C185" s="316" t="s">
        <v>456</v>
      </c>
      <c r="D185" s="316" t="s">
        <v>1311</v>
      </c>
      <c r="E185" s="602" t="s">
        <v>1534</v>
      </c>
      <c r="F185" s="603">
        <v>680831.94</v>
      </c>
      <c r="G185" s="603">
        <v>681059.07</v>
      </c>
      <c r="H185" s="603">
        <v>682798.4</v>
      </c>
      <c r="I185" s="603">
        <v>672259.39</v>
      </c>
      <c r="J185" s="603">
        <v>671430.12</v>
      </c>
      <c r="K185" s="603">
        <v>-1.16415321826935E-10</v>
      </c>
      <c r="L185" s="603">
        <v>-1.16415321826935E-10</v>
      </c>
      <c r="M185" s="603">
        <v>-1.16415321826935E-10</v>
      </c>
      <c r="N185" s="603">
        <v>-1.16415321826935E-10</v>
      </c>
      <c r="O185" s="603">
        <v>-1.16415321826935E-10</v>
      </c>
      <c r="P185" s="603">
        <v>-1.16415321826935E-10</v>
      </c>
      <c r="Q185" s="603">
        <v>-1.16415321826935E-10</v>
      </c>
      <c r="R185" s="603">
        <v>-1.16415321826935E-10</v>
      </c>
      <c r="S185" s="484">
        <f>((F185+R185)+((G185+H185+I185+J185+K185+L185+M185+N185+O185+P185+Q185)*2))/24</f>
        <v>253996.91249999998</v>
      </c>
      <c r="T185" s="604"/>
      <c r="U185" s="642"/>
      <c r="V185" s="679"/>
      <c r="W185" s="679"/>
      <c r="X185" s="702">
        <f>+S185</f>
        <v>253996.91249999998</v>
      </c>
      <c r="Y185" s="679">
        <f>+X185*Z7</f>
        <v>190929.47912624999</v>
      </c>
      <c r="Z185" s="679">
        <f>+X185*Z8</f>
        <v>63067.433373749991</v>
      </c>
      <c r="AA185" s="642"/>
      <c r="AB185" s="679"/>
      <c r="AC185" s="643"/>
      <c r="AD185" s="644">
        <f>+U185</f>
        <v>0</v>
      </c>
      <c r="AE185" s="643"/>
      <c r="AF185" s="677">
        <f t="shared" si="34"/>
        <v>0</v>
      </c>
    </row>
    <row r="186" spans="1:32">
      <c r="A186" s="604">
        <v>172</v>
      </c>
      <c r="B186" s="316" t="s">
        <v>956</v>
      </c>
      <c r="C186" s="316" t="s">
        <v>456</v>
      </c>
      <c r="D186" s="316" t="s">
        <v>1373</v>
      </c>
      <c r="E186" s="602" t="s">
        <v>1535</v>
      </c>
      <c r="F186" s="603">
        <v>1956266.79</v>
      </c>
      <c r="G186" s="603">
        <v>1934611.41</v>
      </c>
      <c r="H186" s="603">
        <v>1936237.98</v>
      </c>
      <c r="I186" s="603">
        <v>1937864.53</v>
      </c>
      <c r="J186" s="603">
        <v>1949463.84</v>
      </c>
      <c r="K186" s="603">
        <v>1320391.5900000001</v>
      </c>
      <c r="L186" s="603">
        <v>1331604.73</v>
      </c>
      <c r="M186" s="603">
        <v>1302926.93</v>
      </c>
      <c r="N186" s="603">
        <v>1304167.32</v>
      </c>
      <c r="O186" s="603">
        <v>1305407.72</v>
      </c>
      <c r="P186" s="603">
        <v>1306648.1100000001</v>
      </c>
      <c r="Q186" s="603">
        <v>1307888.52</v>
      </c>
      <c r="R186" s="603">
        <v>1401147.76</v>
      </c>
      <c r="S186" s="484">
        <f t="shared" ref="S186:S199" si="43">((F186+R186)+((G186+H186+I186+J186+K186+L186+M186+N186+O186+P186+Q186)*2))/24</f>
        <v>1551326.6629166666</v>
      </c>
      <c r="T186" s="604"/>
      <c r="U186" s="642"/>
      <c r="V186" s="679"/>
      <c r="W186" s="679"/>
      <c r="X186" s="702">
        <f>+S186</f>
        <v>1551326.6629166666</v>
      </c>
      <c r="Y186" s="679"/>
      <c r="Z186" s="679"/>
      <c r="AA186" s="642"/>
      <c r="AB186" s="679">
        <f>+S186</f>
        <v>1551326.6629166666</v>
      </c>
      <c r="AC186" s="643"/>
      <c r="AD186" s="644">
        <f t="shared" ref="AD186:AD198" si="44">+U186</f>
        <v>0</v>
      </c>
      <c r="AE186" s="643"/>
      <c r="AF186" s="677">
        <f t="shared" si="34"/>
        <v>0</v>
      </c>
    </row>
    <row r="187" spans="1:32">
      <c r="A187" s="604">
        <v>173</v>
      </c>
      <c r="B187" s="316" t="s">
        <v>956</v>
      </c>
      <c r="C187" s="316" t="s">
        <v>456</v>
      </c>
      <c r="D187" s="316" t="s">
        <v>990</v>
      </c>
      <c r="E187" s="602" t="s">
        <v>1536</v>
      </c>
      <c r="F187" s="603">
        <v>11510145.4</v>
      </c>
      <c r="G187" s="603">
        <v>11507312.039999999</v>
      </c>
      <c r="H187" s="603">
        <v>11493190.75</v>
      </c>
      <c r="I187" s="603">
        <v>11469718.529999999</v>
      </c>
      <c r="J187" s="603">
        <v>11436977.539999999</v>
      </c>
      <c r="K187" s="603">
        <v>4785984.6900000004</v>
      </c>
      <c r="L187" s="603">
        <v>4664356.68</v>
      </c>
      <c r="M187" s="603">
        <v>4654083.1500000004</v>
      </c>
      <c r="N187" s="603">
        <v>4633846.72</v>
      </c>
      <c r="O187" s="603">
        <v>4619999.8499999996</v>
      </c>
      <c r="P187" s="603">
        <v>4581896.46</v>
      </c>
      <c r="Q187" s="603">
        <v>4566634.12</v>
      </c>
      <c r="R187" s="603">
        <v>3764796.5</v>
      </c>
      <c r="S187" s="484">
        <f t="shared" si="43"/>
        <v>7170955.9566666661</v>
      </c>
      <c r="T187" s="604"/>
      <c r="U187" s="642">
        <f>+S187</f>
        <v>7170955.9566666661</v>
      </c>
      <c r="V187" s="679"/>
      <c r="W187" s="679"/>
      <c r="X187" s="702"/>
      <c r="Y187" s="679"/>
      <c r="Z187" s="679"/>
      <c r="AA187" s="642"/>
      <c r="AB187" s="679"/>
      <c r="AC187" s="643"/>
      <c r="AD187" s="644">
        <f t="shared" si="44"/>
        <v>7170955.9566666661</v>
      </c>
      <c r="AE187" s="643"/>
      <c r="AF187" s="677">
        <f t="shared" si="34"/>
        <v>0</v>
      </c>
    </row>
    <row r="188" spans="1:32">
      <c r="A188" s="604">
        <v>174</v>
      </c>
      <c r="B188" s="316" t="s">
        <v>956</v>
      </c>
      <c r="C188" s="316" t="s">
        <v>456</v>
      </c>
      <c r="D188" s="316" t="s">
        <v>1137</v>
      </c>
      <c r="E188" s="602" t="s">
        <v>1537</v>
      </c>
      <c r="F188" s="603">
        <v>1661184.9</v>
      </c>
      <c r="G188" s="603">
        <v>1695741.01</v>
      </c>
      <c r="H188" s="603">
        <v>1471236.01</v>
      </c>
      <c r="I188" s="603">
        <v>1483644.41</v>
      </c>
      <c r="J188" s="603">
        <v>1289414.67</v>
      </c>
      <c r="K188" s="603">
        <v>1308074.3700000001</v>
      </c>
      <c r="L188" s="603">
        <v>1339199.76</v>
      </c>
      <c r="M188" s="603">
        <v>1361362.4</v>
      </c>
      <c r="N188" s="603">
        <v>1385573.15</v>
      </c>
      <c r="O188" s="603">
        <v>1380832.33</v>
      </c>
      <c r="P188" s="603">
        <v>1374347.93</v>
      </c>
      <c r="Q188" s="603">
        <v>1150002.48</v>
      </c>
      <c r="R188" s="603">
        <v>1739299.2</v>
      </c>
      <c r="S188" s="484">
        <f t="shared" si="43"/>
        <v>1411639.2141666666</v>
      </c>
      <c r="T188" s="604"/>
      <c r="U188" s="642">
        <f>+S188</f>
        <v>1411639.2141666666</v>
      </c>
      <c r="V188" s="679"/>
      <c r="W188" s="679"/>
      <c r="X188" s="702"/>
      <c r="Y188" s="679"/>
      <c r="Z188" s="679"/>
      <c r="AA188" s="642"/>
      <c r="AB188" s="679"/>
      <c r="AC188" s="643"/>
      <c r="AD188" s="644">
        <f t="shared" si="44"/>
        <v>1411639.2141666666</v>
      </c>
      <c r="AE188" s="643"/>
      <c r="AF188" s="677">
        <f t="shared" si="34"/>
        <v>0</v>
      </c>
    </row>
    <row r="189" spans="1:32">
      <c r="A189" s="604">
        <v>175</v>
      </c>
      <c r="B189" s="316" t="s">
        <v>984</v>
      </c>
      <c r="C189" s="316" t="s">
        <v>456</v>
      </c>
      <c r="D189" s="316" t="s">
        <v>985</v>
      </c>
      <c r="E189" s="602" t="s">
        <v>1538</v>
      </c>
      <c r="F189" s="603">
        <v>-7249.34</v>
      </c>
      <c r="G189" s="603">
        <v>-7165.15</v>
      </c>
      <c r="H189" s="603">
        <v>-7080.94</v>
      </c>
      <c r="I189" s="603">
        <v>-6996.75</v>
      </c>
      <c r="J189" s="603">
        <v>-6912.56</v>
      </c>
      <c r="K189" s="603">
        <v>-6828.37</v>
      </c>
      <c r="L189" s="603">
        <v>-6744.18</v>
      </c>
      <c r="M189" s="603">
        <v>-6659.99</v>
      </c>
      <c r="N189" s="603">
        <v>-6575.8</v>
      </c>
      <c r="O189" s="603">
        <v>-6491.61</v>
      </c>
      <c r="P189" s="603">
        <v>-6407.42</v>
      </c>
      <c r="Q189" s="603">
        <v>-6323.23</v>
      </c>
      <c r="R189" s="603">
        <v>-6239.04</v>
      </c>
      <c r="S189" s="484">
        <f t="shared" si="43"/>
        <v>-6744.1824999999999</v>
      </c>
      <c r="T189" s="604"/>
      <c r="U189" s="642"/>
      <c r="V189" s="679"/>
      <c r="W189" s="679"/>
      <c r="X189" s="702">
        <f>+S189</f>
        <v>-6744.1824999999999</v>
      </c>
      <c r="Y189" s="679"/>
      <c r="Z189" s="679"/>
      <c r="AA189" s="642"/>
      <c r="AB189" s="679">
        <f>+S189</f>
        <v>-6744.1824999999999</v>
      </c>
      <c r="AC189" s="643"/>
      <c r="AD189" s="644">
        <f t="shared" si="44"/>
        <v>0</v>
      </c>
      <c r="AE189" s="643"/>
      <c r="AF189" s="677">
        <f t="shared" si="34"/>
        <v>0</v>
      </c>
    </row>
    <row r="190" spans="1:32">
      <c r="A190" s="604">
        <v>176</v>
      </c>
      <c r="B190" s="316" t="s">
        <v>984</v>
      </c>
      <c r="C190" s="316" t="s">
        <v>456</v>
      </c>
      <c r="D190" s="316" t="s">
        <v>986</v>
      </c>
      <c r="E190" s="602" t="s">
        <v>1539</v>
      </c>
      <c r="F190" s="603">
        <v>2574.23</v>
      </c>
      <c r="G190" s="603">
        <v>2526.5500000000002</v>
      </c>
      <c r="H190" s="603">
        <v>2478.9</v>
      </c>
      <c r="I190" s="603">
        <v>2431.23</v>
      </c>
      <c r="J190" s="603">
        <v>2383.5700000000002</v>
      </c>
      <c r="K190" s="603">
        <v>2335.9</v>
      </c>
      <c r="L190" s="603">
        <v>2288.2199999999998</v>
      </c>
      <c r="M190" s="603">
        <v>2240.5700000000002</v>
      </c>
      <c r="N190" s="603">
        <v>2192.91</v>
      </c>
      <c r="O190" s="603">
        <v>2145.2199999999998</v>
      </c>
      <c r="P190" s="603">
        <v>2097.56</v>
      </c>
      <c r="Q190" s="603">
        <v>2049.87</v>
      </c>
      <c r="R190" s="603">
        <v>2002.16</v>
      </c>
      <c r="S190" s="484">
        <f t="shared" si="43"/>
        <v>2288.2245833333332</v>
      </c>
      <c r="T190" s="604"/>
      <c r="U190" s="642"/>
      <c r="V190" s="679"/>
      <c r="W190" s="679"/>
      <c r="X190" s="702">
        <f>+S190</f>
        <v>2288.2245833333332</v>
      </c>
      <c r="Y190" s="679"/>
      <c r="Z190" s="679"/>
      <c r="AA190" s="642"/>
      <c r="AB190" s="679">
        <f>+S190</f>
        <v>2288.2245833333332</v>
      </c>
      <c r="AC190" s="643"/>
      <c r="AD190" s="644">
        <f t="shared" si="44"/>
        <v>0</v>
      </c>
      <c r="AE190" s="643"/>
      <c r="AF190" s="677">
        <f t="shared" si="34"/>
        <v>0</v>
      </c>
    </row>
    <row r="191" spans="1:32">
      <c r="A191" s="604">
        <v>177</v>
      </c>
      <c r="B191" s="316" t="s">
        <v>984</v>
      </c>
      <c r="C191" s="316" t="s">
        <v>456</v>
      </c>
      <c r="D191" s="316" t="s">
        <v>1314</v>
      </c>
      <c r="E191" s="602" t="s">
        <v>1540</v>
      </c>
      <c r="F191" s="603">
        <v>59590.47</v>
      </c>
      <c r="G191" s="603">
        <v>59610.35</v>
      </c>
      <c r="H191" s="603">
        <v>59762.59</v>
      </c>
      <c r="I191" s="603">
        <v>58840.15</v>
      </c>
      <c r="J191" s="603">
        <v>58767.57</v>
      </c>
      <c r="K191" s="603">
        <v>58869.7</v>
      </c>
      <c r="L191" s="603">
        <v>58869.7</v>
      </c>
      <c r="M191" s="603">
        <v>58819.12</v>
      </c>
      <c r="N191" s="603">
        <v>58888.59</v>
      </c>
      <c r="O191" s="603">
        <v>57753.95</v>
      </c>
      <c r="P191" s="603">
        <v>57815.58</v>
      </c>
      <c r="Q191" s="603">
        <v>57928.94</v>
      </c>
      <c r="R191" s="603">
        <v>57928.94</v>
      </c>
      <c r="S191" s="484">
        <f t="shared" si="43"/>
        <v>58723.828749999993</v>
      </c>
      <c r="T191" s="604"/>
      <c r="U191" s="642"/>
      <c r="V191" s="679"/>
      <c r="W191" s="679"/>
      <c r="X191" s="702">
        <f>+S191</f>
        <v>58723.828749999993</v>
      </c>
      <c r="Y191" s="679"/>
      <c r="Z191" s="679">
        <f>+X191</f>
        <v>58723.828749999993</v>
      </c>
      <c r="AA191" s="642"/>
      <c r="AB191" s="679"/>
      <c r="AC191" s="643"/>
      <c r="AD191" s="644">
        <f t="shared" si="44"/>
        <v>0</v>
      </c>
      <c r="AE191" s="643"/>
      <c r="AF191" s="677">
        <f t="shared" si="34"/>
        <v>0</v>
      </c>
    </row>
    <row r="192" spans="1:32">
      <c r="A192" s="604">
        <v>178</v>
      </c>
      <c r="B192" s="316" t="s">
        <v>984</v>
      </c>
      <c r="C192" s="316" t="s">
        <v>456</v>
      </c>
      <c r="D192" s="316" t="s">
        <v>1315</v>
      </c>
      <c r="E192" s="602" t="s">
        <v>1541</v>
      </c>
      <c r="F192" s="603">
        <v>-2574.25</v>
      </c>
      <c r="G192" s="603">
        <v>-2526.58</v>
      </c>
      <c r="H192" s="603">
        <v>-2478.91</v>
      </c>
      <c r="I192" s="603">
        <v>-2431.2399999999998</v>
      </c>
      <c r="J192" s="603">
        <v>-2383.5700000000002</v>
      </c>
      <c r="K192" s="603">
        <v>-2335.9</v>
      </c>
      <c r="L192" s="603">
        <v>-2288.2199999999998</v>
      </c>
      <c r="M192" s="603">
        <v>-2240.5500000000002</v>
      </c>
      <c r="N192" s="603">
        <v>-2192.88</v>
      </c>
      <c r="O192" s="603">
        <v>-2145.21</v>
      </c>
      <c r="P192" s="603">
        <v>-2097.54</v>
      </c>
      <c r="Q192" s="603">
        <v>-2049.87</v>
      </c>
      <c r="R192" s="603">
        <v>-2002.19</v>
      </c>
      <c r="S192" s="484">
        <f t="shared" si="43"/>
        <v>-2288.2241666666664</v>
      </c>
      <c r="T192" s="604"/>
      <c r="U192" s="642"/>
      <c r="V192" s="679"/>
      <c r="W192" s="679"/>
      <c r="X192" s="702">
        <f>+S192</f>
        <v>-2288.2241666666664</v>
      </c>
      <c r="Y192" s="679"/>
      <c r="Z192" s="679">
        <f>+X192</f>
        <v>-2288.2241666666664</v>
      </c>
      <c r="AA192" s="642"/>
      <c r="AB192" s="679"/>
      <c r="AC192" s="643"/>
      <c r="AD192" s="644">
        <f t="shared" si="44"/>
        <v>0</v>
      </c>
      <c r="AE192" s="643"/>
      <c r="AF192" s="677">
        <f t="shared" si="34"/>
        <v>0</v>
      </c>
    </row>
    <row r="193" spans="1:32">
      <c r="A193" s="604">
        <v>179</v>
      </c>
      <c r="B193" s="316" t="s">
        <v>984</v>
      </c>
      <c r="C193" s="316" t="s">
        <v>456</v>
      </c>
      <c r="D193" s="316" t="s">
        <v>1372</v>
      </c>
      <c r="E193" s="602" t="s">
        <v>1542</v>
      </c>
      <c r="F193" s="603">
        <v>171224.15</v>
      </c>
      <c r="G193" s="603">
        <v>169328.75</v>
      </c>
      <c r="H193" s="603">
        <v>169471.11</v>
      </c>
      <c r="I193" s="603">
        <v>169613.47</v>
      </c>
      <c r="J193" s="603">
        <v>170628.72</v>
      </c>
      <c r="K193" s="603">
        <v>115568.55</v>
      </c>
      <c r="L193" s="603">
        <v>116549.99</v>
      </c>
      <c r="M193" s="603">
        <v>114039.95</v>
      </c>
      <c r="N193" s="603">
        <v>114148.51</v>
      </c>
      <c r="O193" s="603">
        <v>114257.08</v>
      </c>
      <c r="P193" s="603">
        <v>114365.65</v>
      </c>
      <c r="Q193" s="603">
        <v>114474.22</v>
      </c>
      <c r="R193" s="603">
        <v>122636.81</v>
      </c>
      <c r="S193" s="484">
        <f t="shared" si="43"/>
        <v>135781.37333333332</v>
      </c>
      <c r="T193" s="604"/>
      <c r="U193" s="642"/>
      <c r="V193" s="679"/>
      <c r="W193" s="679"/>
      <c r="X193" s="702">
        <f>+S193</f>
        <v>135781.37333333332</v>
      </c>
      <c r="Y193" s="679"/>
      <c r="Z193" s="679"/>
      <c r="AA193" s="642"/>
      <c r="AB193" s="679">
        <f>+S193</f>
        <v>135781.37333333332</v>
      </c>
      <c r="AC193" s="643"/>
      <c r="AD193" s="644">
        <f t="shared" si="44"/>
        <v>0</v>
      </c>
      <c r="AE193" s="643"/>
      <c r="AF193" s="677">
        <f t="shared" si="34"/>
        <v>0</v>
      </c>
    </row>
    <row r="194" spans="1:32">
      <c r="A194" s="604">
        <v>180</v>
      </c>
      <c r="B194" s="316" t="s">
        <v>984</v>
      </c>
      <c r="C194" s="316" t="s">
        <v>456</v>
      </c>
      <c r="D194" s="316" t="s">
        <v>987</v>
      </c>
      <c r="E194" s="602" t="s">
        <v>1543</v>
      </c>
      <c r="F194" s="603">
        <v>1007436.65</v>
      </c>
      <c r="G194" s="603">
        <v>1007188.66</v>
      </c>
      <c r="H194" s="603">
        <v>1005952.68</v>
      </c>
      <c r="I194" s="603">
        <v>1003898.25</v>
      </c>
      <c r="J194" s="603">
        <v>1001032.56</v>
      </c>
      <c r="K194" s="603">
        <v>418897.9</v>
      </c>
      <c r="L194" s="603">
        <v>408252.29</v>
      </c>
      <c r="M194" s="603">
        <v>407353.09</v>
      </c>
      <c r="N194" s="603">
        <v>405581.88</v>
      </c>
      <c r="O194" s="603">
        <v>404369.91999999998</v>
      </c>
      <c r="P194" s="603">
        <v>401034.88</v>
      </c>
      <c r="Q194" s="603">
        <v>399699.02</v>
      </c>
      <c r="R194" s="603">
        <v>329517.43</v>
      </c>
      <c r="S194" s="484">
        <f t="shared" si="43"/>
        <v>627644.84749999992</v>
      </c>
      <c r="T194" s="604"/>
      <c r="U194" s="642">
        <f>+S194</f>
        <v>627644.84749999992</v>
      </c>
      <c r="V194" s="679"/>
      <c r="W194" s="679"/>
      <c r="X194" s="702"/>
      <c r="Y194" s="679"/>
      <c r="Z194" s="679"/>
      <c r="AA194" s="642"/>
      <c r="AB194" s="679"/>
      <c r="AC194" s="643"/>
      <c r="AD194" s="644">
        <f t="shared" si="44"/>
        <v>627644.84749999992</v>
      </c>
      <c r="AE194" s="643"/>
      <c r="AF194" s="677">
        <f t="shared" si="34"/>
        <v>0</v>
      </c>
    </row>
    <row r="195" spans="1:32">
      <c r="A195" s="604">
        <v>181</v>
      </c>
      <c r="B195" s="316" t="s">
        <v>984</v>
      </c>
      <c r="C195" s="316" t="s">
        <v>456</v>
      </c>
      <c r="D195" s="316" t="s">
        <v>187</v>
      </c>
      <c r="E195" s="602" t="s">
        <v>1544</v>
      </c>
      <c r="F195" s="603">
        <v>145396.82</v>
      </c>
      <c r="G195" s="603">
        <v>148421.38</v>
      </c>
      <c r="H195" s="603">
        <v>128771.35</v>
      </c>
      <c r="I195" s="603">
        <v>129857.41</v>
      </c>
      <c r="J195" s="603">
        <v>112857.27</v>
      </c>
      <c r="K195" s="603">
        <v>114490.48</v>
      </c>
      <c r="L195" s="603">
        <v>117214.76</v>
      </c>
      <c r="M195" s="603">
        <v>119154.55</v>
      </c>
      <c r="N195" s="603">
        <v>121273.61</v>
      </c>
      <c r="O195" s="603">
        <v>120858.67</v>
      </c>
      <c r="P195" s="603">
        <v>120291.11</v>
      </c>
      <c r="Q195" s="603">
        <v>100655.08</v>
      </c>
      <c r="R195" s="603">
        <v>152233.85999999999</v>
      </c>
      <c r="S195" s="484">
        <f t="shared" si="43"/>
        <v>123555.08416666668</v>
      </c>
      <c r="T195" s="604"/>
      <c r="U195" s="642">
        <f>+S195</f>
        <v>123555.08416666668</v>
      </c>
      <c r="V195" s="679"/>
      <c r="W195" s="679"/>
      <c r="X195" s="702"/>
      <c r="Y195" s="679"/>
      <c r="Z195" s="679"/>
      <c r="AA195" s="642"/>
      <c r="AB195" s="679"/>
      <c r="AC195" s="643"/>
      <c r="AD195" s="644">
        <f t="shared" si="44"/>
        <v>123555.08416666668</v>
      </c>
      <c r="AE195" s="643"/>
      <c r="AF195" s="677">
        <f t="shared" si="34"/>
        <v>0</v>
      </c>
    </row>
    <row r="196" spans="1:32">
      <c r="A196" s="604">
        <v>182</v>
      </c>
      <c r="B196" s="316" t="s">
        <v>984</v>
      </c>
      <c r="C196" s="316" t="s">
        <v>456</v>
      </c>
      <c r="D196" s="316" t="s">
        <v>1311</v>
      </c>
      <c r="E196" s="602" t="s">
        <v>1534</v>
      </c>
      <c r="F196" s="603">
        <v>0</v>
      </c>
      <c r="G196" s="603">
        <v>0</v>
      </c>
      <c r="H196" s="603">
        <v>0</v>
      </c>
      <c r="I196" s="603">
        <v>0</v>
      </c>
      <c r="J196" s="603">
        <v>0</v>
      </c>
      <c r="K196" s="603">
        <v>39907.08</v>
      </c>
      <c r="L196" s="603">
        <v>39907.08</v>
      </c>
      <c r="M196" s="603">
        <v>39329.18</v>
      </c>
      <c r="N196" s="603">
        <v>40122.9</v>
      </c>
      <c r="O196" s="603">
        <v>38232.14</v>
      </c>
      <c r="P196" s="603">
        <v>38936.33</v>
      </c>
      <c r="Q196" s="603">
        <v>40231.5</v>
      </c>
      <c r="R196" s="603">
        <v>40231.5</v>
      </c>
      <c r="S196" s="484">
        <f t="shared" si="43"/>
        <v>24731.83</v>
      </c>
      <c r="T196" s="604"/>
      <c r="U196" s="642"/>
      <c r="V196" s="679"/>
      <c r="W196" s="679"/>
      <c r="X196" s="702">
        <f>+S196</f>
        <v>24731.83</v>
      </c>
      <c r="Y196" s="679"/>
      <c r="Z196" s="679">
        <f>+X196</f>
        <v>24731.83</v>
      </c>
      <c r="AA196" s="642"/>
      <c r="AB196" s="679"/>
      <c r="AC196" s="643"/>
      <c r="AD196" s="644"/>
      <c r="AE196" s="643"/>
      <c r="AF196" s="677"/>
    </row>
    <row r="197" spans="1:32">
      <c r="A197" s="604">
        <v>183</v>
      </c>
      <c r="B197" s="316" t="s">
        <v>984</v>
      </c>
      <c r="C197" s="316" t="s">
        <v>456</v>
      </c>
      <c r="D197" s="316" t="s">
        <v>1313</v>
      </c>
      <c r="E197" s="602" t="s">
        <v>1545</v>
      </c>
      <c r="F197" s="603">
        <v>65440.960000000101</v>
      </c>
      <c r="G197" s="603">
        <v>64077.61</v>
      </c>
      <c r="H197" s="603">
        <v>62714.26</v>
      </c>
      <c r="I197" s="603">
        <v>61350.9</v>
      </c>
      <c r="J197" s="603">
        <v>59987.55</v>
      </c>
      <c r="K197" s="603">
        <v>58624.2</v>
      </c>
      <c r="L197" s="603">
        <v>57260.84</v>
      </c>
      <c r="M197" s="603">
        <v>55897.49</v>
      </c>
      <c r="N197" s="603">
        <v>54534.14</v>
      </c>
      <c r="O197" s="603">
        <v>53170.78</v>
      </c>
      <c r="P197" s="603">
        <v>51807.43</v>
      </c>
      <c r="Q197" s="603">
        <v>50444.08</v>
      </c>
      <c r="R197" s="603">
        <v>49080.72</v>
      </c>
      <c r="S197" s="484">
        <f t="shared" si="43"/>
        <v>57260.843333333345</v>
      </c>
      <c r="T197" s="604"/>
      <c r="U197" s="642"/>
      <c r="V197" s="679"/>
      <c r="W197" s="679"/>
      <c r="X197" s="702">
        <f>+S197</f>
        <v>57260.843333333345</v>
      </c>
      <c r="Y197" s="679"/>
      <c r="Z197" s="679">
        <f>+X197</f>
        <v>57260.843333333345</v>
      </c>
      <c r="AA197" s="642"/>
      <c r="AB197" s="679"/>
      <c r="AC197" s="643"/>
      <c r="AD197" s="644"/>
      <c r="AE197" s="643"/>
      <c r="AF197" s="677"/>
    </row>
    <row r="198" spans="1:32">
      <c r="A198" s="604">
        <v>184</v>
      </c>
      <c r="B198" s="316" t="s">
        <v>959</v>
      </c>
      <c r="C198" s="316" t="s">
        <v>456</v>
      </c>
      <c r="D198" s="316" t="s">
        <v>1311</v>
      </c>
      <c r="E198" s="602" t="s">
        <v>1534</v>
      </c>
      <c r="F198" s="603">
        <v>0</v>
      </c>
      <c r="G198" s="603">
        <v>0</v>
      </c>
      <c r="H198" s="603">
        <v>0</v>
      </c>
      <c r="I198" s="603">
        <v>0</v>
      </c>
      <c r="J198" s="603">
        <v>0</v>
      </c>
      <c r="K198" s="603">
        <v>632689.85</v>
      </c>
      <c r="L198" s="603">
        <v>632689.85</v>
      </c>
      <c r="M198" s="603">
        <v>632689.85</v>
      </c>
      <c r="N198" s="603">
        <v>632689.85</v>
      </c>
      <c r="O198" s="603">
        <v>621617.1</v>
      </c>
      <c r="P198" s="603">
        <v>621617.1</v>
      </c>
      <c r="Q198" s="603">
        <v>621617.1</v>
      </c>
      <c r="R198" s="603">
        <v>621617.1</v>
      </c>
      <c r="S198" s="484">
        <f t="shared" si="43"/>
        <v>392201.60416666669</v>
      </c>
      <c r="T198" s="604"/>
      <c r="U198" s="642"/>
      <c r="V198" s="679"/>
      <c r="W198" s="679"/>
      <c r="X198" s="702">
        <f>+S198</f>
        <v>392201.60416666669</v>
      </c>
      <c r="Y198" s="679">
        <f>+X198</f>
        <v>392201.60416666669</v>
      </c>
      <c r="Z198" s="679"/>
      <c r="AA198" s="642"/>
      <c r="AB198" s="679"/>
      <c r="AC198" s="643"/>
      <c r="AD198" s="644">
        <f t="shared" si="44"/>
        <v>0</v>
      </c>
      <c r="AE198" s="643"/>
      <c r="AF198" s="677">
        <f t="shared" si="34"/>
        <v>0</v>
      </c>
    </row>
    <row r="199" spans="1:32">
      <c r="A199" s="604">
        <v>185</v>
      </c>
      <c r="B199" s="316" t="s">
        <v>959</v>
      </c>
      <c r="C199" s="316" t="s">
        <v>456</v>
      </c>
      <c r="D199" s="316" t="s">
        <v>1313</v>
      </c>
      <c r="E199" s="602" t="s">
        <v>1545</v>
      </c>
      <c r="F199" s="603">
        <v>248712.88</v>
      </c>
      <c r="G199" s="603">
        <v>246409.98</v>
      </c>
      <c r="H199" s="603">
        <v>244107.08</v>
      </c>
      <c r="I199" s="603">
        <v>241804.19</v>
      </c>
      <c r="J199" s="603">
        <v>239501.29</v>
      </c>
      <c r="K199" s="603">
        <v>237198.39</v>
      </c>
      <c r="L199" s="603">
        <v>234895.5</v>
      </c>
      <c r="M199" s="603">
        <v>232592.6</v>
      </c>
      <c r="N199" s="603">
        <v>230289.7</v>
      </c>
      <c r="O199" s="603">
        <v>227986.81</v>
      </c>
      <c r="P199" s="603">
        <v>225683.91</v>
      </c>
      <c r="Q199" s="603">
        <v>223381.01</v>
      </c>
      <c r="R199" s="603">
        <v>221078.12</v>
      </c>
      <c r="S199" s="484">
        <f t="shared" si="43"/>
        <v>234895.49666666667</v>
      </c>
      <c r="T199" s="604"/>
      <c r="U199" s="642"/>
      <c r="V199" s="679"/>
      <c r="W199" s="679"/>
      <c r="X199" s="702">
        <f>+S199</f>
        <v>234895.49666666667</v>
      </c>
      <c r="Y199" s="679">
        <f>+X199</f>
        <v>234895.49666666667</v>
      </c>
      <c r="Z199" s="679"/>
      <c r="AA199" s="642"/>
      <c r="AB199" s="679"/>
      <c r="AC199" s="643"/>
      <c r="AD199" s="644">
        <f>+U199</f>
        <v>0</v>
      </c>
      <c r="AE199" s="643"/>
      <c r="AF199" s="677">
        <f t="shared" si="34"/>
        <v>0</v>
      </c>
    </row>
    <row r="200" spans="1:32">
      <c r="A200" s="604">
        <v>186</v>
      </c>
      <c r="B200" s="316"/>
      <c r="C200" s="316"/>
      <c r="D200" s="316"/>
      <c r="E200" s="602"/>
      <c r="F200" s="603"/>
      <c r="G200" s="603"/>
      <c r="H200" s="603"/>
      <c r="I200" s="603"/>
      <c r="J200" s="603"/>
      <c r="K200" s="603"/>
      <c r="L200" s="603"/>
      <c r="M200" s="603"/>
      <c r="N200" s="603"/>
      <c r="O200" s="603"/>
      <c r="P200" s="603"/>
      <c r="Q200" s="603"/>
      <c r="R200" s="603"/>
      <c r="S200" s="294"/>
      <c r="T200" s="604"/>
      <c r="U200" s="642">
        <f>+S200</f>
        <v>0</v>
      </c>
      <c r="V200" s="679"/>
      <c r="W200" s="679"/>
      <c r="X200" s="702"/>
      <c r="Y200" s="679"/>
      <c r="Z200" s="679"/>
      <c r="AA200" s="642"/>
      <c r="AB200" s="679"/>
      <c r="AC200" s="643"/>
      <c r="AD200" s="644"/>
      <c r="AE200" s="643"/>
      <c r="AF200" s="677">
        <f t="shared" si="34"/>
        <v>0</v>
      </c>
    </row>
    <row r="201" spans="1:32">
      <c r="A201" s="604">
        <v>187</v>
      </c>
      <c r="B201" s="604" t="s">
        <v>984</v>
      </c>
      <c r="C201" s="604" t="s">
        <v>457</v>
      </c>
      <c r="D201" s="604" t="s">
        <v>437</v>
      </c>
      <c r="E201" s="589" t="s">
        <v>458</v>
      </c>
      <c r="F201" s="603">
        <v>593186.79</v>
      </c>
      <c r="G201" s="314">
        <v>0</v>
      </c>
      <c r="H201" s="305">
        <v>0</v>
      </c>
      <c r="I201" s="305">
        <v>0</v>
      </c>
      <c r="J201" s="306">
        <v>0</v>
      </c>
      <c r="K201" s="307">
        <v>0</v>
      </c>
      <c r="L201" s="308">
        <v>0</v>
      </c>
      <c r="M201" s="309">
        <v>0</v>
      </c>
      <c r="N201" s="310">
        <v>0</v>
      </c>
      <c r="O201" s="590">
        <v>0</v>
      </c>
      <c r="P201" s="311">
        <v>0</v>
      </c>
      <c r="Q201" s="315">
        <v>0</v>
      </c>
      <c r="R201" s="603">
        <v>0</v>
      </c>
      <c r="S201" s="484">
        <f t="shared" ref="S201:S206" si="45">((F201+R201)+((G201+H201+I201+J201+K201+L201+M201+N201+O201+P201+Q201)*2))/24</f>
        <v>24716.116250000003</v>
      </c>
      <c r="T201" s="604"/>
      <c r="U201" s="642"/>
      <c r="V201" s="679"/>
      <c r="W201" s="679"/>
      <c r="X201" s="702">
        <f>+S201</f>
        <v>24716.116250000003</v>
      </c>
      <c r="Y201" s="679"/>
      <c r="Z201" s="679"/>
      <c r="AA201" s="642"/>
      <c r="AB201" s="679">
        <f>+S201</f>
        <v>24716.116250000003</v>
      </c>
      <c r="AC201" s="643"/>
      <c r="AD201" s="643"/>
      <c r="AE201" s="643"/>
      <c r="AF201" s="677">
        <f t="shared" si="34"/>
        <v>0</v>
      </c>
    </row>
    <row r="202" spans="1:32">
      <c r="A202" s="604">
        <v>188</v>
      </c>
      <c r="B202" s="604" t="s">
        <v>959</v>
      </c>
      <c r="C202" s="316" t="s">
        <v>457</v>
      </c>
      <c r="D202" s="316" t="s">
        <v>450</v>
      </c>
      <c r="E202" s="602" t="s">
        <v>458</v>
      </c>
      <c r="F202" s="603">
        <v>40887966.869999997</v>
      </c>
      <c r="G202" s="603">
        <v>0</v>
      </c>
      <c r="H202" s="603">
        <v>0</v>
      </c>
      <c r="I202" s="603">
        <v>0</v>
      </c>
      <c r="J202" s="603">
        <v>0</v>
      </c>
      <c r="K202" s="603">
        <v>0</v>
      </c>
      <c r="L202" s="603">
        <v>0</v>
      </c>
      <c r="M202" s="603">
        <v>0</v>
      </c>
      <c r="N202" s="603">
        <v>0</v>
      </c>
      <c r="O202" s="603">
        <v>0</v>
      </c>
      <c r="P202" s="603">
        <v>0</v>
      </c>
      <c r="Q202" s="603">
        <v>0</v>
      </c>
      <c r="R202" s="603">
        <v>0</v>
      </c>
      <c r="S202" s="484">
        <f t="shared" si="45"/>
        <v>1703665.2862499999</v>
      </c>
      <c r="T202" s="604"/>
      <c r="U202" s="642"/>
      <c r="V202" s="679"/>
      <c r="W202" s="679"/>
      <c r="X202" s="702">
        <f>+S202</f>
        <v>1703665.2862499999</v>
      </c>
      <c r="Y202" s="679"/>
      <c r="Z202" s="679"/>
      <c r="AA202" s="642"/>
      <c r="AB202" s="679">
        <f>+S202</f>
        <v>1703665.2862499999</v>
      </c>
      <c r="AC202" s="643"/>
      <c r="AD202" s="643"/>
      <c r="AE202" s="643"/>
      <c r="AF202" s="677">
        <f t="shared" si="34"/>
        <v>0</v>
      </c>
    </row>
    <row r="203" spans="1:32">
      <c r="A203" s="604">
        <v>189</v>
      </c>
      <c r="B203" s="604" t="s">
        <v>1844</v>
      </c>
      <c r="C203" s="316" t="s">
        <v>457</v>
      </c>
      <c r="D203" s="316" t="s">
        <v>1851</v>
      </c>
      <c r="E203" s="602" t="s">
        <v>1852</v>
      </c>
      <c r="F203" s="603">
        <v>0</v>
      </c>
      <c r="G203" s="603">
        <v>0</v>
      </c>
      <c r="H203" s="603">
        <v>2342139.6</v>
      </c>
      <c r="I203" s="603">
        <v>3399048.29</v>
      </c>
      <c r="J203" s="603">
        <v>4027988.3</v>
      </c>
      <c r="K203" s="603">
        <v>4380204.8499999996</v>
      </c>
      <c r="L203" s="603">
        <v>4728970.04</v>
      </c>
      <c r="M203" s="603">
        <v>5196910.95</v>
      </c>
      <c r="N203" s="603">
        <v>6194887.6500000004</v>
      </c>
      <c r="O203" s="603">
        <v>4675781.1500000004</v>
      </c>
      <c r="P203" s="603">
        <v>5056612.16</v>
      </c>
      <c r="Q203" s="603">
        <v>4649236.16</v>
      </c>
      <c r="R203" s="603">
        <v>5008566.5</v>
      </c>
      <c r="S203" s="484">
        <f t="shared" si="45"/>
        <v>3929671.8666666658</v>
      </c>
      <c r="T203" s="604"/>
      <c r="U203" s="642">
        <f>+S203</f>
        <v>3929671.8666666658</v>
      </c>
      <c r="V203" s="679"/>
      <c r="W203" s="679"/>
      <c r="X203" s="702"/>
      <c r="Y203" s="679"/>
      <c r="Z203" s="679"/>
      <c r="AA203" s="642"/>
      <c r="AB203" s="679"/>
      <c r="AC203" s="643"/>
      <c r="AD203" s="644">
        <f>+S203</f>
        <v>3929671.8666666658</v>
      </c>
      <c r="AE203" s="643"/>
      <c r="AF203" s="677"/>
    </row>
    <row r="204" spans="1:32">
      <c r="A204" s="604">
        <v>190</v>
      </c>
      <c r="B204" s="604" t="s">
        <v>1844</v>
      </c>
      <c r="C204" s="316" t="s">
        <v>457</v>
      </c>
      <c r="D204" s="316" t="s">
        <v>1853</v>
      </c>
      <c r="E204" s="602" t="s">
        <v>1852</v>
      </c>
      <c r="F204" s="603">
        <v>0</v>
      </c>
      <c r="G204" s="603">
        <v>47946602.299999997</v>
      </c>
      <c r="H204" s="603">
        <v>67505586.75</v>
      </c>
      <c r="I204" s="603">
        <v>57823020.020000003</v>
      </c>
      <c r="J204" s="603">
        <v>56865822.530000001</v>
      </c>
      <c r="K204" s="603">
        <v>58478877.130000003</v>
      </c>
      <c r="L204" s="603">
        <v>60718799.259999998</v>
      </c>
      <c r="M204" s="603">
        <v>62935207.299999997</v>
      </c>
      <c r="N204" s="603">
        <v>66002326.009999998</v>
      </c>
      <c r="O204" s="603">
        <v>34706739.090000004</v>
      </c>
      <c r="P204" s="603">
        <v>35180151.969999999</v>
      </c>
      <c r="Q204" s="603">
        <v>33787613.960000001</v>
      </c>
      <c r="R204" s="603">
        <v>37814583.32</v>
      </c>
      <c r="S204" s="484">
        <f t="shared" si="45"/>
        <v>50071503.164999999</v>
      </c>
      <c r="T204" s="604"/>
      <c r="U204" s="642">
        <f>+S204</f>
        <v>50071503.164999999</v>
      </c>
      <c r="V204" s="679"/>
      <c r="W204" s="679"/>
      <c r="X204" s="702"/>
      <c r="Y204" s="679"/>
      <c r="Z204" s="679"/>
      <c r="AA204" s="642"/>
      <c r="AB204" s="679"/>
      <c r="AD204" s="644">
        <f>+S204</f>
        <v>50071503.164999999</v>
      </c>
      <c r="AE204" s="643"/>
      <c r="AF204" s="677"/>
    </row>
    <row r="205" spans="1:32">
      <c r="A205" s="604">
        <v>191</v>
      </c>
      <c r="B205" s="604" t="s">
        <v>1844</v>
      </c>
      <c r="C205" s="316" t="s">
        <v>457</v>
      </c>
      <c r="D205" s="316" t="s">
        <v>1854</v>
      </c>
      <c r="E205" s="602" t="s">
        <v>1852</v>
      </c>
      <c r="F205" s="603">
        <v>0</v>
      </c>
      <c r="G205" s="603">
        <v>0</v>
      </c>
      <c r="H205" s="603">
        <v>0</v>
      </c>
      <c r="I205" s="603">
        <v>30228787.370000001</v>
      </c>
      <c r="J205" s="603">
        <v>30305289.539999999</v>
      </c>
      <c r="K205" s="603">
        <v>29534495.120000001</v>
      </c>
      <c r="L205" s="603">
        <v>29095371.93</v>
      </c>
      <c r="M205" s="603">
        <v>28758376.969999999</v>
      </c>
      <c r="N205" s="603">
        <v>28468854.23</v>
      </c>
      <c r="O205" s="603">
        <v>53618901.579999998</v>
      </c>
      <c r="P205" s="603">
        <v>52727328.140000001</v>
      </c>
      <c r="Q205" s="603">
        <v>50721235.899999999</v>
      </c>
      <c r="R205" s="603">
        <v>46381080.18</v>
      </c>
      <c r="S205" s="484">
        <f t="shared" si="45"/>
        <v>29720765.072499994</v>
      </c>
      <c r="T205" s="604"/>
      <c r="U205" s="642">
        <f>+S205</f>
        <v>29720765.072499994</v>
      </c>
      <c r="V205" s="679"/>
      <c r="W205" s="679"/>
      <c r="X205" s="702"/>
      <c r="Y205" s="679"/>
      <c r="Z205" s="679"/>
      <c r="AA205" s="642"/>
      <c r="AB205" s="679"/>
      <c r="AD205" s="644">
        <f>+S205</f>
        <v>29720765.072499994</v>
      </c>
      <c r="AE205" s="643"/>
      <c r="AF205" s="677"/>
    </row>
    <row r="206" spans="1:32">
      <c r="A206" s="604">
        <v>192</v>
      </c>
      <c r="B206" s="604"/>
      <c r="C206" s="604"/>
      <c r="D206" s="604"/>
      <c r="E206" s="589"/>
      <c r="F206" s="603"/>
      <c r="G206" s="314"/>
      <c r="H206" s="305"/>
      <c r="I206" s="305"/>
      <c r="J206" s="306"/>
      <c r="K206" s="307"/>
      <c r="L206" s="308"/>
      <c r="M206" s="309"/>
      <c r="N206" s="310"/>
      <c r="O206" s="590"/>
      <c r="P206" s="311"/>
      <c r="Q206" s="315"/>
      <c r="R206" s="603"/>
      <c r="S206" s="484">
        <f t="shared" si="45"/>
        <v>0</v>
      </c>
      <c r="T206" s="604"/>
      <c r="U206" s="642"/>
      <c r="V206" s="679"/>
      <c r="W206" s="679"/>
      <c r="X206" s="702"/>
      <c r="Y206" s="679"/>
      <c r="Z206" s="679"/>
      <c r="AA206" s="642"/>
      <c r="AB206" s="679"/>
      <c r="AC206" s="643"/>
      <c r="AD206" s="643"/>
      <c r="AE206" s="643"/>
      <c r="AF206" s="677">
        <f t="shared" si="34"/>
        <v>0</v>
      </c>
    </row>
    <row r="207" spans="1:32">
      <c r="A207" s="604">
        <v>193</v>
      </c>
      <c r="B207" s="316" t="s">
        <v>956</v>
      </c>
      <c r="C207" s="522" t="s">
        <v>459</v>
      </c>
      <c r="D207" s="316" t="s">
        <v>460</v>
      </c>
      <c r="E207" s="602" t="s">
        <v>461</v>
      </c>
      <c r="F207" s="603">
        <v>58463.57</v>
      </c>
      <c r="G207" s="603">
        <v>57904.11</v>
      </c>
      <c r="H207" s="603">
        <v>57344.65</v>
      </c>
      <c r="I207" s="603">
        <v>56785.19</v>
      </c>
      <c r="J207" s="603">
        <v>56225.73</v>
      </c>
      <c r="K207" s="603">
        <v>55666.27</v>
      </c>
      <c r="L207" s="603">
        <v>55106.81</v>
      </c>
      <c r="M207" s="603">
        <v>54547.35</v>
      </c>
      <c r="N207" s="603">
        <v>53987.89</v>
      </c>
      <c r="O207" s="603">
        <v>53428.43</v>
      </c>
      <c r="P207" s="603">
        <v>52868.97</v>
      </c>
      <c r="Q207" s="603">
        <v>52309.51</v>
      </c>
      <c r="R207" s="603">
        <v>51750.05</v>
      </c>
      <c r="S207" s="484">
        <f t="shared" ref="S207:S223" si="46">((F207+R207)+((G207+H207+I207+J207+K207+L207+M207+N207+O207+P207+Q207)*2))/24</f>
        <v>55106.81</v>
      </c>
      <c r="T207" s="604"/>
      <c r="U207" s="642"/>
      <c r="V207" s="679"/>
      <c r="W207" s="679">
        <f>+S207</f>
        <v>55106.81</v>
      </c>
      <c r="X207" s="702"/>
      <c r="Y207" s="679"/>
      <c r="Z207" s="679"/>
      <c r="AA207" s="642"/>
      <c r="AB207" s="679"/>
      <c r="AC207" s="644">
        <f t="shared" ref="AC207:AC218" si="47">+S207</f>
        <v>55106.81</v>
      </c>
      <c r="AD207" s="643"/>
      <c r="AE207" s="643"/>
      <c r="AF207" s="677">
        <f t="shared" si="34"/>
        <v>0</v>
      </c>
    </row>
    <row r="208" spans="1:32">
      <c r="A208" s="604">
        <v>194</v>
      </c>
      <c r="B208" s="316" t="s">
        <v>956</v>
      </c>
      <c r="C208" s="522" t="s">
        <v>459</v>
      </c>
      <c r="D208" s="316" t="s">
        <v>462</v>
      </c>
      <c r="E208" s="602" t="s">
        <v>463</v>
      </c>
      <c r="F208" s="603">
        <v>51189.82</v>
      </c>
      <c r="G208" s="603">
        <v>50770.22</v>
      </c>
      <c r="H208" s="603">
        <v>50350.62</v>
      </c>
      <c r="I208" s="603">
        <v>49931.02</v>
      </c>
      <c r="J208" s="603">
        <v>49511.42</v>
      </c>
      <c r="K208" s="603">
        <v>49091.82</v>
      </c>
      <c r="L208" s="603">
        <v>48672.22</v>
      </c>
      <c r="M208" s="603">
        <v>48252.62</v>
      </c>
      <c r="N208" s="603">
        <v>47833.02</v>
      </c>
      <c r="O208" s="603">
        <v>47413.42</v>
      </c>
      <c r="P208" s="603">
        <v>46993.82</v>
      </c>
      <c r="Q208" s="603">
        <v>46574.22</v>
      </c>
      <c r="R208" s="603">
        <v>46154.62</v>
      </c>
      <c r="S208" s="484">
        <f t="shared" si="46"/>
        <v>48672.219999999994</v>
      </c>
      <c r="T208" s="604"/>
      <c r="U208" s="642"/>
      <c r="V208" s="679"/>
      <c r="W208" s="679">
        <f t="shared" ref="W208:W221" si="48">+S208</f>
        <v>48672.219999999994</v>
      </c>
      <c r="X208" s="702"/>
      <c r="Y208" s="679"/>
      <c r="Z208" s="679"/>
      <c r="AA208" s="642"/>
      <c r="AB208" s="679"/>
      <c r="AC208" s="644">
        <f t="shared" si="47"/>
        <v>48672.219999999994</v>
      </c>
      <c r="AD208" s="643"/>
      <c r="AE208" s="643"/>
      <c r="AF208" s="677">
        <f t="shared" si="34"/>
        <v>0</v>
      </c>
    </row>
    <row r="209" spans="1:32">
      <c r="A209" s="604">
        <v>195</v>
      </c>
      <c r="B209" s="316" t="s">
        <v>956</v>
      </c>
      <c r="C209" s="522" t="s">
        <v>459</v>
      </c>
      <c r="D209" s="316" t="s">
        <v>464</v>
      </c>
      <c r="E209" s="602" t="s">
        <v>465</v>
      </c>
      <c r="F209" s="603">
        <v>852667.05</v>
      </c>
      <c r="G209" s="603">
        <v>848249.09</v>
      </c>
      <c r="H209" s="603">
        <v>843138.35</v>
      </c>
      <c r="I209" s="603">
        <v>838724.01</v>
      </c>
      <c r="J209" s="603">
        <v>834309.67</v>
      </c>
      <c r="K209" s="603">
        <v>826758.64</v>
      </c>
      <c r="L209" s="603">
        <v>822360.99</v>
      </c>
      <c r="M209" s="603">
        <v>817963.34</v>
      </c>
      <c r="N209" s="603">
        <v>813230.18</v>
      </c>
      <c r="O209" s="603">
        <v>808834.34</v>
      </c>
      <c r="P209" s="603">
        <v>804438.5</v>
      </c>
      <c r="Q209" s="603">
        <v>799217.51</v>
      </c>
      <c r="R209" s="603">
        <v>794826.2</v>
      </c>
      <c r="S209" s="484">
        <f t="shared" si="46"/>
        <v>823414.27041666664</v>
      </c>
      <c r="T209" s="604"/>
      <c r="U209" s="642"/>
      <c r="V209" s="679"/>
      <c r="W209" s="679">
        <f t="shared" si="48"/>
        <v>823414.27041666664</v>
      </c>
      <c r="X209" s="702"/>
      <c r="Y209" s="679"/>
      <c r="Z209" s="679"/>
      <c r="AA209" s="642"/>
      <c r="AB209" s="679"/>
      <c r="AC209" s="644">
        <f t="shared" si="47"/>
        <v>823414.27041666664</v>
      </c>
      <c r="AD209" s="643"/>
      <c r="AE209" s="643"/>
      <c r="AF209" s="677">
        <f t="shared" si="34"/>
        <v>0</v>
      </c>
    </row>
    <row r="210" spans="1:32">
      <c r="A210" s="604">
        <v>196</v>
      </c>
      <c r="B210" s="316" t="s">
        <v>956</v>
      </c>
      <c r="C210" s="522" t="s">
        <v>459</v>
      </c>
      <c r="D210" s="316" t="s">
        <v>466</v>
      </c>
      <c r="E210" s="602" t="s">
        <v>467</v>
      </c>
      <c r="F210" s="603">
        <v>25296.48</v>
      </c>
      <c r="G210" s="603">
        <v>23948.42</v>
      </c>
      <c r="H210" s="603">
        <v>22600.36</v>
      </c>
      <c r="I210" s="603">
        <v>21252.3</v>
      </c>
      <c r="J210" s="603">
        <v>19904.240000000002</v>
      </c>
      <c r="K210" s="603">
        <v>18556.18</v>
      </c>
      <c r="L210" s="603">
        <v>17208.12</v>
      </c>
      <c r="M210" s="603">
        <v>15860.06</v>
      </c>
      <c r="N210" s="603">
        <v>14512</v>
      </c>
      <c r="O210" s="603">
        <v>13163.94</v>
      </c>
      <c r="P210" s="603">
        <v>11815.88</v>
      </c>
      <c r="Q210" s="603">
        <v>10467.82</v>
      </c>
      <c r="R210" s="603">
        <v>9119.7599999999893</v>
      </c>
      <c r="S210" s="484">
        <f t="shared" si="46"/>
        <v>17208.12</v>
      </c>
      <c r="T210" s="604"/>
      <c r="U210" s="642"/>
      <c r="V210" s="679"/>
      <c r="W210" s="679">
        <f t="shared" si="48"/>
        <v>17208.12</v>
      </c>
      <c r="X210" s="702"/>
      <c r="Y210" s="679"/>
      <c r="Z210" s="679"/>
      <c r="AA210" s="642"/>
      <c r="AB210" s="679"/>
      <c r="AC210" s="644">
        <f t="shared" si="47"/>
        <v>17208.12</v>
      </c>
      <c r="AD210" s="643"/>
      <c r="AE210" s="643"/>
      <c r="AF210" s="677">
        <f t="shared" si="34"/>
        <v>0</v>
      </c>
    </row>
    <row r="211" spans="1:32">
      <c r="A211" s="604">
        <v>197</v>
      </c>
      <c r="B211" s="316" t="s">
        <v>956</v>
      </c>
      <c r="C211" s="522" t="s">
        <v>459</v>
      </c>
      <c r="D211" s="316" t="s">
        <v>468</v>
      </c>
      <c r="E211" s="602" t="s">
        <v>469</v>
      </c>
      <c r="F211" s="603">
        <v>141205.07999999999</v>
      </c>
      <c r="G211" s="603">
        <v>140557.57999999999</v>
      </c>
      <c r="H211" s="603">
        <v>139910.07999999999</v>
      </c>
      <c r="I211" s="603">
        <v>139262.57999999999</v>
      </c>
      <c r="J211" s="603">
        <v>138615.07999999999</v>
      </c>
      <c r="K211" s="603">
        <v>137967.57999999999</v>
      </c>
      <c r="L211" s="603">
        <v>137320.07999999999</v>
      </c>
      <c r="M211" s="603">
        <v>136672.57999999999</v>
      </c>
      <c r="N211" s="603">
        <v>136025.07999999999</v>
      </c>
      <c r="O211" s="603">
        <v>135377.57999999999</v>
      </c>
      <c r="P211" s="603">
        <v>134730.07999999999</v>
      </c>
      <c r="Q211" s="603">
        <v>134082.57999999999</v>
      </c>
      <c r="R211" s="603">
        <v>133435.07999999999</v>
      </c>
      <c r="S211" s="484">
        <f t="shared" si="46"/>
        <v>137320.08000000002</v>
      </c>
      <c r="T211" s="604"/>
      <c r="U211" s="642"/>
      <c r="V211" s="679"/>
      <c r="W211" s="679">
        <f t="shared" si="48"/>
        <v>137320.08000000002</v>
      </c>
      <c r="X211" s="702"/>
      <c r="Y211" s="679"/>
      <c r="Z211" s="679"/>
      <c r="AA211" s="642"/>
      <c r="AB211" s="679"/>
      <c r="AC211" s="644">
        <f t="shared" si="47"/>
        <v>137320.08000000002</v>
      </c>
      <c r="AD211" s="643"/>
      <c r="AE211" s="643"/>
      <c r="AF211" s="677">
        <f t="shared" si="34"/>
        <v>0</v>
      </c>
    </row>
    <row r="212" spans="1:32">
      <c r="A212" s="604">
        <v>198</v>
      </c>
      <c r="B212" s="316" t="s">
        <v>956</v>
      </c>
      <c r="C212" s="522" t="s">
        <v>459</v>
      </c>
      <c r="D212" s="316" t="s">
        <v>470</v>
      </c>
      <c r="E212" s="523" t="s">
        <v>471</v>
      </c>
      <c r="F212" s="603">
        <v>82844.59</v>
      </c>
      <c r="G212" s="603">
        <v>81795.92</v>
      </c>
      <c r="H212" s="603">
        <v>80747.25</v>
      </c>
      <c r="I212" s="603">
        <v>79698.58</v>
      </c>
      <c r="J212" s="603">
        <v>78649.91</v>
      </c>
      <c r="K212" s="603">
        <v>77601.240000000005</v>
      </c>
      <c r="L212" s="603">
        <v>76552.570000000007</v>
      </c>
      <c r="M212" s="603">
        <v>75503.899999999994</v>
      </c>
      <c r="N212" s="603">
        <v>74455.23</v>
      </c>
      <c r="O212" s="603">
        <v>73406.559999999998</v>
      </c>
      <c r="P212" s="603">
        <v>72357.89</v>
      </c>
      <c r="Q212" s="603">
        <v>71309.22</v>
      </c>
      <c r="R212" s="603">
        <v>70260.55</v>
      </c>
      <c r="S212" s="484">
        <f t="shared" si="46"/>
        <v>76552.569999999992</v>
      </c>
      <c r="T212" s="604"/>
      <c r="U212" s="642"/>
      <c r="V212" s="679"/>
      <c r="W212" s="679">
        <f t="shared" si="48"/>
        <v>76552.569999999992</v>
      </c>
      <c r="X212" s="702"/>
      <c r="Y212" s="679"/>
      <c r="Z212" s="679"/>
      <c r="AA212" s="642"/>
      <c r="AB212" s="679"/>
      <c r="AC212" s="644">
        <f t="shared" si="47"/>
        <v>76552.569999999992</v>
      </c>
      <c r="AD212" s="643"/>
      <c r="AE212" s="643"/>
      <c r="AF212" s="677">
        <f t="shared" si="34"/>
        <v>0</v>
      </c>
    </row>
    <row r="213" spans="1:32">
      <c r="A213" s="604">
        <v>199</v>
      </c>
      <c r="B213" s="316" t="s">
        <v>956</v>
      </c>
      <c r="C213" s="522" t="s">
        <v>459</v>
      </c>
      <c r="D213" s="316" t="s">
        <v>472</v>
      </c>
      <c r="E213" s="523" t="s">
        <v>473</v>
      </c>
      <c r="F213" s="603">
        <v>96477.490000000107</v>
      </c>
      <c r="G213" s="603">
        <v>95638.56</v>
      </c>
      <c r="H213" s="603">
        <v>94799.63</v>
      </c>
      <c r="I213" s="603">
        <v>93960.7</v>
      </c>
      <c r="J213" s="603">
        <v>93121.77</v>
      </c>
      <c r="K213" s="603">
        <v>92282.84</v>
      </c>
      <c r="L213" s="603">
        <v>91443.91</v>
      </c>
      <c r="M213" s="603">
        <v>90604.980000000098</v>
      </c>
      <c r="N213" s="603">
        <v>89766.050000000105</v>
      </c>
      <c r="O213" s="603">
        <v>88927.120000000097</v>
      </c>
      <c r="P213" s="603">
        <v>88088.190000000104</v>
      </c>
      <c r="Q213" s="603">
        <v>87249.260000000097</v>
      </c>
      <c r="R213" s="603">
        <v>86410.330000000104</v>
      </c>
      <c r="S213" s="484">
        <f t="shared" si="46"/>
        <v>91443.910000000047</v>
      </c>
      <c r="T213" s="604"/>
      <c r="U213" s="642"/>
      <c r="V213" s="679"/>
      <c r="W213" s="679">
        <f t="shared" si="48"/>
        <v>91443.910000000047</v>
      </c>
      <c r="X213" s="702"/>
      <c r="Y213" s="679"/>
      <c r="Z213" s="679"/>
      <c r="AA213" s="642"/>
      <c r="AB213" s="679"/>
      <c r="AC213" s="644">
        <f t="shared" si="47"/>
        <v>91443.910000000047</v>
      </c>
      <c r="AD213" s="643"/>
      <c r="AE213" s="643"/>
      <c r="AF213" s="677">
        <f t="shared" si="34"/>
        <v>0</v>
      </c>
    </row>
    <row r="214" spans="1:32">
      <c r="A214" s="604">
        <v>200</v>
      </c>
      <c r="B214" s="316" t="s">
        <v>956</v>
      </c>
      <c r="C214" s="522" t="s">
        <v>459</v>
      </c>
      <c r="D214" s="316" t="s">
        <v>444</v>
      </c>
      <c r="E214" s="523" t="s">
        <v>474</v>
      </c>
      <c r="F214" s="603">
        <v>98736.3100000001</v>
      </c>
      <c r="G214" s="603">
        <v>92153.88</v>
      </c>
      <c r="H214" s="603">
        <v>85571.45</v>
      </c>
      <c r="I214" s="603">
        <v>78989.02</v>
      </c>
      <c r="J214" s="603">
        <v>72406.59</v>
      </c>
      <c r="K214" s="603">
        <v>65824.160000000003</v>
      </c>
      <c r="L214" s="603">
        <v>314578.2</v>
      </c>
      <c r="M214" s="603">
        <v>318917.87</v>
      </c>
      <c r="N214" s="603">
        <v>375952.24</v>
      </c>
      <c r="O214" s="603">
        <v>369356.59</v>
      </c>
      <c r="P214" s="603">
        <v>362760.94</v>
      </c>
      <c r="Q214" s="603">
        <v>356165.29</v>
      </c>
      <c r="R214" s="603">
        <v>349569.64</v>
      </c>
      <c r="S214" s="484">
        <f t="shared" si="46"/>
        <v>226402.43375000005</v>
      </c>
      <c r="T214" s="604"/>
      <c r="U214" s="642"/>
      <c r="V214" s="679"/>
      <c r="W214" s="679">
        <f t="shared" si="48"/>
        <v>226402.43375000005</v>
      </c>
      <c r="X214" s="702"/>
      <c r="Y214" s="679"/>
      <c r="Z214" s="679"/>
      <c r="AA214" s="642"/>
      <c r="AB214" s="679"/>
      <c r="AC214" s="644">
        <f t="shared" si="47"/>
        <v>226402.43375000005</v>
      </c>
      <c r="AD214" s="643"/>
      <c r="AE214" s="643"/>
      <c r="AF214" s="677">
        <f t="shared" si="34"/>
        <v>0</v>
      </c>
    </row>
    <row r="215" spans="1:32">
      <c r="A215" s="604">
        <v>201</v>
      </c>
      <c r="B215" s="316" t="s">
        <v>956</v>
      </c>
      <c r="C215" s="522" t="s">
        <v>459</v>
      </c>
      <c r="D215" s="316" t="s">
        <v>475</v>
      </c>
      <c r="E215" s="523" t="s">
        <v>1855</v>
      </c>
      <c r="F215" s="603">
        <v>53780.84</v>
      </c>
      <c r="G215" s="603">
        <v>53607.35</v>
      </c>
      <c r="H215" s="603">
        <v>53433.86</v>
      </c>
      <c r="I215" s="603">
        <v>53260.37</v>
      </c>
      <c r="J215" s="603">
        <v>53086.879999999997</v>
      </c>
      <c r="K215" s="603">
        <v>52913.39</v>
      </c>
      <c r="L215" s="603">
        <v>52739.9</v>
      </c>
      <c r="M215" s="603">
        <v>52566.41</v>
      </c>
      <c r="N215" s="603">
        <v>52392.92</v>
      </c>
      <c r="O215" s="603">
        <v>52219.43</v>
      </c>
      <c r="P215" s="603">
        <v>52045.94</v>
      </c>
      <c r="Q215" s="603">
        <v>51872.45</v>
      </c>
      <c r="R215" s="603">
        <v>51698.96</v>
      </c>
      <c r="S215" s="484">
        <f t="shared" si="46"/>
        <v>52739.899999999994</v>
      </c>
      <c r="T215" s="604"/>
      <c r="U215" s="642"/>
      <c r="V215" s="679"/>
      <c r="W215" s="679">
        <f t="shared" si="48"/>
        <v>52739.899999999994</v>
      </c>
      <c r="X215" s="702"/>
      <c r="Y215" s="679"/>
      <c r="Z215" s="679"/>
      <c r="AA215" s="642"/>
      <c r="AB215" s="679"/>
      <c r="AC215" s="644">
        <f t="shared" si="47"/>
        <v>52739.899999999994</v>
      </c>
      <c r="AD215" s="643"/>
      <c r="AE215" s="643"/>
      <c r="AF215" s="677">
        <f t="shared" si="34"/>
        <v>0</v>
      </c>
    </row>
    <row r="216" spans="1:32">
      <c r="A216" s="604">
        <v>202</v>
      </c>
      <c r="B216" s="316" t="s">
        <v>956</v>
      </c>
      <c r="C216" s="522" t="s">
        <v>459</v>
      </c>
      <c r="D216" s="316" t="s">
        <v>476</v>
      </c>
      <c r="E216" s="523" t="s">
        <v>1856</v>
      </c>
      <c r="F216" s="603">
        <v>54740.34</v>
      </c>
      <c r="G216" s="603">
        <v>54613.04</v>
      </c>
      <c r="H216" s="603">
        <v>54485.74</v>
      </c>
      <c r="I216" s="603">
        <v>54358.44</v>
      </c>
      <c r="J216" s="603">
        <v>54231.14</v>
      </c>
      <c r="K216" s="603">
        <v>54103.839999999997</v>
      </c>
      <c r="L216" s="603">
        <v>53976.54</v>
      </c>
      <c r="M216" s="603">
        <v>53849.24</v>
      </c>
      <c r="N216" s="603">
        <v>53721.94</v>
      </c>
      <c r="O216" s="603">
        <v>53594.64</v>
      </c>
      <c r="P216" s="603">
        <v>53467.34</v>
      </c>
      <c r="Q216" s="603">
        <v>53340.04</v>
      </c>
      <c r="R216" s="603">
        <v>53212.74</v>
      </c>
      <c r="S216" s="484">
        <f t="shared" si="46"/>
        <v>53976.54</v>
      </c>
      <c r="T216" s="604"/>
      <c r="U216" s="642"/>
      <c r="V216" s="679"/>
      <c r="W216" s="679">
        <f t="shared" si="48"/>
        <v>53976.54</v>
      </c>
      <c r="X216" s="702"/>
      <c r="Y216" s="679"/>
      <c r="Z216" s="679"/>
      <c r="AA216" s="642"/>
      <c r="AB216" s="679"/>
      <c r="AC216" s="644">
        <f t="shared" si="47"/>
        <v>53976.54</v>
      </c>
      <c r="AD216" s="643"/>
      <c r="AE216" s="643"/>
      <c r="AF216" s="677">
        <f t="shared" si="34"/>
        <v>0</v>
      </c>
    </row>
    <row r="217" spans="1:32">
      <c r="A217" s="604">
        <v>203</v>
      </c>
      <c r="B217" s="316" t="s">
        <v>956</v>
      </c>
      <c r="C217" s="522" t="s">
        <v>459</v>
      </c>
      <c r="D217" s="316" t="s">
        <v>477</v>
      </c>
      <c r="E217" s="523" t="s">
        <v>1857</v>
      </c>
      <c r="F217" s="603">
        <v>54127.82</v>
      </c>
      <c r="G217" s="603">
        <v>53954.33</v>
      </c>
      <c r="H217" s="603">
        <v>53780.84</v>
      </c>
      <c r="I217" s="603">
        <v>53607.35</v>
      </c>
      <c r="J217" s="603">
        <v>53433.86</v>
      </c>
      <c r="K217" s="603">
        <v>53260.37</v>
      </c>
      <c r="L217" s="603">
        <v>53086.879999999997</v>
      </c>
      <c r="M217" s="603">
        <v>52913.39</v>
      </c>
      <c r="N217" s="603">
        <v>52739.9</v>
      </c>
      <c r="O217" s="603">
        <v>52566.41</v>
      </c>
      <c r="P217" s="603">
        <v>52392.92</v>
      </c>
      <c r="Q217" s="603">
        <v>52219.43</v>
      </c>
      <c r="R217" s="603">
        <v>52045.94</v>
      </c>
      <c r="S217" s="484">
        <f t="shared" si="46"/>
        <v>53086.880000000012</v>
      </c>
      <c r="T217" s="604"/>
      <c r="U217" s="642"/>
      <c r="V217" s="679"/>
      <c r="W217" s="679">
        <f t="shared" si="48"/>
        <v>53086.880000000012</v>
      </c>
      <c r="X217" s="702"/>
      <c r="Y217" s="679"/>
      <c r="Z217" s="679"/>
      <c r="AA217" s="642"/>
      <c r="AB217" s="679"/>
      <c r="AC217" s="644">
        <f t="shared" si="47"/>
        <v>53086.880000000012</v>
      </c>
      <c r="AD217" s="643"/>
      <c r="AE217" s="643"/>
      <c r="AF217" s="677">
        <f t="shared" si="34"/>
        <v>0</v>
      </c>
    </row>
    <row r="218" spans="1:32">
      <c r="A218" s="604">
        <v>204</v>
      </c>
      <c r="B218" s="316" t="s">
        <v>956</v>
      </c>
      <c r="C218" s="522" t="s">
        <v>459</v>
      </c>
      <c r="D218" s="316" t="s">
        <v>478</v>
      </c>
      <c r="E218" s="523" t="s">
        <v>1858</v>
      </c>
      <c r="F218" s="603">
        <v>54994.94</v>
      </c>
      <c r="G218" s="603">
        <v>54867.64</v>
      </c>
      <c r="H218" s="603">
        <v>54740.34</v>
      </c>
      <c r="I218" s="603">
        <v>54613.04</v>
      </c>
      <c r="J218" s="603">
        <v>54485.74</v>
      </c>
      <c r="K218" s="603">
        <v>54358.44</v>
      </c>
      <c r="L218" s="603">
        <v>54231.14</v>
      </c>
      <c r="M218" s="603">
        <v>54103.839999999997</v>
      </c>
      <c r="N218" s="603">
        <v>53976.54</v>
      </c>
      <c r="O218" s="603">
        <v>53849.24</v>
      </c>
      <c r="P218" s="603">
        <v>53721.94</v>
      </c>
      <c r="Q218" s="603">
        <v>53594.64</v>
      </c>
      <c r="R218" s="603">
        <v>53467.34</v>
      </c>
      <c r="S218" s="484">
        <f t="shared" si="46"/>
        <v>54231.139999999992</v>
      </c>
      <c r="T218" s="604"/>
      <c r="U218" s="642"/>
      <c r="V218" s="679"/>
      <c r="W218" s="679">
        <f t="shared" si="48"/>
        <v>54231.139999999992</v>
      </c>
      <c r="X218" s="702"/>
      <c r="Y218" s="679"/>
      <c r="Z218" s="679"/>
      <c r="AA218" s="642"/>
      <c r="AB218" s="679"/>
      <c r="AC218" s="644">
        <f t="shared" si="47"/>
        <v>54231.139999999992</v>
      </c>
      <c r="AD218" s="643"/>
      <c r="AE218" s="643"/>
      <c r="AF218" s="677">
        <f t="shared" si="34"/>
        <v>0</v>
      </c>
    </row>
    <row r="219" spans="1:32">
      <c r="A219" s="604">
        <v>205</v>
      </c>
      <c r="B219" s="316"/>
      <c r="C219" s="522" t="s">
        <v>459</v>
      </c>
      <c r="D219" s="316" t="s">
        <v>1859</v>
      </c>
      <c r="E219" s="523" t="s">
        <v>1860</v>
      </c>
      <c r="F219" s="603">
        <v>0</v>
      </c>
      <c r="G219" s="603">
        <v>0</v>
      </c>
      <c r="H219" s="603">
        <v>0</v>
      </c>
      <c r="I219" s="603">
        <v>0</v>
      </c>
      <c r="J219" s="603">
        <v>0</v>
      </c>
      <c r="K219" s="603">
        <v>4316.83</v>
      </c>
      <c r="L219" s="603">
        <v>117539.84</v>
      </c>
      <c r="M219" s="603">
        <v>124791.17</v>
      </c>
      <c r="N219" s="603">
        <v>125247.9</v>
      </c>
      <c r="O219" s="603">
        <v>124177.41</v>
      </c>
      <c r="P219" s="603">
        <v>123106.92</v>
      </c>
      <c r="Q219" s="603">
        <v>122036.43</v>
      </c>
      <c r="R219" s="603">
        <v>120965.94</v>
      </c>
      <c r="S219" s="484">
        <f t="shared" si="46"/>
        <v>66808.289166666669</v>
      </c>
      <c r="T219" s="604"/>
      <c r="U219" s="642"/>
      <c r="V219" s="679"/>
      <c r="W219" s="679">
        <f t="shared" si="48"/>
        <v>66808.289166666669</v>
      </c>
      <c r="X219" s="702"/>
      <c r="Y219" s="679"/>
      <c r="Z219" s="679"/>
      <c r="AA219" s="642"/>
      <c r="AB219" s="679"/>
      <c r="AC219" s="644">
        <f>+S219</f>
        <v>66808.289166666669</v>
      </c>
      <c r="AD219" s="643"/>
      <c r="AE219" s="643"/>
      <c r="AF219" s="677"/>
    </row>
    <row r="220" spans="1:32">
      <c r="A220" s="604">
        <v>206</v>
      </c>
      <c r="B220" s="316"/>
      <c r="C220" s="522" t="s">
        <v>459</v>
      </c>
      <c r="D220" s="316" t="s">
        <v>1861</v>
      </c>
      <c r="E220" s="523" t="s">
        <v>1862</v>
      </c>
      <c r="F220" s="603">
        <v>0</v>
      </c>
      <c r="G220" s="603">
        <v>0</v>
      </c>
      <c r="H220" s="603">
        <v>0</v>
      </c>
      <c r="I220" s="603">
        <v>0</v>
      </c>
      <c r="J220" s="603">
        <v>0</v>
      </c>
      <c r="K220" s="603">
        <v>3453.47</v>
      </c>
      <c r="L220" s="603">
        <v>94295.27</v>
      </c>
      <c r="M220" s="603">
        <v>100396.96</v>
      </c>
      <c r="N220" s="603">
        <v>101054.71</v>
      </c>
      <c r="O220" s="603">
        <v>100483.78</v>
      </c>
      <c r="P220" s="603">
        <v>99912.85</v>
      </c>
      <c r="Q220" s="603">
        <v>99341.92</v>
      </c>
      <c r="R220" s="603">
        <v>98770.99</v>
      </c>
      <c r="S220" s="484">
        <f t="shared" si="46"/>
        <v>54027.037916666675</v>
      </c>
      <c r="T220" s="604"/>
      <c r="U220" s="642"/>
      <c r="V220" s="679"/>
      <c r="W220" s="679">
        <f t="shared" si="48"/>
        <v>54027.037916666675</v>
      </c>
      <c r="X220" s="702"/>
      <c r="Y220" s="679"/>
      <c r="Z220" s="679"/>
      <c r="AA220" s="642"/>
      <c r="AB220" s="679"/>
      <c r="AC220" s="644">
        <f>+S220</f>
        <v>54027.037916666675</v>
      </c>
      <c r="AD220" s="643"/>
      <c r="AE220" s="643"/>
      <c r="AF220" s="677"/>
    </row>
    <row r="221" spans="1:32">
      <c r="A221" s="604">
        <v>207</v>
      </c>
      <c r="B221" s="316"/>
      <c r="C221" s="522" t="s">
        <v>459</v>
      </c>
      <c r="D221" s="316" t="s">
        <v>1863</v>
      </c>
      <c r="E221" s="523" t="s">
        <v>1864</v>
      </c>
      <c r="F221" s="603">
        <v>0</v>
      </c>
      <c r="G221" s="603">
        <v>0</v>
      </c>
      <c r="H221" s="603">
        <v>0</v>
      </c>
      <c r="I221" s="603">
        <v>0</v>
      </c>
      <c r="J221" s="603">
        <v>0</v>
      </c>
      <c r="K221" s="603">
        <v>5180.2</v>
      </c>
      <c r="L221" s="603">
        <v>141838</v>
      </c>
      <c r="M221" s="603">
        <v>151441.49</v>
      </c>
      <c r="N221" s="603">
        <v>152866.64000000001</v>
      </c>
      <c r="O221" s="603">
        <v>152438.44</v>
      </c>
      <c r="P221" s="603">
        <v>152010.23999999999</v>
      </c>
      <c r="Q221" s="603">
        <v>151582.04</v>
      </c>
      <c r="R221" s="603">
        <v>151153.84</v>
      </c>
      <c r="S221" s="484">
        <f t="shared" si="46"/>
        <v>81911.164166666669</v>
      </c>
      <c r="T221" s="604"/>
      <c r="U221" s="642"/>
      <c r="V221" s="679"/>
      <c r="W221" s="679">
        <f t="shared" si="48"/>
        <v>81911.164166666669</v>
      </c>
      <c r="X221" s="702"/>
      <c r="Y221" s="679"/>
      <c r="Z221" s="679"/>
      <c r="AA221" s="642"/>
      <c r="AB221" s="679"/>
      <c r="AC221" s="644">
        <f>+S221</f>
        <v>81911.164166666669</v>
      </c>
      <c r="AD221" s="643"/>
      <c r="AE221" s="643"/>
      <c r="AF221" s="677"/>
    </row>
    <row r="222" spans="1:32">
      <c r="A222" s="604">
        <v>208</v>
      </c>
      <c r="B222" s="316"/>
      <c r="C222" s="522" t="s">
        <v>459</v>
      </c>
      <c r="D222" s="316" t="s">
        <v>716</v>
      </c>
      <c r="E222" s="523" t="s">
        <v>717</v>
      </c>
      <c r="F222" s="603">
        <v>-1525788.02</v>
      </c>
      <c r="G222" s="603">
        <v>0</v>
      </c>
      <c r="H222" s="603">
        <v>0</v>
      </c>
      <c r="I222" s="603">
        <v>0</v>
      </c>
      <c r="J222" s="603">
        <v>0</v>
      </c>
      <c r="K222" s="603">
        <v>0</v>
      </c>
      <c r="L222" s="603">
        <v>0</v>
      </c>
      <c r="M222" s="603">
        <v>0</v>
      </c>
      <c r="N222" s="603">
        <v>0</v>
      </c>
      <c r="O222" s="603">
        <v>0</v>
      </c>
      <c r="P222" s="603">
        <v>0</v>
      </c>
      <c r="Q222" s="603">
        <v>0</v>
      </c>
      <c r="R222" s="603">
        <v>0</v>
      </c>
      <c r="S222" s="484">
        <f t="shared" si="46"/>
        <v>-63574.500833333332</v>
      </c>
      <c r="T222" s="604"/>
      <c r="U222" s="642"/>
      <c r="V222" s="679">
        <f>+S222</f>
        <v>-63574.500833333332</v>
      </c>
      <c r="W222" s="679"/>
      <c r="X222" s="702"/>
      <c r="Y222" s="679"/>
      <c r="Z222" s="679"/>
      <c r="AA222" s="642"/>
      <c r="AB222" s="679"/>
      <c r="AC222" s="644"/>
      <c r="AD222" s="644">
        <f>+S222</f>
        <v>-63574.500833333332</v>
      </c>
      <c r="AE222" s="643"/>
      <c r="AF222" s="677"/>
    </row>
    <row r="223" spans="1:32">
      <c r="A223" s="604">
        <v>209</v>
      </c>
      <c r="B223" s="316" t="s">
        <v>956</v>
      </c>
      <c r="C223" s="522" t="s">
        <v>459</v>
      </c>
      <c r="D223" s="316" t="s">
        <v>369</v>
      </c>
      <c r="E223" s="523" t="s">
        <v>717</v>
      </c>
      <c r="F223" s="303">
        <v>0</v>
      </c>
      <c r="G223" s="303">
        <v>-1515906.26</v>
      </c>
      <c r="H223" s="303">
        <v>-1505331.72</v>
      </c>
      <c r="I223" s="303">
        <v>-1495453.58</v>
      </c>
      <c r="J223" s="303">
        <v>-1485575.44</v>
      </c>
      <c r="K223" s="303">
        <v>-1485511.11</v>
      </c>
      <c r="L223" s="303">
        <v>-1816372.27</v>
      </c>
      <c r="M223" s="303">
        <v>-1829467.33</v>
      </c>
      <c r="N223" s="303">
        <v>-1821810</v>
      </c>
      <c r="O223" s="303">
        <v>-1809880.74</v>
      </c>
      <c r="P223" s="303">
        <v>-1797951.48</v>
      </c>
      <c r="Q223" s="303">
        <v>-1785197.07</v>
      </c>
      <c r="R223" s="303">
        <v>-1773272.34</v>
      </c>
      <c r="S223" s="485">
        <f t="shared" si="46"/>
        <v>-1602924.4308333334</v>
      </c>
      <c r="T223" s="604"/>
      <c r="U223" s="642"/>
      <c r="V223" s="679">
        <f>+S223</f>
        <v>-1602924.4308333334</v>
      </c>
      <c r="X223" s="702"/>
      <c r="Y223" s="679"/>
      <c r="Z223" s="679"/>
      <c r="AA223" s="642"/>
      <c r="AB223" s="679"/>
      <c r="AC223" s="644"/>
      <c r="AD223" s="644">
        <f>+S223</f>
        <v>-1602924.4308333334</v>
      </c>
      <c r="AE223" s="643"/>
      <c r="AF223" s="677" t="e">
        <f>+U223+#REF!-AD223</f>
        <v>#REF!</v>
      </c>
    </row>
    <row r="224" spans="1:32">
      <c r="A224" s="604">
        <v>210</v>
      </c>
      <c r="B224" s="604"/>
      <c r="C224" s="604"/>
      <c r="D224" s="604"/>
      <c r="E224" s="599" t="s">
        <v>479</v>
      </c>
      <c r="F224" s="603">
        <f>SUM(F207:F223)</f>
        <v>98736.310000000289</v>
      </c>
      <c r="G224" s="603">
        <f t="shared" ref="G224:R224" si="49">SUM(G207:G223)</f>
        <v>92153.879999999888</v>
      </c>
      <c r="H224" s="603">
        <f t="shared" si="49"/>
        <v>85571.450000000186</v>
      </c>
      <c r="I224" s="603">
        <f t="shared" si="49"/>
        <v>78989.020000000251</v>
      </c>
      <c r="J224" s="603">
        <f t="shared" si="49"/>
        <v>72406.590000000084</v>
      </c>
      <c r="K224" s="603">
        <f t="shared" si="49"/>
        <v>65824.159999999916</v>
      </c>
      <c r="L224" s="603">
        <f t="shared" si="49"/>
        <v>314578.19999999972</v>
      </c>
      <c r="M224" s="603">
        <f t="shared" si="49"/>
        <v>318917.87000000011</v>
      </c>
      <c r="N224" s="603">
        <f t="shared" si="49"/>
        <v>375952.23999999976</v>
      </c>
      <c r="O224" s="603">
        <f t="shared" si="49"/>
        <v>369356.59000000008</v>
      </c>
      <c r="P224" s="603">
        <f t="shared" si="49"/>
        <v>362760.93999999994</v>
      </c>
      <c r="Q224" s="603">
        <f t="shared" si="49"/>
        <v>356165.28999999934</v>
      </c>
      <c r="R224" s="603">
        <f t="shared" si="49"/>
        <v>349569.6399999999</v>
      </c>
      <c r="S224" s="484">
        <f>SUM(S207:S223)</f>
        <v>226402.43375000008</v>
      </c>
      <c r="T224" s="604"/>
      <c r="U224" s="642"/>
      <c r="V224" s="679"/>
      <c r="W224" s="679"/>
      <c r="X224" s="702"/>
      <c r="Y224" s="679"/>
      <c r="Z224" s="679"/>
      <c r="AA224" s="642"/>
      <c r="AB224" s="679"/>
      <c r="AC224" s="643"/>
      <c r="AD224" s="643"/>
      <c r="AE224" s="643"/>
      <c r="AF224" s="677">
        <f t="shared" si="34"/>
        <v>0</v>
      </c>
    </row>
    <row r="225" spans="1:32">
      <c r="A225" s="604">
        <v>211</v>
      </c>
      <c r="B225" s="604"/>
      <c r="C225" s="604"/>
      <c r="D225" s="604"/>
      <c r="E225" s="600"/>
      <c r="F225" s="603"/>
      <c r="G225" s="314"/>
      <c r="H225" s="305"/>
      <c r="I225" s="305"/>
      <c r="J225" s="306"/>
      <c r="K225" s="307"/>
      <c r="L225" s="308"/>
      <c r="M225" s="309"/>
      <c r="N225" s="310"/>
      <c r="O225" s="590"/>
      <c r="P225" s="311"/>
      <c r="Q225" s="315"/>
      <c r="R225" s="603"/>
      <c r="S225" s="294"/>
      <c r="T225" s="604"/>
      <c r="U225" s="642"/>
      <c r="V225" s="679"/>
      <c r="W225" s="679"/>
      <c r="X225" s="702"/>
      <c r="Y225" s="679"/>
      <c r="Z225" s="679"/>
      <c r="AA225" s="642"/>
      <c r="AB225" s="679"/>
      <c r="AC225" s="643"/>
      <c r="AD225" s="643"/>
      <c r="AE225" s="643"/>
      <c r="AF225" s="677">
        <f t="shared" ref="AF225:AF300" si="50">+U225+V225-AD225</f>
        <v>0</v>
      </c>
    </row>
    <row r="226" spans="1:32">
      <c r="A226" s="604">
        <v>212</v>
      </c>
      <c r="B226" s="316" t="s">
        <v>956</v>
      </c>
      <c r="C226" s="316" t="s">
        <v>480</v>
      </c>
      <c r="D226" s="316" t="s">
        <v>482</v>
      </c>
      <c r="E226" s="602" t="s">
        <v>483</v>
      </c>
      <c r="F226" s="603">
        <v>744300.47</v>
      </c>
      <c r="G226" s="603">
        <v>740886.25</v>
      </c>
      <c r="H226" s="603">
        <v>737472.03</v>
      </c>
      <c r="I226" s="603">
        <v>734057.81</v>
      </c>
      <c r="J226" s="603">
        <v>730643.59</v>
      </c>
      <c r="K226" s="603">
        <v>727229.37</v>
      </c>
      <c r="L226" s="603">
        <v>723815.15</v>
      </c>
      <c r="M226" s="603">
        <v>720400.93</v>
      </c>
      <c r="N226" s="603">
        <v>716986.71</v>
      </c>
      <c r="O226" s="603">
        <v>713572.49</v>
      </c>
      <c r="P226" s="603">
        <v>710158.27</v>
      </c>
      <c r="Q226" s="603">
        <v>706744.05</v>
      </c>
      <c r="R226" s="603">
        <v>703329.83</v>
      </c>
      <c r="S226" s="484">
        <f>((F226+R226)+((G226+H226+I226+J226+K226+L226+M226+N226+O226+P226+Q226)*2))/24</f>
        <v>723815.14999999991</v>
      </c>
      <c r="T226" s="604"/>
      <c r="U226" s="642"/>
      <c r="V226" s="679"/>
      <c r="W226" s="679">
        <f>+S226</f>
        <v>723815.14999999991</v>
      </c>
      <c r="X226" s="702"/>
      <c r="Y226" s="679"/>
      <c r="Z226" s="679"/>
      <c r="AA226" s="642"/>
      <c r="AB226" s="679"/>
      <c r="AC226" s="644">
        <f>+S226</f>
        <v>723815.14999999991</v>
      </c>
      <c r="AD226" s="643"/>
      <c r="AE226" s="643"/>
      <c r="AF226" s="677">
        <f t="shared" si="50"/>
        <v>0</v>
      </c>
    </row>
    <row r="227" spans="1:32">
      <c r="A227" s="604">
        <v>213</v>
      </c>
      <c r="B227" s="604"/>
      <c r="C227" s="604"/>
      <c r="D227" s="604"/>
      <c r="E227" s="602" t="s">
        <v>479</v>
      </c>
      <c r="F227" s="295">
        <f t="shared" ref="F227:S227" si="51">SUM(F226:F226)</f>
        <v>744300.47</v>
      </c>
      <c r="G227" s="295">
        <f t="shared" si="51"/>
        <v>740886.25</v>
      </c>
      <c r="H227" s="295">
        <f t="shared" si="51"/>
        <v>737472.03</v>
      </c>
      <c r="I227" s="295">
        <f t="shared" si="51"/>
        <v>734057.81</v>
      </c>
      <c r="J227" s="295">
        <f t="shared" si="51"/>
        <v>730643.59</v>
      </c>
      <c r="K227" s="295">
        <f t="shared" si="51"/>
        <v>727229.37</v>
      </c>
      <c r="L227" s="295">
        <f t="shared" si="51"/>
        <v>723815.15</v>
      </c>
      <c r="M227" s="295">
        <f t="shared" si="51"/>
        <v>720400.93</v>
      </c>
      <c r="N227" s="295">
        <f t="shared" si="51"/>
        <v>716986.71</v>
      </c>
      <c r="O227" s="295">
        <f t="shared" si="51"/>
        <v>713572.49</v>
      </c>
      <c r="P227" s="295">
        <f t="shared" si="51"/>
        <v>710158.27</v>
      </c>
      <c r="Q227" s="295">
        <f t="shared" si="51"/>
        <v>706744.05</v>
      </c>
      <c r="R227" s="295">
        <f t="shared" si="51"/>
        <v>703329.83</v>
      </c>
      <c r="S227" s="486">
        <f t="shared" si="51"/>
        <v>723815.14999999991</v>
      </c>
      <c r="T227" s="604"/>
      <c r="U227" s="642"/>
      <c r="V227" s="679"/>
      <c r="W227" s="679"/>
      <c r="X227" s="702"/>
      <c r="Y227" s="679"/>
      <c r="Z227" s="679"/>
      <c r="AA227" s="642"/>
      <c r="AB227" s="679"/>
      <c r="AC227" s="643"/>
      <c r="AD227" s="643"/>
      <c r="AE227" s="643"/>
      <c r="AF227" s="677">
        <f t="shared" si="50"/>
        <v>0</v>
      </c>
    </row>
    <row r="228" spans="1:32">
      <c r="A228" s="604">
        <v>214</v>
      </c>
      <c r="B228" s="604"/>
      <c r="C228" s="604"/>
      <c r="D228" s="604"/>
      <c r="E228" s="589"/>
      <c r="F228" s="603"/>
      <c r="G228" s="314"/>
      <c r="H228" s="305"/>
      <c r="I228" s="305"/>
      <c r="J228" s="306"/>
      <c r="K228" s="307"/>
      <c r="L228" s="308"/>
      <c r="M228" s="309"/>
      <c r="N228" s="310"/>
      <c r="O228" s="590"/>
      <c r="P228" s="311"/>
      <c r="Q228" s="315"/>
      <c r="R228" s="603"/>
      <c r="S228" s="294"/>
      <c r="T228" s="604"/>
      <c r="U228" s="642"/>
      <c r="V228" s="679"/>
      <c r="W228" s="679"/>
      <c r="X228" s="702"/>
      <c r="Y228" s="679"/>
      <c r="Z228" s="679"/>
      <c r="AA228" s="642"/>
      <c r="AB228" s="679"/>
      <c r="AC228" s="643"/>
      <c r="AD228" s="643"/>
      <c r="AE228" s="643"/>
      <c r="AF228" s="677">
        <f t="shared" si="50"/>
        <v>0</v>
      </c>
    </row>
    <row r="229" spans="1:32">
      <c r="A229" s="604">
        <v>215</v>
      </c>
      <c r="B229" s="316" t="s">
        <v>956</v>
      </c>
      <c r="C229" s="316" t="s">
        <v>449</v>
      </c>
      <c r="D229" s="316" t="s">
        <v>437</v>
      </c>
      <c r="E229" s="602" t="s">
        <v>484</v>
      </c>
      <c r="F229" s="603">
        <v>0</v>
      </c>
      <c r="G229" s="603">
        <v>0</v>
      </c>
      <c r="H229" s="603">
        <v>0</v>
      </c>
      <c r="I229" s="603">
        <v>0</v>
      </c>
      <c r="J229" s="603">
        <v>0</v>
      </c>
      <c r="K229" s="603">
        <v>0</v>
      </c>
      <c r="L229" s="603">
        <v>0</v>
      </c>
      <c r="M229" s="603">
        <v>0</v>
      </c>
      <c r="N229" s="603">
        <v>0</v>
      </c>
      <c r="O229" s="603">
        <v>0</v>
      </c>
      <c r="P229" s="603">
        <v>11897</v>
      </c>
      <c r="Q229" s="603">
        <v>0</v>
      </c>
      <c r="R229" s="603">
        <v>0</v>
      </c>
      <c r="S229" s="484">
        <f t="shared" ref="S229:S292" si="52">((F229+R229)+((G229+H229+I229+J229+K229+L229+M229+N229+O229+P229+Q229)*2))/24</f>
        <v>991.41666666666663</v>
      </c>
      <c r="T229" s="604"/>
      <c r="U229" s="642">
        <f t="shared" ref="U229:U266" si="53">+S229</f>
        <v>991.41666666666663</v>
      </c>
      <c r="V229" s="679"/>
      <c r="W229" s="679"/>
      <c r="X229" s="702"/>
      <c r="Y229" s="679"/>
      <c r="Z229" s="679"/>
      <c r="AA229" s="642"/>
      <c r="AB229" s="679"/>
      <c r="AC229" s="643"/>
      <c r="AD229" s="644">
        <f t="shared" ref="AD229:AD263" si="54">+U229</f>
        <v>991.41666666666663</v>
      </c>
      <c r="AE229" s="643"/>
      <c r="AF229" s="677">
        <f t="shared" si="50"/>
        <v>0</v>
      </c>
    </row>
    <row r="230" spans="1:32">
      <c r="A230" s="604">
        <v>216</v>
      </c>
      <c r="B230" s="316" t="s">
        <v>956</v>
      </c>
      <c r="C230" s="316" t="s">
        <v>1391</v>
      </c>
      <c r="D230" s="316" t="s">
        <v>369</v>
      </c>
      <c r="E230" s="602" t="s">
        <v>1396</v>
      </c>
      <c r="F230" s="603">
        <v>0</v>
      </c>
      <c r="G230" s="603">
        <v>0</v>
      </c>
      <c r="H230" s="603">
        <v>0</v>
      </c>
      <c r="I230" s="603">
        <v>0</v>
      </c>
      <c r="J230" s="603">
        <v>0</v>
      </c>
      <c r="K230" s="603">
        <v>0</v>
      </c>
      <c r="L230" s="603">
        <v>0</v>
      </c>
      <c r="M230" s="603">
        <v>0</v>
      </c>
      <c r="N230" s="603">
        <v>268.73</v>
      </c>
      <c r="O230" s="603">
        <v>161.13999999999999</v>
      </c>
      <c r="P230" s="603">
        <v>489.97</v>
      </c>
      <c r="Q230" s="603">
        <v>36026.769999999997</v>
      </c>
      <c r="R230" s="603">
        <v>108101.06</v>
      </c>
      <c r="S230" s="484">
        <f t="shared" si="52"/>
        <v>7583.0949999999984</v>
      </c>
      <c r="T230" s="604"/>
      <c r="U230" s="642">
        <f>+S230</f>
        <v>7583.0949999999984</v>
      </c>
      <c r="V230" s="679"/>
      <c r="W230" s="679"/>
      <c r="X230" s="702"/>
      <c r="Y230" s="679"/>
      <c r="Z230" s="679"/>
      <c r="AA230" s="642"/>
      <c r="AB230" s="679"/>
      <c r="AC230" s="643"/>
      <c r="AD230" s="644">
        <f>+S230</f>
        <v>7583.0949999999984</v>
      </c>
      <c r="AE230" s="643"/>
      <c r="AF230" s="677"/>
    </row>
    <row r="231" spans="1:32">
      <c r="A231" s="604">
        <v>217</v>
      </c>
      <c r="B231" s="316" t="s">
        <v>1844</v>
      </c>
      <c r="C231" s="316" t="s">
        <v>485</v>
      </c>
      <c r="D231" s="316" t="s">
        <v>369</v>
      </c>
      <c r="E231" s="602" t="s">
        <v>1865</v>
      </c>
      <c r="F231" s="603">
        <v>0</v>
      </c>
      <c r="G231" s="603">
        <v>-6471445.4199999999</v>
      </c>
      <c r="H231" s="603">
        <v>-5663151</v>
      </c>
      <c r="I231" s="603">
        <v>-5418595.4500000002</v>
      </c>
      <c r="J231" s="603">
        <v>-5607880.4199999999</v>
      </c>
      <c r="K231" s="603">
        <v>-5846699.3799999999</v>
      </c>
      <c r="L231" s="603">
        <v>-6398845.7599999998</v>
      </c>
      <c r="M231" s="603">
        <v>-6874331.6200000001</v>
      </c>
      <c r="N231" s="603">
        <v>-7305346.4400000004</v>
      </c>
      <c r="O231" s="603">
        <v>-7626647.4199999999</v>
      </c>
      <c r="P231" s="603">
        <v>-7628693.4400000004</v>
      </c>
      <c r="Q231" s="603">
        <v>-7119703.0800000001</v>
      </c>
      <c r="R231" s="603">
        <v>-6805449.96</v>
      </c>
      <c r="S231" s="484">
        <f t="shared" si="52"/>
        <v>-6280338.7008333327</v>
      </c>
      <c r="T231" s="604"/>
      <c r="U231" s="642">
        <f>+S231</f>
        <v>-6280338.7008333327</v>
      </c>
      <c r="V231" s="679"/>
      <c r="W231" s="679"/>
      <c r="X231" s="702"/>
      <c r="Y231" s="679"/>
      <c r="Z231" s="679"/>
      <c r="AA231" s="642"/>
      <c r="AB231" s="679"/>
      <c r="AC231" s="643"/>
      <c r="AD231" s="644">
        <f>+S231</f>
        <v>-6280338.7008333327</v>
      </c>
      <c r="AE231" s="643"/>
      <c r="AF231" s="677"/>
    </row>
    <row r="232" spans="1:32">
      <c r="A232" s="604">
        <v>218</v>
      </c>
      <c r="B232" s="316" t="s">
        <v>984</v>
      </c>
      <c r="C232" s="316" t="s">
        <v>485</v>
      </c>
      <c r="D232" s="316" t="s">
        <v>1138</v>
      </c>
      <c r="E232" s="602" t="s">
        <v>1546</v>
      </c>
      <c r="F232" s="603">
        <v>0</v>
      </c>
      <c r="G232" s="603">
        <v>0</v>
      </c>
      <c r="H232" s="603">
        <v>0</v>
      </c>
      <c r="I232" s="603">
        <v>0</v>
      </c>
      <c r="J232" s="603">
        <v>0</v>
      </c>
      <c r="K232" s="603">
        <v>0</v>
      </c>
      <c r="L232" s="603">
        <v>0</v>
      </c>
      <c r="M232" s="603">
        <v>0</v>
      </c>
      <c r="N232" s="603">
        <v>0</v>
      </c>
      <c r="O232" s="603">
        <v>0</v>
      </c>
      <c r="P232" s="603">
        <v>0</v>
      </c>
      <c r="Q232" s="603">
        <v>0</v>
      </c>
      <c r="R232" s="603">
        <v>0</v>
      </c>
      <c r="S232" s="484">
        <f t="shared" si="52"/>
        <v>0</v>
      </c>
      <c r="T232" s="604"/>
      <c r="U232" s="642">
        <f t="shared" si="53"/>
        <v>0</v>
      </c>
      <c r="V232" s="679"/>
      <c r="W232" s="679"/>
      <c r="X232" s="702"/>
      <c r="Y232" s="679"/>
      <c r="Z232" s="679"/>
      <c r="AA232" s="642"/>
      <c r="AB232" s="679"/>
      <c r="AC232" s="643"/>
      <c r="AD232" s="644">
        <f t="shared" si="54"/>
        <v>0</v>
      </c>
      <c r="AE232" s="643"/>
      <c r="AF232" s="677">
        <f t="shared" si="50"/>
        <v>0</v>
      </c>
    </row>
    <row r="233" spans="1:32">
      <c r="A233" s="604">
        <v>219</v>
      </c>
      <c r="B233" s="316" t="s">
        <v>959</v>
      </c>
      <c r="C233" s="316" t="s">
        <v>485</v>
      </c>
      <c r="D233" s="316" t="s">
        <v>1139</v>
      </c>
      <c r="E233" s="602" t="s">
        <v>1140</v>
      </c>
      <c r="F233" s="603">
        <v>47614629.100000001</v>
      </c>
      <c r="G233" s="603">
        <v>47614629.100000001</v>
      </c>
      <c r="H233" s="603">
        <v>47614629.100000001</v>
      </c>
      <c r="I233" s="603">
        <v>47614629.100000001</v>
      </c>
      <c r="J233" s="603">
        <v>47614629.100000001</v>
      </c>
      <c r="K233" s="603">
        <v>41832342</v>
      </c>
      <c r="L233" s="603">
        <v>41832342</v>
      </c>
      <c r="M233" s="603">
        <v>41832342</v>
      </c>
      <c r="N233" s="603">
        <v>41832342</v>
      </c>
      <c r="O233" s="603">
        <v>41832342</v>
      </c>
      <c r="P233" s="603">
        <v>41832342</v>
      </c>
      <c r="Q233" s="603">
        <v>41832342</v>
      </c>
      <c r="R233" s="603">
        <v>38966901</v>
      </c>
      <c r="S233" s="484">
        <f t="shared" si="52"/>
        <v>43881306.287500001</v>
      </c>
      <c r="T233" s="604"/>
      <c r="U233" s="642">
        <f t="shared" si="53"/>
        <v>43881306.287500001</v>
      </c>
      <c r="V233" s="679"/>
      <c r="W233" s="679"/>
      <c r="X233" s="702"/>
      <c r="Y233" s="679"/>
      <c r="Z233" s="679"/>
      <c r="AA233" s="642"/>
      <c r="AB233" s="679"/>
      <c r="AC233" s="643"/>
      <c r="AD233" s="644">
        <f t="shared" si="54"/>
        <v>43881306.287500001</v>
      </c>
      <c r="AE233" s="643"/>
      <c r="AF233" s="677">
        <f t="shared" si="50"/>
        <v>0</v>
      </c>
    </row>
    <row r="234" spans="1:32">
      <c r="A234" s="604">
        <v>220</v>
      </c>
      <c r="B234" s="316" t="s">
        <v>959</v>
      </c>
      <c r="C234" s="316" t="s">
        <v>485</v>
      </c>
      <c r="D234" s="316" t="s">
        <v>1141</v>
      </c>
      <c r="E234" s="602" t="s">
        <v>1395</v>
      </c>
      <c r="F234" s="603">
        <v>974030</v>
      </c>
      <c r="G234" s="603">
        <v>974030</v>
      </c>
      <c r="H234" s="603">
        <v>974030</v>
      </c>
      <c r="I234" s="603">
        <v>974030</v>
      </c>
      <c r="J234" s="603">
        <v>974030</v>
      </c>
      <c r="K234" s="603">
        <v>1088889</v>
      </c>
      <c r="L234" s="603">
        <v>1088889</v>
      </c>
      <c r="M234" s="603">
        <v>1088889</v>
      </c>
      <c r="N234" s="603">
        <v>1088889</v>
      </c>
      <c r="O234" s="603">
        <v>1088889</v>
      </c>
      <c r="P234" s="603">
        <v>1088889</v>
      </c>
      <c r="Q234" s="603">
        <v>1088889</v>
      </c>
      <c r="R234" s="603">
        <v>1045610</v>
      </c>
      <c r="S234" s="484">
        <f t="shared" si="52"/>
        <v>1044013.5833333334</v>
      </c>
      <c r="T234" s="604"/>
      <c r="U234" s="642">
        <f t="shared" si="53"/>
        <v>1044013.5833333334</v>
      </c>
      <c r="V234" s="679"/>
      <c r="W234" s="679"/>
      <c r="X234" s="702"/>
      <c r="Y234" s="679"/>
      <c r="Z234" s="679"/>
      <c r="AA234" s="642"/>
      <c r="AB234" s="679"/>
      <c r="AC234" s="643"/>
      <c r="AD234" s="644">
        <f t="shared" si="54"/>
        <v>1044013.5833333334</v>
      </c>
      <c r="AE234" s="643"/>
      <c r="AF234" s="677">
        <f t="shared" si="50"/>
        <v>0</v>
      </c>
    </row>
    <row r="235" spans="1:32">
      <c r="A235" s="604">
        <v>221</v>
      </c>
      <c r="B235" s="316" t="s">
        <v>984</v>
      </c>
      <c r="C235" s="316" t="s">
        <v>485</v>
      </c>
      <c r="D235" s="316" t="s">
        <v>1385</v>
      </c>
      <c r="E235" s="602" t="s">
        <v>1547</v>
      </c>
      <c r="F235" s="603">
        <v>572922.88</v>
      </c>
      <c r="G235" s="603">
        <v>576467.22</v>
      </c>
      <c r="H235" s="603">
        <v>579688.36</v>
      </c>
      <c r="I235" s="603">
        <v>583274.55000000005</v>
      </c>
      <c r="J235" s="603">
        <v>-1.16415321826935E-10</v>
      </c>
      <c r="K235" s="603">
        <v>-1.16415321826935E-10</v>
      </c>
      <c r="L235" s="603">
        <v>-1.16415321826935E-10</v>
      </c>
      <c r="M235" s="603">
        <v>-1.16415321826935E-10</v>
      </c>
      <c r="N235" s="603">
        <v>-1.16415321826935E-10</v>
      </c>
      <c r="O235" s="603">
        <v>-1.16415321826935E-10</v>
      </c>
      <c r="P235" s="603">
        <v>-1.16415321826935E-10</v>
      </c>
      <c r="Q235" s="603">
        <v>-1.16415321826935E-10</v>
      </c>
      <c r="R235" s="603">
        <v>-1.16415321826935E-10</v>
      </c>
      <c r="S235" s="484">
        <f t="shared" si="52"/>
        <v>168824.29749999999</v>
      </c>
      <c r="T235" s="604"/>
      <c r="U235" s="642">
        <f t="shared" si="53"/>
        <v>168824.29749999999</v>
      </c>
      <c r="V235" s="679"/>
      <c r="W235" s="679"/>
      <c r="X235" s="702"/>
      <c r="Y235" s="679"/>
      <c r="Z235" s="679"/>
      <c r="AA235" s="642"/>
      <c r="AB235" s="679"/>
      <c r="AC235" s="643"/>
      <c r="AD235" s="644">
        <f t="shared" si="54"/>
        <v>168824.29749999999</v>
      </c>
      <c r="AE235" s="643"/>
      <c r="AF235" s="677">
        <f t="shared" si="50"/>
        <v>0</v>
      </c>
    </row>
    <row r="236" spans="1:32">
      <c r="A236" s="604">
        <v>222</v>
      </c>
      <c r="B236" s="316" t="s">
        <v>959</v>
      </c>
      <c r="C236" s="316" t="s">
        <v>485</v>
      </c>
      <c r="D236" s="522" t="s">
        <v>1386</v>
      </c>
      <c r="E236" s="602" t="s">
        <v>1548</v>
      </c>
      <c r="F236" s="603">
        <v>384645.37</v>
      </c>
      <c r="G236" s="603">
        <v>398905.59999999998</v>
      </c>
      <c r="H236" s="603">
        <v>463777.73</v>
      </c>
      <c r="I236" s="603">
        <v>482988.6</v>
      </c>
      <c r="J236" s="603">
        <v>634060.62</v>
      </c>
      <c r="K236" s="603">
        <v>663797.04</v>
      </c>
      <c r="L236" s="603">
        <v>811772.32</v>
      </c>
      <c r="M236" s="603">
        <v>1016915.43</v>
      </c>
      <c r="N236" s="603">
        <v>1039975.18</v>
      </c>
      <c r="O236" s="603">
        <v>1158662.44</v>
      </c>
      <c r="P236" s="603">
        <v>1330946.1000000001</v>
      </c>
      <c r="Q236" s="603">
        <v>308493.81</v>
      </c>
      <c r="R236" s="603">
        <v>373342.4</v>
      </c>
      <c r="S236" s="484">
        <f t="shared" si="52"/>
        <v>724107.39624999987</v>
      </c>
      <c r="T236" s="604"/>
      <c r="U236" s="642"/>
      <c r="V236" s="679"/>
      <c r="W236" s="679"/>
      <c r="X236" s="702">
        <f>+S236</f>
        <v>724107.39624999987</v>
      </c>
      <c r="Y236" s="679"/>
      <c r="Z236" s="679"/>
      <c r="AA236" s="642"/>
      <c r="AB236" s="679">
        <f>+X236</f>
        <v>724107.39624999987</v>
      </c>
      <c r="AC236" s="643"/>
      <c r="AD236" s="644">
        <f t="shared" si="54"/>
        <v>0</v>
      </c>
      <c r="AE236" s="643"/>
      <c r="AF236" s="677">
        <f t="shared" si="50"/>
        <v>0</v>
      </c>
    </row>
    <row r="237" spans="1:32">
      <c r="A237" s="604">
        <v>223</v>
      </c>
      <c r="B237" s="316" t="s">
        <v>959</v>
      </c>
      <c r="C237" s="316" t="s">
        <v>485</v>
      </c>
      <c r="D237" s="316" t="s">
        <v>1387</v>
      </c>
      <c r="E237" s="602" t="s">
        <v>1549</v>
      </c>
      <c r="F237" s="603">
        <v>99041.79</v>
      </c>
      <c r="G237" s="603">
        <v>112300.24</v>
      </c>
      <c r="H237" s="603">
        <v>134456.17000000001</v>
      </c>
      <c r="I237" s="603">
        <v>210911.94</v>
      </c>
      <c r="J237" s="603">
        <v>221856.71</v>
      </c>
      <c r="K237" s="603">
        <v>329775.45</v>
      </c>
      <c r="L237" s="603">
        <v>459112.21</v>
      </c>
      <c r="M237" s="603">
        <v>508145.7</v>
      </c>
      <c r="N237" s="603">
        <v>642776.54</v>
      </c>
      <c r="O237" s="603">
        <v>693067.49</v>
      </c>
      <c r="P237" s="603">
        <v>696257.88</v>
      </c>
      <c r="Q237" s="603">
        <v>181876.62</v>
      </c>
      <c r="R237" s="603">
        <v>466661.34</v>
      </c>
      <c r="S237" s="484">
        <f t="shared" si="52"/>
        <v>372782.37625000003</v>
      </c>
      <c r="T237" s="604"/>
      <c r="U237" s="642"/>
      <c r="V237" s="679"/>
      <c r="W237" s="679"/>
      <c r="X237" s="702">
        <f>+S237</f>
        <v>372782.37625000003</v>
      </c>
      <c r="Y237" s="679"/>
      <c r="Z237" s="679"/>
      <c r="AA237" s="642"/>
      <c r="AB237" s="679">
        <f>+X237</f>
        <v>372782.37625000003</v>
      </c>
      <c r="AC237" s="643"/>
      <c r="AD237" s="644">
        <f t="shared" si="54"/>
        <v>0</v>
      </c>
      <c r="AE237" s="643"/>
      <c r="AF237" s="677">
        <f t="shared" si="50"/>
        <v>0</v>
      </c>
    </row>
    <row r="238" spans="1:32">
      <c r="A238" s="604">
        <v>224</v>
      </c>
      <c r="B238" s="316" t="s">
        <v>959</v>
      </c>
      <c r="C238" s="316" t="s">
        <v>485</v>
      </c>
      <c r="D238" s="316" t="s">
        <v>1388</v>
      </c>
      <c r="E238" s="602" t="s">
        <v>1550</v>
      </c>
      <c r="F238" s="603">
        <v>951817.28999999899</v>
      </c>
      <c r="G238" s="603">
        <v>1077157.79</v>
      </c>
      <c r="H238" s="603">
        <v>1145627.6499999999</v>
      </c>
      <c r="I238" s="603">
        <v>1494681.19</v>
      </c>
      <c r="J238" s="603">
        <v>1643073.24</v>
      </c>
      <c r="K238" s="603">
        <v>1814291.2</v>
      </c>
      <c r="L238" s="603">
        <v>2092603.55</v>
      </c>
      <c r="M238" s="603">
        <v>2322449.9300000002</v>
      </c>
      <c r="N238" s="603">
        <v>2565013.1800000002</v>
      </c>
      <c r="O238" s="603">
        <v>2777890.12</v>
      </c>
      <c r="P238" s="603">
        <v>3022671.22</v>
      </c>
      <c r="Q238" s="603">
        <v>771831.92</v>
      </c>
      <c r="R238" s="603">
        <v>845715.52</v>
      </c>
      <c r="S238" s="484">
        <f t="shared" si="52"/>
        <v>1802171.4495833337</v>
      </c>
      <c r="T238" s="604"/>
      <c r="U238" s="642"/>
      <c r="V238" s="679"/>
      <c r="W238" s="679"/>
      <c r="X238" s="702">
        <f>+S238</f>
        <v>1802171.4495833337</v>
      </c>
      <c r="Y238" s="679"/>
      <c r="Z238" s="679"/>
      <c r="AA238" s="642"/>
      <c r="AB238" s="679">
        <f>+X238</f>
        <v>1802171.4495833337</v>
      </c>
      <c r="AC238" s="643"/>
      <c r="AD238" s="644">
        <f t="shared" si="54"/>
        <v>0</v>
      </c>
      <c r="AE238" s="643"/>
      <c r="AF238" s="677">
        <f t="shared" si="50"/>
        <v>0</v>
      </c>
    </row>
    <row r="239" spans="1:32">
      <c r="A239" s="604">
        <v>225</v>
      </c>
      <c r="B239" s="316" t="s">
        <v>959</v>
      </c>
      <c r="C239" s="316" t="s">
        <v>485</v>
      </c>
      <c r="D239" s="316" t="s">
        <v>1389</v>
      </c>
      <c r="E239" s="602" t="s">
        <v>1551</v>
      </c>
      <c r="F239" s="603">
        <v>1070638.9099999999</v>
      </c>
      <c r="G239" s="603">
        <v>1310660.6299999999</v>
      </c>
      <c r="H239" s="603">
        <v>1504518.3</v>
      </c>
      <c r="I239" s="603">
        <v>1654035.36</v>
      </c>
      <c r="J239" s="603">
        <v>1921879.42</v>
      </c>
      <c r="K239" s="603">
        <v>2116697.35</v>
      </c>
      <c r="L239" s="603">
        <v>2299189.14</v>
      </c>
      <c r="M239" s="603">
        <v>2487571.69</v>
      </c>
      <c r="N239" s="603">
        <v>2649592.5699999998</v>
      </c>
      <c r="O239" s="603">
        <v>2853663.91</v>
      </c>
      <c r="P239" s="603">
        <v>3048675.85</v>
      </c>
      <c r="Q239" s="603">
        <v>688050.37999999896</v>
      </c>
      <c r="R239" s="603">
        <v>881590.07999999903</v>
      </c>
      <c r="S239" s="484">
        <f t="shared" si="52"/>
        <v>1959220.7579166668</v>
      </c>
      <c r="T239" s="604"/>
      <c r="U239" s="642"/>
      <c r="V239" s="679"/>
      <c r="W239" s="679"/>
      <c r="X239" s="702">
        <f>+S239</f>
        <v>1959220.7579166668</v>
      </c>
      <c r="Y239" s="679"/>
      <c r="Z239" s="679"/>
      <c r="AA239" s="642"/>
      <c r="AB239" s="679">
        <f>+X239</f>
        <v>1959220.7579166668</v>
      </c>
      <c r="AC239" s="643"/>
      <c r="AD239" s="644">
        <f t="shared" si="54"/>
        <v>0</v>
      </c>
      <c r="AE239" s="643"/>
      <c r="AF239" s="677">
        <f t="shared" si="50"/>
        <v>0</v>
      </c>
    </row>
    <row r="240" spans="1:32">
      <c r="A240" s="604">
        <v>226</v>
      </c>
      <c r="B240" s="316" t="s">
        <v>959</v>
      </c>
      <c r="C240" s="316" t="s">
        <v>485</v>
      </c>
      <c r="D240" s="316" t="s">
        <v>1390</v>
      </c>
      <c r="E240" s="602" t="s">
        <v>1552</v>
      </c>
      <c r="F240" s="603">
        <v>4501119.47</v>
      </c>
      <c r="G240" s="603">
        <v>3572421.16</v>
      </c>
      <c r="H240" s="603">
        <v>2414771.15</v>
      </c>
      <c r="I240" s="603">
        <v>1575978.36</v>
      </c>
      <c r="J240" s="603">
        <v>1187010.43</v>
      </c>
      <c r="K240" s="603">
        <v>922138.33999999904</v>
      </c>
      <c r="L240" s="603">
        <v>736168.53999999899</v>
      </c>
      <c r="M240" s="603">
        <v>539248.86999999895</v>
      </c>
      <c r="N240" s="603">
        <v>407988.96999999898</v>
      </c>
      <c r="O240" s="603">
        <v>143363.459999999</v>
      </c>
      <c r="P240" s="603">
        <v>-469857.61000000098</v>
      </c>
      <c r="Q240" s="603">
        <v>5169450.3499999996</v>
      </c>
      <c r="R240" s="603">
        <v>4238140.62</v>
      </c>
      <c r="S240" s="484">
        <f t="shared" si="52"/>
        <v>1714026.0054166664</v>
      </c>
      <c r="T240" s="604"/>
      <c r="U240" s="642"/>
      <c r="V240" s="679"/>
      <c r="W240" s="679"/>
      <c r="X240" s="702">
        <f>+S240</f>
        <v>1714026.0054166664</v>
      </c>
      <c r="Y240" s="679"/>
      <c r="Z240" s="679"/>
      <c r="AA240" s="642"/>
      <c r="AB240" s="679">
        <f>+X240</f>
        <v>1714026.0054166664</v>
      </c>
      <c r="AC240" s="643"/>
      <c r="AD240" s="644">
        <f t="shared" si="54"/>
        <v>0</v>
      </c>
      <c r="AE240" s="643"/>
      <c r="AF240" s="677">
        <f t="shared" si="50"/>
        <v>0</v>
      </c>
    </row>
    <row r="241" spans="1:32">
      <c r="A241" s="604">
        <v>227</v>
      </c>
      <c r="B241" s="316" t="s">
        <v>959</v>
      </c>
      <c r="C241" s="316" t="s">
        <v>485</v>
      </c>
      <c r="D241" s="316" t="s">
        <v>1866</v>
      </c>
      <c r="E241" s="602" t="s">
        <v>1867</v>
      </c>
      <c r="F241" s="603">
        <v>0</v>
      </c>
      <c r="G241" s="603">
        <v>0</v>
      </c>
      <c r="H241" s="603">
        <v>0</v>
      </c>
      <c r="I241" s="603">
        <v>0</v>
      </c>
      <c r="J241" s="603">
        <v>0</v>
      </c>
      <c r="K241" s="603">
        <v>-114859</v>
      </c>
      <c r="L241" s="603">
        <v>-114859</v>
      </c>
      <c r="M241" s="603">
        <v>-114859</v>
      </c>
      <c r="N241" s="603">
        <v>-114859</v>
      </c>
      <c r="O241" s="603">
        <v>-114859</v>
      </c>
      <c r="P241" s="603">
        <v>-114859</v>
      </c>
      <c r="Q241" s="603">
        <v>-114859</v>
      </c>
      <c r="R241" s="603">
        <v>-197919</v>
      </c>
      <c r="S241" s="484">
        <f t="shared" si="52"/>
        <v>-75247.708333333328</v>
      </c>
      <c r="T241" s="604"/>
      <c r="U241" s="642">
        <f>+S241</f>
        <v>-75247.708333333328</v>
      </c>
      <c r="V241" s="679"/>
      <c r="W241" s="679"/>
      <c r="X241" s="702"/>
      <c r="Y241" s="679"/>
      <c r="Z241" s="679"/>
      <c r="AA241" s="642"/>
      <c r="AB241" s="679"/>
      <c r="AC241" s="643"/>
      <c r="AD241" s="644">
        <f>+S241</f>
        <v>-75247.708333333328</v>
      </c>
      <c r="AE241" s="643"/>
      <c r="AF241" s="677"/>
    </row>
    <row r="242" spans="1:32">
      <c r="A242" s="604">
        <v>228</v>
      </c>
      <c r="B242" s="316" t="s">
        <v>959</v>
      </c>
      <c r="C242" s="316" t="s">
        <v>485</v>
      </c>
      <c r="D242" s="316" t="s">
        <v>1868</v>
      </c>
      <c r="E242" s="602" t="s">
        <v>1869</v>
      </c>
      <c r="F242" s="603">
        <v>0</v>
      </c>
      <c r="G242" s="603">
        <v>0</v>
      </c>
      <c r="H242" s="603">
        <v>0</v>
      </c>
      <c r="I242" s="603">
        <v>0</v>
      </c>
      <c r="J242" s="603">
        <v>0</v>
      </c>
      <c r="K242" s="603">
        <v>5782287.0999999996</v>
      </c>
      <c r="L242" s="603">
        <v>5782287.0999999996</v>
      </c>
      <c r="M242" s="603">
        <v>5782287.0999999996</v>
      </c>
      <c r="N242" s="603">
        <v>5782287.0999999996</v>
      </c>
      <c r="O242" s="603">
        <v>5782287.0999999996</v>
      </c>
      <c r="P242" s="603">
        <v>5782287.0999999996</v>
      </c>
      <c r="Q242" s="603">
        <v>3075307.1</v>
      </c>
      <c r="R242" s="603">
        <v>1644093</v>
      </c>
      <c r="S242" s="484">
        <f t="shared" si="52"/>
        <v>3215923.0166666671</v>
      </c>
      <c r="T242" s="604"/>
      <c r="U242" s="642">
        <f>+S242</f>
        <v>3215923.0166666671</v>
      </c>
      <c r="V242" s="679"/>
      <c r="W242" s="679"/>
      <c r="X242" s="702"/>
      <c r="Y242" s="679"/>
      <c r="Z242" s="679"/>
      <c r="AA242" s="642"/>
      <c r="AB242" s="679"/>
      <c r="AC242" s="643"/>
      <c r="AD242" s="644">
        <f>+S242</f>
        <v>3215923.0166666671</v>
      </c>
      <c r="AE242" s="643"/>
      <c r="AF242" s="677"/>
    </row>
    <row r="243" spans="1:32">
      <c r="A243" s="604">
        <v>229</v>
      </c>
      <c r="B243" s="316" t="s">
        <v>956</v>
      </c>
      <c r="C243" s="316" t="s">
        <v>486</v>
      </c>
      <c r="D243" s="316" t="s">
        <v>1142</v>
      </c>
      <c r="E243" s="602" t="s">
        <v>1553</v>
      </c>
      <c r="F243" s="603">
        <v>2.91038304567337E-11</v>
      </c>
      <c r="G243" s="603">
        <v>139109.38</v>
      </c>
      <c r="H243" s="603">
        <v>155252.45000000001</v>
      </c>
      <c r="I243" s="603">
        <v>142839.38</v>
      </c>
      <c r="J243" s="603">
        <v>134737.65</v>
      </c>
      <c r="K243" s="603">
        <v>109902.87</v>
      </c>
      <c r="L243" s="603">
        <v>160900</v>
      </c>
      <c r="M243" s="603">
        <v>97344.49</v>
      </c>
      <c r="N243" s="603">
        <v>32966.9</v>
      </c>
      <c r="O243" s="603">
        <v>0</v>
      </c>
      <c r="P243" s="603">
        <v>0</v>
      </c>
      <c r="Q243" s="603">
        <v>0</v>
      </c>
      <c r="R243" s="603">
        <v>0</v>
      </c>
      <c r="S243" s="484">
        <f t="shared" si="52"/>
        <v>81087.759999999995</v>
      </c>
      <c r="T243" s="604"/>
      <c r="U243" s="642">
        <f t="shared" si="53"/>
        <v>81087.759999999995</v>
      </c>
      <c r="V243" s="679"/>
      <c r="W243" s="679"/>
      <c r="X243" s="702"/>
      <c r="Y243" s="679"/>
      <c r="Z243" s="679"/>
      <c r="AA243" s="642"/>
      <c r="AB243" s="679"/>
      <c r="AC243" s="643"/>
      <c r="AD243" s="644">
        <f t="shared" si="54"/>
        <v>81087.759999999995</v>
      </c>
      <c r="AE243" s="643"/>
      <c r="AF243" s="677">
        <f t="shared" si="50"/>
        <v>0</v>
      </c>
    </row>
    <row r="244" spans="1:32">
      <c r="A244" s="604">
        <v>230</v>
      </c>
      <c r="B244" s="316" t="s">
        <v>956</v>
      </c>
      <c r="C244" s="316" t="s">
        <v>486</v>
      </c>
      <c r="D244" s="522" t="s">
        <v>1143</v>
      </c>
      <c r="E244" s="602" t="s">
        <v>1554</v>
      </c>
      <c r="F244" s="603">
        <v>0</v>
      </c>
      <c r="G244" s="603">
        <v>0</v>
      </c>
      <c r="H244" s="603">
        <v>0</v>
      </c>
      <c r="I244" s="603">
        <v>0</v>
      </c>
      <c r="J244" s="603">
        <v>0</v>
      </c>
      <c r="K244" s="603">
        <v>0</v>
      </c>
      <c r="L244" s="603">
        <v>0</v>
      </c>
      <c r="M244" s="603">
        <v>0</v>
      </c>
      <c r="N244" s="603">
        <v>0</v>
      </c>
      <c r="O244" s="603">
        <v>0</v>
      </c>
      <c r="P244" s="603">
        <v>0</v>
      </c>
      <c r="Q244" s="603">
        <v>0</v>
      </c>
      <c r="R244" s="603">
        <v>0</v>
      </c>
      <c r="S244" s="484">
        <f t="shared" si="52"/>
        <v>0</v>
      </c>
      <c r="T244" s="604"/>
      <c r="U244" s="642">
        <f t="shared" si="53"/>
        <v>0</v>
      </c>
      <c r="V244" s="679"/>
      <c r="W244" s="679"/>
      <c r="X244" s="702"/>
      <c r="Y244" s="679"/>
      <c r="Z244" s="679"/>
      <c r="AA244" s="642"/>
      <c r="AB244" s="679"/>
      <c r="AC244" s="643"/>
      <c r="AD244" s="644">
        <f t="shared" si="54"/>
        <v>0</v>
      </c>
      <c r="AE244" s="643"/>
      <c r="AF244" s="677">
        <f t="shared" si="50"/>
        <v>0</v>
      </c>
    </row>
    <row r="245" spans="1:32">
      <c r="A245" s="604">
        <v>231</v>
      </c>
      <c r="B245" s="316" t="s">
        <v>956</v>
      </c>
      <c r="C245" s="316" t="s">
        <v>486</v>
      </c>
      <c r="D245" s="316" t="s">
        <v>1144</v>
      </c>
      <c r="E245" s="602" t="s">
        <v>1555</v>
      </c>
      <c r="F245" s="603">
        <v>0</v>
      </c>
      <c r="G245" s="603">
        <v>0</v>
      </c>
      <c r="H245" s="603">
        <v>0</v>
      </c>
      <c r="I245" s="603">
        <v>0</v>
      </c>
      <c r="J245" s="603">
        <v>0</v>
      </c>
      <c r="K245" s="603">
        <v>0</v>
      </c>
      <c r="L245" s="603">
        <v>0</v>
      </c>
      <c r="M245" s="603">
        <v>0</v>
      </c>
      <c r="N245" s="603">
        <v>0</v>
      </c>
      <c r="O245" s="603">
        <v>0</v>
      </c>
      <c r="P245" s="603">
        <v>0</v>
      </c>
      <c r="Q245" s="603">
        <v>0</v>
      </c>
      <c r="R245" s="603">
        <v>0</v>
      </c>
      <c r="S245" s="484">
        <f t="shared" si="52"/>
        <v>0</v>
      </c>
      <c r="T245" s="604"/>
      <c r="U245" s="642">
        <f t="shared" si="53"/>
        <v>0</v>
      </c>
      <c r="V245" s="679"/>
      <c r="W245" s="679"/>
      <c r="X245" s="702"/>
      <c r="Y245" s="679"/>
      <c r="Z245" s="679"/>
      <c r="AA245" s="642"/>
      <c r="AB245" s="679"/>
      <c r="AC245" s="643"/>
      <c r="AD245" s="644">
        <f t="shared" si="54"/>
        <v>0</v>
      </c>
      <c r="AE245" s="643"/>
      <c r="AF245" s="677">
        <f t="shared" si="50"/>
        <v>0</v>
      </c>
    </row>
    <row r="246" spans="1:32">
      <c r="A246" s="604">
        <v>232</v>
      </c>
      <c r="B246" s="316" t="s">
        <v>956</v>
      </c>
      <c r="C246" s="316" t="s">
        <v>486</v>
      </c>
      <c r="D246" s="316" t="s">
        <v>1145</v>
      </c>
      <c r="E246" s="602" t="s">
        <v>1556</v>
      </c>
      <c r="F246" s="603">
        <v>4.5474735088646402E-13</v>
      </c>
      <c r="G246" s="603">
        <v>-639.22</v>
      </c>
      <c r="H246" s="603">
        <v>854.74</v>
      </c>
      <c r="I246" s="603">
        <v>-2090.0500000000002</v>
      </c>
      <c r="J246" s="603">
        <v>-994.41</v>
      </c>
      <c r="K246" s="603">
        <v>-732.48</v>
      </c>
      <c r="L246" s="603">
        <v>1032.76</v>
      </c>
      <c r="M246" s="603">
        <v>690.6</v>
      </c>
      <c r="N246" s="603">
        <v>-2900.56</v>
      </c>
      <c r="O246" s="603">
        <v>0</v>
      </c>
      <c r="P246" s="603">
        <v>0</v>
      </c>
      <c r="Q246" s="603">
        <v>0</v>
      </c>
      <c r="R246" s="603">
        <v>0</v>
      </c>
      <c r="S246" s="484">
        <f t="shared" si="52"/>
        <v>-398.21833333333331</v>
      </c>
      <c r="T246" s="604"/>
      <c r="U246" s="642">
        <f t="shared" si="53"/>
        <v>-398.21833333333331</v>
      </c>
      <c r="V246" s="679"/>
      <c r="W246" s="679"/>
      <c r="X246" s="702"/>
      <c r="Y246" s="679"/>
      <c r="Z246" s="679"/>
      <c r="AA246" s="642"/>
      <c r="AB246" s="679"/>
      <c r="AC246" s="643"/>
      <c r="AD246" s="644">
        <f t="shared" si="54"/>
        <v>-398.21833333333331</v>
      </c>
      <c r="AE246" s="643"/>
      <c r="AF246" s="677">
        <f t="shared" si="50"/>
        <v>0</v>
      </c>
    </row>
    <row r="247" spans="1:32">
      <c r="A247" s="604">
        <v>233</v>
      </c>
      <c r="B247" s="316" t="s">
        <v>956</v>
      </c>
      <c r="C247" s="316" t="s">
        <v>486</v>
      </c>
      <c r="D247" s="316" t="s">
        <v>1146</v>
      </c>
      <c r="E247" s="602" t="s">
        <v>1557</v>
      </c>
      <c r="F247" s="603">
        <v>0</v>
      </c>
      <c r="G247" s="603">
        <v>0</v>
      </c>
      <c r="H247" s="603">
        <v>0</v>
      </c>
      <c r="I247" s="603">
        <v>0</v>
      </c>
      <c r="J247" s="603">
        <v>0</v>
      </c>
      <c r="K247" s="603">
        <v>0</v>
      </c>
      <c r="L247" s="603">
        <v>0</v>
      </c>
      <c r="M247" s="603">
        <v>0</v>
      </c>
      <c r="N247" s="603">
        <v>0</v>
      </c>
      <c r="O247" s="603">
        <v>0</v>
      </c>
      <c r="P247" s="603">
        <v>0</v>
      </c>
      <c r="Q247" s="603">
        <v>0</v>
      </c>
      <c r="R247" s="603">
        <v>0</v>
      </c>
      <c r="S247" s="484">
        <f t="shared" si="52"/>
        <v>0</v>
      </c>
      <c r="T247" s="604"/>
      <c r="U247" s="642">
        <f t="shared" si="53"/>
        <v>0</v>
      </c>
      <c r="V247" s="679"/>
      <c r="W247" s="679"/>
      <c r="X247" s="702"/>
      <c r="Y247" s="679"/>
      <c r="Z247" s="679"/>
      <c r="AA247" s="642"/>
      <c r="AB247" s="679"/>
      <c r="AC247" s="643"/>
      <c r="AD247" s="644">
        <f t="shared" si="54"/>
        <v>0</v>
      </c>
      <c r="AE247" s="643"/>
      <c r="AF247" s="677">
        <f t="shared" si="50"/>
        <v>0</v>
      </c>
    </row>
    <row r="248" spans="1:32">
      <c r="A248" s="604">
        <v>234</v>
      </c>
      <c r="B248" s="316" t="s">
        <v>956</v>
      </c>
      <c r="C248" s="316" t="s">
        <v>486</v>
      </c>
      <c r="D248" s="316" t="s">
        <v>1147</v>
      </c>
      <c r="E248" s="602" t="s">
        <v>1558</v>
      </c>
      <c r="F248" s="603">
        <v>0</v>
      </c>
      <c r="G248" s="603">
        <v>0</v>
      </c>
      <c r="H248" s="603">
        <v>0</v>
      </c>
      <c r="I248" s="603">
        <v>0</v>
      </c>
      <c r="J248" s="603">
        <v>0</v>
      </c>
      <c r="K248" s="603">
        <v>0</v>
      </c>
      <c r="L248" s="603">
        <v>0</v>
      </c>
      <c r="M248" s="603">
        <v>0</v>
      </c>
      <c r="N248" s="603">
        <v>0</v>
      </c>
      <c r="O248" s="603">
        <v>0</v>
      </c>
      <c r="P248" s="603">
        <v>0</v>
      </c>
      <c r="Q248" s="603">
        <v>0</v>
      </c>
      <c r="R248" s="603">
        <v>0</v>
      </c>
      <c r="S248" s="484">
        <f t="shared" si="52"/>
        <v>0</v>
      </c>
      <c r="T248" s="604"/>
      <c r="U248" s="642">
        <f t="shared" si="53"/>
        <v>0</v>
      </c>
      <c r="V248" s="679"/>
      <c r="W248" s="679"/>
      <c r="X248" s="702"/>
      <c r="Y248" s="679"/>
      <c r="Z248" s="679"/>
      <c r="AA248" s="642"/>
      <c r="AB248" s="679"/>
      <c r="AC248" s="643"/>
      <c r="AD248" s="644">
        <f t="shared" si="54"/>
        <v>0</v>
      </c>
      <c r="AE248" s="643"/>
      <c r="AF248" s="677">
        <f t="shared" si="50"/>
        <v>0</v>
      </c>
    </row>
    <row r="249" spans="1:32">
      <c r="A249" s="604">
        <v>235</v>
      </c>
      <c r="B249" s="316" t="s">
        <v>956</v>
      </c>
      <c r="C249" s="316" t="s">
        <v>486</v>
      </c>
      <c r="D249" s="316" t="s">
        <v>1148</v>
      </c>
      <c r="E249" s="602" t="s">
        <v>1559</v>
      </c>
      <c r="F249" s="603">
        <v>4.5474735088646402E-13</v>
      </c>
      <c r="G249" s="603">
        <v>426.58</v>
      </c>
      <c r="H249" s="603">
        <v>796.45</v>
      </c>
      <c r="I249" s="603">
        <v>-5598.04</v>
      </c>
      <c r="J249" s="603">
        <v>-599.69000000000005</v>
      </c>
      <c r="K249" s="603">
        <v>-212.59</v>
      </c>
      <c r="L249" s="603">
        <v>134.88</v>
      </c>
      <c r="M249" s="603">
        <v>413.89</v>
      </c>
      <c r="N249" s="603">
        <v>-1340.75</v>
      </c>
      <c r="O249" s="603">
        <v>0</v>
      </c>
      <c r="P249" s="603">
        <v>0</v>
      </c>
      <c r="Q249" s="603">
        <v>0</v>
      </c>
      <c r="R249" s="603">
        <v>0</v>
      </c>
      <c r="S249" s="484">
        <f t="shared" si="52"/>
        <v>-498.27250000000004</v>
      </c>
      <c r="T249" s="604"/>
      <c r="U249" s="642">
        <f t="shared" si="53"/>
        <v>-498.27250000000004</v>
      </c>
      <c r="V249" s="679"/>
      <c r="W249" s="679"/>
      <c r="X249" s="702"/>
      <c r="Y249" s="679"/>
      <c r="Z249" s="679"/>
      <c r="AA249" s="642"/>
      <c r="AB249" s="679"/>
      <c r="AC249" s="643"/>
      <c r="AD249" s="644">
        <f t="shared" si="54"/>
        <v>-498.27250000000004</v>
      </c>
      <c r="AE249" s="643"/>
      <c r="AF249" s="677">
        <f t="shared" si="50"/>
        <v>0</v>
      </c>
    </row>
    <row r="250" spans="1:32">
      <c r="A250" s="604">
        <v>236</v>
      </c>
      <c r="B250" s="316" t="s">
        <v>956</v>
      </c>
      <c r="C250" s="316" t="s">
        <v>486</v>
      </c>
      <c r="D250" s="316" t="s">
        <v>392</v>
      </c>
      <c r="E250" s="602" t="s">
        <v>1560</v>
      </c>
      <c r="F250" s="603">
        <v>0</v>
      </c>
      <c r="G250" s="603">
        <v>0</v>
      </c>
      <c r="H250" s="603">
        <v>0</v>
      </c>
      <c r="I250" s="603">
        <v>0</v>
      </c>
      <c r="J250" s="603">
        <v>0</v>
      </c>
      <c r="K250" s="603">
        <v>0</v>
      </c>
      <c r="L250" s="603">
        <v>0</v>
      </c>
      <c r="M250" s="603">
        <v>0</v>
      </c>
      <c r="N250" s="603">
        <v>0</v>
      </c>
      <c r="O250" s="603">
        <v>0</v>
      </c>
      <c r="P250" s="603">
        <v>0</v>
      </c>
      <c r="Q250" s="603">
        <v>0</v>
      </c>
      <c r="R250" s="603">
        <v>0</v>
      </c>
      <c r="S250" s="484">
        <f t="shared" si="52"/>
        <v>0</v>
      </c>
      <c r="T250" s="604"/>
      <c r="U250" s="642">
        <f t="shared" si="53"/>
        <v>0</v>
      </c>
      <c r="V250" s="679"/>
      <c r="W250" s="679"/>
      <c r="X250" s="702"/>
      <c r="Y250" s="679"/>
      <c r="Z250" s="679"/>
      <c r="AA250" s="642"/>
      <c r="AB250" s="679"/>
      <c r="AC250" s="643"/>
      <c r="AD250" s="644">
        <f t="shared" si="54"/>
        <v>0</v>
      </c>
      <c r="AE250" s="643"/>
      <c r="AF250" s="677">
        <f t="shared" si="50"/>
        <v>0</v>
      </c>
    </row>
    <row r="251" spans="1:32">
      <c r="A251" s="604">
        <v>237</v>
      </c>
      <c r="B251" s="316" t="s">
        <v>956</v>
      </c>
      <c r="C251" s="316" t="s">
        <v>486</v>
      </c>
      <c r="D251" s="316" t="s">
        <v>1149</v>
      </c>
      <c r="E251" s="602" t="s">
        <v>1561</v>
      </c>
      <c r="F251" s="603">
        <v>0</v>
      </c>
      <c r="G251" s="603">
        <v>0</v>
      </c>
      <c r="H251" s="603">
        <v>0</v>
      </c>
      <c r="I251" s="603">
        <v>0</v>
      </c>
      <c r="J251" s="603">
        <v>0</v>
      </c>
      <c r="K251" s="603">
        <v>0</v>
      </c>
      <c r="L251" s="603">
        <v>0</v>
      </c>
      <c r="M251" s="603">
        <v>0</v>
      </c>
      <c r="N251" s="603">
        <v>0</v>
      </c>
      <c r="O251" s="603">
        <v>0</v>
      </c>
      <c r="P251" s="603">
        <v>0</v>
      </c>
      <c r="Q251" s="603">
        <v>0</v>
      </c>
      <c r="R251" s="603">
        <v>0</v>
      </c>
      <c r="S251" s="484">
        <f t="shared" si="52"/>
        <v>0</v>
      </c>
      <c r="T251" s="604"/>
      <c r="U251" s="642">
        <f t="shared" si="53"/>
        <v>0</v>
      </c>
      <c r="V251" s="679"/>
      <c r="W251" s="679"/>
      <c r="X251" s="702"/>
      <c r="Y251" s="679"/>
      <c r="Z251" s="679"/>
      <c r="AA251" s="642"/>
      <c r="AB251" s="679"/>
      <c r="AC251" s="643"/>
      <c r="AD251" s="644">
        <f t="shared" si="54"/>
        <v>0</v>
      </c>
      <c r="AE251" s="643"/>
      <c r="AF251" s="677">
        <f t="shared" si="50"/>
        <v>0</v>
      </c>
    </row>
    <row r="252" spans="1:32">
      <c r="A252" s="604">
        <v>238</v>
      </c>
      <c r="B252" s="316" t="s">
        <v>956</v>
      </c>
      <c r="C252" s="316" t="s">
        <v>486</v>
      </c>
      <c r="D252" s="522" t="s">
        <v>554</v>
      </c>
      <c r="E252" s="602" t="s">
        <v>1562</v>
      </c>
      <c r="F252" s="603">
        <v>-4.5474735088646402E-13</v>
      </c>
      <c r="G252" s="603">
        <v>312.62</v>
      </c>
      <c r="H252" s="603">
        <v>752.48</v>
      </c>
      <c r="I252" s="603">
        <v>-1804.39</v>
      </c>
      <c r="J252" s="603">
        <v>-1365.12</v>
      </c>
      <c r="K252" s="603">
        <v>-816.82</v>
      </c>
      <c r="L252" s="603">
        <v>-382.23</v>
      </c>
      <c r="M252" s="603">
        <v>19.440000000000101</v>
      </c>
      <c r="N252" s="603">
        <v>-2387.5100000000002</v>
      </c>
      <c r="O252" s="603">
        <v>0</v>
      </c>
      <c r="P252" s="603">
        <v>0</v>
      </c>
      <c r="Q252" s="603">
        <v>0</v>
      </c>
      <c r="R252" s="603">
        <v>0</v>
      </c>
      <c r="S252" s="484">
        <f t="shared" si="52"/>
        <v>-472.62750000000005</v>
      </c>
      <c r="T252" s="604"/>
      <c r="U252" s="642">
        <f t="shared" si="53"/>
        <v>-472.62750000000005</v>
      </c>
      <c r="V252" s="679"/>
      <c r="W252" s="679"/>
      <c r="X252" s="702"/>
      <c r="Y252" s="679"/>
      <c r="Z252" s="679"/>
      <c r="AA252" s="642"/>
      <c r="AB252" s="679"/>
      <c r="AC252" s="643"/>
      <c r="AD252" s="644">
        <f t="shared" si="54"/>
        <v>-472.62750000000005</v>
      </c>
      <c r="AE252" s="643"/>
      <c r="AF252" s="677">
        <f t="shared" si="50"/>
        <v>0</v>
      </c>
    </row>
    <row r="253" spans="1:32">
      <c r="A253" s="604">
        <v>239</v>
      </c>
      <c r="B253" s="316" t="s">
        <v>956</v>
      </c>
      <c r="C253" s="316" t="s">
        <v>486</v>
      </c>
      <c r="D253" s="316" t="s">
        <v>1150</v>
      </c>
      <c r="E253" s="602" t="s">
        <v>1563</v>
      </c>
      <c r="F253" s="603">
        <v>-2.2737367544323201E-13</v>
      </c>
      <c r="G253" s="603">
        <v>671.92</v>
      </c>
      <c r="H253" s="603">
        <v>754.85</v>
      </c>
      <c r="I253" s="603">
        <v>410.54</v>
      </c>
      <c r="J253" s="603">
        <v>471.8</v>
      </c>
      <c r="K253" s="603">
        <v>533.36</v>
      </c>
      <c r="L253" s="603">
        <v>621.77</v>
      </c>
      <c r="M253" s="603">
        <v>709.98</v>
      </c>
      <c r="N253" s="603">
        <v>310</v>
      </c>
      <c r="O253" s="603">
        <v>0</v>
      </c>
      <c r="P253" s="603">
        <v>0</v>
      </c>
      <c r="Q253" s="603">
        <v>0</v>
      </c>
      <c r="R253" s="603">
        <v>0</v>
      </c>
      <c r="S253" s="484">
        <f t="shared" si="52"/>
        <v>373.685</v>
      </c>
      <c r="T253" s="604"/>
      <c r="U253" s="642">
        <f t="shared" si="53"/>
        <v>373.685</v>
      </c>
      <c r="V253" s="679"/>
      <c r="W253" s="679"/>
      <c r="X253" s="702"/>
      <c r="Y253" s="679"/>
      <c r="Z253" s="679"/>
      <c r="AA253" s="642"/>
      <c r="AB253" s="679"/>
      <c r="AC253" s="643"/>
      <c r="AD253" s="644">
        <f t="shared" si="54"/>
        <v>373.685</v>
      </c>
      <c r="AE253" s="643"/>
      <c r="AF253" s="677">
        <f t="shared" si="50"/>
        <v>0</v>
      </c>
    </row>
    <row r="254" spans="1:32">
      <c r="A254" s="604">
        <v>240</v>
      </c>
      <c r="B254" s="316" t="s">
        <v>956</v>
      </c>
      <c r="C254" s="316" t="s">
        <v>486</v>
      </c>
      <c r="D254" s="316" t="s">
        <v>1151</v>
      </c>
      <c r="E254" s="602" t="s">
        <v>1564</v>
      </c>
      <c r="F254" s="603">
        <v>0</v>
      </c>
      <c r="G254" s="603">
        <v>0</v>
      </c>
      <c r="H254" s="603">
        <v>0</v>
      </c>
      <c r="I254" s="603">
        <v>0</v>
      </c>
      <c r="J254" s="603">
        <v>0</v>
      </c>
      <c r="K254" s="603">
        <v>0</v>
      </c>
      <c r="L254" s="603">
        <v>0</v>
      </c>
      <c r="M254" s="603">
        <v>0</v>
      </c>
      <c r="N254" s="603">
        <v>0</v>
      </c>
      <c r="O254" s="603">
        <v>0</v>
      </c>
      <c r="P254" s="603">
        <v>0</v>
      </c>
      <c r="Q254" s="603">
        <v>0</v>
      </c>
      <c r="R254" s="603">
        <v>0</v>
      </c>
      <c r="S254" s="484">
        <f t="shared" si="52"/>
        <v>0</v>
      </c>
      <c r="T254" s="604"/>
      <c r="U254" s="642">
        <f t="shared" si="53"/>
        <v>0</v>
      </c>
      <c r="V254" s="679"/>
      <c r="W254" s="679"/>
      <c r="X254" s="702"/>
      <c r="Y254" s="679"/>
      <c r="Z254" s="679"/>
      <c r="AA254" s="642"/>
      <c r="AB254" s="679"/>
      <c r="AC254" s="643"/>
      <c r="AD254" s="644">
        <f t="shared" si="54"/>
        <v>0</v>
      </c>
      <c r="AE254" s="643"/>
      <c r="AF254" s="677">
        <f t="shared" si="50"/>
        <v>0</v>
      </c>
    </row>
    <row r="255" spans="1:32">
      <c r="A255" s="604">
        <v>241</v>
      </c>
      <c r="B255" s="316" t="s">
        <v>956</v>
      </c>
      <c r="C255" s="316" t="s">
        <v>486</v>
      </c>
      <c r="D255" s="316" t="s">
        <v>618</v>
      </c>
      <c r="E255" s="602" t="s">
        <v>1565</v>
      </c>
      <c r="F255" s="603">
        <v>0</v>
      </c>
      <c r="G255" s="603">
        <v>85.58</v>
      </c>
      <c r="H255" s="603">
        <v>235.23</v>
      </c>
      <c r="I255" s="603">
        <v>-497.31</v>
      </c>
      <c r="J255" s="603">
        <v>-454.99</v>
      </c>
      <c r="K255" s="603">
        <v>-334.77</v>
      </c>
      <c r="L255" s="603">
        <v>-214.55</v>
      </c>
      <c r="M255" s="603">
        <v>229.36</v>
      </c>
      <c r="N255" s="603">
        <v>-427.14</v>
      </c>
      <c r="O255" s="603">
        <v>0</v>
      </c>
      <c r="P255" s="603">
        <v>0</v>
      </c>
      <c r="Q255" s="603">
        <v>0</v>
      </c>
      <c r="R255" s="603">
        <v>0</v>
      </c>
      <c r="S255" s="484">
        <f t="shared" si="52"/>
        <v>-114.88249999999999</v>
      </c>
      <c r="T255" s="604"/>
      <c r="U255" s="642">
        <f t="shared" si="53"/>
        <v>-114.88249999999999</v>
      </c>
      <c r="V255" s="679"/>
      <c r="W255" s="679"/>
      <c r="X255" s="702"/>
      <c r="Y255" s="679"/>
      <c r="Z255" s="679"/>
      <c r="AA255" s="642"/>
      <c r="AB255" s="679"/>
      <c r="AC255" s="643"/>
      <c r="AD255" s="644">
        <f t="shared" si="54"/>
        <v>-114.88249999999999</v>
      </c>
      <c r="AE255" s="643"/>
      <c r="AF255" s="677">
        <f t="shared" si="50"/>
        <v>0</v>
      </c>
    </row>
    <row r="256" spans="1:32">
      <c r="A256" s="604">
        <v>242</v>
      </c>
      <c r="B256" s="316" t="s">
        <v>956</v>
      </c>
      <c r="C256" s="316" t="s">
        <v>486</v>
      </c>
      <c r="D256" s="316" t="s">
        <v>1130</v>
      </c>
      <c r="E256" s="602" t="s">
        <v>1566</v>
      </c>
      <c r="F256" s="603">
        <v>7.1054273576010003E-15</v>
      </c>
      <c r="G256" s="603">
        <v>3.14</v>
      </c>
      <c r="H256" s="603">
        <v>6.88</v>
      </c>
      <c r="I256" s="603">
        <v>-14.12</v>
      </c>
      <c r="J256" s="603">
        <v>-10.06</v>
      </c>
      <c r="K256" s="603">
        <v>-5.2</v>
      </c>
      <c r="L256" s="603">
        <v>-1.82</v>
      </c>
      <c r="M256" s="603">
        <v>4.78</v>
      </c>
      <c r="N256" s="603">
        <v>-15.34</v>
      </c>
      <c r="O256" s="603">
        <v>0</v>
      </c>
      <c r="P256" s="603">
        <v>0</v>
      </c>
      <c r="Q256" s="603">
        <v>0</v>
      </c>
      <c r="R256" s="603">
        <v>0</v>
      </c>
      <c r="S256" s="484">
        <f t="shared" si="52"/>
        <v>-2.6449999999999996</v>
      </c>
      <c r="T256" s="604"/>
      <c r="U256" s="642">
        <f t="shared" si="53"/>
        <v>-2.6449999999999996</v>
      </c>
      <c r="V256" s="679"/>
      <c r="W256" s="679"/>
      <c r="X256" s="702"/>
      <c r="Y256" s="679"/>
      <c r="Z256" s="679"/>
      <c r="AA256" s="642"/>
      <c r="AB256" s="679"/>
      <c r="AC256" s="643"/>
      <c r="AD256" s="644">
        <f t="shared" si="54"/>
        <v>-2.6449999999999996</v>
      </c>
      <c r="AE256" s="643"/>
      <c r="AF256" s="677">
        <f t="shared" si="50"/>
        <v>0</v>
      </c>
    </row>
    <row r="257" spans="1:32">
      <c r="A257" s="604">
        <v>243</v>
      </c>
      <c r="B257" s="316" t="s">
        <v>956</v>
      </c>
      <c r="C257" s="316" t="s">
        <v>486</v>
      </c>
      <c r="D257" s="604" t="s">
        <v>1152</v>
      </c>
      <c r="E257" s="602" t="s">
        <v>1567</v>
      </c>
      <c r="F257" s="603">
        <v>0</v>
      </c>
      <c r="G257" s="603">
        <v>6104.55</v>
      </c>
      <c r="H257" s="603">
        <v>5604.67</v>
      </c>
      <c r="I257" s="603">
        <v>5082.45</v>
      </c>
      <c r="J257" s="603">
        <v>4537.05</v>
      </c>
      <c r="K257" s="603">
        <v>3972.45</v>
      </c>
      <c r="L257" s="603">
        <v>3481.2</v>
      </c>
      <c r="M257" s="603">
        <v>2907.75</v>
      </c>
      <c r="N257" s="603">
        <v>2358.4499999999998</v>
      </c>
      <c r="O257" s="603">
        <v>0</v>
      </c>
      <c r="P257" s="603">
        <v>0</v>
      </c>
      <c r="Q257" s="603">
        <v>0</v>
      </c>
      <c r="R257" s="603">
        <v>0</v>
      </c>
      <c r="S257" s="484">
        <f t="shared" si="52"/>
        <v>2837.3808333333332</v>
      </c>
      <c r="T257" s="604"/>
      <c r="U257" s="642">
        <f t="shared" si="53"/>
        <v>2837.3808333333332</v>
      </c>
      <c r="V257" s="679"/>
      <c r="W257" s="679"/>
      <c r="X257" s="702"/>
      <c r="Y257" s="679"/>
      <c r="Z257" s="679"/>
      <c r="AA257" s="642"/>
      <c r="AB257" s="679"/>
      <c r="AC257" s="643"/>
      <c r="AD257" s="644">
        <f t="shared" si="54"/>
        <v>2837.3808333333332</v>
      </c>
      <c r="AE257" s="643"/>
      <c r="AF257" s="677">
        <f t="shared" si="50"/>
        <v>0</v>
      </c>
    </row>
    <row r="258" spans="1:32">
      <c r="A258" s="604">
        <v>244</v>
      </c>
      <c r="B258" s="316" t="s">
        <v>956</v>
      </c>
      <c r="C258" s="316" t="s">
        <v>486</v>
      </c>
      <c r="D258" s="316" t="s">
        <v>1153</v>
      </c>
      <c r="E258" s="602" t="s">
        <v>1568</v>
      </c>
      <c r="F258" s="603">
        <v>6.8212102632969598E-13</v>
      </c>
      <c r="G258" s="603">
        <v>-398.3</v>
      </c>
      <c r="H258" s="603">
        <v>-422.39</v>
      </c>
      <c r="I258" s="603">
        <v>-1355.93</v>
      </c>
      <c r="J258" s="603">
        <v>-1558.94</v>
      </c>
      <c r="K258" s="603">
        <v>-1668.52</v>
      </c>
      <c r="L258" s="603">
        <v>-1466.89</v>
      </c>
      <c r="M258" s="603">
        <v>-1577.53</v>
      </c>
      <c r="N258" s="603">
        <v>-2260.04</v>
      </c>
      <c r="O258" s="603">
        <v>0</v>
      </c>
      <c r="P258" s="603">
        <v>0</v>
      </c>
      <c r="Q258" s="603">
        <v>0</v>
      </c>
      <c r="R258" s="603">
        <v>0</v>
      </c>
      <c r="S258" s="484">
        <f t="shared" si="52"/>
        <v>-892.37833333333344</v>
      </c>
      <c r="T258" s="604"/>
      <c r="U258" s="642">
        <f t="shared" si="53"/>
        <v>-892.37833333333344</v>
      </c>
      <c r="V258" s="679"/>
      <c r="W258" s="679"/>
      <c r="X258" s="702"/>
      <c r="Y258" s="679"/>
      <c r="Z258" s="679"/>
      <c r="AA258" s="642"/>
      <c r="AB258" s="679"/>
      <c r="AC258" s="643"/>
      <c r="AD258" s="644">
        <f t="shared" si="54"/>
        <v>-892.37833333333344</v>
      </c>
      <c r="AE258" s="643"/>
      <c r="AF258" s="677">
        <f t="shared" si="50"/>
        <v>0</v>
      </c>
    </row>
    <row r="259" spans="1:32">
      <c r="A259" s="604">
        <v>245</v>
      </c>
      <c r="B259" s="316" t="s">
        <v>956</v>
      </c>
      <c r="C259" s="316" t="s">
        <v>486</v>
      </c>
      <c r="D259" s="316" t="s">
        <v>1154</v>
      </c>
      <c r="E259" s="602" t="s">
        <v>1569</v>
      </c>
      <c r="F259" s="603">
        <v>-9.0949470177292804E-13</v>
      </c>
      <c r="G259" s="603">
        <v>0</v>
      </c>
      <c r="H259" s="603">
        <v>0</v>
      </c>
      <c r="I259" s="603">
        <v>0</v>
      </c>
      <c r="J259" s="603">
        <v>0</v>
      </c>
      <c r="K259" s="603">
        <v>0</v>
      </c>
      <c r="L259" s="603">
        <v>0</v>
      </c>
      <c r="M259" s="603">
        <v>0</v>
      </c>
      <c r="N259" s="603">
        <v>0</v>
      </c>
      <c r="O259" s="603">
        <v>0</v>
      </c>
      <c r="P259" s="603">
        <v>0</v>
      </c>
      <c r="Q259" s="603">
        <v>0</v>
      </c>
      <c r="R259" s="603">
        <v>0</v>
      </c>
      <c r="S259" s="484">
        <f t="shared" si="52"/>
        <v>-3.7895612573872001E-14</v>
      </c>
      <c r="T259" s="604"/>
      <c r="U259" s="642">
        <f t="shared" si="53"/>
        <v>-3.7895612573872001E-14</v>
      </c>
      <c r="V259" s="679"/>
      <c r="W259" s="679"/>
      <c r="X259" s="702"/>
      <c r="Y259" s="679"/>
      <c r="Z259" s="679"/>
      <c r="AA259" s="642"/>
      <c r="AB259" s="679"/>
      <c r="AC259" s="643"/>
      <c r="AD259" s="644">
        <f t="shared" si="54"/>
        <v>-3.7895612573872001E-14</v>
      </c>
      <c r="AE259" s="643"/>
      <c r="AF259" s="677">
        <f t="shared" si="50"/>
        <v>0</v>
      </c>
    </row>
    <row r="260" spans="1:32">
      <c r="A260" s="604">
        <v>246</v>
      </c>
      <c r="B260" s="316" t="s">
        <v>956</v>
      </c>
      <c r="C260" s="316" t="s">
        <v>486</v>
      </c>
      <c r="D260" s="316" t="s">
        <v>1155</v>
      </c>
      <c r="E260" s="602" t="s">
        <v>1570</v>
      </c>
      <c r="F260" s="603">
        <v>4.5474735088646402E-13</v>
      </c>
      <c r="G260" s="603">
        <v>0</v>
      </c>
      <c r="H260" s="603">
        <v>0</v>
      </c>
      <c r="I260" s="603">
        <v>0</v>
      </c>
      <c r="J260" s="603">
        <v>0</v>
      </c>
      <c r="K260" s="603">
        <v>0</v>
      </c>
      <c r="L260" s="603">
        <v>0</v>
      </c>
      <c r="M260" s="603">
        <v>0</v>
      </c>
      <c r="N260" s="603">
        <v>0</v>
      </c>
      <c r="O260" s="603">
        <v>0</v>
      </c>
      <c r="P260" s="603">
        <v>0</v>
      </c>
      <c r="Q260" s="603">
        <v>0</v>
      </c>
      <c r="R260" s="603">
        <v>0</v>
      </c>
      <c r="S260" s="484">
        <f t="shared" si="52"/>
        <v>1.8947806286936001E-14</v>
      </c>
      <c r="T260" s="604"/>
      <c r="U260" s="642">
        <f t="shared" si="53"/>
        <v>1.8947806286936001E-14</v>
      </c>
      <c r="V260" s="679"/>
      <c r="W260" s="679"/>
      <c r="X260" s="702"/>
      <c r="Y260" s="679"/>
      <c r="Z260" s="679"/>
      <c r="AA260" s="642"/>
      <c r="AB260" s="679"/>
      <c r="AC260" s="643"/>
      <c r="AD260" s="644">
        <f t="shared" si="54"/>
        <v>1.8947806286936001E-14</v>
      </c>
      <c r="AE260" s="643"/>
      <c r="AF260" s="677">
        <f t="shared" si="50"/>
        <v>0</v>
      </c>
    </row>
    <row r="261" spans="1:32">
      <c r="A261" s="604">
        <v>247</v>
      </c>
      <c r="B261" s="316" t="s">
        <v>956</v>
      </c>
      <c r="C261" s="316" t="s">
        <v>486</v>
      </c>
      <c r="D261" s="316" t="s">
        <v>70</v>
      </c>
      <c r="E261" s="602" t="s">
        <v>1571</v>
      </c>
      <c r="F261" s="603">
        <v>0</v>
      </c>
      <c r="G261" s="603">
        <v>4116.9799999999996</v>
      </c>
      <c r="H261" s="603">
        <v>-2315.9699999999998</v>
      </c>
      <c r="I261" s="603">
        <v>-4.5474735088646402E-13</v>
      </c>
      <c r="J261" s="603">
        <v>-10113.19</v>
      </c>
      <c r="K261" s="603">
        <v>-14300.5</v>
      </c>
      <c r="L261" s="603">
        <v>7798.35</v>
      </c>
      <c r="M261" s="603">
        <v>-21758.93</v>
      </c>
      <c r="N261" s="603">
        <v>-25615.66</v>
      </c>
      <c r="O261" s="603">
        <v>0</v>
      </c>
      <c r="P261" s="603">
        <v>0</v>
      </c>
      <c r="Q261" s="603">
        <v>0</v>
      </c>
      <c r="R261" s="603">
        <v>0</v>
      </c>
      <c r="S261" s="484">
        <f t="shared" si="52"/>
        <v>-5182.41</v>
      </c>
      <c r="T261" s="604"/>
      <c r="U261" s="642">
        <f t="shared" si="53"/>
        <v>-5182.41</v>
      </c>
      <c r="V261" s="679"/>
      <c r="W261" s="679"/>
      <c r="X261" s="702"/>
      <c r="Y261" s="679"/>
      <c r="Z261" s="679"/>
      <c r="AA261" s="642"/>
      <c r="AB261" s="679"/>
      <c r="AC261" s="643"/>
      <c r="AD261" s="644">
        <f t="shared" si="54"/>
        <v>-5182.41</v>
      </c>
      <c r="AE261" s="643"/>
      <c r="AF261" s="677">
        <f t="shared" si="50"/>
        <v>0</v>
      </c>
    </row>
    <row r="262" spans="1:32">
      <c r="A262" s="604">
        <v>248</v>
      </c>
      <c r="B262" s="316" t="s">
        <v>956</v>
      </c>
      <c r="C262" s="316" t="s">
        <v>486</v>
      </c>
      <c r="D262" s="316" t="s">
        <v>1156</v>
      </c>
      <c r="E262" s="602" t="s">
        <v>1572</v>
      </c>
      <c r="F262" s="603">
        <v>-1.13686837721616E-13</v>
      </c>
      <c r="G262" s="603">
        <v>-1230.52</v>
      </c>
      <c r="H262" s="603">
        <v>-1472.64</v>
      </c>
      <c r="I262" s="603">
        <v>2.2737367544323201E-13</v>
      </c>
      <c r="J262" s="603">
        <v>-2052</v>
      </c>
      <c r="K262" s="603">
        <v>-2318.9699999999998</v>
      </c>
      <c r="L262" s="603">
        <v>-4.5474735088646402E-13</v>
      </c>
      <c r="M262" s="603">
        <v>-2083.14</v>
      </c>
      <c r="N262" s="603">
        <v>-679.34</v>
      </c>
      <c r="O262" s="603">
        <v>0</v>
      </c>
      <c r="P262" s="603">
        <v>0</v>
      </c>
      <c r="Q262" s="603">
        <v>0</v>
      </c>
      <c r="R262" s="603">
        <v>0</v>
      </c>
      <c r="S262" s="484">
        <f t="shared" si="52"/>
        <v>-819.71749999999986</v>
      </c>
      <c r="T262" s="604"/>
      <c r="U262" s="642">
        <f t="shared" si="53"/>
        <v>-819.71749999999986</v>
      </c>
      <c r="V262" s="679"/>
      <c r="W262" s="679"/>
      <c r="X262" s="702"/>
      <c r="Y262" s="679"/>
      <c r="Z262" s="679"/>
      <c r="AA262" s="642"/>
      <c r="AB262" s="679"/>
      <c r="AC262" s="643"/>
      <c r="AD262" s="644">
        <f t="shared" si="54"/>
        <v>-819.71749999999986</v>
      </c>
      <c r="AE262" s="643"/>
      <c r="AF262" s="677">
        <f t="shared" si="50"/>
        <v>0</v>
      </c>
    </row>
    <row r="263" spans="1:32">
      <c r="A263" s="604">
        <v>249</v>
      </c>
      <c r="B263" s="316" t="s">
        <v>956</v>
      </c>
      <c r="C263" s="316" t="s">
        <v>486</v>
      </c>
      <c r="D263" s="316" t="s">
        <v>93</v>
      </c>
      <c r="E263" s="602" t="s">
        <v>1573</v>
      </c>
      <c r="F263" s="603">
        <v>-7.2759576141834308E-12</v>
      </c>
      <c r="G263" s="603">
        <v>-92131.38</v>
      </c>
      <c r="H263" s="603">
        <v>-53843.67</v>
      </c>
      <c r="I263" s="603">
        <v>-7.2759576141834308E-12</v>
      </c>
      <c r="J263" s="603">
        <v>-102204.33</v>
      </c>
      <c r="K263" s="603">
        <v>-126429.75</v>
      </c>
      <c r="L263" s="603">
        <v>-1.45519152283669E-11</v>
      </c>
      <c r="M263" s="603">
        <v>-169913.37</v>
      </c>
      <c r="N263" s="603">
        <v>-60958.080000000002</v>
      </c>
      <c r="O263" s="603">
        <v>0</v>
      </c>
      <c r="P263" s="603">
        <v>0</v>
      </c>
      <c r="Q263" s="603">
        <v>0</v>
      </c>
      <c r="R263" s="603">
        <v>0</v>
      </c>
      <c r="S263" s="484">
        <f t="shared" si="52"/>
        <v>-50456.714999999997</v>
      </c>
      <c r="T263" s="604"/>
      <c r="U263" s="642">
        <f t="shared" si="53"/>
        <v>-50456.714999999997</v>
      </c>
      <c r="V263" s="679"/>
      <c r="W263" s="679"/>
      <c r="X263" s="702"/>
      <c r="Y263" s="679"/>
      <c r="Z263" s="679"/>
      <c r="AA263" s="642"/>
      <c r="AB263" s="679"/>
      <c r="AC263" s="643"/>
      <c r="AD263" s="644">
        <f t="shared" si="54"/>
        <v>-50456.714999999997</v>
      </c>
      <c r="AE263" s="643"/>
      <c r="AF263" s="677">
        <f t="shared" si="50"/>
        <v>0</v>
      </c>
    </row>
    <row r="264" spans="1:32">
      <c r="A264" s="604">
        <v>250</v>
      </c>
      <c r="B264" s="316" t="s">
        <v>369</v>
      </c>
      <c r="C264" s="316" t="s">
        <v>487</v>
      </c>
      <c r="D264" s="316" t="s">
        <v>369</v>
      </c>
      <c r="E264" s="602" t="s">
        <v>488</v>
      </c>
      <c r="F264" s="603">
        <v>59785.299999999981</v>
      </c>
      <c r="G264" s="603">
        <v>195023.09</v>
      </c>
      <c r="H264" s="603">
        <v>258706.77999999997</v>
      </c>
      <c r="I264" s="603">
        <v>238227.15999999997</v>
      </c>
      <c r="J264" s="603">
        <v>252352.69000000006</v>
      </c>
      <c r="K264" s="603">
        <v>256575.24000000002</v>
      </c>
      <c r="L264" s="603">
        <v>220507.31000000006</v>
      </c>
      <c r="M264" s="603">
        <v>199340.86</v>
      </c>
      <c r="N264" s="603">
        <v>181707.04</v>
      </c>
      <c r="O264" s="603">
        <v>160999.45000000001</v>
      </c>
      <c r="P264" s="603">
        <v>117782.74</v>
      </c>
      <c r="Q264" s="603">
        <v>105294.82</v>
      </c>
      <c r="R264" s="603">
        <v>45130.430000000102</v>
      </c>
      <c r="S264" s="484">
        <f t="shared" si="52"/>
        <v>186581.25375000003</v>
      </c>
      <c r="T264" s="604"/>
      <c r="U264" s="642">
        <f t="shared" si="53"/>
        <v>186581.25375000003</v>
      </c>
      <c r="V264" s="679"/>
      <c r="W264" s="679"/>
      <c r="X264" s="702"/>
      <c r="Y264" s="679"/>
      <c r="Z264" s="679"/>
      <c r="AA264" s="642"/>
      <c r="AB264" s="650"/>
      <c r="AC264" s="643"/>
      <c r="AD264" s="642">
        <f>+S264</f>
        <v>186581.25375000003</v>
      </c>
      <c r="AE264" s="643"/>
      <c r="AF264" s="677">
        <f t="shared" si="50"/>
        <v>0</v>
      </c>
    </row>
    <row r="265" spans="1:32">
      <c r="A265" s="604">
        <v>251</v>
      </c>
      <c r="B265" s="316" t="s">
        <v>1844</v>
      </c>
      <c r="C265" s="316" t="s">
        <v>486</v>
      </c>
      <c r="D265" s="316" t="s">
        <v>447</v>
      </c>
      <c r="E265" s="602" t="s">
        <v>1870</v>
      </c>
      <c r="F265" s="603">
        <v>0</v>
      </c>
      <c r="G265" s="603">
        <v>0</v>
      </c>
      <c r="H265" s="603">
        <v>0</v>
      </c>
      <c r="I265" s="603">
        <v>0</v>
      </c>
      <c r="J265" s="603">
        <v>0</v>
      </c>
      <c r="K265" s="603">
        <v>0</v>
      </c>
      <c r="L265" s="603">
        <v>0</v>
      </c>
      <c r="M265" s="603">
        <v>0</v>
      </c>
      <c r="N265" s="603">
        <v>0</v>
      </c>
      <c r="O265" s="603">
        <v>-160999.45000000001</v>
      </c>
      <c r="P265" s="603">
        <v>-117782.74</v>
      </c>
      <c r="Q265" s="603">
        <v>-95326.51</v>
      </c>
      <c r="R265" s="603">
        <v>-45130.43</v>
      </c>
      <c r="S265" s="484">
        <f t="shared" si="52"/>
        <v>-33056.159583333334</v>
      </c>
      <c r="T265" s="604"/>
      <c r="U265" s="642">
        <f>+S265</f>
        <v>-33056.159583333334</v>
      </c>
      <c r="V265" s="679"/>
      <c r="W265" s="679"/>
      <c r="X265" s="702"/>
      <c r="Y265" s="679"/>
      <c r="Z265" s="679"/>
      <c r="AA265" s="642"/>
      <c r="AB265" s="650"/>
      <c r="AC265" s="643"/>
      <c r="AD265" s="642">
        <f>+S265</f>
        <v>-33056.159583333334</v>
      </c>
      <c r="AE265" s="643"/>
      <c r="AF265" s="677">
        <f t="shared" si="50"/>
        <v>0</v>
      </c>
    </row>
    <row r="266" spans="1:32">
      <c r="A266" s="604">
        <v>252</v>
      </c>
      <c r="B266" s="316" t="s">
        <v>956</v>
      </c>
      <c r="C266" s="316" t="s">
        <v>446</v>
      </c>
      <c r="D266" s="316" t="s">
        <v>1158</v>
      </c>
      <c r="E266" s="602" t="s">
        <v>1574</v>
      </c>
      <c r="F266" s="603">
        <v>2988574.1</v>
      </c>
      <c r="G266" s="603">
        <v>2999372.95</v>
      </c>
      <c r="H266" s="603">
        <v>3011015.48</v>
      </c>
      <c r="I266" s="603">
        <v>3022552.53</v>
      </c>
      <c r="J266" s="603">
        <v>3033980.26</v>
      </c>
      <c r="K266" s="603">
        <v>3024547.99</v>
      </c>
      <c r="L266" s="603">
        <v>3030781.91</v>
      </c>
      <c r="M266" s="603">
        <v>3038151.27</v>
      </c>
      <c r="N266" s="603">
        <v>3045619.03</v>
      </c>
      <c r="O266" s="603">
        <v>3051406.69</v>
      </c>
      <c r="P266" s="603">
        <v>3058727.65</v>
      </c>
      <c r="Q266" s="603">
        <v>3066186.65</v>
      </c>
      <c r="R266" s="603">
        <v>4478392.82</v>
      </c>
      <c r="S266" s="484">
        <f t="shared" si="52"/>
        <v>3092985.4891666663</v>
      </c>
      <c r="T266" s="604"/>
      <c r="U266" s="642">
        <f t="shared" si="53"/>
        <v>3092985.4891666663</v>
      </c>
      <c r="V266" s="679"/>
      <c r="W266" s="679"/>
      <c r="X266" s="702"/>
      <c r="Y266" s="679"/>
      <c r="Z266" s="679"/>
      <c r="AA266" s="642"/>
      <c r="AB266" s="679"/>
      <c r="AC266" s="643"/>
      <c r="AD266" s="644">
        <f>+U266</f>
        <v>3092985.4891666663</v>
      </c>
      <c r="AE266" s="643"/>
      <c r="AF266" s="677">
        <f t="shared" si="50"/>
        <v>0</v>
      </c>
    </row>
    <row r="267" spans="1:32">
      <c r="A267" s="604">
        <v>253</v>
      </c>
      <c r="B267" s="316" t="s">
        <v>1844</v>
      </c>
      <c r="C267" s="316" t="s">
        <v>446</v>
      </c>
      <c r="D267" s="316" t="s">
        <v>1851</v>
      </c>
      <c r="E267" s="602" t="s">
        <v>1585</v>
      </c>
      <c r="F267" s="603">
        <v>0</v>
      </c>
      <c r="G267" s="603">
        <v>-137402.29999999999</v>
      </c>
      <c r="H267" s="603">
        <v>-123637.95</v>
      </c>
      <c r="I267" s="603">
        <v>-108044.38</v>
      </c>
      <c r="J267" s="603">
        <v>-352090.88</v>
      </c>
      <c r="K267" s="603">
        <v>-348666.74</v>
      </c>
      <c r="L267" s="603">
        <v>-346007.64</v>
      </c>
      <c r="M267" s="603">
        <v>-344212.35</v>
      </c>
      <c r="N267" s="603">
        <v>-342762.33</v>
      </c>
      <c r="O267" s="603">
        <v>-341265.44</v>
      </c>
      <c r="P267" s="603">
        <v>-342273.78</v>
      </c>
      <c r="Q267" s="603">
        <v>-331106.38</v>
      </c>
      <c r="R267" s="603">
        <v>-313349.98</v>
      </c>
      <c r="S267" s="484">
        <f t="shared" si="52"/>
        <v>-272845.43</v>
      </c>
      <c r="T267" s="604"/>
      <c r="U267" s="642">
        <f>+S267</f>
        <v>-272845.43</v>
      </c>
      <c r="V267" s="679"/>
      <c r="W267" s="679"/>
      <c r="X267" s="702"/>
      <c r="Y267" s="679"/>
      <c r="Z267" s="679"/>
      <c r="AA267" s="642"/>
      <c r="AB267" s="679"/>
      <c r="AC267" s="643"/>
      <c r="AD267" s="644">
        <f>+S267</f>
        <v>-272845.43</v>
      </c>
      <c r="AE267" s="643"/>
      <c r="AF267" s="677"/>
    </row>
    <row r="268" spans="1:32">
      <c r="A268" s="604">
        <v>254</v>
      </c>
      <c r="B268" s="316" t="s">
        <v>984</v>
      </c>
      <c r="C268" s="316" t="s">
        <v>446</v>
      </c>
      <c r="D268" s="316" t="s">
        <v>1159</v>
      </c>
      <c r="E268" s="602" t="s">
        <v>1575</v>
      </c>
      <c r="F268" s="603">
        <v>29758.74</v>
      </c>
      <c r="G268" s="603">
        <v>23022.73</v>
      </c>
      <c r="H268" s="603">
        <v>16764.68</v>
      </c>
      <c r="I268" s="603">
        <v>9674.23</v>
      </c>
      <c r="J268" s="603">
        <v>4858.92</v>
      </c>
      <c r="K268" s="603">
        <v>2389.2399999999998</v>
      </c>
      <c r="L268" s="603">
        <v>727.03000000000304</v>
      </c>
      <c r="M268" s="603">
        <v>-384.97999999999701</v>
      </c>
      <c r="N268" s="603">
        <v>-1292.25</v>
      </c>
      <c r="O268" s="603">
        <v>-2209.6</v>
      </c>
      <c r="P268" s="603">
        <v>-4708.13</v>
      </c>
      <c r="Q268" s="603">
        <v>62756.39</v>
      </c>
      <c r="R268" s="603">
        <v>52817.54</v>
      </c>
      <c r="S268" s="484">
        <f t="shared" si="52"/>
        <v>12740.533333333335</v>
      </c>
      <c r="T268" s="604"/>
      <c r="U268" s="642"/>
      <c r="V268" s="679"/>
      <c r="W268" s="679"/>
      <c r="X268" s="702">
        <f>+S268</f>
        <v>12740.533333333335</v>
      </c>
      <c r="Y268" s="679"/>
      <c r="Z268" s="679"/>
      <c r="AA268" s="642"/>
      <c r="AB268" s="679">
        <f>+S268</f>
        <v>12740.533333333335</v>
      </c>
      <c r="AC268" s="643"/>
      <c r="AD268" s="644"/>
      <c r="AE268" s="643"/>
      <c r="AF268" s="677">
        <f t="shared" si="50"/>
        <v>0</v>
      </c>
    </row>
    <row r="269" spans="1:32">
      <c r="A269" s="604">
        <v>255</v>
      </c>
      <c r="B269" s="316" t="s">
        <v>984</v>
      </c>
      <c r="C269" s="316" t="s">
        <v>446</v>
      </c>
      <c r="D269" s="316" t="s">
        <v>1160</v>
      </c>
      <c r="E269" s="602" t="s">
        <v>1576</v>
      </c>
      <c r="F269" s="603">
        <v>2049.1300000000101</v>
      </c>
      <c r="G269" s="603">
        <v>41561.81</v>
      </c>
      <c r="H269" s="603">
        <v>41794.050000000003</v>
      </c>
      <c r="I269" s="603">
        <v>42052.61</v>
      </c>
      <c r="J269" s="603">
        <v>69691.89</v>
      </c>
      <c r="K269" s="603">
        <v>70122.2</v>
      </c>
      <c r="L269" s="603">
        <v>70541.2</v>
      </c>
      <c r="M269" s="603">
        <v>70976.759999999995</v>
      </c>
      <c r="N269" s="603">
        <v>71415.009999999995</v>
      </c>
      <c r="O269" s="603">
        <v>71841.740000000005</v>
      </c>
      <c r="P269" s="603">
        <v>72285.33</v>
      </c>
      <c r="Q269" s="603">
        <v>9.9999999656574801E-3</v>
      </c>
      <c r="R269" s="603">
        <v>9.9999999656574801E-3</v>
      </c>
      <c r="S269" s="484">
        <f t="shared" si="52"/>
        <v>51942.264999999992</v>
      </c>
      <c r="T269" s="604"/>
      <c r="U269" s="642"/>
      <c r="V269" s="679"/>
      <c r="W269" s="679"/>
      <c r="X269" s="702">
        <f>+S269</f>
        <v>51942.264999999992</v>
      </c>
      <c r="Y269" s="679"/>
      <c r="Z269" s="679"/>
      <c r="AA269" s="642"/>
      <c r="AB269" s="679">
        <f>+S269</f>
        <v>51942.264999999992</v>
      </c>
      <c r="AC269" s="643"/>
      <c r="AD269" s="644"/>
      <c r="AE269" s="643"/>
      <c r="AF269" s="677">
        <f t="shared" si="50"/>
        <v>0</v>
      </c>
    </row>
    <row r="270" spans="1:32">
      <c r="A270" s="604">
        <v>256</v>
      </c>
      <c r="B270" s="316" t="s">
        <v>984</v>
      </c>
      <c r="C270" s="316" t="s">
        <v>446</v>
      </c>
      <c r="D270" s="316" t="s">
        <v>1161</v>
      </c>
      <c r="E270" s="602" t="s">
        <v>1577</v>
      </c>
      <c r="F270" s="603">
        <v>3298.72</v>
      </c>
      <c r="G270" s="603">
        <v>3003.91</v>
      </c>
      <c r="H270" s="603">
        <v>2728.69</v>
      </c>
      <c r="I270" s="603">
        <v>2421.64</v>
      </c>
      <c r="J270" s="603">
        <v>2168.15</v>
      </c>
      <c r="K270" s="603">
        <v>1888.57</v>
      </c>
      <c r="L270" s="603">
        <v>1614.24</v>
      </c>
      <c r="M270" s="603">
        <v>1342.88</v>
      </c>
      <c r="N270" s="603">
        <v>1077.1600000000001</v>
      </c>
      <c r="O270" s="603">
        <v>809.57</v>
      </c>
      <c r="P270" s="603">
        <v>465.23</v>
      </c>
      <c r="Q270" s="603">
        <v>39036.43</v>
      </c>
      <c r="R270" s="603">
        <v>34796.76</v>
      </c>
      <c r="S270" s="484">
        <f t="shared" si="52"/>
        <v>6300.3508333333339</v>
      </c>
      <c r="T270" s="604"/>
      <c r="U270" s="642"/>
      <c r="V270" s="679"/>
      <c r="W270" s="679"/>
      <c r="X270" s="702">
        <f>+S270</f>
        <v>6300.3508333333339</v>
      </c>
      <c r="Y270" s="679"/>
      <c r="Z270" s="679"/>
      <c r="AA270" s="642"/>
      <c r="AB270" s="679">
        <f>+S270</f>
        <v>6300.3508333333339</v>
      </c>
      <c r="AC270" s="643"/>
      <c r="AD270" s="644"/>
      <c r="AE270" s="643"/>
      <c r="AF270" s="677">
        <f t="shared" si="50"/>
        <v>0</v>
      </c>
    </row>
    <row r="271" spans="1:32">
      <c r="A271" s="604">
        <v>257</v>
      </c>
      <c r="B271" s="316" t="s">
        <v>984</v>
      </c>
      <c r="C271" s="316" t="s">
        <v>446</v>
      </c>
      <c r="D271" s="316" t="s">
        <v>1162</v>
      </c>
      <c r="E271" s="602" t="s">
        <v>1576</v>
      </c>
      <c r="F271" s="603">
        <v>7060.75</v>
      </c>
      <c r="G271" s="603">
        <v>7104.43</v>
      </c>
      <c r="H271" s="603">
        <v>7144.13</v>
      </c>
      <c r="I271" s="603">
        <v>7188.33</v>
      </c>
      <c r="J271" s="603">
        <v>40840.54</v>
      </c>
      <c r="K271" s="603">
        <v>41092.71</v>
      </c>
      <c r="L271" s="603">
        <v>41338.25</v>
      </c>
      <c r="M271" s="603">
        <v>41593.49</v>
      </c>
      <c r="N271" s="603">
        <v>41850.31</v>
      </c>
      <c r="O271" s="603">
        <v>42100.38</v>
      </c>
      <c r="P271" s="603">
        <v>47546.63</v>
      </c>
      <c r="Q271" s="603">
        <v>5217.29</v>
      </c>
      <c r="R271" s="603">
        <v>5249.5</v>
      </c>
      <c r="S271" s="484">
        <f t="shared" si="52"/>
        <v>27430.967916666665</v>
      </c>
      <c r="T271" s="604"/>
      <c r="U271" s="646"/>
      <c r="V271" s="679"/>
      <c r="W271" s="679"/>
      <c r="X271" s="702">
        <f>+S271</f>
        <v>27430.967916666665</v>
      </c>
      <c r="Y271" s="679"/>
      <c r="Z271" s="679"/>
      <c r="AA271" s="642"/>
      <c r="AB271" s="650">
        <f>+S271</f>
        <v>27430.967916666665</v>
      </c>
      <c r="AC271" s="643"/>
      <c r="AD271" s="642"/>
      <c r="AE271" s="643"/>
      <c r="AF271" s="677">
        <f t="shared" si="50"/>
        <v>0</v>
      </c>
    </row>
    <row r="272" spans="1:32">
      <c r="A272" s="604">
        <v>258</v>
      </c>
      <c r="B272" s="316" t="s">
        <v>959</v>
      </c>
      <c r="C272" s="316" t="s">
        <v>446</v>
      </c>
      <c r="D272" s="316" t="s">
        <v>1163</v>
      </c>
      <c r="E272" s="602" t="s">
        <v>1580</v>
      </c>
      <c r="F272" s="603">
        <v>14082715.25</v>
      </c>
      <c r="G272" s="603">
        <v>14082715.25</v>
      </c>
      <c r="H272" s="603">
        <v>14117014.77</v>
      </c>
      <c r="I272" s="603">
        <v>14103400.560000001</v>
      </c>
      <c r="J272" s="603">
        <v>13142221.01</v>
      </c>
      <c r="K272" s="603">
        <v>13168075.51</v>
      </c>
      <c r="L272" s="603">
        <v>13174573.15</v>
      </c>
      <c r="M272" s="603">
        <v>13175998.15</v>
      </c>
      <c r="N272" s="603">
        <v>12807390.439999999</v>
      </c>
      <c r="O272" s="603">
        <v>12850165.449999999</v>
      </c>
      <c r="P272" s="603">
        <v>12853231.449999999</v>
      </c>
      <c r="Q272" s="603">
        <v>12853380.32</v>
      </c>
      <c r="R272" s="603">
        <v>12592136.48</v>
      </c>
      <c r="S272" s="484">
        <f t="shared" si="52"/>
        <v>13305465.99375</v>
      </c>
      <c r="T272" s="604"/>
      <c r="U272" s="646">
        <f>+S272</f>
        <v>13305465.99375</v>
      </c>
      <c r="V272" s="679"/>
      <c r="W272" s="679"/>
      <c r="X272" s="702"/>
      <c r="Y272" s="679"/>
      <c r="Z272" s="679"/>
      <c r="AA272" s="642"/>
      <c r="AB272" s="650"/>
      <c r="AC272" s="643"/>
      <c r="AD272" s="642">
        <f>+S272</f>
        <v>13305465.99375</v>
      </c>
      <c r="AE272" s="643"/>
      <c r="AF272" s="677">
        <f t="shared" si="50"/>
        <v>0</v>
      </c>
    </row>
    <row r="273" spans="1:32">
      <c r="A273" s="604">
        <v>259</v>
      </c>
      <c r="B273" s="316" t="s">
        <v>959</v>
      </c>
      <c r="C273" s="316" t="s">
        <v>446</v>
      </c>
      <c r="D273" s="316" t="s">
        <v>1392</v>
      </c>
      <c r="E273" s="602" t="s">
        <v>1581</v>
      </c>
      <c r="F273" s="603">
        <v>466500</v>
      </c>
      <c r="G273" s="603">
        <v>466500</v>
      </c>
      <c r="H273" s="603">
        <v>466500</v>
      </c>
      <c r="I273" s="603">
        <v>466500</v>
      </c>
      <c r="J273" s="603">
        <v>466500</v>
      </c>
      <c r="K273" s="603">
        <v>466500</v>
      </c>
      <c r="L273" s="603">
        <v>466500</v>
      </c>
      <c r="M273" s="603">
        <v>466500</v>
      </c>
      <c r="N273" s="603">
        <v>466500</v>
      </c>
      <c r="O273" s="603">
        <v>466500</v>
      </c>
      <c r="P273" s="603">
        <v>466500</v>
      </c>
      <c r="Q273" s="603">
        <v>466500</v>
      </c>
      <c r="R273" s="603">
        <v>466500</v>
      </c>
      <c r="S273" s="484">
        <f t="shared" si="52"/>
        <v>466500</v>
      </c>
      <c r="T273" s="604"/>
      <c r="U273" s="646">
        <f>+S273</f>
        <v>466500</v>
      </c>
      <c r="V273" s="679"/>
      <c r="W273" s="679"/>
      <c r="X273" s="702"/>
      <c r="Y273" s="679"/>
      <c r="Z273" s="679"/>
      <c r="AA273" s="642"/>
      <c r="AB273" s="650"/>
      <c r="AC273" s="643"/>
      <c r="AD273" s="642">
        <f>+S273</f>
        <v>466500</v>
      </c>
      <c r="AE273" s="643"/>
      <c r="AF273" s="677">
        <f t="shared" si="50"/>
        <v>0</v>
      </c>
    </row>
    <row r="274" spans="1:32">
      <c r="A274" s="604">
        <v>260</v>
      </c>
      <c r="B274" s="316" t="s">
        <v>984</v>
      </c>
      <c r="C274" s="316" t="s">
        <v>446</v>
      </c>
      <c r="D274" s="316" t="s">
        <v>1164</v>
      </c>
      <c r="E274" s="602" t="s">
        <v>1578</v>
      </c>
      <c r="F274" s="603">
        <v>1883502.85</v>
      </c>
      <c r="G274" s="603">
        <v>1917787.71</v>
      </c>
      <c r="H274" s="603">
        <v>1888055.06</v>
      </c>
      <c r="I274" s="603">
        <v>1892076.67</v>
      </c>
      <c r="J274" s="603">
        <v>1677901.94</v>
      </c>
      <c r="K274" s="603">
        <v>1677702.78</v>
      </c>
      <c r="L274" s="603">
        <v>1132434.1399999999</v>
      </c>
      <c r="M274" s="603">
        <v>1139554.56</v>
      </c>
      <c r="N274" s="603">
        <v>1141824.44</v>
      </c>
      <c r="O274" s="603">
        <v>1143561.54</v>
      </c>
      <c r="P274" s="603">
        <v>1144594.2</v>
      </c>
      <c r="Q274" s="603">
        <v>1153377.47</v>
      </c>
      <c r="R274" s="603">
        <v>993974.16</v>
      </c>
      <c r="S274" s="484">
        <f t="shared" si="52"/>
        <v>1445634.0845833335</v>
      </c>
      <c r="T274" s="604"/>
      <c r="U274" s="646"/>
      <c r="V274" s="679"/>
      <c r="W274" s="679"/>
      <c r="X274" s="702">
        <f t="shared" ref="X274:X291" si="55">+S274</f>
        <v>1445634.0845833335</v>
      </c>
      <c r="Y274" s="679"/>
      <c r="Z274" s="679"/>
      <c r="AA274" s="642"/>
      <c r="AB274" s="679">
        <f>+S274</f>
        <v>1445634.0845833335</v>
      </c>
      <c r="AC274" s="643"/>
      <c r="AD274" s="644"/>
      <c r="AE274" s="643"/>
      <c r="AF274" s="677">
        <f t="shared" si="50"/>
        <v>0</v>
      </c>
    </row>
    <row r="275" spans="1:32">
      <c r="A275" s="604">
        <v>261</v>
      </c>
      <c r="B275" s="316" t="s">
        <v>959</v>
      </c>
      <c r="C275" s="316" t="s">
        <v>446</v>
      </c>
      <c r="D275" s="316" t="s">
        <v>1166</v>
      </c>
      <c r="E275" s="602" t="s">
        <v>1582</v>
      </c>
      <c r="F275" s="603">
        <v>5432079.7599999998</v>
      </c>
      <c r="G275" s="603">
        <v>5432079.7599999998</v>
      </c>
      <c r="H275" s="603">
        <v>5433357.4199999999</v>
      </c>
      <c r="I275" s="603">
        <v>5467967.3399999999</v>
      </c>
      <c r="J275" s="603">
        <v>5538241.4100000001</v>
      </c>
      <c r="K275" s="603">
        <v>5543262.6600000001</v>
      </c>
      <c r="L275" s="603">
        <v>5543700.8300000001</v>
      </c>
      <c r="M275" s="603">
        <v>6305032.2699999996</v>
      </c>
      <c r="N275" s="603">
        <v>6486405.6200000001</v>
      </c>
      <c r="O275" s="603">
        <v>6930150.8300000001</v>
      </c>
      <c r="P275" s="603">
        <v>7465365.1200000001</v>
      </c>
      <c r="Q275" s="603">
        <v>7744088.04</v>
      </c>
      <c r="R275" s="603">
        <v>8015406.3799999999</v>
      </c>
      <c r="S275" s="484">
        <f t="shared" si="52"/>
        <v>6217782.8641666668</v>
      </c>
      <c r="T275" s="604"/>
      <c r="U275" s="646">
        <f>+S275</f>
        <v>6217782.8641666668</v>
      </c>
      <c r="V275" s="679"/>
      <c r="W275" s="679"/>
      <c r="X275" s="702"/>
      <c r="Y275" s="679"/>
      <c r="Z275" s="679"/>
      <c r="AA275" s="642"/>
      <c r="AB275" s="679"/>
      <c r="AC275" s="643"/>
      <c r="AD275" s="644">
        <f>+S275</f>
        <v>6217782.8641666668</v>
      </c>
      <c r="AE275" s="643"/>
      <c r="AF275" s="677">
        <f t="shared" si="50"/>
        <v>0</v>
      </c>
    </row>
    <row r="276" spans="1:32">
      <c r="A276" s="604">
        <v>262</v>
      </c>
      <c r="B276" s="316" t="s">
        <v>959</v>
      </c>
      <c r="C276" s="316" t="s">
        <v>446</v>
      </c>
      <c r="D276" s="316" t="s">
        <v>1393</v>
      </c>
      <c r="E276" s="602" t="s">
        <v>1595</v>
      </c>
      <c r="F276" s="603">
        <v>5197058.3</v>
      </c>
      <c r="G276" s="603">
        <v>5151866.49</v>
      </c>
      <c r="H276" s="603">
        <v>5106674.68</v>
      </c>
      <c r="I276" s="603">
        <v>5061482.87</v>
      </c>
      <c r="J276" s="603">
        <v>5016291.0599999996</v>
      </c>
      <c r="K276" s="603">
        <v>4971099.25</v>
      </c>
      <c r="L276" s="603">
        <v>4925907.4400000004</v>
      </c>
      <c r="M276" s="603">
        <v>4880715.63</v>
      </c>
      <c r="N276" s="603">
        <v>4835523.82</v>
      </c>
      <c r="O276" s="603">
        <v>4790332.01</v>
      </c>
      <c r="P276" s="603">
        <v>4745140.2</v>
      </c>
      <c r="Q276" s="603">
        <v>4699948.3899999997</v>
      </c>
      <c r="R276" s="603">
        <v>4654756.58</v>
      </c>
      <c r="S276" s="484">
        <f t="shared" si="52"/>
        <v>4925907.4400000004</v>
      </c>
      <c r="T276" s="604"/>
      <c r="U276" s="646">
        <f>+S276</f>
        <v>4925907.4400000004</v>
      </c>
      <c r="V276" s="679"/>
      <c r="W276" s="679"/>
      <c r="X276" s="702"/>
      <c r="Y276" s="679"/>
      <c r="Z276" s="679"/>
      <c r="AA276" s="642"/>
      <c r="AB276" s="679">
        <f>+X276</f>
        <v>0</v>
      </c>
      <c r="AC276" s="643"/>
      <c r="AD276" s="644">
        <f>+S276</f>
        <v>4925907.4400000004</v>
      </c>
      <c r="AE276" s="643"/>
      <c r="AF276" s="677">
        <f t="shared" si="50"/>
        <v>0</v>
      </c>
    </row>
    <row r="277" spans="1:32">
      <c r="A277" s="604">
        <v>263</v>
      </c>
      <c r="B277" s="316" t="s">
        <v>984</v>
      </c>
      <c r="C277" s="316" t="s">
        <v>446</v>
      </c>
      <c r="D277" s="316" t="s">
        <v>1394</v>
      </c>
      <c r="E277" s="602" t="s">
        <v>1579</v>
      </c>
      <c r="F277" s="603">
        <v>70723.14</v>
      </c>
      <c r="G277" s="603">
        <v>62709.42</v>
      </c>
      <c r="H277" s="603">
        <v>55206.400000000001</v>
      </c>
      <c r="I277" s="603">
        <v>46707.57</v>
      </c>
      <c r="J277" s="603">
        <v>234531.38</v>
      </c>
      <c r="K277" s="603">
        <v>233174.02</v>
      </c>
      <c r="L277" s="603">
        <v>231786.92</v>
      </c>
      <c r="M277" s="603">
        <v>230684.2</v>
      </c>
      <c r="N277" s="603">
        <v>229712.1</v>
      </c>
      <c r="O277" s="603">
        <v>228723.35</v>
      </c>
      <c r="P277" s="603">
        <v>226684.72</v>
      </c>
      <c r="Q277" s="603">
        <v>224096.26</v>
      </c>
      <c r="R277" s="603">
        <v>220486.17</v>
      </c>
      <c r="S277" s="484">
        <f t="shared" si="52"/>
        <v>179135.08291666667</v>
      </c>
      <c r="T277" s="604"/>
      <c r="U277" s="642"/>
      <c r="V277" s="679"/>
      <c r="W277" s="679"/>
      <c r="X277" s="702">
        <f t="shared" si="55"/>
        <v>179135.08291666667</v>
      </c>
      <c r="Y277" s="679"/>
      <c r="Z277" s="679"/>
      <c r="AA277" s="642"/>
      <c r="AB277" s="679">
        <f>+X277</f>
        <v>179135.08291666667</v>
      </c>
      <c r="AC277" s="643"/>
      <c r="AD277" s="644"/>
      <c r="AE277" s="643"/>
      <c r="AF277" s="677">
        <f t="shared" si="50"/>
        <v>0</v>
      </c>
    </row>
    <row r="278" spans="1:32">
      <c r="A278" s="604">
        <v>264</v>
      </c>
      <c r="B278" s="316" t="s">
        <v>984</v>
      </c>
      <c r="C278" s="316" t="s">
        <v>446</v>
      </c>
      <c r="D278" s="316" t="s">
        <v>1408</v>
      </c>
      <c r="E278" s="602" t="s">
        <v>1582</v>
      </c>
      <c r="F278" s="603">
        <v>0</v>
      </c>
      <c r="G278" s="603">
        <v>0</v>
      </c>
      <c r="H278" s="603">
        <v>0</v>
      </c>
      <c r="I278" s="603">
        <v>0</v>
      </c>
      <c r="J278" s="603">
        <v>567072.48</v>
      </c>
      <c r="K278" s="603">
        <v>550870.41</v>
      </c>
      <c r="L278" s="603">
        <v>534668.34</v>
      </c>
      <c r="M278" s="603">
        <v>518466.27</v>
      </c>
      <c r="N278" s="603">
        <v>502264.2</v>
      </c>
      <c r="O278" s="603">
        <v>486062.13</v>
      </c>
      <c r="P278" s="603">
        <v>469860.06</v>
      </c>
      <c r="Q278" s="603">
        <v>453657.99</v>
      </c>
      <c r="R278" s="603">
        <v>437455.92</v>
      </c>
      <c r="S278" s="484">
        <f t="shared" si="52"/>
        <v>358470.82</v>
      </c>
      <c r="T278" s="604"/>
      <c r="U278" s="642"/>
      <c r="V278" s="679"/>
      <c r="W278" s="679"/>
      <c r="X278" s="702">
        <f>+S278</f>
        <v>358470.82</v>
      </c>
      <c r="Y278" s="679"/>
      <c r="Z278" s="679"/>
      <c r="AA278" s="642"/>
      <c r="AB278" s="679">
        <f>+S278</f>
        <v>358470.82</v>
      </c>
      <c r="AC278" s="643"/>
      <c r="AD278" s="644"/>
      <c r="AE278" s="643"/>
      <c r="AF278" s="677"/>
    </row>
    <row r="279" spans="1:32">
      <c r="A279" s="604">
        <v>265</v>
      </c>
      <c r="B279" s="316" t="s">
        <v>959</v>
      </c>
      <c r="C279" s="316" t="s">
        <v>446</v>
      </c>
      <c r="D279" s="316" t="s">
        <v>1409</v>
      </c>
      <c r="E279" s="602" t="s">
        <v>1871</v>
      </c>
      <c r="F279" s="603">
        <v>0</v>
      </c>
      <c r="G279" s="603">
        <v>0</v>
      </c>
      <c r="H279" s="603">
        <v>0</v>
      </c>
      <c r="I279" s="603">
        <v>0</v>
      </c>
      <c r="J279" s="603">
        <v>0</v>
      </c>
      <c r="K279" s="603">
        <v>0</v>
      </c>
      <c r="L279" s="603">
        <v>0</v>
      </c>
      <c r="M279" s="603">
        <v>0</v>
      </c>
      <c r="N279" s="603">
        <v>0</v>
      </c>
      <c r="O279" s="603">
        <v>0</v>
      </c>
      <c r="P279" s="603">
        <v>0</v>
      </c>
      <c r="Q279" s="603">
        <v>0</v>
      </c>
      <c r="R279" s="603">
        <v>277480.27</v>
      </c>
      <c r="S279" s="484">
        <f t="shared" si="52"/>
        <v>11561.677916666667</v>
      </c>
      <c r="T279" s="604"/>
      <c r="U279" s="642">
        <f>+S279</f>
        <v>11561.677916666667</v>
      </c>
      <c r="V279" s="679"/>
      <c r="W279" s="679"/>
      <c r="X279" s="702"/>
      <c r="Y279" s="679"/>
      <c r="Z279" s="679"/>
      <c r="AA279" s="642"/>
      <c r="AB279" s="679"/>
      <c r="AC279" s="643"/>
      <c r="AD279" s="644">
        <f>+S279</f>
        <v>11561.677916666667</v>
      </c>
      <c r="AE279" s="643"/>
      <c r="AF279" s="677"/>
    </row>
    <row r="280" spans="1:32">
      <c r="A280" s="604">
        <v>266</v>
      </c>
      <c r="B280" s="316" t="s">
        <v>1844</v>
      </c>
      <c r="C280" s="316" t="s">
        <v>489</v>
      </c>
      <c r="D280" s="316" t="s">
        <v>1851</v>
      </c>
      <c r="E280" s="602" t="s">
        <v>1585</v>
      </c>
      <c r="F280" s="603">
        <v>0</v>
      </c>
      <c r="G280" s="603">
        <v>641534.98</v>
      </c>
      <c r="H280" s="603">
        <v>1111122.68</v>
      </c>
      <c r="I280" s="603">
        <v>2014787.43</v>
      </c>
      <c r="J280" s="603">
        <v>2241907.98</v>
      </c>
      <c r="K280" s="603">
        <v>1798183.13</v>
      </c>
      <c r="L280" s="603">
        <v>1844315.2</v>
      </c>
      <c r="M280" s="603">
        <v>1839483.45</v>
      </c>
      <c r="N280" s="603">
        <v>1589409.23</v>
      </c>
      <c r="O280" s="603">
        <v>1673282.96</v>
      </c>
      <c r="P280" s="603">
        <v>2483085.9500000002</v>
      </c>
      <c r="Q280" s="603">
        <v>2304319.4700000002</v>
      </c>
      <c r="R280" s="603">
        <v>1784571.53</v>
      </c>
      <c r="S280" s="484">
        <f t="shared" si="52"/>
        <v>1702809.8520833331</v>
      </c>
      <c r="T280" s="604"/>
      <c r="U280" s="642"/>
      <c r="V280" s="679">
        <f>+S280</f>
        <v>1702809.8520833331</v>
      </c>
      <c r="W280" s="679"/>
      <c r="X280" s="702"/>
      <c r="Y280" s="679"/>
      <c r="Z280" s="679"/>
      <c r="AA280" s="642"/>
      <c r="AB280" s="679"/>
      <c r="AC280" s="643"/>
      <c r="AD280" s="644">
        <f>+S280</f>
        <v>1702809.8520833331</v>
      </c>
      <c r="AE280" s="643"/>
      <c r="AF280" s="677"/>
    </row>
    <row r="281" spans="1:32">
      <c r="A281" s="604">
        <v>267</v>
      </c>
      <c r="B281" s="316" t="s">
        <v>1844</v>
      </c>
      <c r="C281" s="316" t="s">
        <v>489</v>
      </c>
      <c r="D281" s="316" t="s">
        <v>1853</v>
      </c>
      <c r="E281" s="602" t="s">
        <v>1585</v>
      </c>
      <c r="F281" s="603">
        <v>0</v>
      </c>
      <c r="G281" s="603">
        <v>1598763.47</v>
      </c>
      <c r="H281" s="603">
        <v>4137153.52</v>
      </c>
      <c r="I281" s="603">
        <v>4682162.58</v>
      </c>
      <c r="J281" s="603">
        <v>3891731.19</v>
      </c>
      <c r="K281" s="603">
        <v>3688842.38</v>
      </c>
      <c r="L281" s="603">
        <v>3465330.59</v>
      </c>
      <c r="M281" s="603">
        <v>3444803.79</v>
      </c>
      <c r="N281" s="603">
        <v>3048805.93</v>
      </c>
      <c r="O281" s="603">
        <v>3133600.3</v>
      </c>
      <c r="P281" s="603">
        <v>3430358.19</v>
      </c>
      <c r="Q281" s="603">
        <v>3793768.43</v>
      </c>
      <c r="R281" s="603">
        <v>2992929.3</v>
      </c>
      <c r="S281" s="484">
        <f t="shared" si="52"/>
        <v>3317648.7516666665</v>
      </c>
      <c r="T281" s="604"/>
      <c r="U281" s="642"/>
      <c r="V281" s="679">
        <f>+S281</f>
        <v>3317648.7516666665</v>
      </c>
      <c r="W281" s="679"/>
      <c r="X281" s="702"/>
      <c r="Y281" s="679"/>
      <c r="Z281" s="679"/>
      <c r="AA281" s="642"/>
      <c r="AB281" s="679"/>
      <c r="AC281" s="643"/>
      <c r="AD281" s="644">
        <f>+S281</f>
        <v>3317648.7516666665</v>
      </c>
      <c r="AE281" s="643"/>
      <c r="AF281" s="677"/>
    </row>
    <row r="282" spans="1:32">
      <c r="A282" s="604">
        <v>268</v>
      </c>
      <c r="B282" s="316" t="s">
        <v>959</v>
      </c>
      <c r="C282" s="316" t="s">
        <v>489</v>
      </c>
      <c r="D282" s="316" t="s">
        <v>1167</v>
      </c>
      <c r="E282" s="602" t="s">
        <v>1587</v>
      </c>
      <c r="F282" s="603">
        <v>0</v>
      </c>
      <c r="G282" s="603">
        <v>0</v>
      </c>
      <c r="H282" s="603">
        <v>0</v>
      </c>
      <c r="I282" s="603">
        <v>0</v>
      </c>
      <c r="J282" s="603">
        <v>0</v>
      </c>
      <c r="K282" s="603">
        <v>0</v>
      </c>
      <c r="L282" s="603">
        <v>0</v>
      </c>
      <c r="M282" s="603">
        <v>0</v>
      </c>
      <c r="N282" s="603">
        <v>0</v>
      </c>
      <c r="O282" s="603">
        <v>0</v>
      </c>
      <c r="P282" s="603">
        <v>0</v>
      </c>
      <c r="Q282" s="603">
        <v>0</v>
      </c>
      <c r="R282" s="603">
        <v>0</v>
      </c>
      <c r="S282" s="484">
        <f t="shared" si="52"/>
        <v>0</v>
      </c>
      <c r="T282" s="604"/>
      <c r="U282" s="642"/>
      <c r="V282" s="679"/>
      <c r="W282" s="679"/>
      <c r="X282" s="702">
        <f t="shared" si="55"/>
        <v>0</v>
      </c>
      <c r="Y282" s="679"/>
      <c r="Z282" s="679"/>
      <c r="AA282" s="642"/>
      <c r="AB282" s="679">
        <f t="shared" ref="AB282:AB291" si="56">+X282</f>
        <v>0</v>
      </c>
      <c r="AC282" s="643"/>
      <c r="AD282" s="644"/>
      <c r="AE282" s="643"/>
      <c r="AF282" s="677">
        <f t="shared" si="50"/>
        <v>0</v>
      </c>
    </row>
    <row r="283" spans="1:32">
      <c r="A283" s="604">
        <v>269</v>
      </c>
      <c r="B283" s="316" t="s">
        <v>959</v>
      </c>
      <c r="C283" s="316" t="s">
        <v>489</v>
      </c>
      <c r="D283" s="316" t="s">
        <v>1168</v>
      </c>
      <c r="E283" s="602" t="s">
        <v>1588</v>
      </c>
      <c r="F283" s="603">
        <v>0</v>
      </c>
      <c r="G283" s="603">
        <v>0</v>
      </c>
      <c r="H283" s="603">
        <v>0</v>
      </c>
      <c r="I283" s="603">
        <v>0</v>
      </c>
      <c r="J283" s="603">
        <v>0</v>
      </c>
      <c r="K283" s="603">
        <v>0</v>
      </c>
      <c r="L283" s="603">
        <v>0</v>
      </c>
      <c r="M283" s="603">
        <v>0</v>
      </c>
      <c r="N283" s="603">
        <v>0</v>
      </c>
      <c r="O283" s="603">
        <v>0</v>
      </c>
      <c r="P283" s="603">
        <v>0</v>
      </c>
      <c r="Q283" s="603">
        <v>0</v>
      </c>
      <c r="R283" s="603">
        <v>0</v>
      </c>
      <c r="S283" s="484">
        <f t="shared" si="52"/>
        <v>0</v>
      </c>
      <c r="T283" s="604"/>
      <c r="U283" s="642"/>
      <c r="V283" s="679"/>
      <c r="W283" s="679"/>
      <c r="X283" s="702">
        <f t="shared" si="55"/>
        <v>0</v>
      </c>
      <c r="Y283" s="679"/>
      <c r="Z283" s="679"/>
      <c r="AA283" s="642"/>
      <c r="AB283" s="679">
        <f t="shared" si="56"/>
        <v>0</v>
      </c>
      <c r="AC283" s="643"/>
      <c r="AD283" s="644"/>
      <c r="AE283" s="643"/>
      <c r="AF283" s="677">
        <f t="shared" si="50"/>
        <v>0</v>
      </c>
    </row>
    <row r="284" spans="1:32">
      <c r="A284" s="604">
        <v>270</v>
      </c>
      <c r="B284" s="316" t="s">
        <v>959</v>
      </c>
      <c r="C284" s="316" t="s">
        <v>489</v>
      </c>
      <c r="D284" s="316" t="s">
        <v>1160</v>
      </c>
      <c r="E284" s="602" t="s">
        <v>1589</v>
      </c>
      <c r="F284" s="603">
        <v>0</v>
      </c>
      <c r="G284" s="603">
        <v>0</v>
      </c>
      <c r="H284" s="603">
        <v>0</v>
      </c>
      <c r="I284" s="603">
        <v>0</v>
      </c>
      <c r="J284" s="603">
        <v>0</v>
      </c>
      <c r="K284" s="603">
        <v>0</v>
      </c>
      <c r="L284" s="603">
        <v>0</v>
      </c>
      <c r="M284" s="603">
        <v>0</v>
      </c>
      <c r="N284" s="603">
        <v>0</v>
      </c>
      <c r="O284" s="603">
        <v>0</v>
      </c>
      <c r="P284" s="603">
        <v>0</v>
      </c>
      <c r="Q284" s="603">
        <v>0</v>
      </c>
      <c r="R284" s="603">
        <v>0</v>
      </c>
      <c r="S284" s="484">
        <f t="shared" si="52"/>
        <v>0</v>
      </c>
      <c r="T284" s="604"/>
      <c r="U284" s="642"/>
      <c r="V284" s="679"/>
      <c r="W284" s="679"/>
      <c r="X284" s="702">
        <f t="shared" si="55"/>
        <v>0</v>
      </c>
      <c r="Y284" s="679"/>
      <c r="Z284" s="679"/>
      <c r="AA284" s="642"/>
      <c r="AB284" s="679">
        <f t="shared" si="56"/>
        <v>0</v>
      </c>
      <c r="AC284" s="643"/>
      <c r="AD284" s="644"/>
      <c r="AE284" s="643"/>
      <c r="AF284" s="677">
        <f t="shared" si="50"/>
        <v>0</v>
      </c>
    </row>
    <row r="285" spans="1:32">
      <c r="A285" s="604">
        <v>271</v>
      </c>
      <c r="B285" s="316" t="s">
        <v>959</v>
      </c>
      <c r="C285" s="316" t="s">
        <v>489</v>
      </c>
      <c r="D285" s="316" t="s">
        <v>1162</v>
      </c>
      <c r="E285" s="602" t="s">
        <v>1590</v>
      </c>
      <c r="F285" s="603">
        <v>0</v>
      </c>
      <c r="G285" s="603">
        <v>0</v>
      </c>
      <c r="H285" s="603">
        <v>0</v>
      </c>
      <c r="I285" s="603">
        <v>0</v>
      </c>
      <c r="J285" s="603">
        <v>0</v>
      </c>
      <c r="K285" s="603">
        <v>0</v>
      </c>
      <c r="L285" s="603">
        <v>0</v>
      </c>
      <c r="M285" s="603">
        <v>0</v>
      </c>
      <c r="N285" s="603">
        <v>0</v>
      </c>
      <c r="O285" s="603">
        <v>0</v>
      </c>
      <c r="P285" s="603">
        <v>0</v>
      </c>
      <c r="Q285" s="603">
        <v>0</v>
      </c>
      <c r="R285" s="603">
        <v>0</v>
      </c>
      <c r="S285" s="484">
        <f t="shared" si="52"/>
        <v>0</v>
      </c>
      <c r="T285" s="604"/>
      <c r="U285" s="642"/>
      <c r="V285" s="679"/>
      <c r="W285" s="679"/>
      <c r="X285" s="702">
        <f t="shared" si="55"/>
        <v>0</v>
      </c>
      <c r="Y285" s="679"/>
      <c r="Z285" s="679"/>
      <c r="AA285" s="642"/>
      <c r="AB285" s="679">
        <f t="shared" si="56"/>
        <v>0</v>
      </c>
      <c r="AC285" s="643"/>
      <c r="AD285" s="644"/>
      <c r="AE285" s="643"/>
      <c r="AF285" s="677">
        <f t="shared" si="50"/>
        <v>0</v>
      </c>
    </row>
    <row r="286" spans="1:32">
      <c r="A286" s="604">
        <v>272</v>
      </c>
      <c r="B286" s="316" t="s">
        <v>984</v>
      </c>
      <c r="C286" s="316" t="s">
        <v>489</v>
      </c>
      <c r="D286" s="316" t="s">
        <v>1169</v>
      </c>
      <c r="E286" s="602" t="s">
        <v>1583</v>
      </c>
      <c r="F286" s="603">
        <v>643838.16</v>
      </c>
      <c r="G286" s="603">
        <v>984986.82</v>
      </c>
      <c r="H286" s="603">
        <v>329914.84000000003</v>
      </c>
      <c r="I286" s="603">
        <v>-368987.36</v>
      </c>
      <c r="J286" s="603">
        <v>-123533.88</v>
      </c>
      <c r="K286" s="603">
        <v>166169.65</v>
      </c>
      <c r="L286" s="603">
        <v>207631.55</v>
      </c>
      <c r="M286" s="603">
        <v>208913.58</v>
      </c>
      <c r="N286" s="603">
        <v>210203.51999999999</v>
      </c>
      <c r="O286" s="603">
        <v>205820.39</v>
      </c>
      <c r="P286" s="603">
        <v>-238349.44</v>
      </c>
      <c r="Q286" s="603">
        <v>-513985.37</v>
      </c>
      <c r="R286" s="603">
        <v>-35331.469999999899</v>
      </c>
      <c r="S286" s="484">
        <f t="shared" si="52"/>
        <v>114419.80375000001</v>
      </c>
      <c r="T286" s="604"/>
      <c r="U286" s="642"/>
      <c r="V286" s="679"/>
      <c r="W286" s="679"/>
      <c r="X286" s="702">
        <f t="shared" si="55"/>
        <v>114419.80375000001</v>
      </c>
      <c r="Y286" s="679"/>
      <c r="Z286" s="679"/>
      <c r="AA286" s="642"/>
      <c r="AB286" s="679">
        <f t="shared" si="56"/>
        <v>114419.80375000001</v>
      </c>
      <c r="AC286" s="643"/>
      <c r="AD286" s="644"/>
      <c r="AE286" s="643"/>
      <c r="AF286" s="677">
        <f t="shared" si="50"/>
        <v>0</v>
      </c>
    </row>
    <row r="287" spans="1:32">
      <c r="A287" s="604">
        <v>273</v>
      </c>
      <c r="B287" s="316" t="s">
        <v>984</v>
      </c>
      <c r="C287" s="316" t="s">
        <v>489</v>
      </c>
      <c r="D287" s="316" t="s">
        <v>1170</v>
      </c>
      <c r="E287" s="602" t="s">
        <v>1584</v>
      </c>
      <c r="F287" s="603">
        <v>-228902.82</v>
      </c>
      <c r="G287" s="603">
        <v>-1130641.23</v>
      </c>
      <c r="H287" s="603">
        <v>-1158532.98</v>
      </c>
      <c r="I287" s="603">
        <v>-1532863.72</v>
      </c>
      <c r="J287" s="603">
        <v>-2118355.13</v>
      </c>
      <c r="K287" s="603">
        <v>-2008163.65</v>
      </c>
      <c r="L287" s="603">
        <v>-2142432.1</v>
      </c>
      <c r="M287" s="603">
        <v>-2174164.87</v>
      </c>
      <c r="N287" s="603">
        <v>-1947628.44</v>
      </c>
      <c r="O287" s="603">
        <v>-2078140.8</v>
      </c>
      <c r="P287" s="603">
        <v>-2580194.39</v>
      </c>
      <c r="Q287" s="603">
        <v>-360682.3</v>
      </c>
      <c r="R287" s="603">
        <v>-590581.18999999994</v>
      </c>
      <c r="S287" s="484">
        <f t="shared" si="52"/>
        <v>-1636795.1345833333</v>
      </c>
      <c r="T287" s="604"/>
      <c r="U287" s="642"/>
      <c r="V287" s="679"/>
      <c r="W287" s="679"/>
      <c r="X287" s="702">
        <f t="shared" si="55"/>
        <v>-1636795.1345833333</v>
      </c>
      <c r="Y287" s="679"/>
      <c r="Z287" s="679"/>
      <c r="AA287" s="642"/>
      <c r="AB287" s="679">
        <f t="shared" si="56"/>
        <v>-1636795.1345833333</v>
      </c>
      <c r="AC287" s="643"/>
      <c r="AD287" s="644"/>
      <c r="AE287" s="643"/>
      <c r="AF287" s="677">
        <f t="shared" si="50"/>
        <v>0</v>
      </c>
    </row>
    <row r="288" spans="1:32">
      <c r="A288" s="604">
        <v>274</v>
      </c>
      <c r="B288" s="316" t="s">
        <v>984</v>
      </c>
      <c r="C288" s="316" t="s">
        <v>489</v>
      </c>
      <c r="D288" s="316" t="s">
        <v>1171</v>
      </c>
      <c r="E288" s="602" t="s">
        <v>1585</v>
      </c>
      <c r="F288" s="603">
        <v>444461.68</v>
      </c>
      <c r="G288" s="603">
        <v>0</v>
      </c>
      <c r="H288" s="603">
        <v>0</v>
      </c>
      <c r="I288" s="603">
        <v>0</v>
      </c>
      <c r="J288" s="603">
        <v>0</v>
      </c>
      <c r="K288" s="603">
        <v>0</v>
      </c>
      <c r="L288" s="603">
        <v>0</v>
      </c>
      <c r="M288" s="603">
        <v>0</v>
      </c>
      <c r="N288" s="603">
        <v>0</v>
      </c>
      <c r="O288" s="603">
        <v>0</v>
      </c>
      <c r="P288" s="603">
        <v>0</v>
      </c>
      <c r="Q288" s="603">
        <v>0</v>
      </c>
      <c r="R288" s="603">
        <v>0</v>
      </c>
      <c r="S288" s="484">
        <f t="shared" si="52"/>
        <v>18519.236666666668</v>
      </c>
      <c r="T288" s="604"/>
      <c r="U288" s="642"/>
      <c r="V288" s="679">
        <f>+S288</f>
        <v>18519.236666666668</v>
      </c>
      <c r="W288" s="679"/>
      <c r="X288" s="702"/>
      <c r="Y288" s="679"/>
      <c r="Z288" s="679"/>
      <c r="AA288" s="642"/>
      <c r="AB288" s="679">
        <f t="shared" si="56"/>
        <v>0</v>
      </c>
      <c r="AC288" s="643"/>
      <c r="AD288" s="644">
        <f>+S288</f>
        <v>18519.236666666668</v>
      </c>
      <c r="AE288" s="643"/>
      <c r="AF288" s="677">
        <f t="shared" si="50"/>
        <v>0</v>
      </c>
    </row>
    <row r="289" spans="1:32">
      <c r="A289" s="604">
        <v>275</v>
      </c>
      <c r="B289" s="316" t="s">
        <v>984</v>
      </c>
      <c r="C289" s="316" t="s">
        <v>489</v>
      </c>
      <c r="D289" s="316" t="s">
        <v>1172</v>
      </c>
      <c r="E289" s="602" t="s">
        <v>1586</v>
      </c>
      <c r="F289" s="603">
        <v>-859397.02</v>
      </c>
      <c r="G289" s="603">
        <v>-647935</v>
      </c>
      <c r="H289" s="603">
        <v>-449843.62</v>
      </c>
      <c r="I289" s="603">
        <v>-224713.82</v>
      </c>
      <c r="J289" s="603">
        <v>-72025.13</v>
      </c>
      <c r="K289" s="603">
        <v>7716.5999999999904</v>
      </c>
      <c r="L289" s="603">
        <v>62336.9</v>
      </c>
      <c r="M289" s="603">
        <v>102130.51</v>
      </c>
      <c r="N289" s="603">
        <v>135575.28</v>
      </c>
      <c r="O289" s="603">
        <v>168612.3</v>
      </c>
      <c r="P289" s="603">
        <v>247812.78</v>
      </c>
      <c r="Q289" s="603">
        <v>-1598765.05</v>
      </c>
      <c r="R289" s="603">
        <v>-1349763.52</v>
      </c>
      <c r="S289" s="484">
        <f t="shared" si="52"/>
        <v>-281139.87666666665</v>
      </c>
      <c r="T289" s="604"/>
      <c r="U289" s="642"/>
      <c r="V289" s="679"/>
      <c r="W289" s="679"/>
      <c r="X289" s="702">
        <f t="shared" si="55"/>
        <v>-281139.87666666665</v>
      </c>
      <c r="Y289" s="679"/>
      <c r="Z289" s="679"/>
      <c r="AA289" s="642"/>
      <c r="AB289" s="679">
        <f t="shared" si="56"/>
        <v>-281139.87666666665</v>
      </c>
      <c r="AC289" s="643"/>
      <c r="AD289" s="644"/>
      <c r="AE289" s="643"/>
      <c r="AF289" s="677">
        <f t="shared" si="50"/>
        <v>0</v>
      </c>
    </row>
    <row r="290" spans="1:32">
      <c r="A290" s="604">
        <v>276</v>
      </c>
      <c r="B290" s="316" t="s">
        <v>959</v>
      </c>
      <c r="C290" s="316" t="s">
        <v>489</v>
      </c>
      <c r="D290" s="316" t="s">
        <v>1872</v>
      </c>
      <c r="E290" s="602" t="s">
        <v>1873</v>
      </c>
      <c r="F290" s="603">
        <v>0</v>
      </c>
      <c r="G290" s="603">
        <v>152054.43</v>
      </c>
      <c r="H290" s="603">
        <v>167339.07999999999</v>
      </c>
      <c r="I290" s="603">
        <v>111777.47</v>
      </c>
      <c r="J290" s="603">
        <v>72006.16</v>
      </c>
      <c r="K290" s="603">
        <v>36094.269999999997</v>
      </c>
      <c r="L290" s="603">
        <v>28148.45</v>
      </c>
      <c r="M290" s="603">
        <v>23637.33</v>
      </c>
      <c r="N290" s="603">
        <v>12440.41</v>
      </c>
      <c r="O290" s="603">
        <v>30425.15</v>
      </c>
      <c r="P290" s="603">
        <v>87645.1</v>
      </c>
      <c r="Q290" s="603">
        <v>169113.25</v>
      </c>
      <c r="R290" s="603">
        <v>191104.65</v>
      </c>
      <c r="S290" s="484">
        <f t="shared" si="52"/>
        <v>82186.118749999994</v>
      </c>
      <c r="T290" s="604"/>
      <c r="U290" s="642"/>
      <c r="V290" s="679"/>
      <c r="W290" s="679"/>
      <c r="X290" s="702">
        <f t="shared" si="55"/>
        <v>82186.118749999994</v>
      </c>
      <c r="Y290" s="679"/>
      <c r="Z290" s="679"/>
      <c r="AA290" s="642"/>
      <c r="AB290" s="679">
        <f t="shared" si="56"/>
        <v>82186.118749999994</v>
      </c>
      <c r="AC290" s="643"/>
      <c r="AD290" s="644"/>
      <c r="AE290" s="643"/>
      <c r="AF290" s="677">
        <f t="shared" si="50"/>
        <v>0</v>
      </c>
    </row>
    <row r="291" spans="1:32">
      <c r="A291" s="604">
        <v>277</v>
      </c>
      <c r="B291" s="316" t="s">
        <v>959</v>
      </c>
      <c r="C291" s="316" t="s">
        <v>489</v>
      </c>
      <c r="D291" s="316" t="s">
        <v>1165</v>
      </c>
      <c r="E291" s="602" t="s">
        <v>1591</v>
      </c>
      <c r="F291" s="603">
        <v>0</v>
      </c>
      <c r="G291" s="603">
        <v>0</v>
      </c>
      <c r="H291" s="603">
        <v>0</v>
      </c>
      <c r="I291" s="603">
        <v>0</v>
      </c>
      <c r="J291" s="603">
        <v>0</v>
      </c>
      <c r="K291" s="603">
        <v>0</v>
      </c>
      <c r="L291" s="603">
        <v>0</v>
      </c>
      <c r="M291" s="603">
        <v>0</v>
      </c>
      <c r="N291" s="603">
        <v>0</v>
      </c>
      <c r="O291" s="603">
        <v>0</v>
      </c>
      <c r="P291" s="603">
        <v>0</v>
      </c>
      <c r="Q291" s="603">
        <v>0</v>
      </c>
      <c r="R291" s="603">
        <v>0</v>
      </c>
      <c r="S291" s="484">
        <f t="shared" si="52"/>
        <v>0</v>
      </c>
      <c r="T291" s="604"/>
      <c r="U291" s="642"/>
      <c r="V291" s="679"/>
      <c r="W291" s="679"/>
      <c r="X291" s="702">
        <f t="shared" si="55"/>
        <v>0</v>
      </c>
      <c r="Y291" s="679"/>
      <c r="Z291" s="679"/>
      <c r="AA291" s="642"/>
      <c r="AB291" s="679">
        <f t="shared" si="56"/>
        <v>0</v>
      </c>
      <c r="AC291" s="643"/>
      <c r="AD291" s="644"/>
      <c r="AE291" s="643"/>
      <c r="AF291" s="677">
        <f t="shared" si="50"/>
        <v>0</v>
      </c>
    </row>
    <row r="292" spans="1:32">
      <c r="A292" s="604">
        <v>278</v>
      </c>
      <c r="B292" s="316" t="s">
        <v>959</v>
      </c>
      <c r="C292" s="316" t="s">
        <v>489</v>
      </c>
      <c r="D292" s="316" t="s">
        <v>1166</v>
      </c>
      <c r="E292" s="602" t="s">
        <v>1592</v>
      </c>
      <c r="F292" s="603">
        <v>4075395.82</v>
      </c>
      <c r="G292" s="603">
        <v>0</v>
      </c>
      <c r="H292" s="603">
        <v>0</v>
      </c>
      <c r="I292" s="603">
        <v>0</v>
      </c>
      <c r="J292" s="603">
        <v>0</v>
      </c>
      <c r="K292" s="603">
        <v>0</v>
      </c>
      <c r="L292" s="603">
        <v>0</v>
      </c>
      <c r="M292" s="603">
        <v>0</v>
      </c>
      <c r="N292" s="603">
        <v>0</v>
      </c>
      <c r="O292" s="603">
        <v>0</v>
      </c>
      <c r="P292" s="603">
        <v>0</v>
      </c>
      <c r="Q292" s="603">
        <v>0</v>
      </c>
      <c r="R292" s="603">
        <v>0</v>
      </c>
      <c r="S292" s="484">
        <f t="shared" si="52"/>
        <v>169808.15916666665</v>
      </c>
      <c r="T292" s="604"/>
      <c r="U292" s="642"/>
      <c r="V292" s="679">
        <f>+S292</f>
        <v>169808.15916666665</v>
      </c>
      <c r="W292" s="679"/>
      <c r="X292" s="702"/>
      <c r="Y292" s="679"/>
      <c r="Z292" s="679"/>
      <c r="AA292" s="642"/>
      <c r="AB292" s="679"/>
      <c r="AC292" s="643"/>
      <c r="AD292" s="644">
        <f>+S292</f>
        <v>169808.15916666665</v>
      </c>
      <c r="AE292" s="643"/>
      <c r="AF292" s="677">
        <f t="shared" si="50"/>
        <v>0</v>
      </c>
    </row>
    <row r="293" spans="1:32">
      <c r="A293" s="604">
        <v>279</v>
      </c>
      <c r="B293" s="316" t="s">
        <v>959</v>
      </c>
      <c r="C293" s="316" t="s">
        <v>489</v>
      </c>
      <c r="D293" s="316" t="s">
        <v>1394</v>
      </c>
      <c r="E293" s="602" t="s">
        <v>1593</v>
      </c>
      <c r="F293" s="603">
        <v>-5089098.99</v>
      </c>
      <c r="G293" s="603">
        <v>-4124640.33</v>
      </c>
      <c r="H293" s="603">
        <v>-3089840.52</v>
      </c>
      <c r="I293" s="603">
        <v>-1945226.2</v>
      </c>
      <c r="J293" s="603">
        <v>-1296286.46</v>
      </c>
      <c r="K293" s="603">
        <v>-902155.4</v>
      </c>
      <c r="L293" s="603">
        <v>-660483.6</v>
      </c>
      <c r="M293" s="603">
        <v>-453451.97</v>
      </c>
      <c r="N293" s="603">
        <v>-263237.06</v>
      </c>
      <c r="O293" s="603">
        <v>-83052.119999999806</v>
      </c>
      <c r="P293" s="603">
        <v>346885.78</v>
      </c>
      <c r="Q293" s="603">
        <v>1797161.5</v>
      </c>
      <c r="R293" s="603">
        <v>1618895.22</v>
      </c>
      <c r="S293" s="484">
        <f>((F293+R293)+((G293+H293+I293+J293+K293+L293+M293+N293+O293+P293+Q293)*2))/24</f>
        <v>-1034119.0220833332</v>
      </c>
      <c r="T293" s="604"/>
      <c r="U293" s="642"/>
      <c r="V293" s="679"/>
      <c r="W293" s="679"/>
      <c r="X293" s="702">
        <f>+S293</f>
        <v>-1034119.0220833332</v>
      </c>
      <c r="Y293" s="679"/>
      <c r="Z293" s="679"/>
      <c r="AA293" s="642"/>
      <c r="AB293" s="679">
        <f>+S293</f>
        <v>-1034119.0220833332</v>
      </c>
      <c r="AC293" s="643"/>
      <c r="AD293" s="644"/>
      <c r="AE293" s="643"/>
      <c r="AF293" s="677">
        <f t="shared" si="50"/>
        <v>0</v>
      </c>
    </row>
    <row r="294" spans="1:32">
      <c r="A294" s="604">
        <v>280</v>
      </c>
      <c r="B294" s="316" t="s">
        <v>956</v>
      </c>
      <c r="C294" s="316" t="s">
        <v>490</v>
      </c>
      <c r="D294" s="316" t="s">
        <v>450</v>
      </c>
      <c r="E294" s="602" t="s">
        <v>1594</v>
      </c>
      <c r="F294" s="603">
        <v>4405213</v>
      </c>
      <c r="G294" s="603">
        <v>4405213</v>
      </c>
      <c r="H294" s="603">
        <v>4405213</v>
      </c>
      <c r="I294" s="603">
        <v>4405213</v>
      </c>
      <c r="J294" s="603">
        <v>4405213</v>
      </c>
      <c r="K294" s="603">
        <v>4405213</v>
      </c>
      <c r="L294" s="603">
        <v>4405213</v>
      </c>
      <c r="M294" s="603">
        <v>4405213</v>
      </c>
      <c r="N294" s="603">
        <v>4405213</v>
      </c>
      <c r="O294" s="603">
        <v>4405213</v>
      </c>
      <c r="P294" s="603">
        <v>4405213</v>
      </c>
      <c r="Q294" s="603">
        <v>4405213</v>
      </c>
      <c r="R294" s="603">
        <v>5114217</v>
      </c>
      <c r="S294" s="484">
        <f>((F294+R294)+((G294+H294+I294+J294+K294+L294+M294+N294+O294+P294+Q294)*2))/24</f>
        <v>4434754.833333333</v>
      </c>
      <c r="T294" s="604"/>
      <c r="U294" s="642"/>
      <c r="V294" s="679"/>
      <c r="W294" s="679"/>
      <c r="X294" s="702">
        <f>+S294</f>
        <v>4434754.833333333</v>
      </c>
      <c r="Y294" s="679"/>
      <c r="Z294" s="679"/>
      <c r="AA294" s="642"/>
      <c r="AB294" s="679">
        <f>+S294</f>
        <v>4434754.833333333</v>
      </c>
      <c r="AC294" s="643"/>
      <c r="AD294" s="644"/>
      <c r="AE294" s="643"/>
      <c r="AF294" s="677">
        <f t="shared" si="50"/>
        <v>0</v>
      </c>
    </row>
    <row r="295" spans="1:32">
      <c r="A295" s="604">
        <v>281</v>
      </c>
      <c r="B295" s="316" t="s">
        <v>959</v>
      </c>
      <c r="C295" s="316" t="s">
        <v>489</v>
      </c>
      <c r="D295" s="316" t="s">
        <v>1173</v>
      </c>
      <c r="E295" s="602" t="s">
        <v>1874</v>
      </c>
      <c r="F295" s="603">
        <v>1013703.17</v>
      </c>
      <c r="G295" s="603">
        <v>1862122.14</v>
      </c>
      <c r="H295" s="603">
        <v>-1875742.37</v>
      </c>
      <c r="I295" s="603">
        <v>-3284598.31</v>
      </c>
      <c r="J295" s="603">
        <v>-2886883.79</v>
      </c>
      <c r="K295" s="603">
        <v>-2954889.15</v>
      </c>
      <c r="L295" s="603">
        <v>-2925317.55</v>
      </c>
      <c r="M295" s="603">
        <v>-3111066.99</v>
      </c>
      <c r="N295" s="603">
        <v>-2851899.68</v>
      </c>
      <c r="O295" s="603">
        <v>-3210940.66</v>
      </c>
      <c r="P295" s="603">
        <v>-4163630.2</v>
      </c>
      <c r="Q295" s="603">
        <v>-5420059.8200000003</v>
      </c>
      <c r="R295" s="603">
        <v>-4410222.42</v>
      </c>
      <c r="S295" s="484">
        <f>((F295+R295)+((G295+H295+I295+J295+K295+L295+M295+N295+O295+P295+Q295)*2))/24</f>
        <v>-2710097.1670833337</v>
      </c>
      <c r="T295" s="604"/>
      <c r="U295" s="642"/>
      <c r="V295" s="679"/>
      <c r="W295" s="679"/>
      <c r="X295" s="702">
        <f>+S295</f>
        <v>-2710097.1670833337</v>
      </c>
      <c r="Y295" s="679"/>
      <c r="Z295" s="679"/>
      <c r="AA295" s="642"/>
      <c r="AB295" s="679">
        <f>+S295</f>
        <v>-2710097.1670833337</v>
      </c>
      <c r="AC295" s="643"/>
      <c r="AD295" s="644"/>
      <c r="AE295" s="643"/>
      <c r="AF295" s="677"/>
    </row>
    <row r="296" spans="1:32">
      <c r="A296" s="604">
        <v>282</v>
      </c>
      <c r="B296" s="316" t="s">
        <v>959</v>
      </c>
      <c r="C296" s="316" t="s">
        <v>489</v>
      </c>
      <c r="D296" s="316" t="s">
        <v>1872</v>
      </c>
      <c r="E296" s="602" t="s">
        <v>1873</v>
      </c>
      <c r="F296" s="603">
        <v>0</v>
      </c>
      <c r="G296" s="603">
        <v>663754.72</v>
      </c>
      <c r="H296" s="603">
        <v>828429.37</v>
      </c>
      <c r="I296" s="603">
        <v>547661.93000000005</v>
      </c>
      <c r="J296" s="603">
        <v>291439.06</v>
      </c>
      <c r="K296" s="603">
        <v>168202.17</v>
      </c>
      <c r="L296" s="603">
        <v>120470.56</v>
      </c>
      <c r="M296" s="603">
        <v>119715.17</v>
      </c>
      <c r="N296" s="603">
        <v>66330.809999999896</v>
      </c>
      <c r="O296" s="603">
        <v>160392.48000000001</v>
      </c>
      <c r="P296" s="603">
        <v>386386.23</v>
      </c>
      <c r="Q296" s="603">
        <v>-170858.55</v>
      </c>
      <c r="R296" s="603">
        <v>-201602.1</v>
      </c>
      <c r="S296" s="484">
        <f>((F296+R296)+((G296+H296+I296+J296+K296+L296+M296+N296+O296+P296+Q296)*2))/24</f>
        <v>256760.2416666667</v>
      </c>
      <c r="T296" s="604"/>
      <c r="U296" s="642"/>
      <c r="V296" s="679"/>
      <c r="W296" s="679"/>
      <c r="X296" s="702">
        <f>+S296</f>
        <v>256760.2416666667</v>
      </c>
      <c r="Y296" s="679"/>
      <c r="Z296" s="679"/>
      <c r="AA296" s="642"/>
      <c r="AB296" s="679">
        <f>+S296</f>
        <v>256760.2416666667</v>
      </c>
      <c r="AC296" s="643"/>
      <c r="AD296" s="644"/>
      <c r="AE296" s="643"/>
      <c r="AF296" s="677"/>
    </row>
    <row r="297" spans="1:32">
      <c r="A297" s="604">
        <v>283</v>
      </c>
      <c r="B297" s="316" t="s">
        <v>1844</v>
      </c>
      <c r="C297" s="316" t="s">
        <v>1875</v>
      </c>
      <c r="D297" s="316" t="s">
        <v>444</v>
      </c>
      <c r="E297" s="602" t="s">
        <v>1876</v>
      </c>
      <c r="F297" s="603">
        <v>0</v>
      </c>
      <c r="G297" s="603">
        <v>0</v>
      </c>
      <c r="H297" s="603">
        <v>289719.78000000003</v>
      </c>
      <c r="I297" s="603">
        <v>283311.46000000002</v>
      </c>
      <c r="J297" s="603">
        <v>278107.78999999998</v>
      </c>
      <c r="K297" s="603">
        <v>272887.74</v>
      </c>
      <c r="L297" s="603">
        <v>266375.51</v>
      </c>
      <c r="M297" s="603">
        <v>251531.02</v>
      </c>
      <c r="N297" s="603">
        <v>246178.54</v>
      </c>
      <c r="O297" s="603">
        <v>239584.91</v>
      </c>
      <c r="P297" s="603">
        <v>234195.48</v>
      </c>
      <c r="Q297" s="603">
        <v>228789.27</v>
      </c>
      <c r="R297" s="603">
        <v>220703.66</v>
      </c>
      <c r="S297" s="484">
        <f>((F297+R297)+((G297+H297+I297+J297+K297+L297+M297+N297+O297+P297+Q297)*2))/24</f>
        <v>225086.11083333334</v>
      </c>
      <c r="T297" s="604"/>
      <c r="U297" s="642"/>
      <c r="V297" s="679">
        <f>+S297</f>
        <v>225086.11083333334</v>
      </c>
      <c r="W297" s="679"/>
      <c r="X297" s="702"/>
      <c r="Y297" s="679"/>
      <c r="Z297" s="679"/>
      <c r="AA297" s="642"/>
      <c r="AB297" s="679"/>
      <c r="AC297" s="643"/>
      <c r="AD297" s="644">
        <f>+S297</f>
        <v>225086.11083333334</v>
      </c>
      <c r="AE297" s="643"/>
      <c r="AF297" s="677"/>
    </row>
    <row r="298" spans="1:32">
      <c r="A298" s="604">
        <v>284</v>
      </c>
      <c r="B298" s="604"/>
      <c r="C298" s="604"/>
      <c r="D298" s="604"/>
      <c r="E298" s="602" t="s">
        <v>491</v>
      </c>
      <c r="F298" s="486">
        <f>SUM(F229:F297)</f>
        <v>90797163.850000009</v>
      </c>
      <c r="G298" s="486">
        <f t="shared" ref="G298:S298" si="57">SUM(G229:G297)</f>
        <v>83872115.900000006</v>
      </c>
      <c r="H298" s="486">
        <f t="shared" si="57"/>
        <v>84250807.50999999</v>
      </c>
      <c r="I298" s="486">
        <f t="shared" si="57"/>
        <v>84249637.769999996</v>
      </c>
      <c r="J298" s="486">
        <f t="shared" si="57"/>
        <v>82986934.51000002</v>
      </c>
      <c r="K298" s="486">
        <f t="shared" si="57"/>
        <v>82892982.759999961</v>
      </c>
      <c r="L298" s="486">
        <f t="shared" si="57"/>
        <v>82461224.200000063</v>
      </c>
      <c r="M298" s="486">
        <f t="shared" si="57"/>
        <v>82876149.450000018</v>
      </c>
      <c r="N298" s="486">
        <f t="shared" si="57"/>
        <v>82646604.889999986</v>
      </c>
      <c r="O298" s="486">
        <f t="shared" si="57"/>
        <v>82951796.799999997</v>
      </c>
      <c r="P298" s="486">
        <f t="shared" si="57"/>
        <v>83443873.230000019</v>
      </c>
      <c r="Q298" s="486">
        <f t="shared" si="57"/>
        <v>80998826.870000005</v>
      </c>
      <c r="R298" s="486">
        <f t="shared" si="57"/>
        <v>78817809.329999998</v>
      </c>
      <c r="S298" s="486">
        <f t="shared" si="57"/>
        <v>83203203.373333305</v>
      </c>
      <c r="T298" s="604"/>
      <c r="U298" s="642"/>
      <c r="V298" s="679"/>
      <c r="W298" s="679"/>
      <c r="X298" s="702"/>
      <c r="Y298" s="679"/>
      <c r="Z298" s="679"/>
      <c r="AA298" s="642"/>
      <c r="AB298" s="679"/>
      <c r="AC298" s="643"/>
      <c r="AD298" s="643"/>
      <c r="AE298" s="643"/>
      <c r="AF298" s="677">
        <f t="shared" si="50"/>
        <v>0</v>
      </c>
    </row>
    <row r="299" spans="1:32">
      <c r="A299" s="604">
        <v>285</v>
      </c>
      <c r="B299" s="604"/>
      <c r="C299" s="604"/>
      <c r="D299" s="604"/>
      <c r="E299" s="589"/>
      <c r="F299" s="603"/>
      <c r="G299" s="314"/>
      <c r="H299" s="305"/>
      <c r="I299" s="305"/>
      <c r="J299" s="306"/>
      <c r="K299" s="307"/>
      <c r="L299" s="308"/>
      <c r="M299" s="309"/>
      <c r="N299" s="310"/>
      <c r="O299" s="590"/>
      <c r="P299" s="311"/>
      <c r="Q299" s="315"/>
      <c r="R299" s="603"/>
      <c r="S299" s="294"/>
      <c r="T299" s="604"/>
      <c r="U299" s="642"/>
      <c r="V299" s="679"/>
      <c r="W299" s="679"/>
      <c r="X299" s="702"/>
      <c r="Y299" s="679"/>
      <c r="Z299" s="679"/>
      <c r="AA299" s="642"/>
      <c r="AB299" s="679"/>
      <c r="AC299" s="643"/>
      <c r="AD299" s="643"/>
      <c r="AE299" s="643"/>
      <c r="AF299" s="677">
        <f t="shared" si="50"/>
        <v>0</v>
      </c>
    </row>
    <row r="300" spans="1:32">
      <c r="A300" s="604">
        <v>286</v>
      </c>
      <c r="B300" s="316" t="s">
        <v>369</v>
      </c>
      <c r="C300" s="316" t="s">
        <v>492</v>
      </c>
      <c r="D300" s="316" t="s">
        <v>369</v>
      </c>
      <c r="E300" s="602" t="s">
        <v>493</v>
      </c>
      <c r="F300" s="603">
        <v>139413148.13</v>
      </c>
      <c r="G300" s="603">
        <v>19498287.82</v>
      </c>
      <c r="H300" s="603">
        <v>42963718.759999998</v>
      </c>
      <c r="I300" s="603">
        <v>60184862.039999999</v>
      </c>
      <c r="J300" s="603">
        <v>70104690.230000004</v>
      </c>
      <c r="K300" s="603">
        <v>76135787.719999999</v>
      </c>
      <c r="L300" s="603">
        <v>80684630.609999999</v>
      </c>
      <c r="M300" s="603">
        <v>85208369.680000007</v>
      </c>
      <c r="N300" s="603">
        <v>88234764.299999997</v>
      </c>
      <c r="O300" s="603">
        <v>94309037.239999995</v>
      </c>
      <c r="P300" s="603">
        <v>108758984.14</v>
      </c>
      <c r="Q300" s="603">
        <v>130579212.08</v>
      </c>
      <c r="R300" s="603">
        <v>156654971.69999999</v>
      </c>
      <c r="S300" s="484">
        <f>((F300+R300)+((G300+H300+I300+J300+K300+L300+M300+N300+O300+P300+Q300)*2))/24</f>
        <v>83724700.377916679</v>
      </c>
      <c r="T300" s="604"/>
      <c r="U300" s="642"/>
      <c r="V300" s="679"/>
      <c r="W300" s="679">
        <f>+S300</f>
        <v>83724700.377916679</v>
      </c>
      <c r="X300" s="702"/>
      <c r="Y300" s="679"/>
      <c r="Z300" s="679"/>
      <c r="AA300" s="642"/>
      <c r="AB300" s="679"/>
      <c r="AC300" s="644">
        <f>+S300</f>
        <v>83724700.377916679</v>
      </c>
      <c r="AD300" s="643"/>
      <c r="AE300" s="643"/>
      <c r="AF300" s="677">
        <f t="shared" si="50"/>
        <v>0</v>
      </c>
    </row>
    <row r="301" spans="1:32">
      <c r="A301" s="604">
        <v>287</v>
      </c>
      <c r="B301" s="316" t="s">
        <v>369</v>
      </c>
      <c r="C301" s="316" t="s">
        <v>494</v>
      </c>
      <c r="D301" s="316" t="s">
        <v>369</v>
      </c>
      <c r="E301" s="602" t="s">
        <v>495</v>
      </c>
      <c r="F301" s="603">
        <v>53526616.649999999</v>
      </c>
      <c r="G301" s="603">
        <v>5902548.9699999997</v>
      </c>
      <c r="H301" s="603">
        <v>10693985.939999999</v>
      </c>
      <c r="I301" s="603">
        <v>15974280.960000001</v>
      </c>
      <c r="J301" s="603">
        <v>20516668.18</v>
      </c>
      <c r="K301" s="603">
        <v>25771922.5</v>
      </c>
      <c r="L301" s="603">
        <v>29912106.329999998</v>
      </c>
      <c r="M301" s="603">
        <v>34604558.259999998</v>
      </c>
      <c r="N301" s="603">
        <v>38762060.390000001</v>
      </c>
      <c r="O301" s="603">
        <v>43384306.619999997</v>
      </c>
      <c r="P301" s="603">
        <v>48722937.189999998</v>
      </c>
      <c r="Q301" s="603">
        <v>53673859.75</v>
      </c>
      <c r="R301" s="603">
        <v>59786976.289999999</v>
      </c>
      <c r="S301" s="484">
        <f>((F301+R301)+((G301+H301+I301+J301+K301+L301+M301+N301+O301+P301+Q301)*2))/24</f>
        <v>32048002.629999995</v>
      </c>
      <c r="T301" s="604"/>
      <c r="U301" s="642"/>
      <c r="V301" s="679"/>
      <c r="W301" s="679">
        <f>+S301</f>
        <v>32048002.629999995</v>
      </c>
      <c r="X301" s="702"/>
      <c r="Y301" s="679"/>
      <c r="Z301" s="679"/>
      <c r="AA301" s="642"/>
      <c r="AB301" s="679"/>
      <c r="AC301" s="644">
        <f>+S301</f>
        <v>32048002.629999995</v>
      </c>
      <c r="AD301" s="643"/>
      <c r="AE301" s="643"/>
      <c r="AF301" s="677">
        <f t="shared" ref="AF301:AF369" si="58">+U301+V301-AD301</f>
        <v>0</v>
      </c>
    </row>
    <row r="302" spans="1:32">
      <c r="A302" s="604">
        <v>288</v>
      </c>
      <c r="B302" s="316" t="s">
        <v>369</v>
      </c>
      <c r="C302" s="316" t="s">
        <v>496</v>
      </c>
      <c r="D302" s="316" t="s">
        <v>497</v>
      </c>
      <c r="E302" s="602" t="s">
        <v>498</v>
      </c>
      <c r="F302" s="603">
        <v>0</v>
      </c>
      <c r="G302" s="603">
        <v>0</v>
      </c>
      <c r="H302" s="603">
        <v>0</v>
      </c>
      <c r="I302" s="603">
        <v>0</v>
      </c>
      <c r="J302" s="603">
        <v>0</v>
      </c>
      <c r="K302" s="603">
        <v>0</v>
      </c>
      <c r="L302" s="603">
        <v>0</v>
      </c>
      <c r="M302" s="603">
        <v>0</v>
      </c>
      <c r="N302" s="603">
        <v>0</v>
      </c>
      <c r="O302" s="603">
        <v>0</v>
      </c>
      <c r="P302" s="603">
        <v>0</v>
      </c>
      <c r="Q302" s="603">
        <v>0</v>
      </c>
      <c r="R302" s="603">
        <v>0</v>
      </c>
      <c r="S302" s="484">
        <f>((F302+R302)+((G302+H302+I302+J302+K302+L302+M302+N302+O302+P302+Q302)*2))/24</f>
        <v>0</v>
      </c>
      <c r="T302" s="604"/>
      <c r="U302" s="642"/>
      <c r="V302" s="679"/>
      <c r="W302" s="679">
        <f>+S302</f>
        <v>0</v>
      </c>
      <c r="X302" s="702"/>
      <c r="Y302" s="679"/>
      <c r="Z302" s="679"/>
      <c r="AA302" s="642"/>
      <c r="AB302" s="679"/>
      <c r="AC302" s="644">
        <f>+S302</f>
        <v>0</v>
      </c>
      <c r="AD302" s="643"/>
      <c r="AE302" s="643"/>
      <c r="AF302" s="677">
        <f t="shared" si="58"/>
        <v>0</v>
      </c>
    </row>
    <row r="303" spans="1:32">
      <c r="A303" s="604">
        <v>289</v>
      </c>
      <c r="B303" s="316" t="s">
        <v>369</v>
      </c>
      <c r="C303" s="316" t="s">
        <v>499</v>
      </c>
      <c r="D303" s="316" t="s">
        <v>369</v>
      </c>
      <c r="E303" s="602" t="s">
        <v>500</v>
      </c>
      <c r="F303" s="303">
        <v>8005145.8399999999</v>
      </c>
      <c r="G303" s="303">
        <v>608458.04</v>
      </c>
      <c r="H303" s="303">
        <v>1195964.1399999999</v>
      </c>
      <c r="I303" s="303">
        <v>1854951.61</v>
      </c>
      <c r="J303" s="303">
        <v>2642517.87</v>
      </c>
      <c r="K303" s="303">
        <v>3362523.23</v>
      </c>
      <c r="L303" s="303">
        <v>3945487.04</v>
      </c>
      <c r="M303" s="303">
        <v>4778990.8600000003</v>
      </c>
      <c r="N303" s="303">
        <v>5481968.5499999998</v>
      </c>
      <c r="O303" s="303">
        <v>6115121.4000000004</v>
      </c>
      <c r="P303" s="303">
        <v>6909520.1299999999</v>
      </c>
      <c r="Q303" s="303">
        <v>7549900.5300000003</v>
      </c>
      <c r="R303" s="303">
        <v>8302733.6799999997</v>
      </c>
      <c r="S303" s="484">
        <f>((F303+R303)+((G303+H303+I303+J303+K303+L303+M303+N303+O303+P303+Q303)*2))/24</f>
        <v>4383278.5966666667</v>
      </c>
      <c r="T303" s="604"/>
      <c r="U303" s="642"/>
      <c r="V303" s="679"/>
      <c r="W303" s="679">
        <f>+S303</f>
        <v>4383278.5966666667</v>
      </c>
      <c r="X303" s="702"/>
      <c r="Y303" s="679"/>
      <c r="Z303" s="679"/>
      <c r="AA303" s="642"/>
      <c r="AB303" s="679"/>
      <c r="AC303" s="644">
        <f>+S303</f>
        <v>4383278.5966666667</v>
      </c>
      <c r="AD303" s="643"/>
      <c r="AE303" s="643"/>
      <c r="AF303" s="677">
        <f t="shared" si="58"/>
        <v>0</v>
      </c>
    </row>
    <row r="304" spans="1:32">
      <c r="A304" s="604">
        <v>290</v>
      </c>
      <c r="B304" s="316"/>
      <c r="C304" s="316"/>
      <c r="D304" s="316"/>
      <c r="E304" s="602" t="s">
        <v>501</v>
      </c>
      <c r="F304" s="295">
        <f>SUM(F300:F303)</f>
        <v>200944910.62</v>
      </c>
      <c r="G304" s="295">
        <f t="shared" ref="G304:S304" si="59">SUM(G300:G303)</f>
        <v>26009294.829999998</v>
      </c>
      <c r="H304" s="295">
        <f t="shared" si="59"/>
        <v>54853668.839999996</v>
      </c>
      <c r="I304" s="295">
        <f t="shared" si="59"/>
        <v>78014094.609999999</v>
      </c>
      <c r="J304" s="295">
        <f t="shared" si="59"/>
        <v>93263876.280000001</v>
      </c>
      <c r="K304" s="295">
        <f t="shared" si="59"/>
        <v>105270233.45</v>
      </c>
      <c r="L304" s="295">
        <f t="shared" si="59"/>
        <v>114542223.98</v>
      </c>
      <c r="M304" s="295">
        <f t="shared" si="59"/>
        <v>124591918.8</v>
      </c>
      <c r="N304" s="295">
        <f t="shared" si="59"/>
        <v>132478793.23999999</v>
      </c>
      <c r="O304" s="295">
        <f t="shared" si="59"/>
        <v>143808465.25999999</v>
      </c>
      <c r="P304" s="295">
        <f t="shared" si="59"/>
        <v>164391441.45999998</v>
      </c>
      <c r="Q304" s="295">
        <f t="shared" si="59"/>
        <v>191802972.35999998</v>
      </c>
      <c r="R304" s="295">
        <f t="shared" si="59"/>
        <v>224744681.66999999</v>
      </c>
      <c r="S304" s="486">
        <f t="shared" si="59"/>
        <v>120155981.60458334</v>
      </c>
      <c r="T304" s="604"/>
      <c r="U304" s="642"/>
      <c r="V304" s="679"/>
      <c r="W304" s="679"/>
      <c r="X304" s="702"/>
      <c r="Y304" s="679"/>
      <c r="Z304" s="679"/>
      <c r="AA304" s="642"/>
      <c r="AB304" s="679"/>
      <c r="AC304" s="643"/>
      <c r="AD304" s="643"/>
      <c r="AE304" s="643"/>
      <c r="AF304" s="677">
        <f t="shared" si="58"/>
        <v>0</v>
      </c>
    </row>
    <row r="305" spans="1:32">
      <c r="A305" s="604">
        <v>291</v>
      </c>
      <c r="B305" s="604"/>
      <c r="C305" s="604"/>
      <c r="D305" s="604"/>
      <c r="E305" s="589"/>
      <c r="F305" s="603"/>
      <c r="G305" s="314"/>
      <c r="H305" s="305"/>
      <c r="I305" s="305"/>
      <c r="J305" s="306"/>
      <c r="K305" s="307"/>
      <c r="L305" s="308"/>
      <c r="M305" s="309"/>
      <c r="N305" s="310"/>
      <c r="O305" s="590"/>
      <c r="P305" s="311"/>
      <c r="Q305" s="315"/>
      <c r="R305" s="603"/>
      <c r="S305" s="294"/>
      <c r="T305" s="604"/>
      <c r="U305" s="642"/>
      <c r="V305" s="679"/>
      <c r="W305" s="679"/>
      <c r="X305" s="702"/>
      <c r="Y305" s="679"/>
      <c r="Z305" s="679"/>
      <c r="AA305" s="642"/>
      <c r="AB305" s="679"/>
      <c r="AC305" s="643"/>
      <c r="AD305" s="643"/>
      <c r="AE305" s="643"/>
      <c r="AF305" s="677">
        <f t="shared" si="58"/>
        <v>0</v>
      </c>
    </row>
    <row r="306" spans="1:32">
      <c r="A306" s="604">
        <v>292</v>
      </c>
      <c r="B306" s="316" t="s">
        <v>984</v>
      </c>
      <c r="C306" s="316" t="s">
        <v>502</v>
      </c>
      <c r="D306" s="604"/>
      <c r="E306" s="602" t="s">
        <v>503</v>
      </c>
      <c r="F306" s="603">
        <v>0</v>
      </c>
      <c r="G306" s="603">
        <v>0</v>
      </c>
      <c r="H306" s="603">
        <v>0</v>
      </c>
      <c r="I306" s="603">
        <v>0</v>
      </c>
      <c r="J306" s="603">
        <v>0</v>
      </c>
      <c r="K306" s="603">
        <v>0</v>
      </c>
      <c r="L306" s="603">
        <v>0</v>
      </c>
      <c r="M306" s="603">
        <v>0</v>
      </c>
      <c r="N306" s="603">
        <v>0</v>
      </c>
      <c r="O306" s="603">
        <v>0</v>
      </c>
      <c r="P306" s="603">
        <v>0</v>
      </c>
      <c r="Q306" s="603">
        <v>0</v>
      </c>
      <c r="R306" s="603">
        <v>0</v>
      </c>
      <c r="S306" s="294">
        <f>((F306+R306)+((G306+H306+I306+J306+K306+L306+M306+N306+O306+P306+Q306)*2))/24</f>
        <v>0</v>
      </c>
      <c r="T306" s="604"/>
      <c r="U306" s="642"/>
      <c r="V306" s="679"/>
      <c r="W306" s="679">
        <f t="shared" ref="W306:W324" si="60">+S306</f>
        <v>0</v>
      </c>
      <c r="X306" s="702"/>
      <c r="Y306" s="679"/>
      <c r="Z306" s="679"/>
      <c r="AA306" s="642"/>
      <c r="AB306" s="679"/>
      <c r="AC306" s="644">
        <f t="shared" ref="AC306:AC324" si="61">+S306</f>
        <v>0</v>
      </c>
      <c r="AD306" s="643"/>
      <c r="AE306" s="643"/>
      <c r="AF306" s="677">
        <f t="shared" si="58"/>
        <v>0</v>
      </c>
    </row>
    <row r="307" spans="1:32">
      <c r="A307" s="604">
        <v>293</v>
      </c>
      <c r="B307" s="316" t="s">
        <v>959</v>
      </c>
      <c r="C307" s="316" t="s">
        <v>502</v>
      </c>
      <c r="D307" s="604"/>
      <c r="E307" s="602" t="s">
        <v>503</v>
      </c>
      <c r="F307" s="603">
        <v>0</v>
      </c>
      <c r="G307" s="603">
        <v>0</v>
      </c>
      <c r="H307" s="603">
        <v>0</v>
      </c>
      <c r="I307" s="603">
        <v>0</v>
      </c>
      <c r="J307" s="603">
        <v>0</v>
      </c>
      <c r="K307" s="603">
        <v>0</v>
      </c>
      <c r="L307" s="603">
        <v>0</v>
      </c>
      <c r="M307" s="603">
        <v>0</v>
      </c>
      <c r="N307" s="603">
        <v>0</v>
      </c>
      <c r="O307" s="603">
        <v>0</v>
      </c>
      <c r="P307" s="603">
        <v>0</v>
      </c>
      <c r="Q307" s="603">
        <v>0</v>
      </c>
      <c r="R307" s="603">
        <v>0</v>
      </c>
      <c r="S307" s="294">
        <f>((F307+R307)+((G307+H307+I307+J307+K307+L307+M307+N307+O307+P307+Q307)*2))/24</f>
        <v>0</v>
      </c>
      <c r="T307" s="604"/>
      <c r="U307" s="642"/>
      <c r="V307" s="679"/>
      <c r="W307" s="679">
        <f t="shared" si="60"/>
        <v>0</v>
      </c>
      <c r="X307" s="702"/>
      <c r="Y307" s="679"/>
      <c r="Z307" s="679"/>
      <c r="AA307" s="642"/>
      <c r="AB307" s="679"/>
      <c r="AC307" s="644">
        <f t="shared" si="61"/>
        <v>0</v>
      </c>
      <c r="AD307" s="643"/>
      <c r="AE307" s="643"/>
      <c r="AF307" s="677">
        <f t="shared" si="58"/>
        <v>0</v>
      </c>
    </row>
    <row r="308" spans="1:32">
      <c r="A308" s="604">
        <v>294</v>
      </c>
      <c r="B308" s="316"/>
      <c r="C308" s="316"/>
      <c r="D308" s="604"/>
      <c r="E308" s="602"/>
      <c r="F308" s="603"/>
      <c r="G308" s="603"/>
      <c r="H308" s="603"/>
      <c r="I308" s="603"/>
      <c r="J308" s="603"/>
      <c r="K308" s="603"/>
      <c r="L308" s="603"/>
      <c r="M308" s="603"/>
      <c r="N308" s="603"/>
      <c r="O308" s="603"/>
      <c r="P308" s="603"/>
      <c r="Q308" s="603"/>
      <c r="R308" s="603"/>
      <c r="S308" s="294"/>
      <c r="T308" s="604"/>
      <c r="U308" s="642"/>
      <c r="V308" s="679"/>
      <c r="W308" s="679"/>
      <c r="X308" s="702"/>
      <c r="Y308" s="679"/>
      <c r="Z308" s="679"/>
      <c r="AA308" s="642"/>
      <c r="AB308" s="679"/>
      <c r="AC308" s="644"/>
      <c r="AD308" s="643"/>
      <c r="AE308" s="643"/>
      <c r="AF308" s="677"/>
    </row>
    <row r="309" spans="1:32">
      <c r="A309" s="604">
        <v>295</v>
      </c>
      <c r="B309" s="604" t="s">
        <v>956</v>
      </c>
      <c r="C309" s="604" t="s">
        <v>504</v>
      </c>
      <c r="D309" s="604" t="s">
        <v>1877</v>
      </c>
      <c r="E309" s="589" t="s">
        <v>1878</v>
      </c>
      <c r="F309" s="603">
        <v>0</v>
      </c>
      <c r="G309" s="314">
        <v>0</v>
      </c>
      <c r="H309" s="305">
        <v>0</v>
      </c>
      <c r="I309" s="305">
        <v>0</v>
      </c>
      <c r="J309" s="306">
        <v>0</v>
      </c>
      <c r="K309" s="307">
        <v>0</v>
      </c>
      <c r="L309" s="308">
        <v>15645</v>
      </c>
      <c r="M309" s="309">
        <v>21777</v>
      </c>
      <c r="N309" s="310">
        <v>24843</v>
      </c>
      <c r="O309" s="590">
        <v>27909</v>
      </c>
      <c r="P309" s="311">
        <v>30975</v>
      </c>
      <c r="Q309" s="315">
        <v>34041</v>
      </c>
      <c r="R309" s="603">
        <v>36822.300000000003</v>
      </c>
      <c r="S309" s="484">
        <f>((F309+R309)+((G309+H309+I309+J309+K309+L309+M309+N309+O309+P309+Q309)*2))/24</f>
        <v>14466.762499999999</v>
      </c>
      <c r="T309" s="604"/>
      <c r="U309" s="642"/>
      <c r="V309" s="679"/>
      <c r="W309" s="679">
        <f t="shared" si="60"/>
        <v>14466.762499999999</v>
      </c>
      <c r="X309" s="702"/>
      <c r="Y309" s="679"/>
      <c r="Z309" s="679"/>
      <c r="AA309" s="642"/>
      <c r="AB309" s="679"/>
      <c r="AC309" s="644">
        <f t="shared" si="61"/>
        <v>14466.762499999999</v>
      </c>
      <c r="AD309" s="643"/>
      <c r="AE309" s="643"/>
      <c r="AF309" s="677">
        <f t="shared" si="58"/>
        <v>0</v>
      </c>
    </row>
    <row r="310" spans="1:32">
      <c r="A310" s="604">
        <v>296</v>
      </c>
      <c r="B310" s="316" t="s">
        <v>984</v>
      </c>
      <c r="C310" s="316" t="s">
        <v>504</v>
      </c>
      <c r="D310" s="316" t="s">
        <v>1174</v>
      </c>
      <c r="E310" s="602" t="s">
        <v>1597</v>
      </c>
      <c r="F310" s="603">
        <v>192824.35</v>
      </c>
      <c r="G310" s="603">
        <v>16075.52</v>
      </c>
      <c r="H310" s="603">
        <v>32151.040000000001</v>
      </c>
      <c r="I310" s="603">
        <v>47638.3</v>
      </c>
      <c r="J310" s="603">
        <v>63125.56</v>
      </c>
      <c r="K310" s="603">
        <v>78612.820000000007</v>
      </c>
      <c r="L310" s="603">
        <v>94100.08</v>
      </c>
      <c r="M310" s="603">
        <v>109587.34</v>
      </c>
      <c r="N310" s="603">
        <v>125074.6</v>
      </c>
      <c r="O310" s="603">
        <v>140561.85999999999</v>
      </c>
      <c r="P310" s="603">
        <v>156049.12</v>
      </c>
      <c r="Q310" s="603">
        <v>171536.38</v>
      </c>
      <c r="R310" s="603">
        <v>187023.64</v>
      </c>
      <c r="S310" s="484">
        <f>((F310+R310)+((G310+H310+I310+J310+K310+L310+M310+N310+O310+P310+Q310)*2))/24</f>
        <v>102036.38458333333</v>
      </c>
      <c r="T310" s="604"/>
      <c r="U310" s="642"/>
      <c r="V310" s="679"/>
      <c r="W310" s="679">
        <f t="shared" si="60"/>
        <v>102036.38458333333</v>
      </c>
      <c r="X310" s="702"/>
      <c r="Y310" s="679"/>
      <c r="Z310" s="679"/>
      <c r="AA310" s="642"/>
      <c r="AB310" s="679"/>
      <c r="AC310" s="644">
        <f t="shared" si="61"/>
        <v>102036.38458333333</v>
      </c>
      <c r="AD310" s="643"/>
      <c r="AE310" s="643"/>
      <c r="AF310" s="677">
        <f t="shared" si="58"/>
        <v>0</v>
      </c>
    </row>
    <row r="311" spans="1:32">
      <c r="A311" s="604">
        <v>297</v>
      </c>
      <c r="B311" s="316" t="s">
        <v>959</v>
      </c>
      <c r="C311" s="316" t="s">
        <v>504</v>
      </c>
      <c r="D311" s="316" t="s">
        <v>1174</v>
      </c>
      <c r="E311" s="602" t="s">
        <v>1596</v>
      </c>
      <c r="F311" s="603">
        <v>441440.08</v>
      </c>
      <c r="G311" s="603">
        <v>58775.53</v>
      </c>
      <c r="H311" s="603">
        <v>121314.8</v>
      </c>
      <c r="I311" s="603">
        <v>189419.16</v>
      </c>
      <c r="J311" s="603">
        <v>232166.32</v>
      </c>
      <c r="K311" s="603">
        <v>250545.63</v>
      </c>
      <c r="L311" s="603">
        <v>271208.3</v>
      </c>
      <c r="M311" s="603">
        <v>289762.34999999998</v>
      </c>
      <c r="N311" s="603">
        <v>307709.62</v>
      </c>
      <c r="O311" s="603">
        <v>325464.8</v>
      </c>
      <c r="P311" s="603">
        <v>354222.54</v>
      </c>
      <c r="Q311" s="603">
        <v>399806.24</v>
      </c>
      <c r="R311" s="603">
        <v>467665.9</v>
      </c>
      <c r="S311" s="484">
        <f t="shared" ref="S311:S323" si="62">((F311+R311)+((G311+H311+I311+J311+K311+L311+M311+N311+O311+P311+Q311)*2))/24</f>
        <v>271245.69</v>
      </c>
      <c r="T311" s="604"/>
      <c r="U311" s="642"/>
      <c r="V311" s="679"/>
      <c r="W311" s="679">
        <f t="shared" si="60"/>
        <v>271245.69</v>
      </c>
      <c r="X311" s="702"/>
      <c r="Y311" s="679"/>
      <c r="Z311" s="679"/>
      <c r="AA311" s="642"/>
      <c r="AB311" s="679"/>
      <c r="AC311" s="644">
        <f t="shared" si="61"/>
        <v>271245.69</v>
      </c>
      <c r="AD311" s="643"/>
      <c r="AE311" s="643"/>
      <c r="AF311" s="677">
        <f t="shared" si="58"/>
        <v>0</v>
      </c>
    </row>
    <row r="312" spans="1:32">
      <c r="A312" s="604">
        <v>298</v>
      </c>
      <c r="B312" s="316" t="s">
        <v>959</v>
      </c>
      <c r="C312" s="316" t="s">
        <v>504</v>
      </c>
      <c r="D312" s="316" t="s">
        <v>429</v>
      </c>
      <c r="E312" s="602" t="s">
        <v>1603</v>
      </c>
      <c r="F312" s="603">
        <v>9826025.0600000005</v>
      </c>
      <c r="G312" s="603">
        <v>1330854.8700000001</v>
      </c>
      <c r="H312" s="603">
        <v>2753725.76</v>
      </c>
      <c r="I312" s="603">
        <v>4331125.0999999996</v>
      </c>
      <c r="J312" s="603">
        <v>5281304.3499999996</v>
      </c>
      <c r="K312" s="603">
        <v>5900267.8399999999</v>
      </c>
      <c r="L312" s="603">
        <v>6320072.2400000002</v>
      </c>
      <c r="M312" s="603">
        <v>6691861.2599999998</v>
      </c>
      <c r="N312" s="603">
        <v>7047148.79</v>
      </c>
      <c r="O312" s="603">
        <v>7385522.6399999997</v>
      </c>
      <c r="P312" s="603">
        <v>7965182.3099999996</v>
      </c>
      <c r="Q312" s="603">
        <v>8954706.1400000006</v>
      </c>
      <c r="R312" s="603">
        <v>10518223.220000001</v>
      </c>
      <c r="S312" s="484">
        <f t="shared" si="62"/>
        <v>6177824.6200000001</v>
      </c>
      <c r="T312" s="604"/>
      <c r="U312" s="642"/>
      <c r="V312" s="679"/>
      <c r="W312" s="679">
        <f t="shared" si="60"/>
        <v>6177824.6200000001</v>
      </c>
      <c r="X312" s="702"/>
      <c r="Y312" s="679"/>
      <c r="Z312" s="679"/>
      <c r="AA312" s="642"/>
      <c r="AB312" s="679"/>
      <c r="AC312" s="644">
        <f t="shared" si="61"/>
        <v>6177824.6200000001</v>
      </c>
      <c r="AD312" s="643"/>
      <c r="AE312" s="643"/>
      <c r="AF312" s="677">
        <f t="shared" si="58"/>
        <v>0</v>
      </c>
    </row>
    <row r="313" spans="1:32">
      <c r="A313" s="604">
        <v>299</v>
      </c>
      <c r="B313" s="316" t="s">
        <v>959</v>
      </c>
      <c r="C313" s="316" t="s">
        <v>504</v>
      </c>
      <c r="D313" s="316" t="s">
        <v>430</v>
      </c>
      <c r="E313" s="602" t="s">
        <v>1604</v>
      </c>
      <c r="F313" s="603">
        <v>8579658.0999999996</v>
      </c>
      <c r="G313" s="603">
        <v>1130343.76</v>
      </c>
      <c r="H313" s="603">
        <v>2489322.56</v>
      </c>
      <c r="I313" s="603">
        <v>3523896.71</v>
      </c>
      <c r="J313" s="603">
        <v>4124001.15</v>
      </c>
      <c r="K313" s="603">
        <v>4562856.3499999996</v>
      </c>
      <c r="L313" s="603">
        <v>4905032.3899999997</v>
      </c>
      <c r="M313" s="603">
        <v>5260591.8499999996</v>
      </c>
      <c r="N313" s="603">
        <v>5546447.9800000004</v>
      </c>
      <c r="O313" s="603">
        <v>5977545.0199999996</v>
      </c>
      <c r="P313" s="603">
        <v>6793463.6500000004</v>
      </c>
      <c r="Q313" s="603">
        <v>7994039.8399999999</v>
      </c>
      <c r="R313" s="603">
        <v>9428488.2300000004</v>
      </c>
      <c r="S313" s="484">
        <f t="shared" si="62"/>
        <v>5109301.2020833325</v>
      </c>
      <c r="T313" s="604"/>
      <c r="U313" s="642"/>
      <c r="V313" s="679"/>
      <c r="W313" s="679">
        <f t="shared" si="60"/>
        <v>5109301.2020833325</v>
      </c>
      <c r="X313" s="702"/>
      <c r="Y313" s="679"/>
      <c r="Z313" s="679"/>
      <c r="AA313" s="642"/>
      <c r="AB313" s="679"/>
      <c r="AC313" s="644">
        <f t="shared" si="61"/>
        <v>5109301.2020833325</v>
      </c>
      <c r="AD313" s="643"/>
      <c r="AE313" s="643"/>
      <c r="AF313" s="677">
        <f t="shared" si="58"/>
        <v>0</v>
      </c>
    </row>
    <row r="314" spans="1:32">
      <c r="A314" s="604">
        <v>300</v>
      </c>
      <c r="B314" s="316" t="s">
        <v>984</v>
      </c>
      <c r="C314" s="316" t="s">
        <v>504</v>
      </c>
      <c r="D314" s="522" t="s">
        <v>1175</v>
      </c>
      <c r="E314" s="602" t="s">
        <v>1600</v>
      </c>
      <c r="F314" s="603">
        <v>85001.3</v>
      </c>
      <c r="G314" s="603">
        <v>6897.58</v>
      </c>
      <c r="H314" s="603">
        <v>13795.16</v>
      </c>
      <c r="I314" s="603">
        <v>20692.740000000002</v>
      </c>
      <c r="J314" s="603">
        <v>27590.32</v>
      </c>
      <c r="K314" s="603">
        <v>34487.9</v>
      </c>
      <c r="L314" s="603">
        <v>41385.480000000003</v>
      </c>
      <c r="M314" s="603">
        <v>48283.06</v>
      </c>
      <c r="N314" s="603">
        <v>54360.84</v>
      </c>
      <c r="O314" s="603">
        <v>60438.62</v>
      </c>
      <c r="P314" s="603">
        <v>66516.399999999994</v>
      </c>
      <c r="Q314" s="603">
        <v>72594.179999999993</v>
      </c>
      <c r="R314" s="603">
        <v>78671.960000000006</v>
      </c>
      <c r="S314" s="484">
        <f t="shared" si="62"/>
        <v>44073.242499999993</v>
      </c>
      <c r="T314" s="604"/>
      <c r="U314" s="642"/>
      <c r="V314" s="679"/>
      <c r="W314" s="679">
        <f t="shared" si="60"/>
        <v>44073.242499999993</v>
      </c>
      <c r="X314" s="702"/>
      <c r="Y314" s="679"/>
      <c r="Z314" s="679"/>
      <c r="AA314" s="642"/>
      <c r="AB314" s="679"/>
      <c r="AC314" s="644">
        <f t="shared" si="61"/>
        <v>44073.242499999993</v>
      </c>
      <c r="AD314" s="643"/>
      <c r="AE314" s="643"/>
      <c r="AF314" s="677">
        <f t="shared" si="58"/>
        <v>0</v>
      </c>
    </row>
    <row r="315" spans="1:32">
      <c r="A315" s="604">
        <v>301</v>
      </c>
      <c r="B315" s="316" t="s">
        <v>984</v>
      </c>
      <c r="C315" s="316" t="s">
        <v>504</v>
      </c>
      <c r="D315" s="522" t="s">
        <v>1176</v>
      </c>
      <c r="E315" s="602" t="s">
        <v>1601</v>
      </c>
      <c r="F315" s="603">
        <v>1424187.05</v>
      </c>
      <c r="G315" s="603">
        <v>226798.65</v>
      </c>
      <c r="H315" s="603">
        <v>450539.53</v>
      </c>
      <c r="I315" s="603">
        <v>638883.72</v>
      </c>
      <c r="J315" s="603">
        <v>771798.77</v>
      </c>
      <c r="K315" s="603">
        <v>835906.93</v>
      </c>
      <c r="L315" s="603">
        <v>898115.42</v>
      </c>
      <c r="M315" s="603">
        <v>945799.7</v>
      </c>
      <c r="N315" s="603">
        <v>981155.53</v>
      </c>
      <c r="O315" s="603">
        <v>1042395.09</v>
      </c>
      <c r="P315" s="603">
        <v>1184892.1100000001</v>
      </c>
      <c r="Q315" s="603">
        <v>1365899.69</v>
      </c>
      <c r="R315" s="603">
        <v>1595454.84</v>
      </c>
      <c r="S315" s="484">
        <f t="shared" si="62"/>
        <v>904333.8404166667</v>
      </c>
      <c r="T315" s="604"/>
      <c r="U315" s="642"/>
      <c r="V315" s="679"/>
      <c r="W315" s="679">
        <f t="shared" si="60"/>
        <v>904333.8404166667</v>
      </c>
      <c r="X315" s="702"/>
      <c r="Y315" s="679"/>
      <c r="Z315" s="679"/>
      <c r="AA315" s="642"/>
      <c r="AB315" s="679"/>
      <c r="AC315" s="644">
        <f t="shared" si="61"/>
        <v>904333.8404166667</v>
      </c>
      <c r="AD315" s="643"/>
      <c r="AE315" s="643"/>
      <c r="AF315" s="677">
        <f t="shared" si="58"/>
        <v>0</v>
      </c>
    </row>
    <row r="316" spans="1:32">
      <c r="A316" s="604">
        <v>302</v>
      </c>
      <c r="B316" s="316" t="s">
        <v>959</v>
      </c>
      <c r="C316" s="316" t="s">
        <v>504</v>
      </c>
      <c r="D316" s="316" t="s">
        <v>1176</v>
      </c>
      <c r="E316" s="602" t="s">
        <v>1601</v>
      </c>
      <c r="F316" s="603">
        <v>208767.15</v>
      </c>
      <c r="G316" s="603">
        <v>28074.04</v>
      </c>
      <c r="H316" s="603">
        <v>56328.07</v>
      </c>
      <c r="I316" s="603">
        <v>88208.68</v>
      </c>
      <c r="J316" s="603">
        <v>109657.23</v>
      </c>
      <c r="K316" s="603">
        <v>126784.31</v>
      </c>
      <c r="L316" s="603">
        <v>136473.24</v>
      </c>
      <c r="M316" s="603">
        <v>145011.71</v>
      </c>
      <c r="N316" s="603">
        <v>152642.22</v>
      </c>
      <c r="O316" s="603">
        <v>160059.82</v>
      </c>
      <c r="P316" s="603">
        <v>170421.06</v>
      </c>
      <c r="Q316" s="603">
        <v>189387.09</v>
      </c>
      <c r="R316" s="603">
        <v>217905.58</v>
      </c>
      <c r="S316" s="484">
        <f t="shared" si="62"/>
        <v>131365.31958333333</v>
      </c>
      <c r="T316" s="604"/>
      <c r="U316" s="642"/>
      <c r="V316" s="679"/>
      <c r="W316" s="679">
        <f t="shared" si="60"/>
        <v>131365.31958333333</v>
      </c>
      <c r="X316" s="702"/>
      <c r="Y316" s="679"/>
      <c r="Z316" s="679"/>
      <c r="AA316" s="642"/>
      <c r="AB316" s="679"/>
      <c r="AC316" s="644">
        <f t="shared" si="61"/>
        <v>131365.31958333333</v>
      </c>
      <c r="AD316" s="643"/>
      <c r="AE316" s="643"/>
      <c r="AF316" s="677">
        <f t="shared" si="58"/>
        <v>0</v>
      </c>
    </row>
    <row r="317" spans="1:32">
      <c r="A317" s="604">
        <v>303</v>
      </c>
      <c r="B317" s="316" t="s">
        <v>984</v>
      </c>
      <c r="C317" s="316" t="s">
        <v>504</v>
      </c>
      <c r="D317" s="316" t="s">
        <v>1177</v>
      </c>
      <c r="E317" s="602" t="s">
        <v>1602</v>
      </c>
      <c r="F317" s="603">
        <v>1111049.94</v>
      </c>
      <c r="G317" s="603">
        <v>171653.98</v>
      </c>
      <c r="H317" s="603">
        <v>334372.89</v>
      </c>
      <c r="I317" s="603">
        <v>517885.19</v>
      </c>
      <c r="J317" s="603">
        <v>647470.17000000004</v>
      </c>
      <c r="K317" s="603">
        <v>720626.82</v>
      </c>
      <c r="L317" s="603">
        <v>772105.24</v>
      </c>
      <c r="M317" s="603">
        <v>823398.98</v>
      </c>
      <c r="N317" s="603">
        <v>873249.75</v>
      </c>
      <c r="O317" s="603">
        <v>922405.42</v>
      </c>
      <c r="P317" s="603">
        <v>1020907.49</v>
      </c>
      <c r="Q317" s="603">
        <v>1171886.22</v>
      </c>
      <c r="R317" s="603">
        <v>1400826.71</v>
      </c>
      <c r="S317" s="484">
        <f t="shared" si="62"/>
        <v>769325.0395833333</v>
      </c>
      <c r="T317" s="604"/>
      <c r="U317" s="642"/>
      <c r="V317" s="679"/>
      <c r="W317" s="679">
        <f t="shared" si="60"/>
        <v>769325.0395833333</v>
      </c>
      <c r="X317" s="702"/>
      <c r="Y317" s="679"/>
      <c r="Z317" s="679"/>
      <c r="AA317" s="642"/>
      <c r="AB317" s="679"/>
      <c r="AC317" s="644">
        <f t="shared" si="61"/>
        <v>769325.0395833333</v>
      </c>
      <c r="AD317" s="643"/>
      <c r="AE317" s="643"/>
      <c r="AF317" s="677">
        <f t="shared" si="58"/>
        <v>0</v>
      </c>
    </row>
    <row r="318" spans="1:32">
      <c r="A318" s="604">
        <v>304</v>
      </c>
      <c r="B318" s="316" t="s">
        <v>956</v>
      </c>
      <c r="C318" s="316" t="s">
        <v>504</v>
      </c>
      <c r="D318" s="316" t="s">
        <v>1178</v>
      </c>
      <c r="E318" s="602" t="s">
        <v>1598</v>
      </c>
      <c r="F318" s="603">
        <v>275293.73</v>
      </c>
      <c r="G318" s="603">
        <v>19332</v>
      </c>
      <c r="H318" s="603">
        <v>38664</v>
      </c>
      <c r="I318" s="603">
        <v>57996</v>
      </c>
      <c r="J318" s="603">
        <v>35187.17</v>
      </c>
      <c r="K318" s="603">
        <v>48970.17</v>
      </c>
      <c r="L318" s="603">
        <v>65561.17</v>
      </c>
      <c r="M318" s="603">
        <v>82152.17</v>
      </c>
      <c r="N318" s="603">
        <v>107031.17</v>
      </c>
      <c r="O318" s="603">
        <v>124658.17</v>
      </c>
      <c r="P318" s="603">
        <v>142285.17000000001</v>
      </c>
      <c r="Q318" s="603">
        <v>159912.17000000001</v>
      </c>
      <c r="R318" s="603">
        <v>177539.17</v>
      </c>
      <c r="S318" s="484">
        <f t="shared" si="62"/>
        <v>92347.150833333333</v>
      </c>
      <c r="T318" s="604"/>
      <c r="U318" s="642"/>
      <c r="V318" s="679"/>
      <c r="W318" s="679">
        <f t="shared" si="60"/>
        <v>92347.150833333333</v>
      </c>
      <c r="X318" s="702"/>
      <c r="Y318" s="679"/>
      <c r="Z318" s="679"/>
      <c r="AA318" s="642"/>
      <c r="AB318" s="679"/>
      <c r="AC318" s="644">
        <f t="shared" si="61"/>
        <v>92347.150833333333</v>
      </c>
      <c r="AD318" s="643"/>
      <c r="AE318" s="643"/>
      <c r="AF318" s="677">
        <f t="shared" si="58"/>
        <v>0</v>
      </c>
    </row>
    <row r="319" spans="1:32">
      <c r="A319" s="604">
        <v>305</v>
      </c>
      <c r="B319" s="316" t="s">
        <v>984</v>
      </c>
      <c r="C319" s="316" t="s">
        <v>504</v>
      </c>
      <c r="D319" s="316" t="s">
        <v>1178</v>
      </c>
      <c r="E319" s="602" t="s">
        <v>1598</v>
      </c>
      <c r="F319" s="603">
        <v>1616657.04</v>
      </c>
      <c r="G319" s="603">
        <v>140517</v>
      </c>
      <c r="H319" s="603">
        <v>281034</v>
      </c>
      <c r="I319" s="603">
        <v>421551</v>
      </c>
      <c r="J319" s="603">
        <v>562068</v>
      </c>
      <c r="K319" s="603">
        <v>702585</v>
      </c>
      <c r="L319" s="603">
        <v>843102</v>
      </c>
      <c r="M319" s="603">
        <v>1000496</v>
      </c>
      <c r="N319" s="603">
        <v>1157890</v>
      </c>
      <c r="O319" s="603">
        <v>1315284</v>
      </c>
      <c r="P319" s="603">
        <v>1472678</v>
      </c>
      <c r="Q319" s="603">
        <v>1629206.24</v>
      </c>
      <c r="R319" s="603">
        <v>1785732.24</v>
      </c>
      <c r="S319" s="484">
        <f>((F319+R319)+((G319+H319+I319+J319+K319+L319+M319+N319+O319+P319+Q319)*2))/24</f>
        <v>935633.82333333336</v>
      </c>
      <c r="T319" s="604"/>
      <c r="U319" s="642"/>
      <c r="V319" s="679"/>
      <c r="W319" s="679">
        <f t="shared" si="60"/>
        <v>935633.82333333336</v>
      </c>
      <c r="X319" s="702"/>
      <c r="Y319" s="679"/>
      <c r="Z319" s="679"/>
      <c r="AA319" s="642"/>
      <c r="AB319" s="679"/>
      <c r="AC319" s="644">
        <f t="shared" si="61"/>
        <v>935633.82333333336</v>
      </c>
      <c r="AD319" s="643"/>
      <c r="AE319" s="643"/>
      <c r="AF319" s="677">
        <f t="shared" si="58"/>
        <v>0</v>
      </c>
    </row>
    <row r="320" spans="1:32">
      <c r="A320" s="604">
        <v>306</v>
      </c>
      <c r="B320" s="316" t="s">
        <v>959</v>
      </c>
      <c r="C320" s="316" t="s">
        <v>504</v>
      </c>
      <c r="D320" s="316" t="s">
        <v>1178</v>
      </c>
      <c r="E320" s="602" t="s">
        <v>1598</v>
      </c>
      <c r="F320" s="603">
        <v>2348751.16</v>
      </c>
      <c r="G320" s="603">
        <v>209006</v>
      </c>
      <c r="H320" s="603">
        <v>418012</v>
      </c>
      <c r="I320" s="603">
        <v>627018</v>
      </c>
      <c r="J320" s="603">
        <v>442240.22</v>
      </c>
      <c r="K320" s="603">
        <v>610455.22</v>
      </c>
      <c r="L320" s="603">
        <v>812934.22</v>
      </c>
      <c r="M320" s="603">
        <v>1015413.22</v>
      </c>
      <c r="N320" s="603">
        <v>1319034.22</v>
      </c>
      <c r="O320" s="603">
        <v>1534156.22</v>
      </c>
      <c r="P320" s="603">
        <v>1749278.22</v>
      </c>
      <c r="Q320" s="603">
        <v>1964400.22</v>
      </c>
      <c r="R320" s="603">
        <v>2179522.2200000002</v>
      </c>
      <c r="S320" s="484">
        <f t="shared" si="62"/>
        <v>1080507.0374999999</v>
      </c>
      <c r="T320" s="604"/>
      <c r="U320" s="642"/>
      <c r="V320" s="679"/>
      <c r="W320" s="679">
        <f t="shared" si="60"/>
        <v>1080507.0374999999</v>
      </c>
      <c r="X320" s="702"/>
      <c r="Y320" s="679"/>
      <c r="Z320" s="679"/>
      <c r="AA320" s="642"/>
      <c r="AB320" s="679"/>
      <c r="AC320" s="644">
        <f t="shared" si="61"/>
        <v>1080507.0374999999</v>
      </c>
      <c r="AD320" s="643"/>
      <c r="AE320" s="643"/>
      <c r="AF320" s="677">
        <f t="shared" si="58"/>
        <v>0</v>
      </c>
    </row>
    <row r="321" spans="1:32">
      <c r="A321" s="604">
        <v>307</v>
      </c>
      <c r="B321" s="316" t="s">
        <v>956</v>
      </c>
      <c r="C321" s="316" t="s">
        <v>504</v>
      </c>
      <c r="D321" s="316" t="s">
        <v>1179</v>
      </c>
      <c r="E321" s="602" t="s">
        <v>1599</v>
      </c>
      <c r="F321" s="603">
        <v>2223.23</v>
      </c>
      <c r="G321" s="603">
        <v>105.15</v>
      </c>
      <c r="H321" s="603">
        <v>105.15</v>
      </c>
      <c r="I321" s="603">
        <v>553.16</v>
      </c>
      <c r="J321" s="603">
        <v>1039.1099999999999</v>
      </c>
      <c r="K321" s="603">
        <v>1039.1099999999999</v>
      </c>
      <c r="L321" s="603">
        <v>1039.1099999999999</v>
      </c>
      <c r="M321" s="603">
        <v>1039.1099999999999</v>
      </c>
      <c r="N321" s="603">
        <v>1137.29</v>
      </c>
      <c r="O321" s="603">
        <v>1137.29</v>
      </c>
      <c r="P321" s="603">
        <v>1315.87</v>
      </c>
      <c r="Q321" s="603">
        <v>1315.87</v>
      </c>
      <c r="R321" s="603">
        <v>1315.87</v>
      </c>
      <c r="S321" s="484">
        <f t="shared" si="62"/>
        <v>966.31416666666644</v>
      </c>
      <c r="T321" s="604"/>
      <c r="U321" s="642"/>
      <c r="V321" s="679"/>
      <c r="W321" s="679">
        <f t="shared" si="60"/>
        <v>966.31416666666644</v>
      </c>
      <c r="X321" s="702"/>
      <c r="Y321" s="679"/>
      <c r="Z321" s="679"/>
      <c r="AA321" s="642"/>
      <c r="AB321" s="679"/>
      <c r="AC321" s="644">
        <f t="shared" si="61"/>
        <v>966.31416666666644</v>
      </c>
      <c r="AD321" s="643"/>
      <c r="AE321" s="643"/>
      <c r="AF321" s="677">
        <f t="shared" si="58"/>
        <v>0</v>
      </c>
    </row>
    <row r="322" spans="1:32">
      <c r="A322" s="604">
        <v>308</v>
      </c>
      <c r="B322" s="316" t="s">
        <v>984</v>
      </c>
      <c r="C322" s="316" t="s">
        <v>504</v>
      </c>
      <c r="D322" s="316" t="s">
        <v>1179</v>
      </c>
      <c r="E322" s="602" t="s">
        <v>1599</v>
      </c>
      <c r="F322" s="603">
        <v>26450.98</v>
      </c>
      <c r="G322" s="603">
        <v>291</v>
      </c>
      <c r="H322" s="603">
        <v>814.83</v>
      </c>
      <c r="I322" s="603">
        <v>1120.78</v>
      </c>
      <c r="J322" s="603">
        <v>1244.54</v>
      </c>
      <c r="K322" s="603">
        <v>1623.2</v>
      </c>
      <c r="L322" s="603">
        <v>2082.31</v>
      </c>
      <c r="M322" s="603">
        <v>2624.81</v>
      </c>
      <c r="N322" s="603">
        <v>3267.91</v>
      </c>
      <c r="O322" s="603">
        <v>3725.11</v>
      </c>
      <c r="P322" s="603">
        <v>26823.8</v>
      </c>
      <c r="Q322" s="603">
        <v>27291.8</v>
      </c>
      <c r="R322" s="603">
        <v>27706.880000000001</v>
      </c>
      <c r="S322" s="484">
        <f t="shared" si="62"/>
        <v>8165.7516666666661</v>
      </c>
      <c r="T322" s="604"/>
      <c r="U322" s="642"/>
      <c r="V322" s="679"/>
      <c r="W322" s="679">
        <f t="shared" si="60"/>
        <v>8165.7516666666661</v>
      </c>
      <c r="X322" s="702"/>
      <c r="Y322" s="679"/>
      <c r="Z322" s="679"/>
      <c r="AA322" s="642"/>
      <c r="AB322" s="679"/>
      <c r="AC322" s="644">
        <f t="shared" si="61"/>
        <v>8165.7516666666661</v>
      </c>
      <c r="AD322" s="643"/>
      <c r="AE322" s="643"/>
      <c r="AF322" s="677">
        <f t="shared" si="58"/>
        <v>0</v>
      </c>
    </row>
    <row r="323" spans="1:32">
      <c r="A323" s="604">
        <v>309</v>
      </c>
      <c r="B323" s="316" t="s">
        <v>959</v>
      </c>
      <c r="C323" s="316" t="s">
        <v>504</v>
      </c>
      <c r="D323" s="316" t="s">
        <v>1179</v>
      </c>
      <c r="E323" s="602" t="s">
        <v>1599</v>
      </c>
      <c r="F323" s="603">
        <v>34335.31</v>
      </c>
      <c r="G323" s="603">
        <v>141.65</v>
      </c>
      <c r="H323" s="603">
        <v>791.36</v>
      </c>
      <c r="I323" s="603">
        <v>16005.09</v>
      </c>
      <c r="J323" s="603">
        <v>6911.61</v>
      </c>
      <c r="K323" s="603">
        <v>7607.94</v>
      </c>
      <c r="L323" s="603">
        <v>7851.93</v>
      </c>
      <c r="M323" s="603">
        <v>8879.27</v>
      </c>
      <c r="N323" s="603">
        <v>14413.81</v>
      </c>
      <c r="O323" s="603">
        <v>17217.419999999998</v>
      </c>
      <c r="P323" s="603">
        <v>17223.32</v>
      </c>
      <c r="Q323" s="603">
        <v>22366.77</v>
      </c>
      <c r="R323" s="603">
        <v>23966.93</v>
      </c>
      <c r="S323" s="484">
        <f t="shared" si="62"/>
        <v>12380.1075</v>
      </c>
      <c r="T323" s="604"/>
      <c r="U323" s="642"/>
      <c r="V323" s="679"/>
      <c r="W323" s="679">
        <f t="shared" si="60"/>
        <v>12380.1075</v>
      </c>
      <c r="X323" s="702"/>
      <c r="Y323" s="679"/>
      <c r="Z323" s="679"/>
      <c r="AA323" s="642"/>
      <c r="AB323" s="679"/>
      <c r="AC323" s="644">
        <f t="shared" si="61"/>
        <v>12380.1075</v>
      </c>
      <c r="AD323" s="643"/>
      <c r="AE323" s="643"/>
      <c r="AF323" s="677">
        <f t="shared" si="58"/>
        <v>0</v>
      </c>
    </row>
    <row r="324" spans="1:32">
      <c r="A324" s="604">
        <v>310</v>
      </c>
      <c r="B324" s="604" t="s">
        <v>369</v>
      </c>
      <c r="C324" s="604" t="s">
        <v>505</v>
      </c>
      <c r="D324" s="604" t="s">
        <v>369</v>
      </c>
      <c r="E324" s="602" t="s">
        <v>1605</v>
      </c>
      <c r="F324" s="303">
        <v>2257640.98</v>
      </c>
      <c r="G324" s="303">
        <v>227876.63</v>
      </c>
      <c r="H324" s="303">
        <v>435984.76</v>
      </c>
      <c r="I324" s="303">
        <v>635136.4</v>
      </c>
      <c r="J324" s="303">
        <v>841363.86</v>
      </c>
      <c r="K324" s="303">
        <v>1045796.29</v>
      </c>
      <c r="L324" s="303">
        <v>1224380.81</v>
      </c>
      <c r="M324" s="303">
        <v>1426816.56</v>
      </c>
      <c r="N324" s="303">
        <v>1614952.02</v>
      </c>
      <c r="O324" s="303">
        <v>1799163.64</v>
      </c>
      <c r="P324" s="303">
        <v>2000828.68</v>
      </c>
      <c r="Q324" s="303">
        <v>2171032.12</v>
      </c>
      <c r="R324" s="303">
        <v>2415606.38</v>
      </c>
      <c r="S324" s="484">
        <f>((F324+R324)+((G324+H324+I324+J324+K324+L324+M324+N324+O324+P324+Q324)*2))/24</f>
        <v>1313329.6208333333</v>
      </c>
      <c r="T324" s="604"/>
      <c r="U324" s="642"/>
      <c r="V324" s="679"/>
      <c r="W324" s="679">
        <f t="shared" si="60"/>
        <v>1313329.6208333333</v>
      </c>
      <c r="X324" s="702"/>
      <c r="Y324" s="679"/>
      <c r="Z324" s="679"/>
      <c r="AA324" s="642"/>
      <c r="AB324" s="679"/>
      <c r="AC324" s="644">
        <f t="shared" si="61"/>
        <v>1313329.6208333333</v>
      </c>
      <c r="AD324" s="643"/>
      <c r="AE324" s="643"/>
      <c r="AF324" s="677">
        <f t="shared" si="58"/>
        <v>0</v>
      </c>
    </row>
    <row r="325" spans="1:32">
      <c r="A325" s="604">
        <v>311</v>
      </c>
      <c r="B325" s="604"/>
      <c r="C325" s="604"/>
      <c r="D325" s="604"/>
      <c r="E325" s="589" t="s">
        <v>506</v>
      </c>
      <c r="F325" s="295">
        <f>SUM(F309:F324)</f>
        <v>28430305.460000001</v>
      </c>
      <c r="G325" s="295">
        <f t="shared" ref="G325:S325" si="63">SUM(G309:G324)</f>
        <v>3566743.36</v>
      </c>
      <c r="H325" s="295">
        <f t="shared" si="63"/>
        <v>7426955.9100000011</v>
      </c>
      <c r="I325" s="295">
        <f t="shared" si="63"/>
        <v>11117130.029999999</v>
      </c>
      <c r="J325" s="295">
        <f t="shared" si="63"/>
        <v>13147168.379999997</v>
      </c>
      <c r="K325" s="295">
        <f t="shared" si="63"/>
        <v>14928165.530000001</v>
      </c>
      <c r="L325" s="295">
        <f t="shared" si="63"/>
        <v>16411088.940000001</v>
      </c>
      <c r="M325" s="295">
        <f t="shared" si="63"/>
        <v>17873494.390000001</v>
      </c>
      <c r="N325" s="295">
        <f t="shared" si="63"/>
        <v>19330358.749999996</v>
      </c>
      <c r="O325" s="295">
        <f t="shared" si="63"/>
        <v>20837644.119999997</v>
      </c>
      <c r="P325" s="295">
        <f t="shared" si="63"/>
        <v>23153062.740000002</v>
      </c>
      <c r="Q325" s="295">
        <f t="shared" si="63"/>
        <v>26329421.970000003</v>
      </c>
      <c r="R325" s="295">
        <f t="shared" si="63"/>
        <v>30542472.069999997</v>
      </c>
      <c r="S325" s="295">
        <f t="shared" si="63"/>
        <v>16967301.907083333</v>
      </c>
      <c r="T325" s="604"/>
      <c r="U325" s="642"/>
      <c r="V325" s="679"/>
      <c r="W325" s="679"/>
      <c r="X325" s="702"/>
      <c r="Y325" s="679"/>
      <c r="Z325" s="679"/>
      <c r="AA325" s="642"/>
      <c r="AB325" s="679"/>
      <c r="AC325" s="643"/>
      <c r="AD325" s="643"/>
      <c r="AE325" s="643"/>
      <c r="AF325" s="677">
        <f t="shared" si="58"/>
        <v>0</v>
      </c>
    </row>
    <row r="326" spans="1:32">
      <c r="A326" s="604">
        <v>312</v>
      </c>
      <c r="B326" s="604"/>
      <c r="C326" s="604"/>
      <c r="D326" s="604"/>
      <c r="E326" s="589"/>
      <c r="F326" s="603"/>
      <c r="G326" s="314"/>
      <c r="H326" s="305"/>
      <c r="I326" s="305"/>
      <c r="J326" s="306"/>
      <c r="K326" s="307"/>
      <c r="L326" s="308"/>
      <c r="M326" s="309"/>
      <c r="N326" s="310"/>
      <c r="O326" s="590"/>
      <c r="P326" s="311"/>
      <c r="Q326" s="315"/>
      <c r="R326" s="603"/>
      <c r="S326" s="294"/>
      <c r="T326" s="604"/>
      <c r="U326" s="642"/>
      <c r="V326" s="679"/>
      <c r="W326" s="679"/>
      <c r="X326" s="702"/>
      <c r="Y326" s="679"/>
      <c r="Z326" s="679"/>
      <c r="AA326" s="642"/>
      <c r="AB326" s="679"/>
      <c r="AC326" s="643"/>
      <c r="AD326" s="643"/>
      <c r="AE326" s="643"/>
      <c r="AF326" s="677">
        <f t="shared" si="58"/>
        <v>0</v>
      </c>
    </row>
    <row r="327" spans="1:32">
      <c r="A327" s="604">
        <v>313</v>
      </c>
      <c r="B327" s="316" t="s">
        <v>956</v>
      </c>
      <c r="C327" s="316" t="s">
        <v>507</v>
      </c>
      <c r="D327" s="604"/>
      <c r="E327" s="602" t="s">
        <v>1606</v>
      </c>
      <c r="F327" s="603">
        <v>26303412.609999999</v>
      </c>
      <c r="G327" s="603">
        <v>2356483.42</v>
      </c>
      <c r="H327" s="603">
        <v>4726032.16</v>
      </c>
      <c r="I327" s="603">
        <v>7104545.4199999999</v>
      </c>
      <c r="J327" s="603">
        <v>9497469.6799999997</v>
      </c>
      <c r="K327" s="603">
        <v>11907578.300000001</v>
      </c>
      <c r="L327" s="603">
        <v>14334782.939999999</v>
      </c>
      <c r="M327" s="603">
        <v>16782480.190000001</v>
      </c>
      <c r="N327" s="603">
        <v>19235705.48</v>
      </c>
      <c r="O327" s="603">
        <v>21703420.32</v>
      </c>
      <c r="P327" s="603">
        <v>24188691.23</v>
      </c>
      <c r="Q327" s="603">
        <v>26702769.57</v>
      </c>
      <c r="R327" s="603">
        <v>29230447.98</v>
      </c>
      <c r="S327" s="294">
        <f>((F327+R327)+((G327+H327+I327+J327+K327+L327+M327+N327+O327+P327+Q327)*2))/24</f>
        <v>15525574.08375</v>
      </c>
      <c r="T327" s="604"/>
      <c r="U327" s="642"/>
      <c r="V327" s="679"/>
      <c r="W327" s="679">
        <f>+S327</f>
        <v>15525574.08375</v>
      </c>
      <c r="X327" s="702"/>
      <c r="Y327" s="679"/>
      <c r="Z327" s="679"/>
      <c r="AA327" s="642"/>
      <c r="AB327" s="679"/>
      <c r="AC327" s="644">
        <f>+S327</f>
        <v>15525574.08375</v>
      </c>
      <c r="AD327" s="643"/>
      <c r="AE327" s="643"/>
      <c r="AF327" s="677">
        <f t="shared" si="58"/>
        <v>0</v>
      </c>
    </row>
    <row r="328" spans="1:32">
      <c r="A328" s="604">
        <v>314</v>
      </c>
      <c r="B328" s="316" t="s">
        <v>956</v>
      </c>
      <c r="C328" s="316" t="s">
        <v>508</v>
      </c>
      <c r="D328" s="604"/>
      <c r="E328" s="602" t="s">
        <v>1607</v>
      </c>
      <c r="F328" s="603">
        <v>3486360.4</v>
      </c>
      <c r="G328" s="603">
        <v>288580.90000000002</v>
      </c>
      <c r="H328" s="603">
        <v>577130.34</v>
      </c>
      <c r="I328" s="603">
        <v>865679.78</v>
      </c>
      <c r="J328" s="603">
        <v>1151676.1000000001</v>
      </c>
      <c r="K328" s="603">
        <v>1438514.42</v>
      </c>
      <c r="L328" s="603">
        <v>1725352.74</v>
      </c>
      <c r="M328" s="603">
        <v>2012192.61</v>
      </c>
      <c r="N328" s="603">
        <v>2299181.62</v>
      </c>
      <c r="O328" s="603">
        <v>2586176.0699999998</v>
      </c>
      <c r="P328" s="603">
        <v>2876670.55</v>
      </c>
      <c r="Q328" s="603">
        <v>3166291.48</v>
      </c>
      <c r="R328" s="603">
        <v>3457659.27</v>
      </c>
      <c r="S328" s="294">
        <f>((F328+R328)+((G328+H328+I328+J328+K328+L328+M328+N328+O328+P328+Q328)*2))/24</f>
        <v>1871621.3704166671</v>
      </c>
      <c r="T328" s="604"/>
      <c r="U328" s="642"/>
      <c r="V328" s="679"/>
      <c r="W328" s="679">
        <f>+S328</f>
        <v>1871621.3704166671</v>
      </c>
      <c r="X328" s="702"/>
      <c r="Y328" s="679"/>
      <c r="Z328" s="679"/>
      <c r="AA328" s="642"/>
      <c r="AB328" s="679"/>
      <c r="AC328" s="644">
        <f>+S328</f>
        <v>1871621.3704166671</v>
      </c>
      <c r="AD328" s="643"/>
      <c r="AE328" s="643"/>
      <c r="AF328" s="677">
        <f t="shared" si="58"/>
        <v>0</v>
      </c>
    </row>
    <row r="329" spans="1:32">
      <c r="A329" s="604">
        <v>315</v>
      </c>
      <c r="B329" s="316" t="s">
        <v>956</v>
      </c>
      <c r="C329" s="522" t="s">
        <v>509</v>
      </c>
      <c r="D329" s="604"/>
      <c r="E329" s="602" t="s">
        <v>1608</v>
      </c>
      <c r="F329" s="303">
        <v>0</v>
      </c>
      <c r="G329" s="303">
        <v>0</v>
      </c>
      <c r="H329" s="303">
        <v>0</v>
      </c>
      <c r="I329" s="303">
        <v>0</v>
      </c>
      <c r="J329" s="303">
        <v>0</v>
      </c>
      <c r="K329" s="303">
        <v>0</v>
      </c>
      <c r="L329" s="303">
        <v>0</v>
      </c>
      <c r="M329" s="303">
        <v>0</v>
      </c>
      <c r="N329" s="303">
        <v>0</v>
      </c>
      <c r="O329" s="303">
        <v>0</v>
      </c>
      <c r="P329" s="303">
        <v>0</v>
      </c>
      <c r="Q329" s="303">
        <v>0</v>
      </c>
      <c r="R329" s="303">
        <v>0</v>
      </c>
      <c r="S329" s="294">
        <f>((F329+R329)+((G329+H329+I329+J329+K329+L329+M329+N329+O329+P329+Q329)*2))/24</f>
        <v>0</v>
      </c>
      <c r="T329" s="604"/>
      <c r="U329" s="642"/>
      <c r="V329" s="679"/>
      <c r="W329" s="679">
        <f>+S329</f>
        <v>0</v>
      </c>
      <c r="X329" s="702"/>
      <c r="Y329" s="679"/>
      <c r="Z329" s="679"/>
      <c r="AA329" s="642"/>
      <c r="AB329" s="679"/>
      <c r="AC329" s="644">
        <f>+S329</f>
        <v>0</v>
      </c>
      <c r="AD329" s="643"/>
      <c r="AE329" s="643"/>
      <c r="AF329" s="677">
        <f t="shared" si="58"/>
        <v>0</v>
      </c>
    </row>
    <row r="330" spans="1:32">
      <c r="A330" s="604">
        <v>316</v>
      </c>
      <c r="B330" s="604"/>
      <c r="C330" s="604"/>
      <c r="D330" s="604"/>
      <c r="E330" s="602" t="s">
        <v>510</v>
      </c>
      <c r="F330" s="295">
        <f>SUM(F327:F329)</f>
        <v>29789773.009999998</v>
      </c>
      <c r="G330" s="295">
        <f t="shared" ref="G330:S330" si="64">SUM(G327:G329)</f>
        <v>2645064.3199999998</v>
      </c>
      <c r="H330" s="295">
        <f t="shared" si="64"/>
        <v>5303162.5</v>
      </c>
      <c r="I330" s="295">
        <f t="shared" si="64"/>
        <v>7970225.2000000002</v>
      </c>
      <c r="J330" s="295">
        <f t="shared" si="64"/>
        <v>10649145.779999999</v>
      </c>
      <c r="K330" s="295">
        <f t="shared" si="64"/>
        <v>13346092.720000001</v>
      </c>
      <c r="L330" s="295">
        <f t="shared" si="64"/>
        <v>16060135.68</v>
      </c>
      <c r="M330" s="295">
        <f t="shared" si="64"/>
        <v>18794672.800000001</v>
      </c>
      <c r="N330" s="295">
        <f t="shared" si="64"/>
        <v>21534887.100000001</v>
      </c>
      <c r="O330" s="295">
        <f t="shared" si="64"/>
        <v>24289596.390000001</v>
      </c>
      <c r="P330" s="295">
        <f t="shared" si="64"/>
        <v>27065361.780000001</v>
      </c>
      <c r="Q330" s="295">
        <f t="shared" si="64"/>
        <v>29869061.050000001</v>
      </c>
      <c r="R330" s="295">
        <f t="shared" si="64"/>
        <v>32688107.25</v>
      </c>
      <c r="S330" s="486">
        <f t="shared" si="64"/>
        <v>17397195.454166666</v>
      </c>
      <c r="T330" s="604"/>
      <c r="U330" s="642"/>
      <c r="V330" s="679"/>
      <c r="W330" s="679"/>
      <c r="X330" s="702"/>
      <c r="Y330" s="679"/>
      <c r="Z330" s="679"/>
      <c r="AA330" s="642"/>
      <c r="AB330" s="679"/>
      <c r="AC330" s="643"/>
      <c r="AD330" s="643"/>
      <c r="AE330" s="643"/>
      <c r="AF330" s="677">
        <f t="shared" si="58"/>
        <v>0</v>
      </c>
    </row>
    <row r="331" spans="1:32">
      <c r="A331" s="604">
        <v>317</v>
      </c>
      <c r="B331" s="604"/>
      <c r="C331" s="604"/>
      <c r="D331" s="604"/>
      <c r="E331" s="589"/>
      <c r="F331" s="603"/>
      <c r="G331" s="314"/>
      <c r="H331" s="305"/>
      <c r="I331" s="305"/>
      <c r="J331" s="306"/>
      <c r="K331" s="307"/>
      <c r="L331" s="308"/>
      <c r="M331" s="309"/>
      <c r="N331" s="310"/>
      <c r="O331" s="590"/>
      <c r="P331" s="311"/>
      <c r="Q331" s="315"/>
      <c r="R331" s="603"/>
      <c r="S331" s="294"/>
      <c r="T331" s="604"/>
      <c r="U331" s="642"/>
      <c r="V331" s="679"/>
      <c r="W331" s="679"/>
      <c r="X331" s="702"/>
      <c r="Y331" s="679"/>
      <c r="Z331" s="679"/>
      <c r="AA331" s="642"/>
      <c r="AB331" s="679"/>
      <c r="AC331" s="643"/>
      <c r="AD331" s="643"/>
      <c r="AE331" s="643"/>
      <c r="AF331" s="677">
        <f t="shared" si="58"/>
        <v>0</v>
      </c>
    </row>
    <row r="332" spans="1:32">
      <c r="A332" s="604">
        <v>318</v>
      </c>
      <c r="B332" s="316" t="s">
        <v>956</v>
      </c>
      <c r="C332" s="316" t="s">
        <v>511</v>
      </c>
      <c r="D332" s="604"/>
      <c r="E332" s="602" t="s">
        <v>512</v>
      </c>
      <c r="F332" s="603">
        <v>0</v>
      </c>
      <c r="G332" s="603">
        <v>0</v>
      </c>
      <c r="H332" s="603">
        <v>0</v>
      </c>
      <c r="I332" s="603">
        <v>0</v>
      </c>
      <c r="J332" s="603">
        <v>0</v>
      </c>
      <c r="K332" s="603">
        <v>0</v>
      </c>
      <c r="L332" s="603">
        <v>0</v>
      </c>
      <c r="M332" s="603">
        <v>0</v>
      </c>
      <c r="N332" s="603">
        <v>0</v>
      </c>
      <c r="O332" s="603">
        <v>0</v>
      </c>
      <c r="P332" s="603">
        <v>0</v>
      </c>
      <c r="Q332" s="603">
        <v>0</v>
      </c>
      <c r="R332" s="603">
        <v>0</v>
      </c>
      <c r="S332" s="484">
        <f t="shared" ref="S332:S339" si="65">((F332+R332)+((G332+H332+I332+J332+K332+L332+M332+N332+O332+P332+Q332)*2))/24</f>
        <v>0</v>
      </c>
      <c r="T332" s="604"/>
      <c r="U332" s="642"/>
      <c r="V332" s="679"/>
      <c r="W332" s="679"/>
      <c r="X332" s="702"/>
      <c r="Y332" s="679"/>
      <c r="Z332" s="679"/>
      <c r="AA332" s="642"/>
      <c r="AB332" s="679"/>
      <c r="AC332" s="643"/>
      <c r="AD332" s="643"/>
      <c r="AE332" s="643"/>
      <c r="AF332" s="677">
        <f t="shared" si="58"/>
        <v>0</v>
      </c>
    </row>
    <row r="333" spans="1:32">
      <c r="A333" s="604">
        <v>319</v>
      </c>
      <c r="B333" s="316" t="s">
        <v>956</v>
      </c>
      <c r="C333" s="316" t="s">
        <v>513</v>
      </c>
      <c r="D333" s="604"/>
      <c r="E333" s="602" t="s">
        <v>514</v>
      </c>
      <c r="F333" s="603">
        <v>11139099.369999999</v>
      </c>
      <c r="G333" s="603">
        <v>928096.05</v>
      </c>
      <c r="H333" s="603">
        <v>1856104.6</v>
      </c>
      <c r="I333" s="603">
        <v>2784113.15</v>
      </c>
      <c r="J333" s="603">
        <v>3712121.68</v>
      </c>
      <c r="K333" s="603">
        <v>4639727.7300000004</v>
      </c>
      <c r="L333" s="603">
        <v>5812917.1200000001</v>
      </c>
      <c r="M333" s="603">
        <v>6986106.4900000002</v>
      </c>
      <c r="N333" s="603">
        <v>8159252.1100000003</v>
      </c>
      <c r="O333" s="603">
        <v>9332397.75</v>
      </c>
      <c r="P333" s="603">
        <v>10505543.369999999</v>
      </c>
      <c r="Q333" s="603">
        <v>11678579.609999999</v>
      </c>
      <c r="R333" s="603">
        <v>12851615.869999999</v>
      </c>
      <c r="S333" s="484">
        <f t="shared" si="65"/>
        <v>6532526.4400000004</v>
      </c>
      <c r="T333" s="604"/>
      <c r="U333" s="642"/>
      <c r="V333" s="679"/>
      <c r="W333" s="679">
        <f t="shared" ref="W333:W347" si="66">+S333</f>
        <v>6532526.4400000004</v>
      </c>
      <c r="X333" s="702"/>
      <c r="Y333" s="679"/>
      <c r="Z333" s="679"/>
      <c r="AA333" s="642"/>
      <c r="AB333" s="679"/>
      <c r="AC333" s="644">
        <f t="shared" ref="AC333:AC347" si="67">+S333</f>
        <v>6532526.4400000004</v>
      </c>
      <c r="AD333" s="643"/>
      <c r="AE333" s="643"/>
      <c r="AF333" s="677">
        <f t="shared" si="58"/>
        <v>0</v>
      </c>
    </row>
    <row r="334" spans="1:32">
      <c r="A334" s="604">
        <v>320</v>
      </c>
      <c r="B334" s="316" t="s">
        <v>956</v>
      </c>
      <c r="C334" s="316" t="s">
        <v>513</v>
      </c>
      <c r="D334" s="316" t="s">
        <v>515</v>
      </c>
      <c r="E334" s="590" t="s">
        <v>516</v>
      </c>
      <c r="F334" s="603">
        <v>548333.80000000005</v>
      </c>
      <c r="G334" s="603">
        <v>165230.87</v>
      </c>
      <c r="H334" s="603">
        <v>320019.8</v>
      </c>
      <c r="I334" s="603">
        <v>478537.68</v>
      </c>
      <c r="J334" s="603">
        <v>580989.74</v>
      </c>
      <c r="K334" s="603">
        <v>789188.57</v>
      </c>
      <c r="L334" s="603">
        <v>873005.23</v>
      </c>
      <c r="M334" s="603">
        <v>917419.62</v>
      </c>
      <c r="N334" s="603">
        <v>993359.71</v>
      </c>
      <c r="O334" s="603">
        <v>1067622.68</v>
      </c>
      <c r="P334" s="603">
        <v>1095507.58</v>
      </c>
      <c r="Q334" s="603">
        <v>1146976.75</v>
      </c>
      <c r="R334" s="603">
        <v>1237444.53</v>
      </c>
      <c r="S334" s="484">
        <f t="shared" si="65"/>
        <v>776728.94958333333</v>
      </c>
      <c r="T334" s="604"/>
      <c r="U334" s="642"/>
      <c r="V334" s="679"/>
      <c r="W334" s="679">
        <f t="shared" si="66"/>
        <v>776728.94958333333</v>
      </c>
      <c r="X334" s="702"/>
      <c r="Y334" s="679"/>
      <c r="Z334" s="679"/>
      <c r="AA334" s="642"/>
      <c r="AB334" s="679"/>
      <c r="AC334" s="644">
        <f t="shared" si="67"/>
        <v>776728.94958333333</v>
      </c>
      <c r="AD334" s="643"/>
      <c r="AE334" s="643"/>
      <c r="AF334" s="677">
        <f t="shared" si="58"/>
        <v>0</v>
      </c>
    </row>
    <row r="335" spans="1:32">
      <c r="A335" s="604">
        <v>321</v>
      </c>
      <c r="B335" s="316" t="s">
        <v>956</v>
      </c>
      <c r="C335" s="316" t="s">
        <v>513</v>
      </c>
      <c r="D335" s="316" t="s">
        <v>549</v>
      </c>
      <c r="E335" s="590" t="s">
        <v>1879</v>
      </c>
      <c r="F335" s="603">
        <v>0</v>
      </c>
      <c r="G335" s="603">
        <v>0</v>
      </c>
      <c r="H335" s="603">
        <v>0</v>
      </c>
      <c r="I335" s="603">
        <v>0</v>
      </c>
      <c r="J335" s="603">
        <v>31250.01</v>
      </c>
      <c r="K335" s="603">
        <v>39322.93</v>
      </c>
      <c r="L335" s="603">
        <v>48958.35</v>
      </c>
      <c r="M335" s="603">
        <v>59722.239999999998</v>
      </c>
      <c r="N335" s="603">
        <v>70486.13</v>
      </c>
      <c r="O335" s="603">
        <v>81076.39</v>
      </c>
      <c r="P335" s="603">
        <v>91840.28</v>
      </c>
      <c r="Q335" s="603">
        <v>102256.95</v>
      </c>
      <c r="R335" s="603">
        <v>113020.83</v>
      </c>
      <c r="S335" s="484">
        <f t="shared" si="65"/>
        <v>48451.974583333329</v>
      </c>
      <c r="T335" s="604"/>
      <c r="U335" s="642"/>
      <c r="V335" s="679"/>
      <c r="W335" s="679">
        <f t="shared" si="66"/>
        <v>48451.974583333329</v>
      </c>
      <c r="X335" s="702"/>
      <c r="Y335" s="679"/>
      <c r="Z335" s="679"/>
      <c r="AA335" s="642"/>
      <c r="AB335" s="679"/>
      <c r="AC335" s="644">
        <f>+W335</f>
        <v>48451.974583333329</v>
      </c>
      <c r="AD335" s="643"/>
      <c r="AE335" s="643"/>
      <c r="AF335" s="677"/>
    </row>
    <row r="336" spans="1:32">
      <c r="A336" s="604">
        <v>322</v>
      </c>
      <c r="B336" s="316" t="s">
        <v>956</v>
      </c>
      <c r="C336" s="316" t="s">
        <v>517</v>
      </c>
      <c r="D336" s="316" t="s">
        <v>1880</v>
      </c>
      <c r="E336" s="590" t="s">
        <v>1881</v>
      </c>
      <c r="F336" s="603">
        <v>0</v>
      </c>
      <c r="G336" s="603">
        <v>0</v>
      </c>
      <c r="H336" s="603">
        <v>0</v>
      </c>
      <c r="I336" s="603">
        <v>1110</v>
      </c>
      <c r="J336" s="603">
        <v>1110</v>
      </c>
      <c r="K336" s="603">
        <v>1110</v>
      </c>
      <c r="L336" s="603">
        <v>1682</v>
      </c>
      <c r="M336" s="603">
        <v>1682</v>
      </c>
      <c r="N336" s="603">
        <v>1682</v>
      </c>
      <c r="O336" s="603">
        <v>2191</v>
      </c>
      <c r="P336" s="603">
        <v>2191</v>
      </c>
      <c r="Q336" s="603">
        <v>2191</v>
      </c>
      <c r="R336" s="603">
        <v>3227</v>
      </c>
      <c r="S336" s="484">
        <f t="shared" si="65"/>
        <v>1380.2083333333333</v>
      </c>
      <c r="T336" s="604"/>
      <c r="U336" s="642"/>
      <c r="V336" s="679"/>
      <c r="W336" s="679">
        <f t="shared" si="66"/>
        <v>1380.2083333333333</v>
      </c>
      <c r="X336" s="702"/>
      <c r="Y336" s="679"/>
      <c r="Z336" s="679"/>
      <c r="AA336" s="642"/>
      <c r="AB336" s="679"/>
      <c r="AC336" s="644">
        <f>+W336</f>
        <v>1380.2083333333333</v>
      </c>
      <c r="AD336" s="643"/>
      <c r="AE336" s="643"/>
      <c r="AF336" s="677"/>
    </row>
    <row r="337" spans="1:32">
      <c r="A337" s="604">
        <v>323</v>
      </c>
      <c r="B337" s="316" t="s">
        <v>956</v>
      </c>
      <c r="C337" s="316" t="s">
        <v>517</v>
      </c>
      <c r="D337" s="316" t="s">
        <v>379</v>
      </c>
      <c r="E337" s="602" t="s">
        <v>1610</v>
      </c>
      <c r="F337" s="603">
        <v>95052.07</v>
      </c>
      <c r="G337" s="603">
        <v>8072.92</v>
      </c>
      <c r="H337" s="603">
        <v>15364.59</v>
      </c>
      <c r="I337" s="603">
        <v>23437.51</v>
      </c>
      <c r="J337" s="603">
        <v>3.6379788070917101E-12</v>
      </c>
      <c r="K337" s="603">
        <v>3.6379788070917101E-12</v>
      </c>
      <c r="L337" s="603">
        <v>3.6379788070917101E-12</v>
      </c>
      <c r="M337" s="603">
        <v>3.6379788070917101E-12</v>
      </c>
      <c r="N337" s="603">
        <v>3.6379788070917101E-12</v>
      </c>
      <c r="O337" s="603">
        <v>3.6379788070917101E-12</v>
      </c>
      <c r="P337" s="603">
        <v>3.6379788070917101E-12</v>
      </c>
      <c r="Q337" s="603">
        <v>3.6379788070917101E-12</v>
      </c>
      <c r="R337" s="603">
        <v>3.6379788070917101E-12</v>
      </c>
      <c r="S337" s="484">
        <f t="shared" si="65"/>
        <v>7866.7545833333343</v>
      </c>
      <c r="T337" s="604"/>
      <c r="U337" s="642"/>
      <c r="V337" s="679"/>
      <c r="W337" s="679">
        <f t="shared" si="66"/>
        <v>7866.7545833333343</v>
      </c>
      <c r="X337" s="702"/>
      <c r="Y337" s="679"/>
      <c r="Z337" s="679"/>
      <c r="AA337" s="642"/>
      <c r="AB337" s="679"/>
      <c r="AC337" s="644">
        <f t="shared" si="67"/>
        <v>7866.7545833333343</v>
      </c>
      <c r="AD337" s="643"/>
      <c r="AE337" s="643"/>
      <c r="AF337" s="677">
        <f t="shared" si="58"/>
        <v>0</v>
      </c>
    </row>
    <row r="338" spans="1:32">
      <c r="A338" s="604">
        <v>324</v>
      </c>
      <c r="B338" s="316" t="s">
        <v>956</v>
      </c>
      <c r="C338" s="316" t="s">
        <v>517</v>
      </c>
      <c r="D338" s="316" t="s">
        <v>1882</v>
      </c>
      <c r="E338" s="602" t="s">
        <v>1883</v>
      </c>
      <c r="F338" s="603">
        <v>0</v>
      </c>
      <c r="G338" s="603">
        <v>34533.33</v>
      </c>
      <c r="H338" s="603">
        <v>103337.65</v>
      </c>
      <c r="I338" s="603">
        <v>205798.22</v>
      </c>
      <c r="J338" s="603">
        <v>377331.64</v>
      </c>
      <c r="K338" s="603">
        <v>556400.62</v>
      </c>
      <c r="L338" s="603">
        <v>702228.65</v>
      </c>
      <c r="M338" s="603">
        <v>801606.15</v>
      </c>
      <c r="N338" s="603">
        <v>896076.18</v>
      </c>
      <c r="O338" s="603">
        <v>984024.68</v>
      </c>
      <c r="P338" s="603">
        <v>1069734.94</v>
      </c>
      <c r="Q338" s="603">
        <v>1146529.3899999999</v>
      </c>
      <c r="R338" s="603">
        <v>1212769.3899999999</v>
      </c>
      <c r="S338" s="484">
        <f t="shared" si="65"/>
        <v>623665.51208333333</v>
      </c>
      <c r="T338" s="604"/>
      <c r="U338" s="642"/>
      <c r="V338" s="679"/>
      <c r="W338" s="679">
        <f t="shared" si="66"/>
        <v>623665.51208333333</v>
      </c>
      <c r="X338" s="702"/>
      <c r="Y338" s="679"/>
      <c r="Z338" s="679"/>
      <c r="AA338" s="642"/>
      <c r="AB338" s="679"/>
      <c r="AC338" s="644">
        <f t="shared" si="67"/>
        <v>623665.51208333333</v>
      </c>
      <c r="AD338" s="643"/>
      <c r="AE338" s="643"/>
      <c r="AF338" s="677"/>
    </row>
    <row r="339" spans="1:32">
      <c r="A339" s="604">
        <v>325</v>
      </c>
      <c r="B339" s="316" t="s">
        <v>956</v>
      </c>
      <c r="C339" s="316" t="s">
        <v>517</v>
      </c>
      <c r="D339" s="316" t="s">
        <v>526</v>
      </c>
      <c r="E339" s="602" t="s">
        <v>1884</v>
      </c>
      <c r="F339" s="603">
        <v>0</v>
      </c>
      <c r="G339" s="603">
        <v>0</v>
      </c>
      <c r="H339" s="603">
        <v>0</v>
      </c>
      <c r="I339" s="603">
        <v>7555.44</v>
      </c>
      <c r="J339" s="603">
        <v>7555.44</v>
      </c>
      <c r="K339" s="603">
        <v>7555.44</v>
      </c>
      <c r="L339" s="603">
        <v>17094.7</v>
      </c>
      <c r="M339" s="603">
        <v>17094.7</v>
      </c>
      <c r="N339" s="603">
        <v>17094.7</v>
      </c>
      <c r="O339" s="603">
        <v>25258.66</v>
      </c>
      <c r="P339" s="603">
        <v>25258.66</v>
      </c>
      <c r="Q339" s="603">
        <v>25258.66</v>
      </c>
      <c r="R339" s="603">
        <v>33252.980000000003</v>
      </c>
      <c r="S339" s="484">
        <f t="shared" si="65"/>
        <v>13862.740833333331</v>
      </c>
      <c r="T339" s="604"/>
      <c r="U339" s="642"/>
      <c r="V339" s="679"/>
      <c r="W339" s="679">
        <f t="shared" si="66"/>
        <v>13862.740833333331</v>
      </c>
      <c r="X339" s="702"/>
      <c r="Y339" s="679"/>
      <c r="Z339" s="679"/>
      <c r="AA339" s="642"/>
      <c r="AB339" s="679"/>
      <c r="AC339" s="644">
        <f t="shared" si="67"/>
        <v>13862.740833333331</v>
      </c>
      <c r="AD339" s="643"/>
      <c r="AE339" s="643"/>
      <c r="AF339" s="677"/>
    </row>
    <row r="340" spans="1:32">
      <c r="A340" s="604">
        <v>326</v>
      </c>
      <c r="B340" s="316" t="s">
        <v>984</v>
      </c>
      <c r="C340" s="316" t="s">
        <v>517</v>
      </c>
      <c r="D340" s="316" t="s">
        <v>1180</v>
      </c>
      <c r="E340" s="602" t="s">
        <v>1611</v>
      </c>
      <c r="F340" s="603">
        <v>3105.24</v>
      </c>
      <c r="G340" s="603">
        <v>50.32</v>
      </c>
      <c r="H340" s="603">
        <v>117.73</v>
      </c>
      <c r="I340" s="603">
        <v>241.09</v>
      </c>
      <c r="J340" s="603">
        <v>481.33</v>
      </c>
      <c r="K340" s="603">
        <v>732.42</v>
      </c>
      <c r="L340" s="603">
        <v>949.16</v>
      </c>
      <c r="M340" s="603">
        <v>1236.6300000000001</v>
      </c>
      <c r="N340" s="603">
        <v>1532.37</v>
      </c>
      <c r="O340" s="603">
        <v>1820.65</v>
      </c>
      <c r="P340" s="603">
        <v>2317.12</v>
      </c>
      <c r="Q340" s="603">
        <v>2571.5300000000002</v>
      </c>
      <c r="R340" s="603">
        <v>4567.83</v>
      </c>
      <c r="S340" s="484">
        <f t="shared" ref="S340:S345" si="68">((F340+R340)+((G340+H340+I340+J340+K340+L340+M340+N340+O340+P340+Q340)*2))/24</f>
        <v>1323.9070833333333</v>
      </c>
      <c r="T340" s="604"/>
      <c r="U340" s="642"/>
      <c r="V340" s="679"/>
      <c r="W340" s="679">
        <f t="shared" si="66"/>
        <v>1323.9070833333333</v>
      </c>
      <c r="X340" s="702"/>
      <c r="Y340" s="679"/>
      <c r="Z340" s="679"/>
      <c r="AA340" s="642"/>
      <c r="AB340" s="679"/>
      <c r="AC340" s="644">
        <f t="shared" si="67"/>
        <v>1323.9070833333333</v>
      </c>
      <c r="AD340" s="643"/>
      <c r="AE340" s="643"/>
      <c r="AF340" s="677">
        <f t="shared" si="58"/>
        <v>0</v>
      </c>
    </row>
    <row r="341" spans="1:32">
      <c r="A341" s="604">
        <v>327</v>
      </c>
      <c r="B341" s="316" t="s">
        <v>984</v>
      </c>
      <c r="C341" s="316" t="s">
        <v>517</v>
      </c>
      <c r="D341" s="316" t="s">
        <v>1181</v>
      </c>
      <c r="E341" s="602" t="s">
        <v>1612</v>
      </c>
      <c r="F341" s="603">
        <v>156518.59</v>
      </c>
      <c r="G341" s="603">
        <v>0</v>
      </c>
      <c r="H341" s="603">
        <v>0</v>
      </c>
      <c r="I341" s="603">
        <v>0</v>
      </c>
      <c r="J341" s="603">
        <v>0</v>
      </c>
      <c r="K341" s="603">
        <v>0</v>
      </c>
      <c r="L341" s="603">
        <v>0</v>
      </c>
      <c r="M341" s="603">
        <v>0</v>
      </c>
      <c r="N341" s="603">
        <v>0</v>
      </c>
      <c r="O341" s="603">
        <v>0</v>
      </c>
      <c r="P341" s="603">
        <v>0</v>
      </c>
      <c r="Q341" s="603">
        <v>0</v>
      </c>
      <c r="R341" s="603">
        <v>0</v>
      </c>
      <c r="S341" s="484">
        <f t="shared" si="68"/>
        <v>6521.6079166666668</v>
      </c>
      <c r="T341" s="604"/>
      <c r="U341" s="642"/>
      <c r="V341" s="679"/>
      <c r="W341" s="679">
        <f t="shared" si="66"/>
        <v>6521.6079166666668</v>
      </c>
      <c r="X341" s="702"/>
      <c r="Y341" s="679"/>
      <c r="Z341" s="679"/>
      <c r="AA341" s="642"/>
      <c r="AB341" s="679"/>
      <c r="AC341" s="644">
        <f t="shared" si="67"/>
        <v>6521.6079166666668</v>
      </c>
      <c r="AD341" s="643"/>
      <c r="AE341" s="643"/>
      <c r="AF341" s="677">
        <f t="shared" si="58"/>
        <v>0</v>
      </c>
    </row>
    <row r="342" spans="1:32">
      <c r="A342" s="604">
        <v>328</v>
      </c>
      <c r="B342" s="316" t="s">
        <v>984</v>
      </c>
      <c r="C342" s="316" t="s">
        <v>517</v>
      </c>
      <c r="D342" s="316" t="s">
        <v>1182</v>
      </c>
      <c r="E342" s="602" t="s">
        <v>1613</v>
      </c>
      <c r="F342" s="603">
        <v>39378.44</v>
      </c>
      <c r="G342" s="603">
        <v>0</v>
      </c>
      <c r="H342" s="603">
        <v>0</v>
      </c>
      <c r="I342" s="603">
        <v>0</v>
      </c>
      <c r="J342" s="603">
        <v>9490.2900000000009</v>
      </c>
      <c r="K342" s="603">
        <v>21965.360000000001</v>
      </c>
      <c r="L342" s="603">
        <v>31077.74</v>
      </c>
      <c r="M342" s="603">
        <v>40780.449999999997</v>
      </c>
      <c r="N342" s="603">
        <v>50530.43</v>
      </c>
      <c r="O342" s="603">
        <v>58370.19</v>
      </c>
      <c r="P342" s="603">
        <v>67212.75</v>
      </c>
      <c r="Q342" s="603">
        <v>79771.240000000005</v>
      </c>
      <c r="R342" s="603">
        <v>92377.64</v>
      </c>
      <c r="S342" s="484">
        <f t="shared" si="68"/>
        <v>35423.040833333333</v>
      </c>
      <c r="T342" s="604"/>
      <c r="U342" s="642"/>
      <c r="V342" s="679"/>
      <c r="W342" s="679">
        <f t="shared" si="66"/>
        <v>35423.040833333333</v>
      </c>
      <c r="X342" s="702"/>
      <c r="Y342" s="679"/>
      <c r="Z342" s="679"/>
      <c r="AA342" s="642"/>
      <c r="AB342" s="679"/>
      <c r="AC342" s="644">
        <f t="shared" si="67"/>
        <v>35423.040833333333</v>
      </c>
      <c r="AD342" s="643"/>
      <c r="AE342" s="643"/>
      <c r="AF342" s="677">
        <f t="shared" si="58"/>
        <v>0</v>
      </c>
    </row>
    <row r="343" spans="1:32">
      <c r="A343" s="604">
        <v>329</v>
      </c>
      <c r="B343" s="316" t="s">
        <v>959</v>
      </c>
      <c r="C343" s="316" t="s">
        <v>517</v>
      </c>
      <c r="D343" s="316" t="s">
        <v>1180</v>
      </c>
      <c r="E343" s="602" t="s">
        <v>1611</v>
      </c>
      <c r="F343" s="603">
        <v>12321.35</v>
      </c>
      <c r="G343" s="603">
        <v>144.74</v>
      </c>
      <c r="H343" s="603">
        <v>424.49</v>
      </c>
      <c r="I343" s="603">
        <v>944.89</v>
      </c>
      <c r="J343" s="603">
        <v>1674.17</v>
      </c>
      <c r="K343" s="603">
        <v>2379.8200000000002</v>
      </c>
      <c r="L343" s="603">
        <v>3131.36</v>
      </c>
      <c r="M343" s="603">
        <v>4037.04</v>
      </c>
      <c r="N343" s="603">
        <v>5172.18</v>
      </c>
      <c r="O343" s="603">
        <v>6230.27</v>
      </c>
      <c r="P343" s="603">
        <v>7596.28</v>
      </c>
      <c r="Q343" s="603">
        <v>8494.06</v>
      </c>
      <c r="R343" s="603">
        <v>16599.79</v>
      </c>
      <c r="S343" s="484">
        <f t="shared" si="68"/>
        <v>4557.4891666666672</v>
      </c>
      <c r="T343" s="604"/>
      <c r="U343" s="642"/>
      <c r="V343" s="679"/>
      <c r="W343" s="679">
        <f t="shared" si="66"/>
        <v>4557.4891666666672</v>
      </c>
      <c r="X343" s="702"/>
      <c r="Y343" s="679"/>
      <c r="Z343" s="679"/>
      <c r="AA343" s="642"/>
      <c r="AB343" s="679"/>
      <c r="AC343" s="644">
        <f t="shared" si="67"/>
        <v>4557.4891666666672</v>
      </c>
      <c r="AD343" s="643"/>
      <c r="AE343" s="643"/>
      <c r="AF343" s="677">
        <f t="shared" si="58"/>
        <v>0</v>
      </c>
    </row>
    <row r="344" spans="1:32">
      <c r="A344" s="604">
        <v>330</v>
      </c>
      <c r="B344" s="316" t="s">
        <v>959</v>
      </c>
      <c r="C344" s="316" t="s">
        <v>517</v>
      </c>
      <c r="D344" s="316" t="s">
        <v>1181</v>
      </c>
      <c r="E344" s="602" t="s">
        <v>1612</v>
      </c>
      <c r="F344" s="603">
        <v>0</v>
      </c>
      <c r="G344" s="603">
        <v>0</v>
      </c>
      <c r="H344" s="603">
        <v>0</v>
      </c>
      <c r="I344" s="603">
        <v>0</v>
      </c>
      <c r="J344" s="603">
        <v>0</v>
      </c>
      <c r="K344" s="603">
        <v>0</v>
      </c>
      <c r="L344" s="603">
        <v>0</v>
      </c>
      <c r="M344" s="603">
        <v>0</v>
      </c>
      <c r="N344" s="603">
        <v>0</v>
      </c>
      <c r="O344" s="603">
        <v>0</v>
      </c>
      <c r="P344" s="603">
        <v>0</v>
      </c>
      <c r="Q344" s="603">
        <v>0</v>
      </c>
      <c r="R344" s="603">
        <v>0</v>
      </c>
      <c r="S344" s="484">
        <f t="shared" si="68"/>
        <v>0</v>
      </c>
      <c r="T344" s="604"/>
      <c r="U344" s="642"/>
      <c r="V344" s="679"/>
      <c r="W344" s="679">
        <f t="shared" si="66"/>
        <v>0</v>
      </c>
      <c r="X344" s="702"/>
      <c r="Y344" s="679"/>
      <c r="Z344" s="679"/>
      <c r="AA344" s="642"/>
      <c r="AB344" s="679"/>
      <c r="AC344" s="644">
        <f t="shared" si="67"/>
        <v>0</v>
      </c>
      <c r="AD344" s="643"/>
      <c r="AE344" s="643"/>
      <c r="AF344" s="677">
        <f t="shared" si="58"/>
        <v>0</v>
      </c>
    </row>
    <row r="345" spans="1:32">
      <c r="A345" s="604">
        <v>331</v>
      </c>
      <c r="B345" s="316" t="s">
        <v>959</v>
      </c>
      <c r="C345" s="316" t="s">
        <v>517</v>
      </c>
      <c r="D345" s="316" t="s">
        <v>1182</v>
      </c>
      <c r="E345" s="602" t="s">
        <v>1613</v>
      </c>
      <c r="F345" s="603">
        <v>53464.6</v>
      </c>
      <c r="G345" s="603">
        <v>0</v>
      </c>
      <c r="H345" s="603">
        <v>0</v>
      </c>
      <c r="I345" s="603">
        <v>0</v>
      </c>
      <c r="J345" s="603">
        <v>0</v>
      </c>
      <c r="K345" s="603">
        <v>0</v>
      </c>
      <c r="L345" s="603">
        <v>0</v>
      </c>
      <c r="M345" s="603">
        <v>0</v>
      </c>
      <c r="N345" s="603">
        <v>0</v>
      </c>
      <c r="O345" s="603">
        <v>0</v>
      </c>
      <c r="P345" s="603">
        <v>0</v>
      </c>
      <c r="Q345" s="603">
        <v>0</v>
      </c>
      <c r="R345" s="603">
        <v>0</v>
      </c>
      <c r="S345" s="484">
        <f t="shared" si="68"/>
        <v>2227.6916666666666</v>
      </c>
      <c r="T345" s="604"/>
      <c r="U345" s="642"/>
      <c r="V345" s="679"/>
      <c r="W345" s="679">
        <f t="shared" si="66"/>
        <v>2227.6916666666666</v>
      </c>
      <c r="X345" s="702"/>
      <c r="Y345" s="679"/>
      <c r="Z345" s="679"/>
      <c r="AA345" s="642"/>
      <c r="AB345" s="679"/>
      <c r="AC345" s="644">
        <f t="shared" si="67"/>
        <v>2227.6916666666666</v>
      </c>
      <c r="AD345" s="643"/>
      <c r="AE345" s="643"/>
      <c r="AF345" s="677">
        <f t="shared" si="58"/>
        <v>0</v>
      </c>
    </row>
    <row r="346" spans="1:32">
      <c r="A346" s="604">
        <v>332</v>
      </c>
      <c r="B346" s="316" t="s">
        <v>956</v>
      </c>
      <c r="C346" s="316" t="s">
        <v>518</v>
      </c>
      <c r="D346" s="604"/>
      <c r="E346" s="602" t="s">
        <v>519</v>
      </c>
      <c r="F346" s="603">
        <v>200172.75</v>
      </c>
      <c r="G346" s="603">
        <v>16464.189999999999</v>
      </c>
      <c r="H346" s="603">
        <v>33621.160000000003</v>
      </c>
      <c r="I346" s="603">
        <v>50081.73</v>
      </c>
      <c r="J346" s="603">
        <v>66542.3</v>
      </c>
      <c r="K346" s="603">
        <v>86139.56</v>
      </c>
      <c r="L346" s="603">
        <v>169066.61</v>
      </c>
      <c r="M346" s="603">
        <v>186772.98</v>
      </c>
      <c r="N346" s="603">
        <v>142055.23000000001</v>
      </c>
      <c r="O346" s="603">
        <v>160580.14000000001</v>
      </c>
      <c r="P346" s="603">
        <v>179105.05</v>
      </c>
      <c r="Q346" s="603">
        <v>198455.11</v>
      </c>
      <c r="R346" s="603">
        <v>216975.49</v>
      </c>
      <c r="S346" s="484">
        <f>((F346+R346)+((G346+H346+I346+J346+K346+L346+M346+N346+O346+P346+Q346)*2))/24</f>
        <v>124788.18166666669</v>
      </c>
      <c r="T346" s="604"/>
      <c r="U346" s="642"/>
      <c r="V346" s="679"/>
      <c r="W346" s="679">
        <f t="shared" si="66"/>
        <v>124788.18166666669</v>
      </c>
      <c r="X346" s="702"/>
      <c r="Y346" s="679"/>
      <c r="Z346" s="679"/>
      <c r="AA346" s="642"/>
      <c r="AB346" s="679"/>
      <c r="AC346" s="644">
        <f t="shared" si="67"/>
        <v>124788.18166666669</v>
      </c>
      <c r="AD346" s="643"/>
      <c r="AE346" s="643"/>
      <c r="AF346" s="677">
        <f t="shared" si="58"/>
        <v>0</v>
      </c>
    </row>
    <row r="347" spans="1:32">
      <c r="A347" s="604">
        <v>333</v>
      </c>
      <c r="B347" s="316" t="s">
        <v>956</v>
      </c>
      <c r="C347" s="316" t="s">
        <v>520</v>
      </c>
      <c r="D347" s="604"/>
      <c r="E347" s="602" t="s">
        <v>1609</v>
      </c>
      <c r="F347" s="303">
        <v>40970.639999999999</v>
      </c>
      <c r="G347" s="303">
        <v>3414.22</v>
      </c>
      <c r="H347" s="303">
        <v>6828.44</v>
      </c>
      <c r="I347" s="303">
        <v>10242.66</v>
      </c>
      <c r="J347" s="303">
        <v>13656.88</v>
      </c>
      <c r="K347" s="303">
        <v>17071.099999999999</v>
      </c>
      <c r="L347" s="303">
        <v>20485.32</v>
      </c>
      <c r="M347" s="303">
        <v>23899.54</v>
      </c>
      <c r="N347" s="303">
        <v>27313.759999999998</v>
      </c>
      <c r="O347" s="303">
        <v>30727.98</v>
      </c>
      <c r="P347" s="303">
        <v>34142.199999999997</v>
      </c>
      <c r="Q347" s="303">
        <v>37556.42</v>
      </c>
      <c r="R347" s="303">
        <v>40970.639999999999</v>
      </c>
      <c r="S347" s="484">
        <f>((F347+R347)+((G347+H347+I347+J347+K347+L347+M347+N347+O347+P347+Q347)*2))/24</f>
        <v>22192.429999999997</v>
      </c>
      <c r="T347" s="604"/>
      <c r="U347" s="642"/>
      <c r="V347" s="679"/>
      <c r="W347" s="679">
        <f t="shared" si="66"/>
        <v>22192.429999999997</v>
      </c>
      <c r="X347" s="702"/>
      <c r="Y347" s="679"/>
      <c r="Z347" s="679"/>
      <c r="AA347" s="642"/>
      <c r="AB347" s="679"/>
      <c r="AC347" s="644">
        <f t="shared" si="67"/>
        <v>22192.429999999997</v>
      </c>
      <c r="AD347" s="643"/>
      <c r="AE347" s="643"/>
      <c r="AF347" s="677">
        <f t="shared" si="58"/>
        <v>0</v>
      </c>
    </row>
    <row r="348" spans="1:32">
      <c r="A348" s="604">
        <v>334</v>
      </c>
      <c r="B348" s="604"/>
      <c r="C348" s="604"/>
      <c r="D348" s="604"/>
      <c r="E348" s="602" t="s">
        <v>521</v>
      </c>
      <c r="F348" s="295">
        <f t="shared" ref="F348:S348" si="69">SUM(F332:F347)</f>
        <v>12288416.85</v>
      </c>
      <c r="G348" s="295">
        <f t="shared" si="69"/>
        <v>1156006.6399999999</v>
      </c>
      <c r="H348" s="295">
        <f t="shared" si="69"/>
        <v>2335818.46</v>
      </c>
      <c r="I348" s="295">
        <f t="shared" si="69"/>
        <v>3562062.37</v>
      </c>
      <c r="J348" s="295">
        <f t="shared" si="69"/>
        <v>4802203.4799999995</v>
      </c>
      <c r="K348" s="295">
        <f t="shared" si="69"/>
        <v>6161593.5500000007</v>
      </c>
      <c r="L348" s="295">
        <f t="shared" si="69"/>
        <v>7680596.2400000012</v>
      </c>
      <c r="M348" s="295">
        <f t="shared" si="69"/>
        <v>9040357.839999998</v>
      </c>
      <c r="N348" s="295">
        <f t="shared" si="69"/>
        <v>10364554.799999999</v>
      </c>
      <c r="O348" s="295">
        <f t="shared" si="69"/>
        <v>11750300.390000001</v>
      </c>
      <c r="P348" s="295">
        <f t="shared" si="69"/>
        <v>13080449.229999997</v>
      </c>
      <c r="Q348" s="295">
        <f t="shared" si="69"/>
        <v>14428640.719999999</v>
      </c>
      <c r="R348" s="295">
        <f t="shared" si="69"/>
        <v>15822821.99</v>
      </c>
      <c r="S348" s="486">
        <f t="shared" si="69"/>
        <v>8201516.9283333337</v>
      </c>
      <c r="T348" s="604"/>
      <c r="U348" s="642"/>
      <c r="V348" s="679"/>
      <c r="W348" s="679"/>
      <c r="X348" s="702"/>
      <c r="Y348" s="679"/>
      <c r="Z348" s="679"/>
      <c r="AA348" s="642"/>
      <c r="AB348" s="679"/>
      <c r="AC348" s="643"/>
      <c r="AD348" s="643"/>
      <c r="AE348" s="643"/>
      <c r="AF348" s="677">
        <f t="shared" si="58"/>
        <v>0</v>
      </c>
    </row>
    <row r="349" spans="1:32">
      <c r="A349" s="604">
        <v>335</v>
      </c>
      <c r="B349" s="604"/>
      <c r="C349" s="604"/>
      <c r="D349" s="604"/>
      <c r="E349" s="602"/>
      <c r="F349" s="603"/>
      <c r="G349" s="314"/>
      <c r="H349" s="305"/>
      <c r="I349" s="305"/>
      <c r="J349" s="306"/>
      <c r="K349" s="307"/>
      <c r="L349" s="308"/>
      <c r="M349" s="309"/>
      <c r="N349" s="310"/>
      <c r="O349" s="590"/>
      <c r="P349" s="311"/>
      <c r="Q349" s="315"/>
      <c r="R349" s="603"/>
      <c r="S349" s="294"/>
      <c r="T349" s="604"/>
      <c r="U349" s="642"/>
      <c r="V349" s="679"/>
      <c r="W349" s="679"/>
      <c r="X349" s="702"/>
      <c r="Y349" s="679"/>
      <c r="Z349" s="679"/>
      <c r="AA349" s="642"/>
      <c r="AB349" s="679"/>
      <c r="AC349" s="643"/>
      <c r="AD349" s="643"/>
      <c r="AE349" s="643"/>
      <c r="AF349" s="677">
        <f t="shared" si="58"/>
        <v>0</v>
      </c>
    </row>
    <row r="350" spans="1:32">
      <c r="A350" s="604">
        <v>336</v>
      </c>
      <c r="B350" s="316" t="s">
        <v>984</v>
      </c>
      <c r="C350" s="316" t="s">
        <v>522</v>
      </c>
      <c r="D350" s="316" t="s">
        <v>1183</v>
      </c>
      <c r="E350" s="602" t="s">
        <v>1616</v>
      </c>
      <c r="F350" s="603">
        <v>477754.1</v>
      </c>
      <c r="G350" s="603">
        <v>-1106116.25</v>
      </c>
      <c r="H350" s="603">
        <v>360934.49</v>
      </c>
      <c r="I350" s="603">
        <v>304626.49</v>
      </c>
      <c r="J350" s="603">
        <v>60968.1</v>
      </c>
      <c r="K350" s="603">
        <v>-120515.98</v>
      </c>
      <c r="L350" s="603">
        <v>-340927.21</v>
      </c>
      <c r="M350" s="603">
        <v>-656514.9</v>
      </c>
      <c r="N350" s="603">
        <v>-1034313.55</v>
      </c>
      <c r="O350" s="603">
        <v>-900351.67</v>
      </c>
      <c r="P350" s="603">
        <v>-972430.98</v>
      </c>
      <c r="Q350" s="603">
        <v>-1075747.08</v>
      </c>
      <c r="R350" s="603">
        <v>-638181.51</v>
      </c>
      <c r="S350" s="484">
        <f t="shared" ref="S350:S370" si="70">((F350+R350)+((G350+H350+I350+J350+K350+L350+M350+N350+O350+P350+Q350)*2))/24</f>
        <v>-463383.52041666675</v>
      </c>
      <c r="T350" s="604"/>
      <c r="U350" s="642"/>
      <c r="V350" s="679"/>
      <c r="W350" s="679">
        <f t="shared" ref="W350:W370" si="71">+S350</f>
        <v>-463383.52041666675</v>
      </c>
      <c r="X350" s="702"/>
      <c r="Y350" s="679"/>
      <c r="Z350" s="679"/>
      <c r="AA350" s="642"/>
      <c r="AB350" s="679"/>
      <c r="AC350" s="644">
        <f t="shared" ref="AC350:AC370" si="72">+S350</f>
        <v>-463383.52041666675</v>
      </c>
      <c r="AD350" s="643"/>
      <c r="AE350" s="643"/>
      <c r="AF350" s="677">
        <f t="shared" si="58"/>
        <v>0</v>
      </c>
    </row>
    <row r="351" spans="1:32">
      <c r="A351" s="604">
        <v>337</v>
      </c>
      <c r="B351" s="316" t="s">
        <v>984</v>
      </c>
      <c r="C351" s="316" t="s">
        <v>522</v>
      </c>
      <c r="D351" s="316" t="s">
        <v>1184</v>
      </c>
      <c r="E351" s="602" t="s">
        <v>1617</v>
      </c>
      <c r="F351" s="603">
        <v>-461581.72</v>
      </c>
      <c r="G351" s="603">
        <v>4449.66</v>
      </c>
      <c r="H351" s="603">
        <v>-310132.34000000003</v>
      </c>
      <c r="I351" s="603">
        <v>-655617.5</v>
      </c>
      <c r="J351" s="603">
        <v>-653131</v>
      </c>
      <c r="K351" s="603">
        <v>-734062.41</v>
      </c>
      <c r="L351" s="603">
        <v>-843428.71</v>
      </c>
      <c r="M351" s="603">
        <v>-983006.67</v>
      </c>
      <c r="N351" s="603">
        <v>-1116988.21</v>
      </c>
      <c r="O351" s="603">
        <v>-1049291.58</v>
      </c>
      <c r="P351" s="603">
        <v>-1068975.5</v>
      </c>
      <c r="Q351" s="603">
        <v>-1029140.04</v>
      </c>
      <c r="R351" s="603">
        <v>-941388.15</v>
      </c>
      <c r="S351" s="484">
        <f t="shared" si="70"/>
        <v>-761734.10291666677</v>
      </c>
      <c r="T351" s="604"/>
      <c r="U351" s="642"/>
      <c r="V351" s="679"/>
      <c r="W351" s="679">
        <f t="shared" si="71"/>
        <v>-761734.10291666677</v>
      </c>
      <c r="X351" s="702"/>
      <c r="Y351" s="679"/>
      <c r="Z351" s="679"/>
      <c r="AA351" s="642"/>
      <c r="AB351" s="679"/>
      <c r="AC351" s="644">
        <f t="shared" si="72"/>
        <v>-761734.10291666677</v>
      </c>
      <c r="AD351" s="643"/>
      <c r="AE351" s="643"/>
      <c r="AF351" s="677">
        <f t="shared" si="58"/>
        <v>0</v>
      </c>
    </row>
    <row r="352" spans="1:32">
      <c r="A352" s="604">
        <v>338</v>
      </c>
      <c r="B352" s="316" t="s">
        <v>959</v>
      </c>
      <c r="C352" s="316" t="s">
        <v>522</v>
      </c>
      <c r="D352" s="316" t="s">
        <v>1183</v>
      </c>
      <c r="E352" s="602" t="s">
        <v>1616</v>
      </c>
      <c r="F352" s="603">
        <v>-5897972.5800000001</v>
      </c>
      <c r="G352" s="603">
        <v>1164652.29</v>
      </c>
      <c r="H352" s="603">
        <v>-3906190.58</v>
      </c>
      <c r="I352" s="603">
        <v>-7792882.1500000004</v>
      </c>
      <c r="J352" s="603">
        <v>-7521783.9699999997</v>
      </c>
      <c r="K352" s="603">
        <v>-8265924.8300000001</v>
      </c>
      <c r="L352" s="603">
        <v>-9301275.4000000004</v>
      </c>
      <c r="M352" s="603">
        <v>-10583539.939999999</v>
      </c>
      <c r="N352" s="603">
        <v>-11739653.470000001</v>
      </c>
      <c r="O352" s="603">
        <v>-11096809.800000001</v>
      </c>
      <c r="P352" s="603">
        <v>-11252771.48</v>
      </c>
      <c r="Q352" s="603">
        <v>-11444564.33</v>
      </c>
      <c r="R352" s="603">
        <v>-10887316.07</v>
      </c>
      <c r="S352" s="484">
        <f t="shared" si="70"/>
        <v>-8344448.9987500003</v>
      </c>
      <c r="T352" s="604"/>
      <c r="U352" s="642"/>
      <c r="V352" s="679"/>
      <c r="W352" s="679">
        <f t="shared" si="71"/>
        <v>-8344448.9987500003</v>
      </c>
      <c r="X352" s="702"/>
      <c r="Y352" s="679"/>
      <c r="Z352" s="679"/>
      <c r="AA352" s="642"/>
      <c r="AB352" s="679"/>
      <c r="AC352" s="644">
        <f t="shared" si="72"/>
        <v>-8344448.9987500003</v>
      </c>
      <c r="AD352" s="643"/>
      <c r="AE352" s="643"/>
      <c r="AF352" s="677">
        <f t="shared" si="58"/>
        <v>0</v>
      </c>
    </row>
    <row r="353" spans="1:32">
      <c r="A353" s="604">
        <v>339</v>
      </c>
      <c r="B353" s="316" t="s">
        <v>956</v>
      </c>
      <c r="C353" s="316" t="s">
        <v>523</v>
      </c>
      <c r="D353" s="316" t="s">
        <v>1183</v>
      </c>
      <c r="E353" s="602" t="s">
        <v>1614</v>
      </c>
      <c r="F353" s="603">
        <v>-0.66000000003987203</v>
      </c>
      <c r="G353" s="603">
        <v>0</v>
      </c>
      <c r="H353" s="603">
        <v>0</v>
      </c>
      <c r="I353" s="603">
        <v>0</v>
      </c>
      <c r="J353" s="603">
        <v>0</v>
      </c>
      <c r="K353" s="603">
        <v>0</v>
      </c>
      <c r="L353" s="603">
        <v>0</v>
      </c>
      <c r="M353" s="603">
        <v>0</v>
      </c>
      <c r="N353" s="603">
        <v>0</v>
      </c>
      <c r="O353" s="603">
        <v>0</v>
      </c>
      <c r="P353" s="603">
        <v>0</v>
      </c>
      <c r="Q353" s="603">
        <v>0</v>
      </c>
      <c r="R353" s="603">
        <v>0</v>
      </c>
      <c r="S353" s="484">
        <f t="shared" si="70"/>
        <v>-2.7500000001661334E-2</v>
      </c>
      <c r="T353" s="604"/>
      <c r="U353" s="642"/>
      <c r="V353" s="679"/>
      <c r="W353" s="679">
        <f t="shared" si="71"/>
        <v>-2.7500000001661334E-2</v>
      </c>
      <c r="X353" s="702"/>
      <c r="Y353" s="679"/>
      <c r="Z353" s="679"/>
      <c r="AA353" s="642"/>
      <c r="AB353" s="679"/>
      <c r="AC353" s="644">
        <f t="shared" si="72"/>
        <v>-2.7500000001661334E-2</v>
      </c>
      <c r="AD353" s="643"/>
      <c r="AE353" s="643"/>
      <c r="AF353" s="677">
        <f t="shared" si="58"/>
        <v>0</v>
      </c>
    </row>
    <row r="354" spans="1:32">
      <c r="A354" s="604">
        <v>340</v>
      </c>
      <c r="B354" s="316" t="s">
        <v>959</v>
      </c>
      <c r="C354" s="316" t="s">
        <v>523</v>
      </c>
      <c r="D354" s="316" t="s">
        <v>1183</v>
      </c>
      <c r="E354" s="602" t="s">
        <v>1614</v>
      </c>
      <c r="F354" s="603">
        <v>-202795.88</v>
      </c>
      <c r="G354" s="603">
        <v>33862.14</v>
      </c>
      <c r="H354" s="603">
        <v>-114363.35</v>
      </c>
      <c r="I354" s="603">
        <v>-62698.27</v>
      </c>
      <c r="J354" s="603">
        <v>436.49000000001303</v>
      </c>
      <c r="K354" s="603">
        <v>105548.77</v>
      </c>
      <c r="L354" s="603">
        <v>184457.71</v>
      </c>
      <c r="M354" s="603">
        <v>236745.25</v>
      </c>
      <c r="N354" s="603">
        <v>325665.51</v>
      </c>
      <c r="O354" s="603">
        <v>405737.39</v>
      </c>
      <c r="P354" s="603">
        <v>482461.55</v>
      </c>
      <c r="Q354" s="603">
        <v>511190.11</v>
      </c>
      <c r="R354" s="603">
        <v>616283.49</v>
      </c>
      <c r="S354" s="484">
        <f t="shared" si="70"/>
        <v>192982.25875000004</v>
      </c>
      <c r="T354" s="604"/>
      <c r="U354" s="642"/>
      <c r="V354" s="679"/>
      <c r="W354" s="679">
        <f t="shared" si="71"/>
        <v>192982.25875000004</v>
      </c>
      <c r="X354" s="702"/>
      <c r="Y354" s="679"/>
      <c r="Z354" s="679"/>
      <c r="AA354" s="642"/>
      <c r="AB354" s="679"/>
      <c r="AC354" s="644">
        <f t="shared" si="72"/>
        <v>192982.25875000004</v>
      </c>
      <c r="AD354" s="643"/>
      <c r="AE354" s="643"/>
      <c r="AF354" s="677">
        <f t="shared" si="58"/>
        <v>0</v>
      </c>
    </row>
    <row r="355" spans="1:32">
      <c r="A355" s="604">
        <v>341</v>
      </c>
      <c r="B355" s="316" t="s">
        <v>984</v>
      </c>
      <c r="C355" s="316" t="s">
        <v>523</v>
      </c>
      <c r="D355" s="316" t="s">
        <v>1183</v>
      </c>
      <c r="E355" s="602" t="s">
        <v>1614</v>
      </c>
      <c r="F355" s="603">
        <v>-41879.49</v>
      </c>
      <c r="G355" s="603">
        <v>165.09</v>
      </c>
      <c r="H355" s="603">
        <v>-58971.95</v>
      </c>
      <c r="I355" s="603">
        <v>-56500.07</v>
      </c>
      <c r="J355" s="603">
        <v>-53017.59</v>
      </c>
      <c r="K355" s="603">
        <v>-48856.44</v>
      </c>
      <c r="L355" s="603">
        <v>-45565.31</v>
      </c>
      <c r="M355" s="603">
        <v>-53413.01</v>
      </c>
      <c r="N355" s="603">
        <v>-51639.28</v>
      </c>
      <c r="O355" s="603">
        <v>-50790.29</v>
      </c>
      <c r="P355" s="603">
        <v>-49747.69</v>
      </c>
      <c r="Q355" s="603">
        <v>-34705.440000000002</v>
      </c>
      <c r="R355" s="603">
        <v>-29139.84</v>
      </c>
      <c r="S355" s="484">
        <f t="shared" si="70"/>
        <v>-44879.303749999999</v>
      </c>
      <c r="T355" s="604"/>
      <c r="U355" s="642"/>
      <c r="V355" s="679"/>
      <c r="W355" s="679">
        <f t="shared" si="71"/>
        <v>-44879.303749999999</v>
      </c>
      <c r="X355" s="702"/>
      <c r="Y355" s="679"/>
      <c r="Z355" s="679"/>
      <c r="AA355" s="642"/>
      <c r="AB355" s="679"/>
      <c r="AC355" s="644">
        <f t="shared" si="72"/>
        <v>-44879.303749999999</v>
      </c>
      <c r="AD355" s="643"/>
      <c r="AE355" s="643"/>
      <c r="AF355" s="677">
        <f t="shared" si="58"/>
        <v>0</v>
      </c>
    </row>
    <row r="356" spans="1:32">
      <c r="A356" s="604">
        <v>342</v>
      </c>
      <c r="B356" s="316" t="s">
        <v>984</v>
      </c>
      <c r="C356" s="316" t="s">
        <v>523</v>
      </c>
      <c r="D356" s="316" t="s">
        <v>1184</v>
      </c>
      <c r="E356" s="602" t="s">
        <v>1618</v>
      </c>
      <c r="F356" s="603">
        <v>-27118.1</v>
      </c>
      <c r="G356" s="603">
        <v>2978.26</v>
      </c>
      <c r="H356" s="603">
        <v>-15171.34</v>
      </c>
      <c r="I356" s="603">
        <v>-10432.950000000001</v>
      </c>
      <c r="J356" s="603">
        <v>-4602.22</v>
      </c>
      <c r="K356" s="603">
        <v>4962.05</v>
      </c>
      <c r="L356" s="603">
        <v>12156.69</v>
      </c>
      <c r="M356" s="603">
        <v>16046.33</v>
      </c>
      <c r="N356" s="603">
        <v>23984.41</v>
      </c>
      <c r="O356" s="603">
        <v>31067.09</v>
      </c>
      <c r="P356" s="603">
        <v>37873.699999999997</v>
      </c>
      <c r="Q356" s="603">
        <v>-100224.79</v>
      </c>
      <c r="R356" s="603">
        <v>-89092.800000000003</v>
      </c>
      <c r="S356" s="484">
        <f t="shared" si="70"/>
        <v>-4955.6850000000004</v>
      </c>
      <c r="T356" s="604"/>
      <c r="U356" s="642"/>
      <c r="V356" s="679"/>
      <c r="W356" s="679">
        <f t="shared" si="71"/>
        <v>-4955.6850000000004</v>
      </c>
      <c r="X356" s="702"/>
      <c r="Y356" s="679"/>
      <c r="Z356" s="679"/>
      <c r="AA356" s="642"/>
      <c r="AB356" s="679"/>
      <c r="AC356" s="644">
        <f t="shared" si="72"/>
        <v>-4955.6850000000004</v>
      </c>
      <c r="AD356" s="643"/>
      <c r="AE356" s="643"/>
      <c r="AF356" s="677">
        <f t="shared" si="58"/>
        <v>0</v>
      </c>
    </row>
    <row r="357" spans="1:32">
      <c r="A357" s="604">
        <v>343</v>
      </c>
      <c r="B357" s="316" t="s">
        <v>984</v>
      </c>
      <c r="C357" s="316" t="s">
        <v>524</v>
      </c>
      <c r="D357" s="316" t="s">
        <v>1183</v>
      </c>
      <c r="E357" s="602" t="s">
        <v>1619</v>
      </c>
      <c r="F357" s="603">
        <v>1030111.29</v>
      </c>
      <c r="G357" s="603">
        <v>1502122.64</v>
      </c>
      <c r="H357" s="603">
        <v>1584002.58</v>
      </c>
      <c r="I357" s="603">
        <v>1824710.85</v>
      </c>
      <c r="J357" s="603">
        <v>2132970.7000000002</v>
      </c>
      <c r="K357" s="603">
        <v>6942868.6699999999</v>
      </c>
      <c r="L357" s="603">
        <v>7148657.1100000003</v>
      </c>
      <c r="M357" s="603">
        <v>7259055.5899999999</v>
      </c>
      <c r="N357" s="603">
        <v>7487450.7599999998</v>
      </c>
      <c r="O357" s="603">
        <v>7513531.9000000004</v>
      </c>
      <c r="P357" s="603">
        <v>7616251.2300000004</v>
      </c>
      <c r="Q357" s="603">
        <v>8169856.7300000004</v>
      </c>
      <c r="R357" s="603">
        <v>9119545.7400000002</v>
      </c>
      <c r="S357" s="484">
        <f t="shared" si="70"/>
        <v>5354692.2729166672</v>
      </c>
      <c r="T357" s="604"/>
      <c r="U357" s="642"/>
      <c r="V357" s="679"/>
      <c r="W357" s="679">
        <f t="shared" si="71"/>
        <v>5354692.2729166672</v>
      </c>
      <c r="X357" s="702"/>
      <c r="Y357" s="679"/>
      <c r="Z357" s="679"/>
      <c r="AA357" s="642"/>
      <c r="AB357" s="679"/>
      <c r="AC357" s="644">
        <f t="shared" si="72"/>
        <v>5354692.2729166672</v>
      </c>
      <c r="AD357" s="643"/>
      <c r="AE357" s="643"/>
      <c r="AF357" s="677">
        <f t="shared" si="58"/>
        <v>0</v>
      </c>
    </row>
    <row r="358" spans="1:32">
      <c r="A358" s="604">
        <v>344</v>
      </c>
      <c r="B358" s="316" t="s">
        <v>984</v>
      </c>
      <c r="C358" s="316" t="s">
        <v>524</v>
      </c>
      <c r="D358" s="604" t="s">
        <v>1184</v>
      </c>
      <c r="E358" s="602" t="s">
        <v>1620</v>
      </c>
      <c r="F358" s="603">
        <v>1414436.22</v>
      </c>
      <c r="G358" s="603">
        <v>156745.59</v>
      </c>
      <c r="H358" s="603">
        <v>692716.72</v>
      </c>
      <c r="I358" s="603">
        <v>1115086</v>
      </c>
      <c r="J358" s="603">
        <v>1171393.23</v>
      </c>
      <c r="K358" s="603">
        <v>2824593.05</v>
      </c>
      <c r="L358" s="603">
        <v>2904628.65</v>
      </c>
      <c r="M358" s="603">
        <v>2989308.51</v>
      </c>
      <c r="N358" s="603">
        <v>3089196.77</v>
      </c>
      <c r="O358" s="603">
        <v>3126799.81</v>
      </c>
      <c r="P358" s="603">
        <v>3170217.26</v>
      </c>
      <c r="Q358" s="603">
        <v>3390773.84</v>
      </c>
      <c r="R358" s="603">
        <v>3692365.67</v>
      </c>
      <c r="S358" s="484">
        <f t="shared" si="70"/>
        <v>2265405.0312499995</v>
      </c>
      <c r="T358" s="604"/>
      <c r="U358" s="642"/>
      <c r="V358" s="679"/>
      <c r="W358" s="679">
        <f t="shared" si="71"/>
        <v>2265405.0312499995</v>
      </c>
      <c r="X358" s="702"/>
      <c r="Y358" s="679"/>
      <c r="Z358" s="679"/>
      <c r="AA358" s="642"/>
      <c r="AB358" s="679"/>
      <c r="AC358" s="644">
        <f t="shared" si="72"/>
        <v>2265405.0312499995</v>
      </c>
      <c r="AD358" s="643"/>
      <c r="AE358" s="643"/>
      <c r="AF358" s="677">
        <f t="shared" si="58"/>
        <v>0</v>
      </c>
    </row>
    <row r="359" spans="1:32">
      <c r="A359" s="604">
        <v>345</v>
      </c>
      <c r="B359" s="316" t="s">
        <v>959</v>
      </c>
      <c r="C359" s="316" t="s">
        <v>524</v>
      </c>
      <c r="D359" s="604" t="s">
        <v>1183</v>
      </c>
      <c r="E359" s="602" t="s">
        <v>1619</v>
      </c>
      <c r="F359" s="603">
        <v>14687003.68</v>
      </c>
      <c r="G359" s="603">
        <v>157170.60999999999</v>
      </c>
      <c r="H359" s="603">
        <v>6165862.3399999999</v>
      </c>
      <c r="I359" s="603">
        <v>10673719.439999999</v>
      </c>
      <c r="J359" s="603">
        <v>10858290.310000001</v>
      </c>
      <c r="K359" s="603">
        <v>25464210.609999999</v>
      </c>
      <c r="L359" s="603">
        <v>26022982.27</v>
      </c>
      <c r="M359" s="603">
        <v>26728626.530000001</v>
      </c>
      <c r="N359" s="603">
        <v>27495811.370000001</v>
      </c>
      <c r="O359" s="603">
        <v>27756122.93</v>
      </c>
      <c r="P359" s="603">
        <v>27991593.460000001</v>
      </c>
      <c r="Q359" s="603">
        <v>29920866.98</v>
      </c>
      <c r="R359" s="603">
        <v>32227813.57</v>
      </c>
      <c r="S359" s="484">
        <f t="shared" si="70"/>
        <v>20224388.789583333</v>
      </c>
      <c r="T359" s="604"/>
      <c r="U359" s="642"/>
      <c r="V359" s="679"/>
      <c r="W359" s="679">
        <f t="shared" si="71"/>
        <v>20224388.789583333</v>
      </c>
      <c r="X359" s="702"/>
      <c r="Y359" s="679"/>
      <c r="Z359" s="679"/>
      <c r="AA359" s="642"/>
      <c r="AB359" s="679"/>
      <c r="AC359" s="644">
        <f t="shared" si="72"/>
        <v>20224388.789583333</v>
      </c>
      <c r="AD359" s="643"/>
      <c r="AE359" s="643"/>
      <c r="AF359" s="677">
        <f t="shared" si="58"/>
        <v>0</v>
      </c>
    </row>
    <row r="360" spans="1:32">
      <c r="A360" s="604">
        <v>346</v>
      </c>
      <c r="B360" s="316" t="s">
        <v>956</v>
      </c>
      <c r="C360" s="316" t="s">
        <v>525</v>
      </c>
      <c r="D360" s="604" t="s">
        <v>1183</v>
      </c>
      <c r="E360" s="602" t="s">
        <v>1615</v>
      </c>
      <c r="F360" s="603">
        <v>-9.9999999947613105E-3</v>
      </c>
      <c r="G360" s="603">
        <v>0</v>
      </c>
      <c r="H360" s="603">
        <v>0</v>
      </c>
      <c r="I360" s="603">
        <v>0</v>
      </c>
      <c r="J360" s="603">
        <v>0</v>
      </c>
      <c r="K360" s="603">
        <v>0</v>
      </c>
      <c r="L360" s="603">
        <v>0</v>
      </c>
      <c r="M360" s="603">
        <v>0</v>
      </c>
      <c r="N360" s="603">
        <v>0</v>
      </c>
      <c r="O360" s="603">
        <v>0</v>
      </c>
      <c r="P360" s="603">
        <v>0</v>
      </c>
      <c r="Q360" s="603">
        <v>0</v>
      </c>
      <c r="R360" s="603">
        <v>0</v>
      </c>
      <c r="S360" s="484">
        <f t="shared" si="70"/>
        <v>-4.1666666644838796E-4</v>
      </c>
      <c r="T360" s="604"/>
      <c r="U360" s="642"/>
      <c r="V360" s="679"/>
      <c r="W360" s="679">
        <f t="shared" si="71"/>
        <v>-4.1666666644838796E-4</v>
      </c>
      <c r="X360" s="702"/>
      <c r="Y360" s="679"/>
      <c r="Z360" s="679"/>
      <c r="AA360" s="642"/>
      <c r="AB360" s="679"/>
      <c r="AC360" s="644">
        <f t="shared" si="72"/>
        <v>-4.1666666644838796E-4</v>
      </c>
      <c r="AD360" s="643"/>
      <c r="AE360" s="643"/>
      <c r="AF360" s="677">
        <f t="shared" si="58"/>
        <v>0</v>
      </c>
    </row>
    <row r="361" spans="1:32">
      <c r="A361" s="604">
        <v>347</v>
      </c>
      <c r="B361" s="316" t="s">
        <v>959</v>
      </c>
      <c r="C361" s="316" t="s">
        <v>525</v>
      </c>
      <c r="D361" s="604" t="s">
        <v>1183</v>
      </c>
      <c r="E361" s="602" t="s">
        <v>1615</v>
      </c>
      <c r="F361" s="603">
        <v>107145.27</v>
      </c>
      <c r="G361" s="603">
        <v>16577.55</v>
      </c>
      <c r="H361" s="603">
        <v>16600.02</v>
      </c>
      <c r="I361" s="603">
        <v>16622.5</v>
      </c>
      <c r="J361" s="603">
        <v>16782.759999999998</v>
      </c>
      <c r="K361" s="603">
        <v>505882.98</v>
      </c>
      <c r="L361" s="603">
        <v>506037.91</v>
      </c>
      <c r="M361" s="603">
        <v>527991.24</v>
      </c>
      <c r="N361" s="603">
        <v>528008.38</v>
      </c>
      <c r="O361" s="603">
        <v>528025.52</v>
      </c>
      <c r="P361" s="603">
        <v>528042.66</v>
      </c>
      <c r="Q361" s="603">
        <v>528059.80000000005</v>
      </c>
      <c r="R361" s="603">
        <v>528076.93999999994</v>
      </c>
      <c r="S361" s="484">
        <f t="shared" si="70"/>
        <v>336353.53541666671</v>
      </c>
      <c r="T361" s="604"/>
      <c r="U361" s="642"/>
      <c r="V361" s="679"/>
      <c r="W361" s="679">
        <f t="shared" si="71"/>
        <v>336353.53541666671</v>
      </c>
      <c r="X361" s="702"/>
      <c r="Y361" s="679"/>
      <c r="Z361" s="679"/>
      <c r="AA361" s="642"/>
      <c r="AB361" s="679"/>
      <c r="AC361" s="644">
        <f t="shared" si="72"/>
        <v>336353.53541666671</v>
      </c>
      <c r="AD361" s="643"/>
      <c r="AE361" s="643"/>
      <c r="AF361" s="677">
        <f t="shared" si="58"/>
        <v>0</v>
      </c>
    </row>
    <row r="362" spans="1:32">
      <c r="A362" s="604">
        <v>348</v>
      </c>
      <c r="B362" s="316" t="s">
        <v>984</v>
      </c>
      <c r="C362" s="316" t="s">
        <v>525</v>
      </c>
      <c r="D362" s="604" t="s">
        <v>1183</v>
      </c>
      <c r="E362" s="602" t="s">
        <v>1615</v>
      </c>
      <c r="F362" s="603">
        <v>36001.379999999997</v>
      </c>
      <c r="G362" s="603">
        <v>5475.86</v>
      </c>
      <c r="H362" s="603">
        <v>5483.28</v>
      </c>
      <c r="I362" s="603">
        <v>5490.7</v>
      </c>
      <c r="J362" s="603">
        <v>5543.64</v>
      </c>
      <c r="K362" s="603">
        <v>167102.23000000001</v>
      </c>
      <c r="L362" s="603">
        <v>167153.4</v>
      </c>
      <c r="M362" s="603">
        <v>174404.98</v>
      </c>
      <c r="N362" s="603">
        <v>174410.64</v>
      </c>
      <c r="O362" s="603">
        <v>174416.3</v>
      </c>
      <c r="P362" s="603">
        <v>174421.97</v>
      </c>
      <c r="Q362" s="603">
        <v>174427.64</v>
      </c>
      <c r="R362" s="603">
        <v>174433.3</v>
      </c>
      <c r="S362" s="484">
        <f t="shared" si="70"/>
        <v>111128.99833333335</v>
      </c>
      <c r="T362" s="604"/>
      <c r="U362" s="642"/>
      <c r="V362" s="679"/>
      <c r="W362" s="679">
        <f t="shared" si="71"/>
        <v>111128.99833333335</v>
      </c>
      <c r="X362" s="702"/>
      <c r="Y362" s="679"/>
      <c r="Z362" s="679"/>
      <c r="AA362" s="642"/>
      <c r="AB362" s="679"/>
      <c r="AC362" s="644">
        <f t="shared" si="72"/>
        <v>111128.99833333335</v>
      </c>
      <c r="AD362" s="643"/>
      <c r="AE362" s="643"/>
      <c r="AF362" s="677">
        <f t="shared" si="58"/>
        <v>0</v>
      </c>
    </row>
    <row r="363" spans="1:32">
      <c r="A363" s="604">
        <v>349</v>
      </c>
      <c r="B363" s="316" t="s">
        <v>984</v>
      </c>
      <c r="C363" s="316" t="s">
        <v>525</v>
      </c>
      <c r="D363" s="604" t="s">
        <v>1184</v>
      </c>
      <c r="E363" s="602" t="s">
        <v>1621</v>
      </c>
      <c r="F363" s="603">
        <v>9512.19</v>
      </c>
      <c r="G363" s="603">
        <v>1895.4</v>
      </c>
      <c r="H363" s="603">
        <v>1895.4</v>
      </c>
      <c r="I363" s="603">
        <v>1895.4</v>
      </c>
      <c r="J363" s="603">
        <v>1895.4</v>
      </c>
      <c r="K363" s="603">
        <v>57801.8</v>
      </c>
      <c r="L363" s="603">
        <v>57801.8</v>
      </c>
      <c r="M363" s="603">
        <v>60311.839999999997</v>
      </c>
      <c r="N363" s="603">
        <v>60311.839999999997</v>
      </c>
      <c r="O363" s="603">
        <v>60311.839999999997</v>
      </c>
      <c r="P363" s="603">
        <v>60311.839999999997</v>
      </c>
      <c r="Q363" s="603">
        <v>60311.85</v>
      </c>
      <c r="R363" s="603">
        <v>60311.85</v>
      </c>
      <c r="S363" s="484">
        <f t="shared" si="70"/>
        <v>38304.702499999992</v>
      </c>
      <c r="T363" s="604"/>
      <c r="U363" s="642"/>
      <c r="V363" s="679"/>
      <c r="W363" s="679">
        <f t="shared" si="71"/>
        <v>38304.702499999992</v>
      </c>
      <c r="X363" s="702"/>
      <c r="Y363" s="679"/>
      <c r="Z363" s="679"/>
      <c r="AA363" s="642"/>
      <c r="AB363" s="679"/>
      <c r="AC363" s="644">
        <f t="shared" si="72"/>
        <v>38304.702499999992</v>
      </c>
      <c r="AD363" s="643"/>
      <c r="AE363" s="643"/>
      <c r="AF363" s="677">
        <f t="shared" si="58"/>
        <v>0</v>
      </c>
    </row>
    <row r="364" spans="1:32">
      <c r="A364" s="604">
        <v>350</v>
      </c>
      <c r="B364" s="316" t="s">
        <v>984</v>
      </c>
      <c r="C364" s="316" t="s">
        <v>526</v>
      </c>
      <c r="D364" s="604" t="s">
        <v>1183</v>
      </c>
      <c r="E364" s="602" t="s">
        <v>1622</v>
      </c>
      <c r="F364" s="603">
        <v>-1752961.74</v>
      </c>
      <c r="G364" s="603">
        <v>-156734.28</v>
      </c>
      <c r="H364" s="603">
        <v>-1374074.62</v>
      </c>
      <c r="I364" s="603">
        <v>-1500419.21</v>
      </c>
      <c r="J364" s="603">
        <v>-1570383.62</v>
      </c>
      <c r="K364" s="603">
        <v>-6529214.7000000002</v>
      </c>
      <c r="L364" s="603">
        <v>-6710913.8399999999</v>
      </c>
      <c r="M364" s="603">
        <v>-6772071.4500000002</v>
      </c>
      <c r="N364" s="603">
        <v>-6850954.8600000003</v>
      </c>
      <c r="O364" s="603">
        <v>-7235545.7400000002</v>
      </c>
      <c r="P364" s="603">
        <v>-7308183.5499999998</v>
      </c>
      <c r="Q364" s="603">
        <v>-7527273.8300000001</v>
      </c>
      <c r="R364" s="603">
        <v>-8574114.7400000002</v>
      </c>
      <c r="S364" s="484">
        <f t="shared" si="70"/>
        <v>-4891608.9950000001</v>
      </c>
      <c r="T364" s="604"/>
      <c r="U364" s="642"/>
      <c r="V364" s="679"/>
      <c r="W364" s="679">
        <f t="shared" si="71"/>
        <v>-4891608.9950000001</v>
      </c>
      <c r="X364" s="702"/>
      <c r="Y364" s="679"/>
      <c r="Z364" s="679"/>
      <c r="AA364" s="642"/>
      <c r="AB364" s="679"/>
      <c r="AC364" s="644">
        <f t="shared" si="72"/>
        <v>-4891608.9950000001</v>
      </c>
      <c r="AD364" s="643"/>
      <c r="AE364" s="643"/>
      <c r="AF364" s="677">
        <f t="shared" si="58"/>
        <v>0</v>
      </c>
    </row>
    <row r="365" spans="1:32">
      <c r="A365" s="604">
        <v>351</v>
      </c>
      <c r="B365" s="316" t="s">
        <v>984</v>
      </c>
      <c r="C365" s="316" t="s">
        <v>526</v>
      </c>
      <c r="D365" s="604" t="s">
        <v>1184</v>
      </c>
      <c r="E365" s="602" t="s">
        <v>1623</v>
      </c>
      <c r="F365" s="603">
        <v>-603695.05000000005</v>
      </c>
      <c r="G365" s="603">
        <v>-29214.48</v>
      </c>
      <c r="H365" s="603">
        <v>-148530</v>
      </c>
      <c r="I365" s="603">
        <v>-171518.93</v>
      </c>
      <c r="J365" s="603">
        <v>-211000.63</v>
      </c>
      <c r="K365" s="603">
        <v>-1883516.22</v>
      </c>
      <c r="L365" s="603">
        <v>-1902261.41</v>
      </c>
      <c r="M365" s="603">
        <v>-1908844.55</v>
      </c>
      <c r="N365" s="603">
        <v>-1927738.13</v>
      </c>
      <c r="O365" s="603">
        <v>-2074194.28</v>
      </c>
      <c r="P365" s="603">
        <v>-2091457.23</v>
      </c>
      <c r="Q365" s="603">
        <v>-2197694.86</v>
      </c>
      <c r="R365" s="603">
        <v>-2456542.67</v>
      </c>
      <c r="S365" s="484">
        <f t="shared" si="70"/>
        <v>-1339674.1316666666</v>
      </c>
      <c r="T365" s="604"/>
      <c r="U365" s="642"/>
      <c r="V365" s="679"/>
      <c r="W365" s="679">
        <f t="shared" si="71"/>
        <v>-1339674.1316666666</v>
      </c>
      <c r="X365" s="702"/>
      <c r="Y365" s="679"/>
      <c r="Z365" s="679"/>
      <c r="AA365" s="642"/>
      <c r="AB365" s="679"/>
      <c r="AC365" s="644">
        <f t="shared" si="72"/>
        <v>-1339674.1316666666</v>
      </c>
      <c r="AD365" s="643"/>
      <c r="AE365" s="643"/>
      <c r="AF365" s="677">
        <f t="shared" si="58"/>
        <v>0</v>
      </c>
    </row>
    <row r="366" spans="1:32">
      <c r="A366" s="604">
        <v>352</v>
      </c>
      <c r="B366" s="316" t="s">
        <v>959</v>
      </c>
      <c r="C366" s="316" t="s">
        <v>526</v>
      </c>
      <c r="D366" s="604" t="s">
        <v>1183</v>
      </c>
      <c r="E366" s="602" t="s">
        <v>1622</v>
      </c>
      <c r="F366" s="603">
        <v>-8395783.8699999992</v>
      </c>
      <c r="G366" s="603">
        <v>-369161.04</v>
      </c>
      <c r="H366" s="603">
        <v>-805695.08</v>
      </c>
      <c r="I366" s="603">
        <v>-1188591.5</v>
      </c>
      <c r="J366" s="603">
        <v>-1742891.06</v>
      </c>
      <c r="K366" s="603">
        <v>-16744232.460000001</v>
      </c>
      <c r="L366" s="603">
        <v>-16950507.079999998</v>
      </c>
      <c r="M366" s="603">
        <v>-17136791.32</v>
      </c>
      <c r="N366" s="603">
        <v>-17451777.640000001</v>
      </c>
      <c r="O366" s="603">
        <v>-18920913.670000002</v>
      </c>
      <c r="P366" s="603">
        <v>-19211314.190000001</v>
      </c>
      <c r="Q366" s="603">
        <v>-20428021.890000001</v>
      </c>
      <c r="R366" s="603">
        <v>-22532955.920000002</v>
      </c>
      <c r="S366" s="484">
        <f t="shared" si="70"/>
        <v>-12201188.902083335</v>
      </c>
      <c r="T366" s="604"/>
      <c r="U366" s="642"/>
      <c r="V366" s="679"/>
      <c r="W366" s="679">
        <f t="shared" si="71"/>
        <v>-12201188.902083335</v>
      </c>
      <c r="X366" s="702"/>
      <c r="Y366" s="679"/>
      <c r="Z366" s="679"/>
      <c r="AA366" s="642"/>
      <c r="AB366" s="679"/>
      <c r="AC366" s="644">
        <f t="shared" si="72"/>
        <v>-12201188.902083335</v>
      </c>
      <c r="AD366" s="643"/>
      <c r="AE366" s="643"/>
      <c r="AF366" s="677">
        <f t="shared" si="58"/>
        <v>0</v>
      </c>
    </row>
    <row r="367" spans="1:32">
      <c r="A367" s="604">
        <v>353</v>
      </c>
      <c r="B367" s="316" t="s">
        <v>984</v>
      </c>
      <c r="C367" s="316" t="s">
        <v>527</v>
      </c>
      <c r="D367" s="604" t="s">
        <v>1183</v>
      </c>
      <c r="E367" s="602" t="s">
        <v>1624</v>
      </c>
      <c r="F367" s="603">
        <v>-27116.89</v>
      </c>
      <c r="G367" s="603">
        <v>-98.83</v>
      </c>
      <c r="H367" s="603">
        <v>-510.13</v>
      </c>
      <c r="I367" s="603">
        <v>-921.42</v>
      </c>
      <c r="J367" s="603">
        <v>-3854.47</v>
      </c>
      <c r="K367" s="603">
        <v>-9214.41</v>
      </c>
      <c r="L367" s="603">
        <v>-12049.81</v>
      </c>
      <c r="M367" s="603">
        <v>-12180.69</v>
      </c>
      <c r="N367" s="603">
        <v>-12494.34</v>
      </c>
      <c r="O367" s="603">
        <v>-12807.99</v>
      </c>
      <c r="P367" s="603">
        <v>-13121.64</v>
      </c>
      <c r="Q367" s="603">
        <v>-13435.3</v>
      </c>
      <c r="R367" s="603">
        <v>-13748.91</v>
      </c>
      <c r="S367" s="484">
        <f t="shared" si="70"/>
        <v>-9260.1608333333352</v>
      </c>
      <c r="T367" s="604"/>
      <c r="U367" s="642"/>
      <c r="V367" s="679"/>
      <c r="W367" s="679">
        <f t="shared" si="71"/>
        <v>-9260.1608333333352</v>
      </c>
      <c r="X367" s="702"/>
      <c r="Y367" s="679"/>
      <c r="Z367" s="679"/>
      <c r="AA367" s="642"/>
      <c r="AB367" s="679"/>
      <c r="AC367" s="644">
        <f t="shared" si="72"/>
        <v>-9260.1608333333352</v>
      </c>
      <c r="AD367" s="643"/>
      <c r="AE367" s="643"/>
      <c r="AF367" s="677">
        <f t="shared" si="58"/>
        <v>0</v>
      </c>
    </row>
    <row r="368" spans="1:32">
      <c r="A368" s="604">
        <v>354</v>
      </c>
      <c r="B368" s="316" t="s">
        <v>984</v>
      </c>
      <c r="C368" s="316" t="s">
        <v>527</v>
      </c>
      <c r="D368" s="604" t="s">
        <v>1184</v>
      </c>
      <c r="E368" s="602" t="s">
        <v>1625</v>
      </c>
      <c r="F368" s="603">
        <v>-6420.25</v>
      </c>
      <c r="G368" s="603">
        <v>0</v>
      </c>
      <c r="H368" s="603">
        <v>-142.36000000000001</v>
      </c>
      <c r="I368" s="603">
        <v>-284.72000000000003</v>
      </c>
      <c r="J368" s="603">
        <v>-1299.97</v>
      </c>
      <c r="K368" s="603">
        <v>-2146.1999999999998</v>
      </c>
      <c r="L368" s="603">
        <v>-3127.64</v>
      </c>
      <c r="M368" s="603">
        <v>-3127.64</v>
      </c>
      <c r="N368" s="603">
        <v>-3236.2</v>
      </c>
      <c r="O368" s="603">
        <v>-3344.77</v>
      </c>
      <c r="P368" s="603">
        <v>-3453.34</v>
      </c>
      <c r="Q368" s="603">
        <v>-3561.92</v>
      </c>
      <c r="R368" s="603">
        <v>-3670.46</v>
      </c>
      <c r="S368" s="484">
        <f t="shared" si="70"/>
        <v>-2397.5095833333335</v>
      </c>
      <c r="T368" s="604"/>
      <c r="U368" s="642"/>
      <c r="V368" s="679"/>
      <c r="W368" s="679">
        <f t="shared" si="71"/>
        <v>-2397.5095833333335</v>
      </c>
      <c r="X368" s="702"/>
      <c r="Y368" s="679"/>
      <c r="Z368" s="679"/>
      <c r="AA368" s="642"/>
      <c r="AB368" s="679"/>
      <c r="AC368" s="644">
        <f t="shared" si="72"/>
        <v>-2397.5095833333335</v>
      </c>
      <c r="AD368" s="643"/>
      <c r="AE368" s="643"/>
      <c r="AF368" s="677">
        <f t="shared" si="58"/>
        <v>0</v>
      </c>
    </row>
    <row r="369" spans="1:32">
      <c r="A369" s="604">
        <v>355</v>
      </c>
      <c r="B369" s="316" t="s">
        <v>959</v>
      </c>
      <c r="C369" s="316" t="s">
        <v>527</v>
      </c>
      <c r="D369" s="604" t="s">
        <v>1183</v>
      </c>
      <c r="E369" s="602" t="s">
        <v>1624</v>
      </c>
      <c r="F369" s="603">
        <v>-80703.789999999994</v>
      </c>
      <c r="G369" s="603">
        <v>-299.2</v>
      </c>
      <c r="H369" s="603">
        <v>-1544.36</v>
      </c>
      <c r="I369" s="603">
        <v>-2789.52</v>
      </c>
      <c r="J369" s="603">
        <v>-11668.98</v>
      </c>
      <c r="K369" s="603">
        <v>-27895.599999999999</v>
      </c>
      <c r="L369" s="603">
        <v>-36479.440000000002</v>
      </c>
      <c r="M369" s="603">
        <v>-36875.67</v>
      </c>
      <c r="N369" s="603">
        <v>-37825.21</v>
      </c>
      <c r="O369" s="603">
        <v>-38774.76</v>
      </c>
      <c r="P369" s="603">
        <v>-39724.31</v>
      </c>
      <c r="Q369" s="603">
        <v>-40673.870000000003</v>
      </c>
      <c r="R369" s="603">
        <v>-41623.26</v>
      </c>
      <c r="S369" s="484">
        <f t="shared" si="70"/>
        <v>-27976.203750000004</v>
      </c>
      <c r="T369" s="604"/>
      <c r="U369" s="642"/>
      <c r="V369" s="679"/>
      <c r="W369" s="679">
        <f t="shared" si="71"/>
        <v>-27976.203750000004</v>
      </c>
      <c r="X369" s="702"/>
      <c r="Y369" s="679"/>
      <c r="Z369" s="679"/>
      <c r="AA369" s="642"/>
      <c r="AB369" s="679"/>
      <c r="AC369" s="644">
        <f t="shared" si="72"/>
        <v>-27976.203750000004</v>
      </c>
      <c r="AD369" s="643"/>
      <c r="AE369" s="643"/>
      <c r="AF369" s="677">
        <f t="shared" si="58"/>
        <v>0</v>
      </c>
    </row>
    <row r="370" spans="1:32">
      <c r="A370" s="604">
        <v>356</v>
      </c>
      <c r="B370" s="316" t="s">
        <v>956</v>
      </c>
      <c r="C370" s="316" t="s">
        <v>1185</v>
      </c>
      <c r="D370" s="604"/>
      <c r="E370" s="602" t="s">
        <v>528</v>
      </c>
      <c r="F370" s="603">
        <v>-42184</v>
      </c>
      <c r="G370" s="603">
        <v>-3501.58</v>
      </c>
      <c r="H370" s="603">
        <v>-7003.17</v>
      </c>
      <c r="I370" s="603">
        <v>-10504.95</v>
      </c>
      <c r="J370" s="603">
        <v>-14006.33</v>
      </c>
      <c r="K370" s="603">
        <v>-17507.900000000001</v>
      </c>
      <c r="L370" s="603">
        <v>-21009.48</v>
      </c>
      <c r="M370" s="603">
        <v>-24511.06</v>
      </c>
      <c r="N370" s="603">
        <v>-28012.639999999999</v>
      </c>
      <c r="O370" s="603">
        <v>-31514.22</v>
      </c>
      <c r="P370" s="603">
        <v>-35015.800000000003</v>
      </c>
      <c r="Q370" s="603">
        <v>-38517.379999999997</v>
      </c>
      <c r="R370" s="603">
        <v>-42018.96</v>
      </c>
      <c r="S370" s="484">
        <f t="shared" si="70"/>
        <v>-22767.165833333333</v>
      </c>
      <c r="T370" s="604"/>
      <c r="U370" s="642"/>
      <c r="V370" s="679"/>
      <c r="W370" s="679">
        <f t="shared" si="71"/>
        <v>-22767.165833333333</v>
      </c>
      <c r="X370" s="702"/>
      <c r="Y370" s="679"/>
      <c r="Z370" s="679"/>
      <c r="AA370" s="642"/>
      <c r="AB370" s="679"/>
      <c r="AC370" s="644">
        <f t="shared" si="72"/>
        <v>-22767.165833333333</v>
      </c>
      <c r="AD370" s="643"/>
      <c r="AE370" s="643"/>
      <c r="AF370" s="677">
        <f t="shared" ref="AF370:AF440" si="73">+U370+V370-AD370</f>
        <v>0</v>
      </c>
    </row>
    <row r="371" spans="1:32">
      <c r="A371" s="604">
        <v>357</v>
      </c>
      <c r="B371" s="604"/>
      <c r="C371" s="604"/>
      <c r="D371" s="604"/>
      <c r="E371" s="602" t="s">
        <v>529</v>
      </c>
      <c r="F371" s="295">
        <f t="shared" ref="F371:S371" si="74">SUM(F350:F370)</f>
        <v>221750.09999999934</v>
      </c>
      <c r="G371" s="295">
        <f t="shared" si="74"/>
        <v>1380969.4299999997</v>
      </c>
      <c r="H371" s="295">
        <f t="shared" si="74"/>
        <v>2085165.5499999993</v>
      </c>
      <c r="I371" s="295">
        <f t="shared" si="74"/>
        <v>2488990.19</v>
      </c>
      <c r="J371" s="295">
        <f t="shared" si="74"/>
        <v>2460640.79</v>
      </c>
      <c r="K371" s="295">
        <f t="shared" si="74"/>
        <v>1689883.0100000012</v>
      </c>
      <c r="L371" s="295">
        <f t="shared" si="74"/>
        <v>836330.21000000183</v>
      </c>
      <c r="M371" s="295">
        <f t="shared" si="74"/>
        <v>-178386.6300000003</v>
      </c>
      <c r="N371" s="295">
        <f t="shared" si="74"/>
        <v>-1069793.8499999971</v>
      </c>
      <c r="O371" s="295">
        <f t="shared" si="74"/>
        <v>-1818325.99</v>
      </c>
      <c r="P371" s="295">
        <f t="shared" si="74"/>
        <v>-1985022.0400000031</v>
      </c>
      <c r="Q371" s="295">
        <f t="shared" si="74"/>
        <v>-1178073.7799999949</v>
      </c>
      <c r="R371" s="295">
        <f t="shared" si="74"/>
        <v>169037.26999999196</v>
      </c>
      <c r="S371" s="486">
        <f t="shared" si="74"/>
        <v>408980.88124999689</v>
      </c>
      <c r="T371" s="604"/>
      <c r="U371" s="642"/>
      <c r="V371" s="679"/>
      <c r="W371" s="679"/>
      <c r="X371" s="702"/>
      <c r="Y371" s="679"/>
      <c r="Z371" s="679"/>
      <c r="AA371" s="642"/>
      <c r="AB371" s="679"/>
      <c r="AC371" s="643"/>
      <c r="AD371" s="643"/>
      <c r="AE371" s="643"/>
      <c r="AF371" s="677">
        <f t="shared" si="73"/>
        <v>0</v>
      </c>
    </row>
    <row r="372" spans="1:32">
      <c r="A372" s="604">
        <v>358</v>
      </c>
      <c r="B372" s="604"/>
      <c r="C372" s="604"/>
      <c r="D372" s="604"/>
      <c r="E372" s="602"/>
      <c r="F372" s="603"/>
      <c r="G372" s="314"/>
      <c r="H372" s="305"/>
      <c r="I372" s="305"/>
      <c r="J372" s="306"/>
      <c r="K372" s="307"/>
      <c r="L372" s="308"/>
      <c r="M372" s="309"/>
      <c r="N372" s="310"/>
      <c r="O372" s="590"/>
      <c r="P372" s="311"/>
      <c r="Q372" s="315"/>
      <c r="R372" s="603"/>
      <c r="S372" s="294"/>
      <c r="T372" s="604"/>
      <c r="U372" s="642"/>
      <c r="V372" s="679"/>
      <c r="W372" s="679"/>
      <c r="X372" s="702"/>
      <c r="Y372" s="679"/>
      <c r="Z372" s="679"/>
      <c r="AA372" s="642"/>
      <c r="AB372" s="679"/>
      <c r="AC372" s="643"/>
      <c r="AD372" s="643"/>
      <c r="AE372" s="643"/>
      <c r="AF372" s="677">
        <f t="shared" si="73"/>
        <v>0</v>
      </c>
    </row>
    <row r="373" spans="1:32">
      <c r="A373" s="604">
        <v>359</v>
      </c>
      <c r="B373" s="604"/>
      <c r="C373" s="604"/>
      <c r="D373" s="604"/>
      <c r="E373" s="602"/>
      <c r="F373" s="603"/>
      <c r="G373" s="314"/>
      <c r="H373" s="305"/>
      <c r="I373" s="305"/>
      <c r="J373" s="306"/>
      <c r="K373" s="307"/>
      <c r="L373" s="308"/>
      <c r="M373" s="309"/>
      <c r="N373" s="310"/>
      <c r="O373" s="590"/>
      <c r="P373" s="311"/>
      <c r="Q373" s="315"/>
      <c r="R373" s="603"/>
      <c r="S373" s="294"/>
      <c r="T373" s="604"/>
      <c r="U373" s="642"/>
      <c r="V373" s="679"/>
      <c r="W373" s="679"/>
      <c r="X373" s="702"/>
      <c r="Y373" s="679"/>
      <c r="Z373" s="679"/>
      <c r="AA373" s="642"/>
      <c r="AB373" s="679"/>
      <c r="AC373" s="643"/>
      <c r="AD373" s="643"/>
      <c r="AE373" s="643"/>
      <c r="AF373" s="677">
        <f t="shared" si="73"/>
        <v>0</v>
      </c>
    </row>
    <row r="374" spans="1:32">
      <c r="A374" s="604">
        <v>360</v>
      </c>
      <c r="B374" s="316" t="s">
        <v>956</v>
      </c>
      <c r="C374" s="316" t="s">
        <v>530</v>
      </c>
      <c r="D374" s="604"/>
      <c r="E374" s="602" t="s">
        <v>1626</v>
      </c>
      <c r="F374" s="603">
        <v>0</v>
      </c>
      <c r="G374" s="603">
        <v>0</v>
      </c>
      <c r="H374" s="603">
        <v>0</v>
      </c>
      <c r="I374" s="603">
        <v>0</v>
      </c>
      <c r="J374" s="603">
        <v>0</v>
      </c>
      <c r="K374" s="603">
        <v>0</v>
      </c>
      <c r="L374" s="603">
        <v>-934.33</v>
      </c>
      <c r="M374" s="603">
        <v>-934.33</v>
      </c>
      <c r="N374" s="603">
        <v>-934.33</v>
      </c>
      <c r="O374" s="603">
        <v>-934.33</v>
      </c>
      <c r="P374" s="603">
        <v>-934.33</v>
      </c>
      <c r="Q374" s="603">
        <v>-934.33</v>
      </c>
      <c r="R374" s="603">
        <v>-934.33</v>
      </c>
      <c r="S374" s="484">
        <f t="shared" ref="S374:S383" si="75">((F374+R374)+((G374+H374+I374+J374+K374+L374+M374+N374+O374+P374+Q374)*2))/24</f>
        <v>-506.09541666666672</v>
      </c>
      <c r="T374" s="604"/>
      <c r="U374" s="642"/>
      <c r="V374" s="679"/>
      <c r="W374" s="679">
        <f t="shared" ref="W374:W382" si="76">+S374</f>
        <v>-506.09541666666672</v>
      </c>
      <c r="X374" s="702"/>
      <c r="Y374" s="679"/>
      <c r="Z374" s="679"/>
      <c r="AA374" s="642"/>
      <c r="AB374" s="679"/>
      <c r="AC374" s="644">
        <f t="shared" ref="AC374:AC383" si="77">+S374</f>
        <v>-506.09541666666672</v>
      </c>
      <c r="AD374" s="643"/>
      <c r="AE374" s="643"/>
      <c r="AF374" s="677">
        <f t="shared" si="73"/>
        <v>0</v>
      </c>
    </row>
    <row r="375" spans="1:32">
      <c r="A375" s="604">
        <v>361</v>
      </c>
      <c r="B375" s="316" t="s">
        <v>956</v>
      </c>
      <c r="C375" s="316" t="s">
        <v>532</v>
      </c>
      <c r="D375" s="604"/>
      <c r="E375" s="602" t="s">
        <v>1627</v>
      </c>
      <c r="F375" s="603">
        <v>0</v>
      </c>
      <c r="G375" s="603">
        <v>0</v>
      </c>
      <c r="H375" s="603">
        <v>0</v>
      </c>
      <c r="I375" s="603">
        <v>0</v>
      </c>
      <c r="J375" s="603">
        <v>0</v>
      </c>
      <c r="K375" s="603">
        <v>0</v>
      </c>
      <c r="L375" s="603">
        <v>0</v>
      </c>
      <c r="M375" s="603">
        <v>0</v>
      </c>
      <c r="N375" s="603">
        <v>0</v>
      </c>
      <c r="O375" s="603">
        <v>0</v>
      </c>
      <c r="P375" s="603">
        <v>0</v>
      </c>
      <c r="Q375" s="603">
        <v>0</v>
      </c>
      <c r="R375" s="603">
        <v>0</v>
      </c>
      <c r="S375" s="484">
        <f t="shared" si="75"/>
        <v>0</v>
      </c>
      <c r="T375" s="604"/>
      <c r="U375" s="642"/>
      <c r="V375" s="679"/>
      <c r="W375" s="679">
        <f t="shared" si="76"/>
        <v>0</v>
      </c>
      <c r="X375" s="702"/>
      <c r="Y375" s="679"/>
      <c r="Z375" s="679"/>
      <c r="AA375" s="642"/>
      <c r="AB375" s="679"/>
      <c r="AC375" s="644">
        <f t="shared" si="77"/>
        <v>0</v>
      </c>
      <c r="AD375" s="643"/>
      <c r="AE375" s="643"/>
      <c r="AF375" s="677">
        <f t="shared" si="73"/>
        <v>0</v>
      </c>
    </row>
    <row r="376" spans="1:32">
      <c r="A376" s="604">
        <v>362</v>
      </c>
      <c r="B376" s="524" t="s">
        <v>369</v>
      </c>
      <c r="C376" s="524" t="s">
        <v>369</v>
      </c>
      <c r="D376" s="316" t="s">
        <v>533</v>
      </c>
      <c r="E376" s="602" t="s">
        <v>1628</v>
      </c>
      <c r="F376" s="603">
        <v>147336.4</v>
      </c>
      <c r="G376" s="603">
        <v>11595.3</v>
      </c>
      <c r="H376" s="603">
        <v>36289.72</v>
      </c>
      <c r="I376" s="603">
        <v>63881.3</v>
      </c>
      <c r="J376" s="603">
        <v>72384.92</v>
      </c>
      <c r="K376" s="603">
        <v>79709.919999999998</v>
      </c>
      <c r="L376" s="603">
        <v>94660.39</v>
      </c>
      <c r="M376" s="603">
        <v>114137.21</v>
      </c>
      <c r="N376" s="603">
        <v>114936.66</v>
      </c>
      <c r="O376" s="603">
        <v>153413.89000000001</v>
      </c>
      <c r="P376" s="603">
        <v>162223.39000000001</v>
      </c>
      <c r="Q376" s="603">
        <v>167773.39</v>
      </c>
      <c r="R376" s="603">
        <v>251618.91</v>
      </c>
      <c r="S376" s="484">
        <f t="shared" si="75"/>
        <v>105873.64541666668</v>
      </c>
      <c r="T376" s="604"/>
      <c r="U376" s="642"/>
      <c r="V376" s="679"/>
      <c r="W376" s="679">
        <f t="shared" si="76"/>
        <v>105873.64541666668</v>
      </c>
      <c r="X376" s="702"/>
      <c r="Y376" s="679"/>
      <c r="Z376" s="679"/>
      <c r="AA376" s="642"/>
      <c r="AB376" s="679"/>
      <c r="AC376" s="644">
        <f t="shared" si="77"/>
        <v>105873.64541666668</v>
      </c>
      <c r="AD376" s="643"/>
      <c r="AE376" s="643"/>
      <c r="AF376" s="677">
        <f t="shared" si="73"/>
        <v>0</v>
      </c>
    </row>
    <row r="377" spans="1:32">
      <c r="A377" s="604">
        <v>363</v>
      </c>
      <c r="B377" s="524" t="s">
        <v>369</v>
      </c>
      <c r="C377" s="524" t="s">
        <v>369</v>
      </c>
      <c r="D377" s="316" t="s">
        <v>1397</v>
      </c>
      <c r="E377" s="602" t="s">
        <v>1629</v>
      </c>
      <c r="F377" s="603">
        <v>452956.61</v>
      </c>
      <c r="G377" s="603">
        <v>-311902.46000000002</v>
      </c>
      <c r="H377" s="603">
        <v>-376410.95</v>
      </c>
      <c r="I377" s="603">
        <v>-507107.83</v>
      </c>
      <c r="J377" s="603">
        <v>-556812.68000000005</v>
      </c>
      <c r="K377" s="603">
        <v>-355694.12</v>
      </c>
      <c r="L377" s="603">
        <v>-641758.32999999996</v>
      </c>
      <c r="M377" s="603">
        <v>-619867.71</v>
      </c>
      <c r="N377" s="603">
        <v>-671236.85</v>
      </c>
      <c r="O377" s="603">
        <v>-711010.69</v>
      </c>
      <c r="P377" s="603">
        <v>-713523.32</v>
      </c>
      <c r="Q377" s="603">
        <v>-813020.16000000003</v>
      </c>
      <c r="R377" s="603">
        <v>-783272.35</v>
      </c>
      <c r="S377" s="484">
        <f t="shared" si="75"/>
        <v>-536958.58083333343</v>
      </c>
      <c r="T377" s="604"/>
      <c r="U377" s="642"/>
      <c r="V377" s="679"/>
      <c r="W377" s="679">
        <f t="shared" si="76"/>
        <v>-536958.58083333343</v>
      </c>
      <c r="X377" s="702"/>
      <c r="Y377" s="679"/>
      <c r="Z377" s="679"/>
      <c r="AA377" s="642"/>
      <c r="AB377" s="679"/>
      <c r="AC377" s="644">
        <f t="shared" si="77"/>
        <v>-536958.58083333343</v>
      </c>
      <c r="AD377" s="643"/>
      <c r="AE377" s="643"/>
      <c r="AF377" s="677">
        <f t="shared" si="73"/>
        <v>0</v>
      </c>
    </row>
    <row r="378" spans="1:32">
      <c r="A378" s="604">
        <v>364</v>
      </c>
      <c r="B378" s="524" t="s">
        <v>369</v>
      </c>
      <c r="C378" s="524" t="s">
        <v>369</v>
      </c>
      <c r="D378" s="316" t="s">
        <v>534</v>
      </c>
      <c r="E378" s="602" t="s">
        <v>1630</v>
      </c>
      <c r="F378" s="603">
        <v>50.76</v>
      </c>
      <c r="G378" s="603">
        <v>50.35</v>
      </c>
      <c r="H378" s="603">
        <v>50.35</v>
      </c>
      <c r="I378" s="603">
        <v>50.35</v>
      </c>
      <c r="J378" s="603">
        <v>50.35</v>
      </c>
      <c r="K378" s="603">
        <v>50.35</v>
      </c>
      <c r="L378" s="603">
        <v>50.35</v>
      </c>
      <c r="M378" s="603">
        <v>94.63</v>
      </c>
      <c r="N378" s="603">
        <v>94.63</v>
      </c>
      <c r="O378" s="603">
        <v>158.94</v>
      </c>
      <c r="P378" s="603">
        <v>94.63</v>
      </c>
      <c r="Q378" s="603">
        <v>94.63</v>
      </c>
      <c r="R378" s="603">
        <v>94.63</v>
      </c>
      <c r="S378" s="484">
        <f t="shared" si="75"/>
        <v>76.021249999999995</v>
      </c>
      <c r="T378" s="604"/>
      <c r="U378" s="642"/>
      <c r="V378" s="679"/>
      <c r="W378" s="679">
        <f t="shared" si="76"/>
        <v>76.021249999999995</v>
      </c>
      <c r="X378" s="702"/>
      <c r="Y378" s="679"/>
      <c r="Z378" s="679"/>
      <c r="AA378" s="642"/>
      <c r="AB378" s="679"/>
      <c r="AC378" s="644">
        <f t="shared" si="77"/>
        <v>76.021249999999995</v>
      </c>
      <c r="AD378" s="643"/>
      <c r="AE378" s="643"/>
      <c r="AF378" s="677">
        <f t="shared" si="73"/>
        <v>0</v>
      </c>
    </row>
    <row r="379" spans="1:32">
      <c r="A379" s="604">
        <v>365</v>
      </c>
      <c r="B379" s="524" t="s">
        <v>369</v>
      </c>
      <c r="C379" s="524" t="s">
        <v>369</v>
      </c>
      <c r="D379" s="316" t="s">
        <v>535</v>
      </c>
      <c r="E379" s="602" t="s">
        <v>1631</v>
      </c>
      <c r="F379" s="603">
        <v>165577.54</v>
      </c>
      <c r="G379" s="603">
        <v>13951</v>
      </c>
      <c r="H379" s="603">
        <v>24015</v>
      </c>
      <c r="I379" s="603">
        <v>33665</v>
      </c>
      <c r="J379" s="603">
        <v>43359.35</v>
      </c>
      <c r="K379" s="603">
        <v>56439.81</v>
      </c>
      <c r="L379" s="603">
        <v>66385.31</v>
      </c>
      <c r="M379" s="603">
        <v>76108.460000000006</v>
      </c>
      <c r="N379" s="603">
        <v>85608.46</v>
      </c>
      <c r="O379" s="603">
        <v>96108.46</v>
      </c>
      <c r="P379" s="603">
        <v>106250.3</v>
      </c>
      <c r="Q379" s="603">
        <v>115750.3</v>
      </c>
      <c r="R379" s="603">
        <v>306253.81</v>
      </c>
      <c r="S379" s="484">
        <f t="shared" si="75"/>
        <v>79463.09375</v>
      </c>
      <c r="T379" s="604"/>
      <c r="U379" s="642"/>
      <c r="V379" s="679"/>
      <c r="W379" s="679">
        <f t="shared" si="76"/>
        <v>79463.09375</v>
      </c>
      <c r="X379" s="702"/>
      <c r="Y379" s="679"/>
      <c r="Z379" s="679"/>
      <c r="AA379" s="642"/>
      <c r="AB379" s="679"/>
      <c r="AC379" s="644">
        <f t="shared" si="77"/>
        <v>79463.09375</v>
      </c>
      <c r="AD379" s="643"/>
      <c r="AE379" s="643"/>
      <c r="AF379" s="677">
        <f t="shared" si="73"/>
        <v>0</v>
      </c>
    </row>
    <row r="380" spans="1:32">
      <c r="A380" s="604">
        <v>366</v>
      </c>
      <c r="B380" s="525" t="s">
        <v>369</v>
      </c>
      <c r="C380" s="525" t="s">
        <v>369</v>
      </c>
      <c r="D380" s="316" t="s">
        <v>536</v>
      </c>
      <c r="E380" s="602" t="s">
        <v>1632</v>
      </c>
      <c r="F380" s="603">
        <v>615677.14</v>
      </c>
      <c r="G380" s="603">
        <v>0</v>
      </c>
      <c r="H380" s="603">
        <v>0</v>
      </c>
      <c r="I380" s="603">
        <v>1555.78</v>
      </c>
      <c r="J380" s="603">
        <v>1555.78</v>
      </c>
      <c r="K380" s="603">
        <v>1555.78</v>
      </c>
      <c r="L380" s="603">
        <v>1555.78</v>
      </c>
      <c r="M380" s="603">
        <v>1555.78</v>
      </c>
      <c r="N380" s="603">
        <v>1555.78</v>
      </c>
      <c r="O380" s="603">
        <v>1555.78</v>
      </c>
      <c r="P380" s="603">
        <v>1555.78</v>
      </c>
      <c r="Q380" s="603">
        <v>1555.78</v>
      </c>
      <c r="R380" s="603">
        <v>1555.78</v>
      </c>
      <c r="S380" s="484">
        <f t="shared" si="75"/>
        <v>26884.873333333337</v>
      </c>
      <c r="T380" s="604"/>
      <c r="U380" s="642"/>
      <c r="V380" s="679"/>
      <c r="W380" s="679">
        <f t="shared" si="76"/>
        <v>26884.873333333337</v>
      </c>
      <c r="X380" s="702"/>
      <c r="Y380" s="679"/>
      <c r="Z380" s="679"/>
      <c r="AA380" s="642"/>
      <c r="AB380" s="679"/>
      <c r="AC380" s="644">
        <f t="shared" si="77"/>
        <v>26884.873333333337</v>
      </c>
      <c r="AD380" s="643"/>
      <c r="AE380" s="643"/>
      <c r="AF380" s="677">
        <f t="shared" si="73"/>
        <v>0</v>
      </c>
    </row>
    <row r="381" spans="1:32">
      <c r="A381" s="604">
        <v>367</v>
      </c>
      <c r="B381" s="526" t="s">
        <v>369</v>
      </c>
      <c r="C381" s="526" t="s">
        <v>369</v>
      </c>
      <c r="D381" s="316" t="s">
        <v>537</v>
      </c>
      <c r="E381" s="602" t="s">
        <v>1633</v>
      </c>
      <c r="F381" s="603">
        <v>0</v>
      </c>
      <c r="G381" s="603">
        <v>0</v>
      </c>
      <c r="H381" s="603">
        <v>0</v>
      </c>
      <c r="I381" s="603">
        <v>0</v>
      </c>
      <c r="J381" s="603">
        <v>0</v>
      </c>
      <c r="K381" s="603">
        <v>0</v>
      </c>
      <c r="L381" s="603">
        <v>0</v>
      </c>
      <c r="M381" s="603">
        <v>0</v>
      </c>
      <c r="N381" s="603">
        <v>0</v>
      </c>
      <c r="O381" s="603">
        <v>0</v>
      </c>
      <c r="P381" s="603">
        <v>0</v>
      </c>
      <c r="Q381" s="603">
        <v>0</v>
      </c>
      <c r="R381" s="603">
        <v>0</v>
      </c>
      <c r="S381" s="484">
        <f t="shared" si="75"/>
        <v>0</v>
      </c>
      <c r="T381" s="604"/>
      <c r="U381" s="642"/>
      <c r="V381" s="679"/>
      <c r="W381" s="679">
        <f t="shared" si="76"/>
        <v>0</v>
      </c>
      <c r="X381" s="702"/>
      <c r="Y381" s="679"/>
      <c r="Z381" s="679"/>
      <c r="AA381" s="642"/>
      <c r="AB381" s="679"/>
      <c r="AC381" s="644">
        <f t="shared" si="77"/>
        <v>0</v>
      </c>
      <c r="AD381" s="643"/>
      <c r="AE381" s="643"/>
      <c r="AF381" s="677">
        <f t="shared" si="73"/>
        <v>0</v>
      </c>
    </row>
    <row r="382" spans="1:32">
      <c r="A382" s="604">
        <v>368</v>
      </c>
      <c r="B382" s="316" t="s">
        <v>369</v>
      </c>
      <c r="C382" s="316" t="s">
        <v>538</v>
      </c>
      <c r="D382" s="316" t="s">
        <v>537</v>
      </c>
      <c r="E382" s="319" t="s">
        <v>1634</v>
      </c>
      <c r="F382" s="603">
        <v>0</v>
      </c>
      <c r="G382" s="603">
        <v>0</v>
      </c>
      <c r="H382" s="603">
        <v>0</v>
      </c>
      <c r="I382" s="603">
        <v>0</v>
      </c>
      <c r="J382" s="603">
        <v>0</v>
      </c>
      <c r="K382" s="603">
        <v>0</v>
      </c>
      <c r="L382" s="603">
        <v>0</v>
      </c>
      <c r="M382" s="603">
        <v>0</v>
      </c>
      <c r="N382" s="603">
        <v>0</v>
      </c>
      <c r="O382" s="603">
        <v>0</v>
      </c>
      <c r="P382" s="603">
        <v>0</v>
      </c>
      <c r="Q382" s="603">
        <v>0</v>
      </c>
      <c r="R382" s="603">
        <v>0</v>
      </c>
      <c r="S382" s="484">
        <f t="shared" si="75"/>
        <v>0</v>
      </c>
      <c r="T382" s="604"/>
      <c r="U382" s="642"/>
      <c r="V382" s="679"/>
      <c r="W382" s="679">
        <f t="shared" si="76"/>
        <v>0</v>
      </c>
      <c r="X382" s="702"/>
      <c r="Y382" s="679"/>
      <c r="Z382" s="679"/>
      <c r="AA382" s="642"/>
      <c r="AB382" s="679"/>
      <c r="AC382" s="644">
        <f t="shared" si="77"/>
        <v>0</v>
      </c>
      <c r="AD382" s="643"/>
      <c r="AE382" s="643"/>
      <c r="AF382" s="677">
        <f t="shared" si="73"/>
        <v>0</v>
      </c>
    </row>
    <row r="383" spans="1:32">
      <c r="A383" s="604">
        <v>369</v>
      </c>
      <c r="B383" s="316" t="s">
        <v>959</v>
      </c>
      <c r="C383" s="316" t="s">
        <v>539</v>
      </c>
      <c r="D383" s="316" t="s">
        <v>1178</v>
      </c>
      <c r="E383" s="602" t="s">
        <v>1635</v>
      </c>
      <c r="F383" s="303">
        <v>1144.68</v>
      </c>
      <c r="G383" s="303">
        <v>0</v>
      </c>
      <c r="H383" s="303">
        <v>0</v>
      </c>
      <c r="I383" s="303">
        <v>0</v>
      </c>
      <c r="J383" s="303">
        <v>536.05999999999995</v>
      </c>
      <c r="K383" s="303">
        <v>536.05999999999995</v>
      </c>
      <c r="L383" s="303">
        <v>536.05999999999995</v>
      </c>
      <c r="M383" s="303">
        <v>536.05999999999995</v>
      </c>
      <c r="N383" s="303">
        <v>1072.1199999999999</v>
      </c>
      <c r="O383" s="303">
        <v>1072.1199999999999</v>
      </c>
      <c r="P383" s="303">
        <v>1072.1199999999999</v>
      </c>
      <c r="Q383" s="303">
        <v>1072.1199999999999</v>
      </c>
      <c r="R383" s="303">
        <v>1072.1199999999999</v>
      </c>
      <c r="S383" s="484">
        <f t="shared" si="75"/>
        <v>628.42666666666662</v>
      </c>
      <c r="T383" s="604"/>
      <c r="U383" s="642"/>
      <c r="V383" s="679"/>
      <c r="W383" s="679">
        <f>+S383</f>
        <v>628.42666666666662</v>
      </c>
      <c r="X383" s="702"/>
      <c r="Y383" s="679"/>
      <c r="Z383" s="679"/>
      <c r="AA383" s="642"/>
      <c r="AB383" s="679"/>
      <c r="AC383" s="644">
        <f t="shared" si="77"/>
        <v>628.42666666666662</v>
      </c>
      <c r="AD383" s="643"/>
      <c r="AE383" s="643"/>
      <c r="AF383" s="677">
        <f t="shared" si="73"/>
        <v>0</v>
      </c>
    </row>
    <row r="384" spans="1:32">
      <c r="A384" s="604">
        <v>370</v>
      </c>
      <c r="B384" s="604"/>
      <c r="C384" s="604"/>
      <c r="D384" s="604"/>
      <c r="E384" s="602" t="s">
        <v>540</v>
      </c>
      <c r="F384" s="295">
        <f>SUM(F374:F383)</f>
        <v>1382743.1300000001</v>
      </c>
      <c r="G384" s="295">
        <f t="shared" ref="G384:S384" si="78">SUM(G374:G383)</f>
        <v>-286305.81000000006</v>
      </c>
      <c r="H384" s="295">
        <f t="shared" si="78"/>
        <v>-316055.88</v>
      </c>
      <c r="I384" s="295">
        <f t="shared" si="78"/>
        <v>-407955.4</v>
      </c>
      <c r="J384" s="295">
        <f t="shared" si="78"/>
        <v>-438926.22000000009</v>
      </c>
      <c r="K384" s="295">
        <f t="shared" si="78"/>
        <v>-217402.20000000004</v>
      </c>
      <c r="L384" s="295">
        <f t="shared" si="78"/>
        <v>-479504.77</v>
      </c>
      <c r="M384" s="295">
        <f t="shared" si="78"/>
        <v>-428369.89999999991</v>
      </c>
      <c r="N384" s="295">
        <f t="shared" si="78"/>
        <v>-468903.52999999997</v>
      </c>
      <c r="O384" s="295">
        <f t="shared" si="78"/>
        <v>-459635.8299999999</v>
      </c>
      <c r="P384" s="295">
        <f t="shared" si="78"/>
        <v>-443261.42999999988</v>
      </c>
      <c r="Q384" s="295">
        <f t="shared" si="78"/>
        <v>-527708.2699999999</v>
      </c>
      <c r="R384" s="295">
        <f t="shared" si="78"/>
        <v>-223611.43000000002</v>
      </c>
      <c r="S384" s="486">
        <f t="shared" si="78"/>
        <v>-324538.61583333334</v>
      </c>
      <c r="T384" s="604"/>
      <c r="U384" s="642"/>
      <c r="V384" s="679"/>
      <c r="W384" s="679"/>
      <c r="X384" s="702"/>
      <c r="Y384" s="679"/>
      <c r="Z384" s="679"/>
      <c r="AA384" s="642"/>
      <c r="AB384" s="679"/>
      <c r="AC384" s="643"/>
      <c r="AD384" s="643"/>
      <c r="AE384" s="643"/>
      <c r="AF384" s="677">
        <f t="shared" si="73"/>
        <v>0</v>
      </c>
    </row>
    <row r="385" spans="1:32">
      <c r="A385" s="604">
        <v>371</v>
      </c>
      <c r="B385" s="604"/>
      <c r="C385" s="604"/>
      <c r="D385" s="604"/>
      <c r="E385" s="602"/>
      <c r="F385" s="603"/>
      <c r="G385" s="314"/>
      <c r="H385" s="305"/>
      <c r="I385" s="305"/>
      <c r="J385" s="306"/>
      <c r="K385" s="307"/>
      <c r="L385" s="308"/>
      <c r="M385" s="309"/>
      <c r="N385" s="310"/>
      <c r="O385" s="590"/>
      <c r="P385" s="311"/>
      <c r="Q385" s="315"/>
      <c r="R385" s="603"/>
      <c r="S385" s="294"/>
      <c r="T385" s="604"/>
      <c r="U385" s="642"/>
      <c r="V385" s="679"/>
      <c r="W385" s="679"/>
      <c r="X385" s="702"/>
      <c r="Y385" s="679"/>
      <c r="Z385" s="679"/>
      <c r="AA385" s="642"/>
      <c r="AB385" s="679"/>
      <c r="AC385" s="643"/>
      <c r="AD385" s="643"/>
      <c r="AE385" s="643"/>
      <c r="AF385" s="677">
        <f t="shared" si="73"/>
        <v>0</v>
      </c>
    </row>
    <row r="386" spans="1:32">
      <c r="A386" s="604">
        <v>372</v>
      </c>
      <c r="B386" s="316" t="s">
        <v>956</v>
      </c>
      <c r="C386" s="316" t="s">
        <v>541</v>
      </c>
      <c r="D386" s="316" t="s">
        <v>515</v>
      </c>
      <c r="E386" s="602" t="s">
        <v>542</v>
      </c>
      <c r="F386" s="303">
        <v>10610000</v>
      </c>
      <c r="G386" s="303">
        <v>0</v>
      </c>
      <c r="H386" s="303">
        <v>2960000</v>
      </c>
      <c r="I386" s="303">
        <v>2960000</v>
      </c>
      <c r="J386" s="303">
        <v>2960000</v>
      </c>
      <c r="K386" s="303">
        <v>5440000</v>
      </c>
      <c r="L386" s="303">
        <v>5440000</v>
      </c>
      <c r="M386" s="303">
        <v>5440000</v>
      </c>
      <c r="N386" s="303">
        <v>7920000</v>
      </c>
      <c r="O386" s="303">
        <v>7920000</v>
      </c>
      <c r="P386" s="303">
        <v>7920000</v>
      </c>
      <c r="Q386" s="303">
        <v>10400000</v>
      </c>
      <c r="R386" s="303">
        <v>10400000</v>
      </c>
      <c r="S386" s="484">
        <f>((F386+R386)+((G386+H386+I386+J386+K386+L386+M386+N386+O386+P386+Q386)*2))/24</f>
        <v>5822083.333333333</v>
      </c>
      <c r="T386" s="604"/>
      <c r="U386" s="642"/>
      <c r="V386" s="679"/>
      <c r="W386" s="679">
        <f>+S386</f>
        <v>5822083.333333333</v>
      </c>
      <c r="X386" s="702"/>
      <c r="Y386" s="679"/>
      <c r="Z386" s="679"/>
      <c r="AA386" s="642"/>
      <c r="AB386" s="679"/>
      <c r="AC386" s="644">
        <f>+S386</f>
        <v>5822083.333333333</v>
      </c>
      <c r="AD386" s="643"/>
      <c r="AE386" s="643"/>
      <c r="AF386" s="677">
        <f t="shared" si="73"/>
        <v>0</v>
      </c>
    </row>
    <row r="387" spans="1:32">
      <c r="A387" s="604">
        <v>373</v>
      </c>
      <c r="B387" s="604"/>
      <c r="C387" s="604"/>
      <c r="D387" s="604"/>
      <c r="E387" s="602" t="s">
        <v>543</v>
      </c>
      <c r="F387" s="295">
        <f>+F386</f>
        <v>10610000</v>
      </c>
      <c r="G387" s="295">
        <f t="shared" ref="G387:S387" si="79">+G386</f>
        <v>0</v>
      </c>
      <c r="H387" s="295">
        <f t="shared" si="79"/>
        <v>2960000</v>
      </c>
      <c r="I387" s="295">
        <f t="shared" si="79"/>
        <v>2960000</v>
      </c>
      <c r="J387" s="295">
        <f t="shared" si="79"/>
        <v>2960000</v>
      </c>
      <c r="K387" s="295">
        <f t="shared" si="79"/>
        <v>5440000</v>
      </c>
      <c r="L387" s="295">
        <f t="shared" si="79"/>
        <v>5440000</v>
      </c>
      <c r="M387" s="295">
        <f t="shared" si="79"/>
        <v>5440000</v>
      </c>
      <c r="N387" s="295">
        <f t="shared" si="79"/>
        <v>7920000</v>
      </c>
      <c r="O387" s="295">
        <f t="shared" si="79"/>
        <v>7920000</v>
      </c>
      <c r="P387" s="295">
        <f t="shared" si="79"/>
        <v>7920000</v>
      </c>
      <c r="Q387" s="295">
        <f t="shared" si="79"/>
        <v>10400000</v>
      </c>
      <c r="R387" s="295">
        <f t="shared" si="79"/>
        <v>10400000</v>
      </c>
      <c r="S387" s="486">
        <f t="shared" si="79"/>
        <v>5822083.333333333</v>
      </c>
      <c r="T387" s="604"/>
      <c r="U387" s="642"/>
      <c r="V387" s="679"/>
      <c r="W387" s="679"/>
      <c r="X387" s="702"/>
      <c r="Y387" s="679"/>
      <c r="Z387" s="679"/>
      <c r="AA387" s="642"/>
      <c r="AB387" s="679"/>
      <c r="AC387" s="643"/>
      <c r="AD387" s="643"/>
      <c r="AE387" s="643"/>
      <c r="AF387" s="677">
        <f t="shared" si="73"/>
        <v>0</v>
      </c>
    </row>
    <row r="388" spans="1:32">
      <c r="A388" s="604">
        <v>374</v>
      </c>
      <c r="B388" s="604"/>
      <c r="C388" s="604"/>
      <c r="D388" s="604"/>
      <c r="E388" s="602"/>
      <c r="F388" s="296"/>
      <c r="G388" s="320"/>
      <c r="H388" s="594"/>
      <c r="I388" s="594"/>
      <c r="J388" s="297"/>
      <c r="K388" s="598"/>
      <c r="L388" s="298"/>
      <c r="M388" s="299"/>
      <c r="N388" s="300"/>
      <c r="O388" s="301"/>
      <c r="P388" s="302"/>
      <c r="Q388" s="321"/>
      <c r="R388" s="296"/>
      <c r="S388" s="294"/>
      <c r="T388" s="604"/>
      <c r="U388" s="642"/>
      <c r="V388" s="679"/>
      <c r="W388" s="679"/>
      <c r="X388" s="702"/>
      <c r="Y388" s="679"/>
      <c r="Z388" s="679"/>
      <c r="AA388" s="642"/>
      <c r="AB388" s="679"/>
      <c r="AC388" s="643"/>
      <c r="AD388" s="643"/>
      <c r="AE388" s="643"/>
      <c r="AF388" s="677">
        <f t="shared" si="73"/>
        <v>0</v>
      </c>
    </row>
    <row r="389" spans="1:32" ht="15" thickBot="1">
      <c r="A389" s="604">
        <v>375</v>
      </c>
      <c r="B389" s="527"/>
      <c r="C389" s="527"/>
      <c r="D389" s="527"/>
      <c r="E389" s="597" t="s">
        <v>544</v>
      </c>
      <c r="F389" s="322">
        <f t="shared" ref="F389:R389" si="80">+F387+F384+F371+F348+F330+F325+F307+F306+F304+F298+F227+F224+F202+F200+F181+F169+F149+F122+F63+F46+F39+F36+F59+F183+F184+F185+F186+F187+F188+F189+F190+F191+F192+F193+F195+F194+F198+F199+F201+F203+F204+F205+F196+F197</f>
        <v>1117173255.4100006</v>
      </c>
      <c r="G389" s="322">
        <f t="shared" si="80"/>
        <v>874125722.07999992</v>
      </c>
      <c r="H389" s="322">
        <f t="shared" si="80"/>
        <v>939569369.3599999</v>
      </c>
      <c r="I389" s="322">
        <f t="shared" si="80"/>
        <v>996037968.9599998</v>
      </c>
      <c r="J389" s="322">
        <f t="shared" si="80"/>
        <v>998465333.8499999</v>
      </c>
      <c r="K389" s="322">
        <f t="shared" si="80"/>
        <v>1006979612.1500003</v>
      </c>
      <c r="L389" s="322">
        <f t="shared" si="80"/>
        <v>1026172554.4400002</v>
      </c>
      <c r="M389" s="322">
        <f t="shared" si="80"/>
        <v>1052630814.3600003</v>
      </c>
      <c r="N389" s="322">
        <f t="shared" si="80"/>
        <v>1077947351.5200002</v>
      </c>
      <c r="O389" s="322">
        <f t="shared" si="80"/>
        <v>1095026663.5400002</v>
      </c>
      <c r="P389" s="322">
        <f t="shared" si="80"/>
        <v>1143148336.5700002</v>
      </c>
      <c r="Q389" s="322">
        <f t="shared" si="80"/>
        <v>1193037825.99</v>
      </c>
      <c r="R389" s="322">
        <f t="shared" si="80"/>
        <v>1262198971.2999995</v>
      </c>
      <c r="S389" s="322">
        <f>+S387+S384+S371+S348+S330+S325+S307+S306+S304+S298+S227+S224+S202+S200+S181+S169+S149+S122+S63+S46+S39+S36+S59+S183+S184+S185+S186+S187+S188+S189+S190+S191+S192+S193+S195+S194+S198+S199+S201+S203+S204+S205+S196+S197</f>
        <v>1049402305.5145835</v>
      </c>
      <c r="T389" s="527"/>
      <c r="U389" s="647"/>
      <c r="V389" s="680"/>
      <c r="W389" s="680"/>
      <c r="X389" s="705"/>
      <c r="Y389" s="680"/>
      <c r="Z389" s="680"/>
      <c r="AA389" s="647"/>
      <c r="AB389" s="680"/>
      <c r="AC389" s="648"/>
      <c r="AD389" s="648"/>
      <c r="AE389" s="648"/>
      <c r="AF389" s="677">
        <f t="shared" si="73"/>
        <v>0</v>
      </c>
    </row>
    <row r="390" spans="1:32" ht="15" thickTop="1">
      <c r="A390" s="604">
        <v>376</v>
      </c>
      <c r="B390" s="604"/>
      <c r="C390" s="604"/>
      <c r="D390" s="604"/>
      <c r="E390" s="602"/>
      <c r="F390" s="603"/>
      <c r="G390" s="314"/>
      <c r="H390" s="305"/>
      <c r="I390" s="305"/>
      <c r="J390" s="306"/>
      <c r="K390" s="307"/>
      <c r="L390" s="308"/>
      <c r="M390" s="309"/>
      <c r="N390" s="310"/>
      <c r="O390" s="590"/>
      <c r="P390" s="311"/>
      <c r="Q390" s="315"/>
      <c r="R390" s="603"/>
      <c r="S390" s="294"/>
      <c r="T390" s="604"/>
      <c r="U390" s="642"/>
      <c r="V390" s="679"/>
      <c r="W390" s="679"/>
      <c r="X390" s="702"/>
      <c r="Y390" s="679"/>
      <c r="Z390" s="679"/>
      <c r="AA390" s="642"/>
      <c r="AB390" s="679"/>
      <c r="AC390" s="643"/>
      <c r="AD390" s="643"/>
      <c r="AE390" s="643"/>
      <c r="AF390" s="677">
        <f t="shared" si="73"/>
        <v>0</v>
      </c>
    </row>
    <row r="391" spans="1:32">
      <c r="A391" s="604">
        <v>377</v>
      </c>
      <c r="B391" s="604"/>
      <c r="C391" s="604"/>
      <c r="D391" s="604"/>
      <c r="E391" s="602"/>
      <c r="F391" s="603"/>
      <c r="G391" s="314"/>
      <c r="H391" s="305"/>
      <c r="I391" s="305"/>
      <c r="J391" s="306"/>
      <c r="K391" s="307"/>
      <c r="L391" s="308"/>
      <c r="M391" s="309"/>
      <c r="N391" s="310"/>
      <c r="O391" s="590"/>
      <c r="P391" s="311"/>
      <c r="Q391" s="315"/>
      <c r="R391" s="603"/>
      <c r="S391" s="294"/>
      <c r="T391" s="604"/>
      <c r="U391" s="642"/>
      <c r="V391" s="679"/>
      <c r="W391" s="679"/>
      <c r="X391" s="702"/>
      <c r="Y391" s="679"/>
      <c r="Z391" s="679"/>
      <c r="AA391" s="642"/>
      <c r="AB391" s="679"/>
      <c r="AC391" s="643"/>
      <c r="AD391" s="643"/>
      <c r="AE391" s="643"/>
      <c r="AF391" s="677">
        <f t="shared" si="73"/>
        <v>0</v>
      </c>
    </row>
    <row r="392" spans="1:32">
      <c r="A392" s="604">
        <v>378</v>
      </c>
      <c r="B392" s="316" t="s">
        <v>956</v>
      </c>
      <c r="C392" s="316" t="s">
        <v>545</v>
      </c>
      <c r="D392" s="316" t="s">
        <v>1186</v>
      </c>
      <c r="E392" s="589" t="s">
        <v>546</v>
      </c>
      <c r="F392" s="603">
        <v>-1000</v>
      </c>
      <c r="G392" s="603">
        <v>-1000</v>
      </c>
      <c r="H392" s="603">
        <v>-1000</v>
      </c>
      <c r="I392" s="603">
        <v>-1000</v>
      </c>
      <c r="J392" s="603">
        <v>-1000</v>
      </c>
      <c r="K392" s="603">
        <v>-1000</v>
      </c>
      <c r="L392" s="603">
        <v>-1000</v>
      </c>
      <c r="M392" s="603">
        <v>-1000</v>
      </c>
      <c r="N392" s="603">
        <v>-1000</v>
      </c>
      <c r="O392" s="603">
        <v>-1000</v>
      </c>
      <c r="P392" s="603">
        <v>-1000</v>
      </c>
      <c r="Q392" s="603">
        <v>-1000</v>
      </c>
      <c r="R392" s="603">
        <v>-1000</v>
      </c>
      <c r="S392" s="484">
        <f>((F392+R392)+((G392+H392+I392+J392+K392+L392+M392+N392+O392+P392+Q392)*2))/24</f>
        <v>-1000</v>
      </c>
      <c r="T392" s="604"/>
      <c r="U392" s="642"/>
      <c r="V392" s="679"/>
      <c r="W392" s="679">
        <f t="shared" ref="W392:W398" si="81">+S392</f>
        <v>-1000</v>
      </c>
      <c r="X392" s="702"/>
      <c r="Y392" s="679"/>
      <c r="Z392" s="679"/>
      <c r="AA392" s="642"/>
      <c r="AB392" s="679"/>
      <c r="AC392" s="644">
        <f>+S392</f>
        <v>-1000</v>
      </c>
      <c r="AD392" s="643"/>
      <c r="AE392" s="643"/>
      <c r="AF392" s="677">
        <f t="shared" si="73"/>
        <v>0</v>
      </c>
    </row>
    <row r="393" spans="1:32">
      <c r="A393" s="604">
        <v>379</v>
      </c>
      <c r="B393" s="316" t="s">
        <v>956</v>
      </c>
      <c r="C393" s="316" t="s">
        <v>547</v>
      </c>
      <c r="D393" s="316" t="s">
        <v>515</v>
      </c>
      <c r="E393" s="589" t="s">
        <v>548</v>
      </c>
      <c r="F393" s="603">
        <v>-30688673.449999999</v>
      </c>
      <c r="G393" s="603">
        <v>-34416893.780000001</v>
      </c>
      <c r="H393" s="603">
        <v>-34416893.780000001</v>
      </c>
      <c r="I393" s="603">
        <v>-34416893.780000001</v>
      </c>
      <c r="J393" s="603">
        <v>-34416893.780000001</v>
      </c>
      <c r="K393" s="603">
        <v>-34416893.780000001</v>
      </c>
      <c r="L393" s="603">
        <v>-34416893.780000001</v>
      </c>
      <c r="M393" s="603">
        <v>-34416893.780000001</v>
      </c>
      <c r="N393" s="603">
        <v>-34416893.780000001</v>
      </c>
      <c r="O393" s="603">
        <v>-34416893.780000001</v>
      </c>
      <c r="P393" s="603">
        <v>-34416893.780000001</v>
      </c>
      <c r="Q393" s="603">
        <v>-34416893.780000001</v>
      </c>
      <c r="R393" s="603">
        <v>-34416893.780000001</v>
      </c>
      <c r="S393" s="484">
        <f>((F393+R393)+((G393+H393+I393+J393+K393+L393+M393+N393+O393+P393+Q393)*2))/24</f>
        <v>-34261551.266249992</v>
      </c>
      <c r="T393" s="604"/>
      <c r="U393" s="642"/>
      <c r="V393" s="679"/>
      <c r="W393" s="679">
        <f t="shared" si="81"/>
        <v>-34261551.266249992</v>
      </c>
      <c r="X393" s="702"/>
      <c r="Y393" s="679"/>
      <c r="Z393" s="679"/>
      <c r="AA393" s="642"/>
      <c r="AB393" s="679"/>
      <c r="AC393" s="644">
        <f>+W393</f>
        <v>-34261551.266249992</v>
      </c>
      <c r="AD393" s="643"/>
      <c r="AE393" s="643"/>
      <c r="AF393" s="677">
        <f t="shared" si="73"/>
        <v>0</v>
      </c>
    </row>
    <row r="394" spans="1:32">
      <c r="A394" s="604">
        <v>381</v>
      </c>
      <c r="B394" s="316" t="s">
        <v>956</v>
      </c>
      <c r="C394" s="316" t="s">
        <v>547</v>
      </c>
      <c r="D394" s="316" t="s">
        <v>550</v>
      </c>
      <c r="E394" s="589" t="s">
        <v>551</v>
      </c>
      <c r="F394" s="603">
        <v>42776</v>
      </c>
      <c r="G394" s="603">
        <v>2144</v>
      </c>
      <c r="H394" s="603">
        <v>4288</v>
      </c>
      <c r="I394" s="603">
        <v>6635</v>
      </c>
      <c r="J394" s="603">
        <v>8982</v>
      </c>
      <c r="K394" s="603">
        <v>11329</v>
      </c>
      <c r="L394" s="603">
        <v>13676</v>
      </c>
      <c r="M394" s="603">
        <v>16023</v>
      </c>
      <c r="N394" s="603">
        <v>18370</v>
      </c>
      <c r="O394" s="603">
        <v>20717</v>
      </c>
      <c r="P394" s="603">
        <v>23064</v>
      </c>
      <c r="Q394" s="603">
        <v>25411</v>
      </c>
      <c r="R394" s="603">
        <v>13231</v>
      </c>
      <c r="S394" s="484">
        <f t="shared" ref="S394:S456" si="82">((F394+R394)+((G394+H394+I394+J394+K394+L394+M394+N394+O394+P394+Q394)*2))/24</f>
        <v>14886.875</v>
      </c>
      <c r="T394" s="604"/>
      <c r="U394" s="642"/>
      <c r="V394" s="679"/>
      <c r="W394" s="679">
        <f t="shared" si="81"/>
        <v>14886.875</v>
      </c>
      <c r="X394" s="702"/>
      <c r="Y394" s="679"/>
      <c r="Z394" s="679"/>
      <c r="AA394" s="642"/>
      <c r="AB394" s="679"/>
      <c r="AC394" s="644">
        <f>+S394</f>
        <v>14886.875</v>
      </c>
      <c r="AD394" s="643"/>
      <c r="AE394" s="643"/>
      <c r="AF394" s="677">
        <f t="shared" si="73"/>
        <v>0</v>
      </c>
    </row>
    <row r="395" spans="1:32">
      <c r="A395" s="604">
        <v>383</v>
      </c>
      <c r="B395" s="316" t="s">
        <v>956</v>
      </c>
      <c r="C395" s="316" t="s">
        <v>552</v>
      </c>
      <c r="D395" s="316" t="s">
        <v>515</v>
      </c>
      <c r="E395" s="589" t="s">
        <v>553</v>
      </c>
      <c r="F395" s="603">
        <v>-222117553.21000001</v>
      </c>
      <c r="G395" s="603">
        <v>-222117553.21000001</v>
      </c>
      <c r="H395" s="603">
        <v>-222117553.21000001</v>
      </c>
      <c r="I395" s="603">
        <v>-222117553.21000001</v>
      </c>
      <c r="J395" s="603">
        <v>-222117553.21000001</v>
      </c>
      <c r="K395" s="603">
        <v>-227117553.21000001</v>
      </c>
      <c r="L395" s="603">
        <v>-232117553.21000001</v>
      </c>
      <c r="M395" s="603">
        <v>-239117553.21000001</v>
      </c>
      <c r="N395" s="603">
        <v>-239117553.21000001</v>
      </c>
      <c r="O395" s="603">
        <v>-259117553.21000001</v>
      </c>
      <c r="P395" s="603">
        <v>-266117553.21000001</v>
      </c>
      <c r="Q395" s="603">
        <v>-266117553.21000001</v>
      </c>
      <c r="R395" s="603">
        <v>-266117553.21000001</v>
      </c>
      <c r="S395" s="484">
        <f>((F395+R395)+((G395+H395+I395+J395+K395+L395+M395+N395+O395+P395+Q395)*2))/24</f>
        <v>-238450886.54333332</v>
      </c>
      <c r="T395" s="604"/>
      <c r="U395" s="642"/>
      <c r="V395" s="679"/>
      <c r="W395" s="679">
        <f t="shared" si="81"/>
        <v>-238450886.54333332</v>
      </c>
      <c r="X395" s="702"/>
      <c r="Y395" s="679"/>
      <c r="Z395" s="679"/>
      <c r="AA395" s="642"/>
      <c r="AB395" s="679"/>
      <c r="AC395" s="644">
        <f>+S395</f>
        <v>-238450886.54333332</v>
      </c>
      <c r="AD395" s="643"/>
      <c r="AE395" s="643"/>
      <c r="AF395" s="677">
        <f t="shared" si="73"/>
        <v>0</v>
      </c>
    </row>
    <row r="396" spans="1:32">
      <c r="A396" s="604">
        <v>384</v>
      </c>
      <c r="B396" s="316" t="s">
        <v>956</v>
      </c>
      <c r="C396" s="316" t="s">
        <v>1398</v>
      </c>
      <c r="D396" s="316"/>
      <c r="E396" s="589" t="s">
        <v>555</v>
      </c>
      <c r="F396" s="603">
        <v>273680.51</v>
      </c>
      <c r="G396" s="603">
        <v>0</v>
      </c>
      <c r="H396" s="603">
        <v>0</v>
      </c>
      <c r="I396" s="603">
        <v>0</v>
      </c>
      <c r="J396" s="603">
        <v>0</v>
      </c>
      <c r="K396" s="603">
        <v>0</v>
      </c>
      <c r="L396" s="603">
        <v>0</v>
      </c>
      <c r="M396" s="603">
        <v>0</v>
      </c>
      <c r="N396" s="603">
        <v>0</v>
      </c>
      <c r="O396" s="603">
        <v>0</v>
      </c>
      <c r="P396" s="603">
        <v>0</v>
      </c>
      <c r="Q396" s="603">
        <v>0</v>
      </c>
      <c r="R396" s="603">
        <v>0</v>
      </c>
      <c r="S396" s="484">
        <f t="shared" si="82"/>
        <v>11403.354583333334</v>
      </c>
      <c r="T396" s="604"/>
      <c r="U396" s="642"/>
      <c r="V396" s="679"/>
      <c r="W396" s="679">
        <f t="shared" si="81"/>
        <v>11403.354583333334</v>
      </c>
      <c r="X396" s="702"/>
      <c r="Y396" s="679"/>
      <c r="Z396" s="679"/>
      <c r="AA396" s="642"/>
      <c r="AB396" s="679"/>
      <c r="AC396" s="644">
        <f>+S396</f>
        <v>11403.354583333334</v>
      </c>
      <c r="AD396" s="643"/>
      <c r="AE396" s="643"/>
      <c r="AF396" s="677">
        <f t="shared" si="73"/>
        <v>0</v>
      </c>
    </row>
    <row r="397" spans="1:32">
      <c r="A397" s="604">
        <v>385</v>
      </c>
      <c r="B397" s="316" t="s">
        <v>956</v>
      </c>
      <c r="C397" s="316" t="s">
        <v>556</v>
      </c>
      <c r="D397" s="604" t="s">
        <v>369</v>
      </c>
      <c r="E397" s="589" t="s">
        <v>1636</v>
      </c>
      <c r="F397" s="603">
        <v>-2402882.85</v>
      </c>
      <c r="G397" s="603">
        <v>-2402882.85</v>
      </c>
      <c r="H397" s="603">
        <v>-2402882.85</v>
      </c>
      <c r="I397" s="603">
        <v>-2402882.85</v>
      </c>
      <c r="J397" s="603">
        <v>-2402882.85</v>
      </c>
      <c r="K397" s="603">
        <v>-2402882.85</v>
      </c>
      <c r="L397" s="603">
        <v>-2402882.85</v>
      </c>
      <c r="M397" s="603">
        <v>-2402882.85</v>
      </c>
      <c r="N397" s="603">
        <v>-2402882.85</v>
      </c>
      <c r="O397" s="603">
        <v>-2402882.85</v>
      </c>
      <c r="P397" s="603">
        <v>-2402882.85</v>
      </c>
      <c r="Q397" s="603">
        <v>-2402882.85</v>
      </c>
      <c r="R397" s="603">
        <v>-2506034.75</v>
      </c>
      <c r="S397" s="484">
        <f t="shared" si="82"/>
        <v>-2407180.8458333337</v>
      </c>
      <c r="T397" s="604"/>
      <c r="U397" s="642"/>
      <c r="V397" s="679"/>
      <c r="W397" s="679">
        <f t="shared" si="81"/>
        <v>-2407180.8458333337</v>
      </c>
      <c r="X397" s="702"/>
      <c r="Y397" s="679"/>
      <c r="Z397" s="679"/>
      <c r="AA397" s="642"/>
      <c r="AB397" s="679"/>
      <c r="AC397" s="644">
        <f>+S397</f>
        <v>-2407180.8458333337</v>
      </c>
      <c r="AD397" s="643"/>
      <c r="AE397" s="643"/>
      <c r="AF397" s="677">
        <f t="shared" si="73"/>
        <v>0</v>
      </c>
    </row>
    <row r="398" spans="1:32">
      <c r="A398" s="604">
        <v>386</v>
      </c>
      <c r="B398" s="316" t="s">
        <v>956</v>
      </c>
      <c r="C398" s="316" t="s">
        <v>557</v>
      </c>
      <c r="D398" s="316" t="s">
        <v>1186</v>
      </c>
      <c r="E398" s="589" t="s">
        <v>1637</v>
      </c>
      <c r="F398" s="303">
        <v>84425.49</v>
      </c>
      <c r="G398" s="303">
        <v>84425.49</v>
      </c>
      <c r="H398" s="303">
        <v>84425.49</v>
      </c>
      <c r="I398" s="303">
        <v>84425.49</v>
      </c>
      <c r="J398" s="303">
        <v>84425.49</v>
      </c>
      <c r="K398" s="303">
        <v>84425.49</v>
      </c>
      <c r="L398" s="303">
        <v>84425.49</v>
      </c>
      <c r="M398" s="303">
        <v>84425.49</v>
      </c>
      <c r="N398" s="303">
        <v>84425.49</v>
      </c>
      <c r="O398" s="303">
        <v>84425.49</v>
      </c>
      <c r="P398" s="303">
        <v>84425.49</v>
      </c>
      <c r="Q398" s="303">
        <v>84425.49</v>
      </c>
      <c r="R398" s="303">
        <v>430592.4</v>
      </c>
      <c r="S398" s="485">
        <f t="shared" si="82"/>
        <v>98849.111250000002</v>
      </c>
      <c r="T398" s="604"/>
      <c r="U398" s="642"/>
      <c r="V398" s="679"/>
      <c r="W398" s="679">
        <f t="shared" si="81"/>
        <v>98849.111250000002</v>
      </c>
      <c r="X398" s="702"/>
      <c r="Y398" s="679"/>
      <c r="Z398" s="679"/>
      <c r="AA398" s="642"/>
      <c r="AB398" s="679"/>
      <c r="AC398" s="644">
        <f>+S398</f>
        <v>98849.111250000002</v>
      </c>
      <c r="AD398" s="643"/>
      <c r="AE398" s="643"/>
      <c r="AF398" s="677">
        <f t="shared" si="73"/>
        <v>0</v>
      </c>
    </row>
    <row r="399" spans="1:32">
      <c r="A399" s="604">
        <v>387</v>
      </c>
      <c r="B399" s="604"/>
      <c r="C399" s="604"/>
      <c r="D399" s="604"/>
      <c r="E399" s="589" t="s">
        <v>558</v>
      </c>
      <c r="F399" s="295">
        <f t="shared" ref="F399:S399" si="83">SUM(F392:F398)</f>
        <v>-254809227.50999999</v>
      </c>
      <c r="G399" s="295">
        <f t="shared" si="83"/>
        <v>-258851760.34999999</v>
      </c>
      <c r="H399" s="295">
        <f t="shared" si="83"/>
        <v>-258849616.34999999</v>
      </c>
      <c r="I399" s="295">
        <f t="shared" si="83"/>
        <v>-258847269.34999999</v>
      </c>
      <c r="J399" s="295">
        <f t="shared" si="83"/>
        <v>-258844922.34999999</v>
      </c>
      <c r="K399" s="295">
        <f t="shared" si="83"/>
        <v>-263842575.34999999</v>
      </c>
      <c r="L399" s="295">
        <f t="shared" si="83"/>
        <v>-268840228.35000002</v>
      </c>
      <c r="M399" s="295">
        <f t="shared" si="83"/>
        <v>-275837881.35000002</v>
      </c>
      <c r="N399" s="295">
        <f t="shared" si="83"/>
        <v>-275835534.35000002</v>
      </c>
      <c r="O399" s="295">
        <f t="shared" si="83"/>
        <v>-295833187.35000002</v>
      </c>
      <c r="P399" s="295">
        <f t="shared" si="83"/>
        <v>-302830840.35000002</v>
      </c>
      <c r="Q399" s="295">
        <f t="shared" si="83"/>
        <v>-302828493.35000002</v>
      </c>
      <c r="R399" s="295">
        <f t="shared" si="83"/>
        <v>-302597658.34000003</v>
      </c>
      <c r="S399" s="486">
        <f t="shared" si="83"/>
        <v>-274995479.31458336</v>
      </c>
      <c r="T399" s="604"/>
      <c r="U399" s="642"/>
      <c r="V399" s="679"/>
      <c r="W399" s="679"/>
      <c r="X399" s="702"/>
      <c r="Y399" s="679"/>
      <c r="Z399" s="679"/>
      <c r="AA399" s="642"/>
      <c r="AB399" s="679"/>
      <c r="AC399" s="643"/>
      <c r="AD399" s="643"/>
      <c r="AE399" s="643"/>
      <c r="AF399" s="677">
        <f t="shared" si="73"/>
        <v>0</v>
      </c>
    </row>
    <row r="400" spans="1:32">
      <c r="A400" s="604">
        <v>388</v>
      </c>
      <c r="B400" s="604"/>
      <c r="C400" s="604"/>
      <c r="D400" s="604"/>
      <c r="E400" s="589"/>
      <c r="F400" s="601"/>
      <c r="G400" s="323"/>
      <c r="H400" s="324"/>
      <c r="I400" s="324"/>
      <c r="J400" s="325"/>
      <c r="K400" s="326"/>
      <c r="L400" s="327"/>
      <c r="M400" s="328"/>
      <c r="N400" s="329"/>
      <c r="O400" s="313"/>
      <c r="P400" s="330"/>
      <c r="Q400" s="331"/>
      <c r="R400" s="601"/>
      <c r="S400" s="294"/>
      <c r="T400" s="604"/>
      <c r="U400" s="642"/>
      <c r="V400" s="679"/>
      <c r="W400" s="679"/>
      <c r="X400" s="702"/>
      <c r="Y400" s="679"/>
      <c r="Z400" s="679"/>
      <c r="AA400" s="642"/>
      <c r="AB400" s="679"/>
      <c r="AC400" s="643"/>
      <c r="AD400" s="643"/>
      <c r="AE400" s="643"/>
      <c r="AF400" s="677">
        <f t="shared" si="73"/>
        <v>0</v>
      </c>
    </row>
    <row r="401" spans="1:32">
      <c r="A401" s="604">
        <v>389</v>
      </c>
      <c r="B401" s="316" t="s">
        <v>956</v>
      </c>
      <c r="C401" s="316" t="s">
        <v>559</v>
      </c>
      <c r="D401" s="316" t="s">
        <v>460</v>
      </c>
      <c r="E401" s="593" t="s">
        <v>560</v>
      </c>
      <c r="F401" s="603">
        <v>-20000000</v>
      </c>
      <c r="G401" s="603">
        <v>-20000000</v>
      </c>
      <c r="H401" s="603">
        <v>-20000000</v>
      </c>
      <c r="I401" s="603">
        <v>-20000000</v>
      </c>
      <c r="J401" s="603">
        <v>-20000000</v>
      </c>
      <c r="K401" s="603">
        <v>-20000000</v>
      </c>
      <c r="L401" s="603">
        <v>-20000000</v>
      </c>
      <c r="M401" s="603">
        <v>-20000000</v>
      </c>
      <c r="N401" s="603">
        <v>-20000000</v>
      </c>
      <c r="O401" s="603">
        <v>-20000000</v>
      </c>
      <c r="P401" s="603">
        <v>-20000000</v>
      </c>
      <c r="Q401" s="603">
        <v>-20000000</v>
      </c>
      <c r="R401" s="603">
        <v>-20000000</v>
      </c>
      <c r="S401" s="484">
        <f t="shared" si="82"/>
        <v>-20000000</v>
      </c>
      <c r="T401" s="604"/>
      <c r="U401" s="642"/>
      <c r="V401" s="679"/>
      <c r="W401" s="679">
        <f t="shared" ref="W401:W418" si="84">+S401</f>
        <v>-20000000</v>
      </c>
      <c r="X401" s="702"/>
      <c r="Y401" s="679"/>
      <c r="Z401" s="679"/>
      <c r="AA401" s="642"/>
      <c r="AB401" s="679"/>
      <c r="AC401" s="644">
        <f t="shared" ref="AC401:AC418" si="85">+S401</f>
        <v>-20000000</v>
      </c>
      <c r="AD401" s="643"/>
      <c r="AE401" s="643"/>
      <c r="AF401" s="677">
        <f t="shared" si="73"/>
        <v>0</v>
      </c>
    </row>
    <row r="402" spans="1:32">
      <c r="A402" s="604">
        <v>390</v>
      </c>
      <c r="B402" s="316" t="s">
        <v>956</v>
      </c>
      <c r="C402" s="316" t="s">
        <v>559</v>
      </c>
      <c r="D402" s="316" t="s">
        <v>462</v>
      </c>
      <c r="E402" s="593" t="s">
        <v>561</v>
      </c>
      <c r="F402" s="603">
        <v>-15000000</v>
      </c>
      <c r="G402" s="603">
        <v>-15000000</v>
      </c>
      <c r="H402" s="603">
        <v>-15000000</v>
      </c>
      <c r="I402" s="603">
        <v>-15000000</v>
      </c>
      <c r="J402" s="603">
        <v>-15000000</v>
      </c>
      <c r="K402" s="603">
        <v>-15000000</v>
      </c>
      <c r="L402" s="603">
        <v>-15000000</v>
      </c>
      <c r="M402" s="603">
        <v>-15000000</v>
      </c>
      <c r="N402" s="603">
        <v>-15000000</v>
      </c>
      <c r="O402" s="603">
        <v>-15000000</v>
      </c>
      <c r="P402" s="603">
        <v>-15000000</v>
      </c>
      <c r="Q402" s="603">
        <v>-15000000</v>
      </c>
      <c r="R402" s="603">
        <v>-15000000</v>
      </c>
      <c r="S402" s="484">
        <f t="shared" si="82"/>
        <v>-15000000</v>
      </c>
      <c r="T402" s="604"/>
      <c r="U402" s="642"/>
      <c r="V402" s="679"/>
      <c r="W402" s="679">
        <f t="shared" si="84"/>
        <v>-15000000</v>
      </c>
      <c r="X402" s="702"/>
      <c r="Y402" s="679"/>
      <c r="Z402" s="679"/>
      <c r="AA402" s="642"/>
      <c r="AB402" s="679"/>
      <c r="AC402" s="644">
        <f t="shared" si="85"/>
        <v>-15000000</v>
      </c>
      <c r="AD402" s="643"/>
      <c r="AE402" s="643"/>
      <c r="AF402" s="677">
        <f t="shared" si="73"/>
        <v>0</v>
      </c>
    </row>
    <row r="403" spans="1:32">
      <c r="A403" s="604">
        <v>391</v>
      </c>
      <c r="B403" s="316" t="s">
        <v>956</v>
      </c>
      <c r="C403" s="316" t="s">
        <v>559</v>
      </c>
      <c r="D403" s="316" t="s">
        <v>464</v>
      </c>
      <c r="E403" s="593" t="s">
        <v>562</v>
      </c>
      <c r="F403" s="603">
        <v>-24361000</v>
      </c>
      <c r="G403" s="603">
        <v>-24361000</v>
      </c>
      <c r="H403" s="603">
        <v>-24341000</v>
      </c>
      <c r="I403" s="603">
        <v>-24341000</v>
      </c>
      <c r="J403" s="603">
        <v>-24341000</v>
      </c>
      <c r="K403" s="603">
        <v>-24249000</v>
      </c>
      <c r="L403" s="603">
        <v>-24249000</v>
      </c>
      <c r="M403" s="603">
        <v>-24249000</v>
      </c>
      <c r="N403" s="603">
        <v>-24239000</v>
      </c>
      <c r="O403" s="603">
        <v>-24239000</v>
      </c>
      <c r="P403" s="603">
        <v>-24239000</v>
      </c>
      <c r="Q403" s="603">
        <v>-24214000</v>
      </c>
      <c r="R403" s="603">
        <v>-24214000</v>
      </c>
      <c r="S403" s="484">
        <f t="shared" si="82"/>
        <v>-24279125</v>
      </c>
      <c r="T403" s="604"/>
      <c r="U403" s="642"/>
      <c r="V403" s="679"/>
      <c r="W403" s="679">
        <f t="shared" si="84"/>
        <v>-24279125</v>
      </c>
      <c r="X403" s="702"/>
      <c r="Y403" s="679"/>
      <c r="Z403" s="679"/>
      <c r="AA403" s="642"/>
      <c r="AB403" s="679"/>
      <c r="AC403" s="644">
        <f t="shared" si="85"/>
        <v>-24279125</v>
      </c>
      <c r="AD403" s="643"/>
      <c r="AE403" s="643"/>
      <c r="AF403" s="677">
        <f t="shared" si="73"/>
        <v>0</v>
      </c>
    </row>
    <row r="404" spans="1:32">
      <c r="A404" s="604">
        <v>392</v>
      </c>
      <c r="B404" s="316" t="s">
        <v>956</v>
      </c>
      <c r="C404" s="316" t="s">
        <v>559</v>
      </c>
      <c r="D404" s="316" t="s">
        <v>466</v>
      </c>
      <c r="E404" s="593" t="s">
        <v>563</v>
      </c>
      <c r="F404" s="603">
        <v>-15000000</v>
      </c>
      <c r="G404" s="603">
        <v>-15000000</v>
      </c>
      <c r="H404" s="603">
        <v>-15000000</v>
      </c>
      <c r="I404" s="603">
        <v>-15000000</v>
      </c>
      <c r="J404" s="603">
        <v>-15000000</v>
      </c>
      <c r="K404" s="603">
        <v>-15000000</v>
      </c>
      <c r="L404" s="603">
        <v>-15000000</v>
      </c>
      <c r="M404" s="603">
        <v>-15000000</v>
      </c>
      <c r="N404" s="603">
        <v>-15000000</v>
      </c>
      <c r="O404" s="603">
        <v>0</v>
      </c>
      <c r="P404" s="603">
        <v>0</v>
      </c>
      <c r="Q404" s="603">
        <v>0</v>
      </c>
      <c r="R404" s="603">
        <v>0</v>
      </c>
      <c r="S404" s="484">
        <f t="shared" si="82"/>
        <v>-10625000</v>
      </c>
      <c r="T404" s="604"/>
      <c r="U404" s="642"/>
      <c r="V404" s="679"/>
      <c r="W404" s="679">
        <f t="shared" si="84"/>
        <v>-10625000</v>
      </c>
      <c r="X404" s="702"/>
      <c r="Y404" s="679"/>
      <c r="Z404" s="679"/>
      <c r="AA404" s="642"/>
      <c r="AB404" s="679"/>
      <c r="AC404" s="644">
        <f t="shared" si="85"/>
        <v>-10625000</v>
      </c>
      <c r="AD404" s="643"/>
      <c r="AE404" s="643"/>
      <c r="AF404" s="677">
        <f t="shared" si="73"/>
        <v>0</v>
      </c>
    </row>
    <row r="405" spans="1:32">
      <c r="A405" s="604">
        <v>393</v>
      </c>
      <c r="B405" s="316" t="s">
        <v>956</v>
      </c>
      <c r="C405" s="316" t="s">
        <v>559</v>
      </c>
      <c r="D405" s="316" t="s">
        <v>468</v>
      </c>
      <c r="E405" s="593" t="s">
        <v>564</v>
      </c>
      <c r="F405" s="603">
        <v>-40000000</v>
      </c>
      <c r="G405" s="603">
        <v>-40000000</v>
      </c>
      <c r="H405" s="603">
        <v>-40000000</v>
      </c>
      <c r="I405" s="603">
        <v>-40000000</v>
      </c>
      <c r="J405" s="603">
        <v>-40000000</v>
      </c>
      <c r="K405" s="603">
        <v>-40000000</v>
      </c>
      <c r="L405" s="603">
        <v>-40000000</v>
      </c>
      <c r="M405" s="603">
        <v>-40000000</v>
      </c>
      <c r="N405" s="603">
        <v>-40000000</v>
      </c>
      <c r="O405" s="603">
        <v>-40000000</v>
      </c>
      <c r="P405" s="603">
        <v>-40000000</v>
      </c>
      <c r="Q405" s="603">
        <v>-40000000</v>
      </c>
      <c r="R405" s="603">
        <v>-40000000</v>
      </c>
      <c r="S405" s="484">
        <f t="shared" si="82"/>
        <v>-40000000</v>
      </c>
      <c r="T405" s="604"/>
      <c r="U405" s="642"/>
      <c r="V405" s="679"/>
      <c r="W405" s="679">
        <f t="shared" si="84"/>
        <v>-40000000</v>
      </c>
      <c r="X405" s="702"/>
      <c r="Y405" s="679"/>
      <c r="Z405" s="679"/>
      <c r="AA405" s="642"/>
      <c r="AB405" s="679"/>
      <c r="AC405" s="644">
        <f t="shared" si="85"/>
        <v>-40000000</v>
      </c>
      <c r="AD405" s="643"/>
      <c r="AE405" s="643"/>
      <c r="AF405" s="677">
        <f t="shared" si="73"/>
        <v>0</v>
      </c>
    </row>
    <row r="406" spans="1:32">
      <c r="A406" s="604">
        <v>394</v>
      </c>
      <c r="B406" s="316" t="s">
        <v>956</v>
      </c>
      <c r="C406" s="316" t="s">
        <v>559</v>
      </c>
      <c r="D406" s="316" t="s">
        <v>470</v>
      </c>
      <c r="E406" s="528" t="s">
        <v>565</v>
      </c>
      <c r="F406" s="603">
        <v>-25000000</v>
      </c>
      <c r="G406" s="603">
        <v>-25000000</v>
      </c>
      <c r="H406" s="603">
        <v>-25000000</v>
      </c>
      <c r="I406" s="603">
        <v>-25000000</v>
      </c>
      <c r="J406" s="603">
        <v>-25000000</v>
      </c>
      <c r="K406" s="603">
        <v>-25000000</v>
      </c>
      <c r="L406" s="603">
        <v>-25000000</v>
      </c>
      <c r="M406" s="603">
        <v>-25000000</v>
      </c>
      <c r="N406" s="603">
        <v>-25000000</v>
      </c>
      <c r="O406" s="603">
        <v>-25000000</v>
      </c>
      <c r="P406" s="603">
        <v>-25000000</v>
      </c>
      <c r="Q406" s="603">
        <v>-25000000</v>
      </c>
      <c r="R406" s="603">
        <v>-25000000</v>
      </c>
      <c r="S406" s="484">
        <f t="shared" si="82"/>
        <v>-25000000</v>
      </c>
      <c r="T406" s="604"/>
      <c r="U406" s="642"/>
      <c r="V406" s="679"/>
      <c r="W406" s="679">
        <f t="shared" si="84"/>
        <v>-25000000</v>
      </c>
      <c r="X406" s="702"/>
      <c r="Y406" s="679"/>
      <c r="Z406" s="679"/>
      <c r="AA406" s="642"/>
      <c r="AB406" s="679"/>
      <c r="AC406" s="644">
        <f t="shared" si="85"/>
        <v>-25000000</v>
      </c>
      <c r="AD406" s="643"/>
      <c r="AE406" s="643"/>
      <c r="AF406" s="677">
        <f t="shared" si="73"/>
        <v>0</v>
      </c>
    </row>
    <row r="407" spans="1:32">
      <c r="A407" s="604">
        <v>395</v>
      </c>
      <c r="B407" s="316" t="s">
        <v>956</v>
      </c>
      <c r="C407" s="316" t="s">
        <v>559</v>
      </c>
      <c r="D407" s="316" t="s">
        <v>472</v>
      </c>
      <c r="E407" s="528" t="s">
        <v>566</v>
      </c>
      <c r="F407" s="603">
        <v>-25000000</v>
      </c>
      <c r="G407" s="603">
        <v>-25000000</v>
      </c>
      <c r="H407" s="603">
        <v>-25000000</v>
      </c>
      <c r="I407" s="603">
        <v>-25000000</v>
      </c>
      <c r="J407" s="603">
        <v>-25000000</v>
      </c>
      <c r="K407" s="603">
        <v>-25000000</v>
      </c>
      <c r="L407" s="603">
        <v>-25000000</v>
      </c>
      <c r="M407" s="603">
        <v>-25000000</v>
      </c>
      <c r="N407" s="603">
        <v>-25000000</v>
      </c>
      <c r="O407" s="603">
        <v>-25000000</v>
      </c>
      <c r="P407" s="603">
        <v>-25000000</v>
      </c>
      <c r="Q407" s="603">
        <v>-25000000</v>
      </c>
      <c r="R407" s="603">
        <v>-25000000</v>
      </c>
      <c r="S407" s="484">
        <f t="shared" si="82"/>
        <v>-25000000</v>
      </c>
      <c r="T407" s="604"/>
      <c r="U407" s="642"/>
      <c r="V407" s="679"/>
      <c r="W407" s="679">
        <f t="shared" si="84"/>
        <v>-25000000</v>
      </c>
      <c r="X407" s="702"/>
      <c r="Y407" s="679"/>
      <c r="Z407" s="679"/>
      <c r="AA407" s="642"/>
      <c r="AB407" s="679"/>
      <c r="AC407" s="644">
        <f t="shared" si="85"/>
        <v>-25000000</v>
      </c>
      <c r="AD407" s="643"/>
      <c r="AE407" s="643"/>
      <c r="AF407" s="677">
        <f t="shared" si="73"/>
        <v>0</v>
      </c>
    </row>
    <row r="408" spans="1:32">
      <c r="A408" s="604">
        <v>396</v>
      </c>
      <c r="B408" s="316" t="s">
        <v>956</v>
      </c>
      <c r="C408" s="316" t="s">
        <v>559</v>
      </c>
      <c r="D408" s="316" t="s">
        <v>475</v>
      </c>
      <c r="E408" s="528" t="s">
        <v>1638</v>
      </c>
      <c r="F408" s="603">
        <v>-12500000</v>
      </c>
      <c r="G408" s="603">
        <v>-12500000</v>
      </c>
      <c r="H408" s="603">
        <v>-12500000</v>
      </c>
      <c r="I408" s="603">
        <v>-12500000</v>
      </c>
      <c r="J408" s="603">
        <v>-12500000</v>
      </c>
      <c r="K408" s="603">
        <v>-12500000</v>
      </c>
      <c r="L408" s="603">
        <v>-12500000</v>
      </c>
      <c r="M408" s="603">
        <v>-12500000</v>
      </c>
      <c r="N408" s="603">
        <v>-12500000</v>
      </c>
      <c r="O408" s="603">
        <v>-12500000</v>
      </c>
      <c r="P408" s="603">
        <v>-12500000</v>
      </c>
      <c r="Q408" s="603">
        <v>-12500000</v>
      </c>
      <c r="R408" s="603">
        <v>-12500000</v>
      </c>
      <c r="S408" s="484">
        <f t="shared" si="82"/>
        <v>-12500000</v>
      </c>
      <c r="T408" s="604"/>
      <c r="U408" s="642"/>
      <c r="V408" s="679"/>
      <c r="W408" s="679">
        <f t="shared" si="84"/>
        <v>-12500000</v>
      </c>
      <c r="X408" s="702"/>
      <c r="Y408" s="679"/>
      <c r="Z408" s="679"/>
      <c r="AA408" s="642"/>
      <c r="AB408" s="679"/>
      <c r="AC408" s="644">
        <f t="shared" si="85"/>
        <v>-12500000</v>
      </c>
      <c r="AD408" s="643"/>
      <c r="AE408" s="643"/>
      <c r="AF408" s="677">
        <f t="shared" si="73"/>
        <v>0</v>
      </c>
    </row>
    <row r="409" spans="1:32">
      <c r="A409" s="604">
        <v>397</v>
      </c>
      <c r="B409" s="316" t="s">
        <v>956</v>
      </c>
      <c r="C409" s="316" t="s">
        <v>559</v>
      </c>
      <c r="D409" s="316" t="s">
        <v>476</v>
      </c>
      <c r="E409" s="528" t="s">
        <v>1639</v>
      </c>
      <c r="F409" s="603">
        <v>-12500000</v>
      </c>
      <c r="G409" s="603">
        <v>-12500000</v>
      </c>
      <c r="H409" s="603">
        <v>-12500000</v>
      </c>
      <c r="I409" s="603">
        <v>-12500000</v>
      </c>
      <c r="J409" s="603">
        <v>-12500000</v>
      </c>
      <c r="K409" s="603">
        <v>-12500000</v>
      </c>
      <c r="L409" s="603">
        <v>-12500000</v>
      </c>
      <c r="M409" s="603">
        <v>-12500000</v>
      </c>
      <c r="N409" s="603">
        <v>-12500000</v>
      </c>
      <c r="O409" s="603">
        <v>-12500000</v>
      </c>
      <c r="P409" s="603">
        <v>-12500000</v>
      </c>
      <c r="Q409" s="603">
        <v>-12500000</v>
      </c>
      <c r="R409" s="603">
        <v>-12500000</v>
      </c>
      <c r="S409" s="484">
        <f t="shared" si="82"/>
        <v>-12500000</v>
      </c>
      <c r="T409" s="604"/>
      <c r="U409" s="642"/>
      <c r="V409" s="679"/>
      <c r="W409" s="679">
        <f t="shared" si="84"/>
        <v>-12500000</v>
      </c>
      <c r="X409" s="702"/>
      <c r="Y409" s="679"/>
      <c r="Z409" s="679"/>
      <c r="AA409" s="642"/>
      <c r="AB409" s="679"/>
      <c r="AC409" s="644">
        <f t="shared" si="85"/>
        <v>-12500000</v>
      </c>
      <c r="AD409" s="643"/>
      <c r="AE409" s="643"/>
      <c r="AF409" s="677">
        <f t="shared" si="73"/>
        <v>0</v>
      </c>
    </row>
    <row r="410" spans="1:32">
      <c r="A410" s="604">
        <v>398</v>
      </c>
      <c r="B410" s="316" t="s">
        <v>956</v>
      </c>
      <c r="C410" s="316" t="s">
        <v>559</v>
      </c>
      <c r="D410" s="316" t="s">
        <v>477</v>
      </c>
      <c r="E410" s="528" t="s">
        <v>1640</v>
      </c>
      <c r="F410" s="603">
        <v>-12500000</v>
      </c>
      <c r="G410" s="603">
        <v>-12500000</v>
      </c>
      <c r="H410" s="603">
        <v>-12500000</v>
      </c>
      <c r="I410" s="603">
        <v>-12500000</v>
      </c>
      <c r="J410" s="603">
        <v>-12500000</v>
      </c>
      <c r="K410" s="603">
        <v>-12500000</v>
      </c>
      <c r="L410" s="603">
        <v>-12500000</v>
      </c>
      <c r="M410" s="603">
        <v>-12500000</v>
      </c>
      <c r="N410" s="603">
        <v>-12500000</v>
      </c>
      <c r="O410" s="603">
        <v>-12500000</v>
      </c>
      <c r="P410" s="603">
        <v>-12500000</v>
      </c>
      <c r="Q410" s="603">
        <v>-12500000</v>
      </c>
      <c r="R410" s="603">
        <v>-12500000</v>
      </c>
      <c r="S410" s="484">
        <f t="shared" si="82"/>
        <v>-12500000</v>
      </c>
      <c r="T410" s="604"/>
      <c r="U410" s="642"/>
      <c r="V410" s="679"/>
      <c r="W410" s="679">
        <f t="shared" si="84"/>
        <v>-12500000</v>
      </c>
      <c r="X410" s="702"/>
      <c r="Y410" s="679"/>
      <c r="Z410" s="679"/>
      <c r="AA410" s="642"/>
      <c r="AB410" s="679"/>
      <c r="AC410" s="644">
        <f t="shared" si="85"/>
        <v>-12500000</v>
      </c>
      <c r="AD410" s="643"/>
      <c r="AE410" s="643"/>
      <c r="AF410" s="677">
        <f t="shared" si="73"/>
        <v>0</v>
      </c>
    </row>
    <row r="411" spans="1:32">
      <c r="A411" s="604">
        <v>399</v>
      </c>
      <c r="B411" s="316" t="s">
        <v>956</v>
      </c>
      <c r="C411" s="316" t="s">
        <v>559</v>
      </c>
      <c r="D411" s="316" t="s">
        <v>478</v>
      </c>
      <c r="E411" s="528" t="s">
        <v>1641</v>
      </c>
      <c r="F411" s="603">
        <v>-12500000</v>
      </c>
      <c r="G411" s="603">
        <v>-12500000</v>
      </c>
      <c r="H411" s="603">
        <v>-12500000</v>
      </c>
      <c r="I411" s="603">
        <v>-12500000</v>
      </c>
      <c r="J411" s="603">
        <v>-12500000</v>
      </c>
      <c r="K411" s="603">
        <v>-12500000</v>
      </c>
      <c r="L411" s="603">
        <v>-12500000</v>
      </c>
      <c r="M411" s="603">
        <v>-12500000</v>
      </c>
      <c r="N411" s="603">
        <v>-12500000</v>
      </c>
      <c r="O411" s="603">
        <v>-12500000</v>
      </c>
      <c r="P411" s="603">
        <v>-12500000</v>
      </c>
      <c r="Q411" s="603">
        <v>-12500000</v>
      </c>
      <c r="R411" s="603">
        <v>-12500000</v>
      </c>
      <c r="S411" s="484">
        <f t="shared" si="82"/>
        <v>-12500000</v>
      </c>
      <c r="T411" s="604"/>
      <c r="U411" s="642"/>
      <c r="V411" s="679"/>
      <c r="W411" s="679">
        <f t="shared" si="84"/>
        <v>-12500000</v>
      </c>
      <c r="X411" s="702"/>
      <c r="Y411" s="679"/>
      <c r="Z411" s="679"/>
      <c r="AA411" s="642"/>
      <c r="AB411" s="679"/>
      <c r="AC411" s="644">
        <f t="shared" si="85"/>
        <v>-12500000</v>
      </c>
      <c r="AD411" s="643"/>
      <c r="AE411" s="643"/>
      <c r="AF411" s="677">
        <f t="shared" si="73"/>
        <v>0</v>
      </c>
    </row>
    <row r="412" spans="1:32">
      <c r="A412" s="604">
        <v>400</v>
      </c>
      <c r="B412" s="316" t="s">
        <v>956</v>
      </c>
      <c r="C412" s="316" t="s">
        <v>559</v>
      </c>
      <c r="D412" s="316" t="s">
        <v>1859</v>
      </c>
      <c r="E412" s="528" t="s">
        <v>1885</v>
      </c>
      <c r="F412" s="603">
        <v>0</v>
      </c>
      <c r="G412" s="603">
        <v>0</v>
      </c>
      <c r="H412" s="603">
        <v>0</v>
      </c>
      <c r="I412" s="603">
        <v>0</v>
      </c>
      <c r="J412" s="603">
        <v>0</v>
      </c>
      <c r="K412" s="603">
        <v>0</v>
      </c>
      <c r="L412" s="603">
        <v>-25000000</v>
      </c>
      <c r="M412" s="603">
        <v>-25000000</v>
      </c>
      <c r="N412" s="603">
        <v>-25000000</v>
      </c>
      <c r="O412" s="603">
        <v>-25000000</v>
      </c>
      <c r="P412" s="603">
        <v>-25000000</v>
      </c>
      <c r="Q412" s="603">
        <v>-25000000</v>
      </c>
      <c r="R412" s="603">
        <v>-25000000</v>
      </c>
      <c r="S412" s="484">
        <f t="shared" si="82"/>
        <v>-13541666.666666666</v>
      </c>
      <c r="T412" s="604"/>
      <c r="U412" s="642"/>
      <c r="V412" s="679"/>
      <c r="W412" s="679">
        <f t="shared" si="84"/>
        <v>-13541666.666666666</v>
      </c>
      <c r="X412" s="702"/>
      <c r="Y412" s="679"/>
      <c r="Z412" s="679"/>
      <c r="AA412" s="642"/>
      <c r="AB412" s="679"/>
      <c r="AC412" s="644">
        <f t="shared" si="85"/>
        <v>-13541666.666666666</v>
      </c>
      <c r="AD412" s="643"/>
      <c r="AE412" s="643"/>
      <c r="AF412" s="677"/>
    </row>
    <row r="413" spans="1:32">
      <c r="A413" s="604">
        <v>401</v>
      </c>
      <c r="B413" s="316" t="s">
        <v>956</v>
      </c>
      <c r="C413" s="316" t="s">
        <v>559</v>
      </c>
      <c r="D413" s="316" t="s">
        <v>1861</v>
      </c>
      <c r="E413" s="528" t="s">
        <v>1886</v>
      </c>
      <c r="F413" s="603">
        <v>0</v>
      </c>
      <c r="G413" s="603">
        <v>0</v>
      </c>
      <c r="H413" s="603">
        <v>0</v>
      </c>
      <c r="I413" s="603">
        <v>0</v>
      </c>
      <c r="J413" s="603">
        <v>0</v>
      </c>
      <c r="K413" s="603">
        <v>0</v>
      </c>
      <c r="L413" s="603">
        <v>-20000000</v>
      </c>
      <c r="M413" s="603">
        <v>-20000000</v>
      </c>
      <c r="N413" s="603">
        <v>-20000000</v>
      </c>
      <c r="O413" s="603">
        <v>-20000000</v>
      </c>
      <c r="P413" s="603">
        <v>-20000000</v>
      </c>
      <c r="Q413" s="603">
        <v>-20000000</v>
      </c>
      <c r="R413" s="603">
        <v>-20000000</v>
      </c>
      <c r="S413" s="484">
        <f t="shared" si="82"/>
        <v>-10833333.333333334</v>
      </c>
      <c r="T413" s="604"/>
      <c r="U413" s="642"/>
      <c r="V413" s="679"/>
      <c r="W413" s="679">
        <f t="shared" si="84"/>
        <v>-10833333.333333334</v>
      </c>
      <c r="X413" s="702"/>
      <c r="Y413" s="679"/>
      <c r="Z413" s="679"/>
      <c r="AA413" s="642"/>
      <c r="AB413" s="679"/>
      <c r="AC413" s="644">
        <f t="shared" si="85"/>
        <v>-10833333.333333334</v>
      </c>
      <c r="AD413" s="643"/>
      <c r="AE413" s="643"/>
      <c r="AF413" s="677"/>
    </row>
    <row r="414" spans="1:32">
      <c r="A414" s="604">
        <v>402</v>
      </c>
      <c r="B414" s="316" t="s">
        <v>956</v>
      </c>
      <c r="C414" s="316" t="s">
        <v>559</v>
      </c>
      <c r="D414" s="316" t="s">
        <v>1863</v>
      </c>
      <c r="E414" s="528" t="s">
        <v>1887</v>
      </c>
      <c r="F414" s="603">
        <v>0</v>
      </c>
      <c r="G414" s="603">
        <v>0</v>
      </c>
      <c r="H414" s="603">
        <v>0</v>
      </c>
      <c r="I414" s="603">
        <v>0</v>
      </c>
      <c r="J414" s="603">
        <v>0</v>
      </c>
      <c r="K414" s="603">
        <v>0</v>
      </c>
      <c r="L414" s="603">
        <v>-30000000</v>
      </c>
      <c r="M414" s="603">
        <v>-30000000</v>
      </c>
      <c r="N414" s="603">
        <v>-30000000</v>
      </c>
      <c r="O414" s="603">
        <v>-30000000</v>
      </c>
      <c r="P414" s="603">
        <v>-30000000</v>
      </c>
      <c r="Q414" s="603">
        <v>-30000000</v>
      </c>
      <c r="R414" s="603">
        <v>-30000000</v>
      </c>
      <c r="S414" s="484">
        <f t="shared" si="82"/>
        <v>-16250000</v>
      </c>
      <c r="T414" s="604"/>
      <c r="U414" s="642"/>
      <c r="V414" s="679"/>
      <c r="W414" s="679">
        <f t="shared" si="84"/>
        <v>-16250000</v>
      </c>
      <c r="X414" s="702"/>
      <c r="Y414" s="679"/>
      <c r="Z414" s="679"/>
      <c r="AA414" s="642"/>
      <c r="AB414" s="679"/>
      <c r="AC414" s="644">
        <f t="shared" si="85"/>
        <v>-16250000</v>
      </c>
      <c r="AD414" s="643"/>
      <c r="AE414" s="643"/>
      <c r="AF414" s="677"/>
    </row>
    <row r="415" spans="1:32">
      <c r="A415" s="604">
        <v>403</v>
      </c>
      <c r="B415" s="316" t="s">
        <v>1844</v>
      </c>
      <c r="C415" s="316" t="s">
        <v>559</v>
      </c>
      <c r="D415" s="316" t="s">
        <v>369</v>
      </c>
      <c r="E415" s="528" t="s">
        <v>717</v>
      </c>
      <c r="F415" s="603">
        <v>0</v>
      </c>
      <c r="G415" s="603">
        <v>1515906.26</v>
      </c>
      <c r="H415" s="603">
        <v>1505331.72</v>
      </c>
      <c r="I415" s="603">
        <v>1495453.58</v>
      </c>
      <c r="J415" s="603">
        <v>1485575.44</v>
      </c>
      <c r="K415" s="603">
        <v>1485511.11</v>
      </c>
      <c r="L415" s="603">
        <v>1816372.27</v>
      </c>
      <c r="M415" s="603">
        <v>1829467.33</v>
      </c>
      <c r="N415" s="603">
        <v>1821810</v>
      </c>
      <c r="O415" s="603">
        <v>1809880.74</v>
      </c>
      <c r="P415" s="603">
        <v>1797951.48</v>
      </c>
      <c r="Q415" s="603">
        <v>1785197.07</v>
      </c>
      <c r="R415" s="603">
        <v>1773272.34</v>
      </c>
      <c r="S415" s="484">
        <f t="shared" si="82"/>
        <v>1602924.4308333334</v>
      </c>
      <c r="T415" s="604"/>
      <c r="U415" s="642">
        <f>+S415</f>
        <v>1602924.4308333334</v>
      </c>
      <c r="V415" s="679"/>
      <c r="W415" s="679"/>
      <c r="X415" s="702"/>
      <c r="Y415" s="679"/>
      <c r="Z415" s="679"/>
      <c r="AA415" s="642"/>
      <c r="AB415" s="679"/>
      <c r="AC415" s="644"/>
      <c r="AD415" s="644">
        <f>+S415</f>
        <v>1602924.4308333334</v>
      </c>
      <c r="AE415" s="643"/>
      <c r="AF415" s="677"/>
    </row>
    <row r="416" spans="1:32">
      <c r="A416" s="604">
        <v>404</v>
      </c>
      <c r="B416" s="316" t="s">
        <v>956</v>
      </c>
      <c r="C416" s="316" t="s">
        <v>559</v>
      </c>
      <c r="D416" s="316" t="s">
        <v>716</v>
      </c>
      <c r="E416" s="528" t="s">
        <v>717</v>
      </c>
      <c r="F416" s="603">
        <v>1525788.02</v>
      </c>
      <c r="G416" s="603">
        <v>0</v>
      </c>
      <c r="H416" s="603">
        <v>0</v>
      </c>
      <c r="I416" s="603">
        <v>0</v>
      </c>
      <c r="J416" s="603">
        <v>0</v>
      </c>
      <c r="K416" s="603">
        <v>0</v>
      </c>
      <c r="L416" s="603">
        <v>0</v>
      </c>
      <c r="M416" s="603">
        <v>0</v>
      </c>
      <c r="N416" s="603">
        <v>0</v>
      </c>
      <c r="O416" s="603">
        <v>0</v>
      </c>
      <c r="P416" s="603">
        <v>0</v>
      </c>
      <c r="Q416" s="603">
        <v>0</v>
      </c>
      <c r="R416" s="603">
        <v>0</v>
      </c>
      <c r="S416" s="484">
        <f t="shared" si="82"/>
        <v>63574.500833333332</v>
      </c>
      <c r="T416" s="604"/>
      <c r="U416" s="642">
        <f>+S416</f>
        <v>63574.500833333332</v>
      </c>
      <c r="V416" s="679"/>
      <c r="W416" s="679"/>
      <c r="X416" s="702"/>
      <c r="Y416" s="679"/>
      <c r="Z416" s="679"/>
      <c r="AA416" s="642"/>
      <c r="AB416" s="679"/>
      <c r="AD416" s="644">
        <f>+S416</f>
        <v>63574.500833333332</v>
      </c>
      <c r="AE416" s="643"/>
      <c r="AF416" s="677" t="e">
        <f>+U416+V416-#REF!</f>
        <v>#REF!</v>
      </c>
    </row>
    <row r="417" spans="1:32">
      <c r="A417" s="604">
        <v>405</v>
      </c>
      <c r="B417" s="316" t="s">
        <v>956</v>
      </c>
      <c r="C417" s="316" t="s">
        <v>1888</v>
      </c>
      <c r="D417" s="316" t="s">
        <v>466</v>
      </c>
      <c r="E417" s="528" t="s">
        <v>1889</v>
      </c>
      <c r="F417" s="603">
        <v>0</v>
      </c>
      <c r="G417" s="603">
        <v>0</v>
      </c>
      <c r="H417" s="603">
        <v>0</v>
      </c>
      <c r="I417" s="603">
        <v>0</v>
      </c>
      <c r="J417" s="603">
        <v>0</v>
      </c>
      <c r="K417" s="603">
        <v>0</v>
      </c>
      <c r="L417" s="603">
        <v>0</v>
      </c>
      <c r="M417" s="603">
        <v>0</v>
      </c>
      <c r="N417" s="603">
        <v>0</v>
      </c>
      <c r="O417" s="603">
        <v>-15000000</v>
      </c>
      <c r="P417" s="603">
        <v>-15000000</v>
      </c>
      <c r="Q417" s="603">
        <v>-15000000</v>
      </c>
      <c r="R417" s="603">
        <v>-15000000</v>
      </c>
      <c r="S417" s="484">
        <f t="shared" si="82"/>
        <v>-4375000</v>
      </c>
      <c r="T417" s="604"/>
      <c r="U417" s="642"/>
      <c r="V417" s="679"/>
      <c r="W417" s="679">
        <f t="shared" si="84"/>
        <v>-4375000</v>
      </c>
      <c r="X417" s="702"/>
      <c r="Y417" s="679"/>
      <c r="Z417" s="679"/>
      <c r="AA417" s="642"/>
      <c r="AB417" s="679"/>
      <c r="AC417" s="644">
        <f>+W417</f>
        <v>-4375000</v>
      </c>
      <c r="AD417" s="643"/>
      <c r="AE417" s="643"/>
      <c r="AF417" s="677"/>
    </row>
    <row r="418" spans="1:32">
      <c r="A418" s="604">
        <v>406</v>
      </c>
      <c r="B418" s="316" t="s">
        <v>956</v>
      </c>
      <c r="C418" s="316" t="s">
        <v>569</v>
      </c>
      <c r="D418" s="316" t="s">
        <v>450</v>
      </c>
      <c r="E418" s="595" t="s">
        <v>570</v>
      </c>
      <c r="F418" s="303">
        <v>-53850000</v>
      </c>
      <c r="G418" s="303">
        <v>-52050000</v>
      </c>
      <c r="H418" s="303">
        <v>-54600000</v>
      </c>
      <c r="I418" s="303">
        <v>-31700000</v>
      </c>
      <c r="J418" s="303">
        <v>-57700000</v>
      </c>
      <c r="K418" s="303">
        <v>-54000000</v>
      </c>
      <c r="L418" s="303">
        <v>-11075000</v>
      </c>
      <c r="M418" s="303">
        <v>-12000000</v>
      </c>
      <c r="N418" s="303">
        <v>-24300000</v>
      </c>
      <c r="O418" s="303">
        <v>-8900000</v>
      </c>
      <c r="P418" s="303">
        <v>-12650000</v>
      </c>
      <c r="Q418" s="303">
        <v>-15100000</v>
      </c>
      <c r="R418" s="303">
        <v>-64600000</v>
      </c>
      <c r="S418" s="706">
        <f>((F418+R418)+((G418+H418+I418+J418+K418+L418+M418+N418+O418+P418+Q418)*2))/24</f>
        <v>-32775000</v>
      </c>
      <c r="T418" s="604"/>
      <c r="U418" s="642"/>
      <c r="V418" s="679"/>
      <c r="W418" s="679">
        <f t="shared" si="84"/>
        <v>-32775000</v>
      </c>
      <c r="X418" s="702"/>
      <c r="Y418" s="679"/>
      <c r="Z418" s="679"/>
      <c r="AA418" s="642"/>
      <c r="AB418" s="679"/>
      <c r="AC418" s="644">
        <f t="shared" si="85"/>
        <v>-32775000</v>
      </c>
      <c r="AD418" s="643"/>
      <c r="AE418" s="643"/>
      <c r="AF418" s="677">
        <f t="shared" si="73"/>
        <v>0</v>
      </c>
    </row>
    <row r="419" spans="1:32">
      <c r="A419" s="604">
        <v>407</v>
      </c>
      <c r="B419" s="604"/>
      <c r="C419" s="604"/>
      <c r="D419" s="604"/>
      <c r="E419" s="589" t="s">
        <v>571</v>
      </c>
      <c r="F419" s="295">
        <f t="shared" ref="F419:S419" si="86">SUM(F401:F418)</f>
        <v>-266685211.97999999</v>
      </c>
      <c r="G419" s="295">
        <f t="shared" si="86"/>
        <v>-264895093.74000001</v>
      </c>
      <c r="H419" s="295">
        <f t="shared" si="86"/>
        <v>-267435668.28</v>
      </c>
      <c r="I419" s="295">
        <f t="shared" si="86"/>
        <v>-244545546.41999999</v>
      </c>
      <c r="J419" s="295">
        <f t="shared" si="86"/>
        <v>-270555424.56</v>
      </c>
      <c r="K419" s="295">
        <f t="shared" si="86"/>
        <v>-266763488.88999999</v>
      </c>
      <c r="L419" s="295">
        <f t="shared" si="86"/>
        <v>-298507627.73000002</v>
      </c>
      <c r="M419" s="295">
        <f t="shared" si="86"/>
        <v>-299419532.67000002</v>
      </c>
      <c r="N419" s="295">
        <f t="shared" si="86"/>
        <v>-311717190</v>
      </c>
      <c r="O419" s="295">
        <f t="shared" si="86"/>
        <v>-296329119.25999999</v>
      </c>
      <c r="P419" s="295">
        <f t="shared" si="86"/>
        <v>-300091048.51999998</v>
      </c>
      <c r="Q419" s="295">
        <f t="shared" si="86"/>
        <v>-302528802.93000001</v>
      </c>
      <c r="R419" s="295">
        <f t="shared" si="86"/>
        <v>-352040727.66000003</v>
      </c>
      <c r="S419" s="295">
        <f t="shared" si="86"/>
        <v>-286012626.06833333</v>
      </c>
      <c r="T419" s="604"/>
      <c r="U419" s="642"/>
      <c r="V419" s="679"/>
      <c r="W419" s="679"/>
      <c r="X419" s="702"/>
      <c r="Y419" s="679"/>
      <c r="Z419" s="679"/>
      <c r="AA419" s="642"/>
      <c r="AB419" s="679"/>
      <c r="AC419" s="643"/>
      <c r="AD419" s="643"/>
      <c r="AE419" s="643"/>
      <c r="AF419" s="677">
        <f t="shared" si="73"/>
        <v>0</v>
      </c>
    </row>
    <row r="420" spans="1:32">
      <c r="A420" s="604">
        <v>408</v>
      </c>
      <c r="B420" s="604"/>
      <c r="C420" s="604"/>
      <c r="D420" s="604"/>
      <c r="E420" s="589"/>
      <c r="F420" s="603"/>
      <c r="G420" s="314"/>
      <c r="H420" s="305"/>
      <c r="I420" s="305"/>
      <c r="J420" s="306"/>
      <c r="K420" s="307"/>
      <c r="L420" s="308"/>
      <c r="M420" s="309"/>
      <c r="N420" s="310"/>
      <c r="O420" s="590"/>
      <c r="P420" s="311"/>
      <c r="Q420" s="315"/>
      <c r="R420" s="603"/>
      <c r="S420" s="487">
        <f>((F420+R420)+((G420+H420+I420+J420+K420+L420+M420+N420+O420+P420+Q420)*2))/24</f>
        <v>0</v>
      </c>
      <c r="T420" s="604"/>
      <c r="U420" s="642"/>
      <c r="V420" s="679"/>
      <c r="W420" s="679"/>
      <c r="X420" s="702"/>
      <c r="Y420" s="679"/>
      <c r="Z420" s="679"/>
      <c r="AA420" s="642"/>
      <c r="AB420" s="679"/>
      <c r="AC420" s="643"/>
      <c r="AD420" s="643"/>
      <c r="AE420" s="643"/>
      <c r="AF420" s="677">
        <f t="shared" si="73"/>
        <v>0</v>
      </c>
    </row>
    <row r="421" spans="1:32">
      <c r="A421" s="604">
        <v>409</v>
      </c>
      <c r="B421" s="604" t="s">
        <v>1844</v>
      </c>
      <c r="C421" s="604" t="s">
        <v>1890</v>
      </c>
      <c r="D421" s="604" t="s">
        <v>1891</v>
      </c>
      <c r="E421" s="589" t="s">
        <v>1892</v>
      </c>
      <c r="F421" s="603">
        <v>0</v>
      </c>
      <c r="G421" s="314">
        <v>0</v>
      </c>
      <c r="H421" s="305">
        <v>-206053.78</v>
      </c>
      <c r="I421" s="305">
        <v>-199317.51</v>
      </c>
      <c r="J421" s="306">
        <v>-193785.08</v>
      </c>
      <c r="K421" s="307">
        <v>-188235.46</v>
      </c>
      <c r="L421" s="308">
        <v>-183548.05</v>
      </c>
      <c r="M421" s="309">
        <v>-170533.22</v>
      </c>
      <c r="N421" s="310">
        <v>-167018.01</v>
      </c>
      <c r="O421" s="590">
        <v>-162266.29999999999</v>
      </c>
      <c r="P421" s="311">
        <v>-159196.99</v>
      </c>
      <c r="Q421" s="315">
        <v>-156117.07</v>
      </c>
      <c r="R421" s="603">
        <v>-150363.85</v>
      </c>
      <c r="S421" s="487">
        <f>((F421+R421)+((G421+H421+I421+J421+K421+L421+M421+N421+O421+P421+Q421)*2))/24</f>
        <v>-155104.44958333333</v>
      </c>
      <c r="T421" s="604"/>
      <c r="U421" s="642"/>
      <c r="V421" s="679">
        <f>+S421</f>
        <v>-155104.44958333333</v>
      </c>
      <c r="W421" s="679"/>
      <c r="X421" s="702"/>
      <c r="Y421" s="679"/>
      <c r="Z421" s="679"/>
      <c r="AA421" s="642"/>
      <c r="AB421" s="679"/>
      <c r="AC421" s="643"/>
      <c r="AD421" s="644">
        <f>+V421</f>
        <v>-155104.44958333333</v>
      </c>
      <c r="AE421" s="643"/>
      <c r="AF421" s="677"/>
    </row>
    <row r="422" spans="1:32">
      <c r="A422" s="604">
        <v>410</v>
      </c>
      <c r="B422" s="604" t="s">
        <v>1844</v>
      </c>
      <c r="C422" s="604" t="s">
        <v>1890</v>
      </c>
      <c r="D422" s="604" t="s">
        <v>1893</v>
      </c>
      <c r="E422" s="589" t="s">
        <v>1894</v>
      </c>
      <c r="F422" s="603">
        <v>0</v>
      </c>
      <c r="G422" s="314">
        <v>0</v>
      </c>
      <c r="H422" s="305">
        <v>0</v>
      </c>
      <c r="I422" s="305">
        <v>0</v>
      </c>
      <c r="J422" s="306">
        <v>0</v>
      </c>
      <c r="K422" s="307">
        <v>0</v>
      </c>
      <c r="L422" s="308">
        <v>0</v>
      </c>
      <c r="M422" s="309">
        <v>0</v>
      </c>
      <c r="N422" s="310">
        <v>0</v>
      </c>
      <c r="O422" s="590">
        <v>0</v>
      </c>
      <c r="P422" s="311">
        <v>0</v>
      </c>
      <c r="Q422" s="315">
        <v>0</v>
      </c>
      <c r="R422" s="603">
        <v>0</v>
      </c>
      <c r="S422" s="487">
        <f>((F422+R422)+((G422+H422+I422+J422+K422+L422+M422+N422+O422+P422+Q422)*2))/24</f>
        <v>0</v>
      </c>
      <c r="T422" s="604"/>
      <c r="U422" s="642"/>
      <c r="V422" s="679"/>
      <c r="W422" s="679"/>
      <c r="X422" s="702"/>
      <c r="Y422" s="679"/>
      <c r="Z422" s="679"/>
      <c r="AA422" s="642"/>
      <c r="AB422" s="679"/>
      <c r="AC422" s="643"/>
      <c r="AD422" s="643"/>
      <c r="AE422" s="643"/>
      <c r="AF422" s="677"/>
    </row>
    <row r="423" spans="1:32">
      <c r="A423" s="604">
        <v>411</v>
      </c>
      <c r="B423" s="604"/>
      <c r="C423" s="604"/>
      <c r="D423" s="604"/>
      <c r="E423" s="589"/>
      <c r="F423" s="603"/>
      <c r="G423" s="314"/>
      <c r="H423" s="305"/>
      <c r="I423" s="305"/>
      <c r="J423" s="306"/>
      <c r="K423" s="307"/>
      <c r="L423" s="308"/>
      <c r="M423" s="309"/>
      <c r="N423" s="310"/>
      <c r="O423" s="590"/>
      <c r="P423" s="311"/>
      <c r="Q423" s="315"/>
      <c r="R423" s="603"/>
      <c r="S423" s="294"/>
      <c r="T423" s="604"/>
      <c r="U423" s="642"/>
      <c r="V423" s="679"/>
      <c r="W423" s="679"/>
      <c r="X423" s="702"/>
      <c r="Y423" s="679"/>
      <c r="Z423" s="679"/>
      <c r="AA423" s="642"/>
      <c r="AB423" s="679"/>
      <c r="AC423" s="643"/>
      <c r="AD423" s="643"/>
      <c r="AE423" s="643"/>
      <c r="AF423" s="677"/>
    </row>
    <row r="424" spans="1:32">
      <c r="A424" s="604">
        <v>412</v>
      </c>
      <c r="B424" s="316" t="s">
        <v>956</v>
      </c>
      <c r="C424" s="316" t="s">
        <v>572</v>
      </c>
      <c r="D424" s="604" t="s">
        <v>369</v>
      </c>
      <c r="E424" s="589" t="s">
        <v>573</v>
      </c>
      <c r="F424" s="603">
        <v>0</v>
      </c>
      <c r="G424" s="603">
        <v>-30000000</v>
      </c>
      <c r="H424" s="603">
        <v>-30000000</v>
      </c>
      <c r="I424" s="603">
        <v>-70000000</v>
      </c>
      <c r="J424" s="603">
        <v>-70000000</v>
      </c>
      <c r="K424" s="603">
        <v>-70000000</v>
      </c>
      <c r="L424" s="603">
        <v>-40000000</v>
      </c>
      <c r="M424" s="603">
        <v>-40000000</v>
      </c>
      <c r="N424" s="603">
        <v>-40000000</v>
      </c>
      <c r="O424" s="603">
        <v>-40000000</v>
      </c>
      <c r="P424" s="603">
        <v>-40000000</v>
      </c>
      <c r="Q424" s="603">
        <v>-40000000</v>
      </c>
      <c r="R424" s="603">
        <v>0</v>
      </c>
      <c r="S424" s="294">
        <f t="shared" si="82"/>
        <v>-42500000</v>
      </c>
      <c r="T424" s="604"/>
      <c r="U424" s="642"/>
      <c r="V424" s="679"/>
      <c r="W424" s="679">
        <f>+S424</f>
        <v>-42500000</v>
      </c>
      <c r="X424" s="702"/>
      <c r="Y424" s="679"/>
      <c r="Z424" s="679"/>
      <c r="AA424" s="642"/>
      <c r="AB424" s="679"/>
      <c r="AC424" s="644">
        <f>+S424</f>
        <v>-42500000</v>
      </c>
      <c r="AD424" s="643"/>
      <c r="AE424" s="643"/>
      <c r="AF424" s="677">
        <f t="shared" si="73"/>
        <v>0</v>
      </c>
    </row>
    <row r="425" spans="1:32">
      <c r="A425" s="604">
        <v>413</v>
      </c>
      <c r="B425" s="316" t="s">
        <v>956</v>
      </c>
      <c r="C425" s="316" t="s">
        <v>574</v>
      </c>
      <c r="D425" s="316" t="s">
        <v>575</v>
      </c>
      <c r="E425" s="595" t="s">
        <v>576</v>
      </c>
      <c r="F425" s="603">
        <v>0</v>
      </c>
      <c r="G425" s="603">
        <v>0</v>
      </c>
      <c r="H425" s="603">
        <v>0</v>
      </c>
      <c r="I425" s="603">
        <v>0</v>
      </c>
      <c r="J425" s="603">
        <v>0</v>
      </c>
      <c r="K425" s="603">
        <v>0</v>
      </c>
      <c r="L425" s="603">
        <v>0</v>
      </c>
      <c r="M425" s="603">
        <v>0</v>
      </c>
      <c r="N425" s="603">
        <v>0</v>
      </c>
      <c r="O425" s="603">
        <v>0</v>
      </c>
      <c r="P425" s="603">
        <v>0</v>
      </c>
      <c r="Q425" s="603">
        <v>0</v>
      </c>
      <c r="R425" s="603">
        <v>0</v>
      </c>
      <c r="S425" s="294">
        <f t="shared" si="82"/>
        <v>0</v>
      </c>
      <c r="T425" s="604"/>
      <c r="U425" s="642"/>
      <c r="V425" s="679"/>
      <c r="W425" s="679">
        <f>+S425</f>
        <v>0</v>
      </c>
      <c r="X425" s="702"/>
      <c r="Y425" s="679"/>
      <c r="Z425" s="679"/>
      <c r="AA425" s="642"/>
      <c r="AB425" s="679"/>
      <c r="AC425" s="644">
        <f>+S425</f>
        <v>0</v>
      </c>
      <c r="AD425" s="643"/>
      <c r="AE425" s="643"/>
      <c r="AF425" s="677">
        <f t="shared" si="73"/>
        <v>0</v>
      </c>
    </row>
    <row r="426" spans="1:32">
      <c r="A426" s="604">
        <v>414</v>
      </c>
      <c r="B426" s="604"/>
      <c r="C426" s="604"/>
      <c r="D426" s="604"/>
      <c r="E426" s="589"/>
      <c r="F426" s="603"/>
      <c r="G426" s="314"/>
      <c r="H426" s="305"/>
      <c r="I426" s="305"/>
      <c r="J426" s="306"/>
      <c r="K426" s="307"/>
      <c r="L426" s="308"/>
      <c r="M426" s="309"/>
      <c r="N426" s="310"/>
      <c r="O426" s="590"/>
      <c r="P426" s="311"/>
      <c r="Q426" s="315"/>
      <c r="R426" s="603"/>
      <c r="S426" s="294"/>
      <c r="T426" s="604"/>
      <c r="U426" s="642"/>
      <c r="V426" s="679"/>
      <c r="W426" s="679"/>
      <c r="X426" s="702"/>
      <c r="Y426" s="679"/>
      <c r="Z426" s="679"/>
      <c r="AA426" s="642"/>
      <c r="AB426" s="679"/>
      <c r="AC426" s="643"/>
      <c r="AD426" s="643"/>
      <c r="AE426" s="643"/>
      <c r="AF426" s="677">
        <f t="shared" si="73"/>
        <v>0</v>
      </c>
    </row>
    <row r="427" spans="1:32">
      <c r="A427" s="604">
        <v>415</v>
      </c>
      <c r="B427" s="316" t="s">
        <v>956</v>
      </c>
      <c r="C427" s="316" t="s">
        <v>577</v>
      </c>
      <c r="D427" s="316" t="s">
        <v>515</v>
      </c>
      <c r="E427" s="589" t="s">
        <v>1642</v>
      </c>
      <c r="F427" s="603">
        <v>-6429388.5499999998</v>
      </c>
      <c r="G427" s="603">
        <v>-3052420.41</v>
      </c>
      <c r="H427" s="603">
        <v>-1738753.51</v>
      </c>
      <c r="I427" s="603">
        <v>-1658173.93</v>
      </c>
      <c r="J427" s="603">
        <v>-2409461.09</v>
      </c>
      <c r="K427" s="603">
        <v>-2747484.7</v>
      </c>
      <c r="L427" s="603">
        <v>-2696374.04</v>
      </c>
      <c r="M427" s="603">
        <v>-2878166.01</v>
      </c>
      <c r="N427" s="603">
        <v>-4328379.6399999997</v>
      </c>
      <c r="O427" s="603">
        <v>-3695293.5</v>
      </c>
      <c r="P427" s="603">
        <v>-3240152.14</v>
      </c>
      <c r="Q427" s="603">
        <v>-3867143.32</v>
      </c>
      <c r="R427" s="603">
        <v>-6520933.0099999998</v>
      </c>
      <c r="S427" s="484">
        <f t="shared" si="82"/>
        <v>-3232246.9224999999</v>
      </c>
      <c r="T427" s="604"/>
      <c r="U427" s="642"/>
      <c r="V427" s="679">
        <f t="shared" ref="V427:V440" si="87">+S427</f>
        <v>-3232246.9224999999</v>
      </c>
      <c r="W427" s="679"/>
      <c r="X427" s="702"/>
      <c r="Y427" s="679"/>
      <c r="Z427" s="679"/>
      <c r="AA427" s="642"/>
      <c r="AB427" s="679"/>
      <c r="AC427" s="643"/>
      <c r="AD427" s="644">
        <f t="shared" ref="AD427:AD441" si="88">+V427</f>
        <v>-3232246.9224999999</v>
      </c>
      <c r="AE427" s="643"/>
      <c r="AF427" s="677">
        <f t="shared" si="73"/>
        <v>0</v>
      </c>
    </row>
    <row r="428" spans="1:32">
      <c r="A428" s="604">
        <v>416</v>
      </c>
      <c r="B428" s="316" t="s">
        <v>956</v>
      </c>
      <c r="C428" s="316" t="s">
        <v>578</v>
      </c>
      <c r="D428" s="316" t="s">
        <v>718</v>
      </c>
      <c r="E428" s="598" t="s">
        <v>1643</v>
      </c>
      <c r="F428" s="603">
        <v>-557521.93999999994</v>
      </c>
      <c r="G428" s="603">
        <v>-336848.1</v>
      </c>
      <c r="H428" s="603">
        <v>-178970.22</v>
      </c>
      <c r="I428" s="603">
        <v>-326239.73</v>
      </c>
      <c r="J428" s="603">
        <v>-129589.75</v>
      </c>
      <c r="K428" s="603">
        <v>-163776.26</v>
      </c>
      <c r="L428" s="603">
        <v>-372115.42</v>
      </c>
      <c r="M428" s="603">
        <v>-361277.87</v>
      </c>
      <c r="N428" s="603">
        <v>-370995.73</v>
      </c>
      <c r="O428" s="603">
        <v>-474940.26</v>
      </c>
      <c r="P428" s="603">
        <v>-471474.43</v>
      </c>
      <c r="Q428" s="603">
        <v>-268582.7</v>
      </c>
      <c r="R428" s="603">
        <v>-440504.1</v>
      </c>
      <c r="S428" s="484">
        <f t="shared" si="82"/>
        <v>-329485.29083333333</v>
      </c>
      <c r="T428" s="604"/>
      <c r="U428" s="642"/>
      <c r="V428" s="679">
        <f t="shared" si="87"/>
        <v>-329485.29083333333</v>
      </c>
      <c r="W428" s="679"/>
      <c r="X428" s="702"/>
      <c r="Y428" s="679"/>
      <c r="Z428" s="679"/>
      <c r="AA428" s="642"/>
      <c r="AB428" s="679"/>
      <c r="AC428" s="643"/>
      <c r="AD428" s="644">
        <f t="shared" si="88"/>
        <v>-329485.29083333333</v>
      </c>
      <c r="AE428" s="643"/>
      <c r="AF428" s="677">
        <f t="shared" si="73"/>
        <v>0</v>
      </c>
    </row>
    <row r="429" spans="1:32">
      <c r="A429" s="604">
        <v>417</v>
      </c>
      <c r="B429" s="316" t="s">
        <v>956</v>
      </c>
      <c r="C429" s="316" t="s">
        <v>578</v>
      </c>
      <c r="D429" s="316" t="s">
        <v>1187</v>
      </c>
      <c r="E429" s="589" t="s">
        <v>579</v>
      </c>
      <c r="F429" s="603">
        <v>-43539082.770000003</v>
      </c>
      <c r="G429" s="603">
        <v>-26860683.850000001</v>
      </c>
      <c r="H429" s="603">
        <v>-40298348.840000004</v>
      </c>
      <c r="I429" s="603">
        <v>-48354825.450000003</v>
      </c>
      <c r="J429" s="603">
        <v>-10887326.09</v>
      </c>
      <c r="K429" s="603">
        <v>-7322383.7400000002</v>
      </c>
      <c r="L429" s="603">
        <v>-7672115.7999999998</v>
      </c>
      <c r="M429" s="603">
        <v>-7408981.7199999997</v>
      </c>
      <c r="N429" s="603">
        <v>-7498183.4800000004</v>
      </c>
      <c r="O429" s="603">
        <v>-8246130.1399999997</v>
      </c>
      <c r="P429" s="603">
        <v>-13966099.76</v>
      </c>
      <c r="Q429" s="603">
        <v>-17572127.510000002</v>
      </c>
      <c r="R429" s="603">
        <v>-26928352.75</v>
      </c>
      <c r="S429" s="484">
        <f t="shared" si="82"/>
        <v>-19276743.678333331</v>
      </c>
      <c r="T429" s="604"/>
      <c r="U429" s="642"/>
      <c r="V429" s="679">
        <f t="shared" si="87"/>
        <v>-19276743.678333331</v>
      </c>
      <c r="W429" s="679"/>
      <c r="X429" s="702"/>
      <c r="Y429" s="679"/>
      <c r="Z429" s="679"/>
      <c r="AA429" s="642"/>
      <c r="AB429" s="679"/>
      <c r="AC429" s="643"/>
      <c r="AD429" s="644">
        <f t="shared" si="88"/>
        <v>-19276743.678333331</v>
      </c>
      <c r="AE429" s="643"/>
      <c r="AF429" s="677">
        <f t="shared" si="73"/>
        <v>0</v>
      </c>
    </row>
    <row r="430" spans="1:32">
      <c r="A430" s="604">
        <v>418</v>
      </c>
      <c r="B430" s="316" t="s">
        <v>956</v>
      </c>
      <c r="C430" s="316" t="s">
        <v>578</v>
      </c>
      <c r="D430" s="316" t="s">
        <v>408</v>
      </c>
      <c r="E430" s="595" t="s">
        <v>1645</v>
      </c>
      <c r="F430" s="603">
        <v>-245670.98</v>
      </c>
      <c r="G430" s="603">
        <v>0</v>
      </c>
      <c r="H430" s="603">
        <v>-23614.45</v>
      </c>
      <c r="I430" s="603">
        <v>-44412.61</v>
      </c>
      <c r="J430" s="603">
        <v>-66013.789999999994</v>
      </c>
      <c r="K430" s="603">
        <v>-88940.15</v>
      </c>
      <c r="L430" s="603">
        <v>-110629.87</v>
      </c>
      <c r="M430" s="603">
        <v>-131228.97</v>
      </c>
      <c r="N430" s="603">
        <v>-152858.88</v>
      </c>
      <c r="O430" s="603">
        <v>-172506.03</v>
      </c>
      <c r="P430" s="603">
        <v>-192985.69</v>
      </c>
      <c r="Q430" s="603">
        <v>-216037.74</v>
      </c>
      <c r="R430" s="603">
        <v>-237373</v>
      </c>
      <c r="S430" s="484">
        <f t="shared" si="82"/>
        <v>-120062.51416666666</v>
      </c>
      <c r="T430" s="604"/>
      <c r="U430" s="642"/>
      <c r="V430" s="679">
        <f t="shared" si="87"/>
        <v>-120062.51416666666</v>
      </c>
      <c r="W430" s="679"/>
      <c r="X430" s="702"/>
      <c r="Y430" s="679"/>
      <c r="Z430" s="679"/>
      <c r="AA430" s="642"/>
      <c r="AB430" s="679"/>
      <c r="AC430" s="643"/>
      <c r="AD430" s="644">
        <f t="shared" si="88"/>
        <v>-120062.51416666666</v>
      </c>
      <c r="AE430" s="643"/>
      <c r="AF430" s="677">
        <f t="shared" si="73"/>
        <v>0</v>
      </c>
    </row>
    <row r="431" spans="1:32">
      <c r="A431" s="604">
        <v>419</v>
      </c>
      <c r="B431" s="316" t="s">
        <v>956</v>
      </c>
      <c r="C431" s="316" t="s">
        <v>578</v>
      </c>
      <c r="D431" s="316" t="s">
        <v>1188</v>
      </c>
      <c r="E431" s="595" t="s">
        <v>1644</v>
      </c>
      <c r="F431" s="603">
        <v>-11172210.310000001</v>
      </c>
      <c r="G431" s="603">
        <v>-5667710.3099999996</v>
      </c>
      <c r="H431" s="603">
        <v>-2893939.67</v>
      </c>
      <c r="I431" s="603">
        <v>-3106406.66</v>
      </c>
      <c r="J431" s="603">
        <v>-3421205.3</v>
      </c>
      <c r="K431" s="603">
        <v>-3515414.66</v>
      </c>
      <c r="L431" s="603">
        <v>-2452428.29</v>
      </c>
      <c r="M431" s="603">
        <v>-7659905.5899999999</v>
      </c>
      <c r="N431" s="603">
        <v>-2839792</v>
      </c>
      <c r="O431" s="603">
        <v>-4132064.97</v>
      </c>
      <c r="P431" s="603">
        <v>-6589053.7599999998</v>
      </c>
      <c r="Q431" s="603">
        <v>-8140193.0800000001</v>
      </c>
      <c r="R431" s="603">
        <v>-5546502.1100000003</v>
      </c>
      <c r="S431" s="484">
        <f t="shared" si="82"/>
        <v>-4898122.541666667</v>
      </c>
      <c r="T431" s="604"/>
      <c r="U431" s="642"/>
      <c r="V431" s="679">
        <f t="shared" si="87"/>
        <v>-4898122.541666667</v>
      </c>
      <c r="W431" s="679"/>
      <c r="X431" s="702"/>
      <c r="Y431" s="679"/>
      <c r="Z431" s="679"/>
      <c r="AA431" s="642"/>
      <c r="AB431" s="679"/>
      <c r="AC431" s="643"/>
      <c r="AD431" s="644">
        <f t="shared" si="88"/>
        <v>-4898122.541666667</v>
      </c>
      <c r="AE431" s="643"/>
      <c r="AF431" s="677">
        <f t="shared" si="73"/>
        <v>0</v>
      </c>
    </row>
    <row r="432" spans="1:32">
      <c r="A432" s="604">
        <v>420</v>
      </c>
      <c r="B432" s="316" t="s">
        <v>956</v>
      </c>
      <c r="C432" s="316" t="s">
        <v>578</v>
      </c>
      <c r="D432" s="316" t="s">
        <v>1189</v>
      </c>
      <c r="E432" s="589" t="s">
        <v>580</v>
      </c>
      <c r="F432" s="603">
        <v>-3247355.18</v>
      </c>
      <c r="G432" s="603">
        <v>-2950390.62</v>
      </c>
      <c r="H432" s="603">
        <v>-2864483.76</v>
      </c>
      <c r="I432" s="603">
        <v>-1682878.63</v>
      </c>
      <c r="J432" s="603">
        <v>-737494.22</v>
      </c>
      <c r="K432" s="603">
        <v>-482887.61</v>
      </c>
      <c r="L432" s="603">
        <v>-464115.63</v>
      </c>
      <c r="M432" s="603">
        <v>-980571.85</v>
      </c>
      <c r="N432" s="603">
        <v>-517872.79</v>
      </c>
      <c r="O432" s="603">
        <v>-410602.67</v>
      </c>
      <c r="P432" s="603">
        <v>-611688.97</v>
      </c>
      <c r="Q432" s="603">
        <v>-407659.48</v>
      </c>
      <c r="R432" s="603">
        <v>-1112884.77</v>
      </c>
      <c r="S432" s="484">
        <f t="shared" si="82"/>
        <v>-1190897.1837500001</v>
      </c>
      <c r="T432" s="604"/>
      <c r="U432" s="642"/>
      <c r="V432" s="679">
        <f t="shared" si="87"/>
        <v>-1190897.1837500001</v>
      </c>
      <c r="W432" s="679"/>
      <c r="X432" s="702"/>
      <c r="Y432" s="679"/>
      <c r="Z432" s="679"/>
      <c r="AA432" s="642"/>
      <c r="AB432" s="679"/>
      <c r="AC432" s="643"/>
      <c r="AD432" s="644">
        <f t="shared" si="88"/>
        <v>-1190897.1837500001</v>
      </c>
      <c r="AE432" s="643"/>
      <c r="AF432" s="677">
        <f t="shared" si="73"/>
        <v>0</v>
      </c>
    </row>
    <row r="433" spans="1:32">
      <c r="A433" s="604">
        <v>421</v>
      </c>
      <c r="B433" s="316" t="s">
        <v>956</v>
      </c>
      <c r="C433" s="316" t="s">
        <v>578</v>
      </c>
      <c r="D433" s="316" t="s">
        <v>1190</v>
      </c>
      <c r="E433" s="589" t="s">
        <v>1651</v>
      </c>
      <c r="F433" s="603">
        <v>-1523.6</v>
      </c>
      <c r="G433" s="603">
        <v>-2424.7800000000002</v>
      </c>
      <c r="H433" s="603">
        <v>-541.85</v>
      </c>
      <c r="I433" s="603">
        <v>115.64</v>
      </c>
      <c r="J433" s="603">
        <v>-1229.81</v>
      </c>
      <c r="K433" s="603">
        <v>-6089.12</v>
      </c>
      <c r="L433" s="603">
        <v>-74.599999999999497</v>
      </c>
      <c r="M433" s="603">
        <v>-11322.06</v>
      </c>
      <c r="N433" s="603">
        <v>-61.779999999997003</v>
      </c>
      <c r="O433" s="603">
        <v>-289.77999999999702</v>
      </c>
      <c r="P433" s="603">
        <v>-899.42999999999699</v>
      </c>
      <c r="Q433" s="603">
        <v>-25.9899999999969</v>
      </c>
      <c r="R433" s="603">
        <v>-9861.52</v>
      </c>
      <c r="S433" s="484">
        <f t="shared" si="82"/>
        <v>-2378.0099999999989</v>
      </c>
      <c r="T433" s="604"/>
      <c r="U433" s="642"/>
      <c r="V433" s="679">
        <f t="shared" si="87"/>
        <v>-2378.0099999999989</v>
      </c>
      <c r="W433" s="679"/>
      <c r="X433" s="702"/>
      <c r="Y433" s="679"/>
      <c r="Z433" s="679"/>
      <c r="AA433" s="642"/>
      <c r="AB433" s="679"/>
      <c r="AC433" s="643"/>
      <c r="AD433" s="644">
        <f t="shared" si="88"/>
        <v>-2378.0099999999989</v>
      </c>
      <c r="AE433" s="643"/>
      <c r="AF433" s="677">
        <f t="shared" si="73"/>
        <v>0</v>
      </c>
    </row>
    <row r="434" spans="1:32">
      <c r="A434" s="604">
        <v>422</v>
      </c>
      <c r="B434" s="316" t="s">
        <v>956</v>
      </c>
      <c r="C434" s="316" t="s">
        <v>578</v>
      </c>
      <c r="D434" s="316" t="s">
        <v>1191</v>
      </c>
      <c r="E434" s="589" t="s">
        <v>1646</v>
      </c>
      <c r="F434" s="603">
        <v>0</v>
      </c>
      <c r="G434" s="603">
        <v>4.13</v>
      </c>
      <c r="H434" s="603">
        <v>4.13</v>
      </c>
      <c r="I434" s="603">
        <v>4.13</v>
      </c>
      <c r="J434" s="603">
        <v>4.13</v>
      </c>
      <c r="K434" s="603">
        <v>56.1</v>
      </c>
      <c r="L434" s="603">
        <v>56.1</v>
      </c>
      <c r="M434" s="603">
        <v>2656.1</v>
      </c>
      <c r="N434" s="603">
        <v>-4162.92</v>
      </c>
      <c r="O434" s="603">
        <v>-4162.92</v>
      </c>
      <c r="P434" s="603">
        <v>-4162.92</v>
      </c>
      <c r="Q434" s="603">
        <v>0</v>
      </c>
      <c r="R434" s="603">
        <v>0</v>
      </c>
      <c r="S434" s="484">
        <f t="shared" si="82"/>
        <v>-808.66166666666675</v>
      </c>
      <c r="T434" s="604"/>
      <c r="U434" s="642"/>
      <c r="V434" s="679">
        <f t="shared" si="87"/>
        <v>-808.66166666666675</v>
      </c>
      <c r="W434" s="679"/>
      <c r="X434" s="702"/>
      <c r="Y434" s="679"/>
      <c r="Z434" s="679"/>
      <c r="AA434" s="642"/>
      <c r="AB434" s="679"/>
      <c r="AC434" s="643"/>
      <c r="AD434" s="644">
        <f t="shared" si="88"/>
        <v>-808.66166666666675</v>
      </c>
      <c r="AE434" s="643"/>
      <c r="AF434" s="677">
        <f t="shared" si="73"/>
        <v>0</v>
      </c>
    </row>
    <row r="435" spans="1:32">
      <c r="A435" s="604">
        <v>423</v>
      </c>
      <c r="B435" s="316" t="s">
        <v>956</v>
      </c>
      <c r="C435" s="316" t="s">
        <v>578</v>
      </c>
      <c r="D435" s="316" t="s">
        <v>1192</v>
      </c>
      <c r="E435" s="589" t="s">
        <v>1647</v>
      </c>
      <c r="F435" s="603">
        <v>2.89901436190121E-12</v>
      </c>
      <c r="G435" s="603">
        <v>0</v>
      </c>
      <c r="H435" s="603">
        <v>0</v>
      </c>
      <c r="I435" s="603">
        <v>-114581.26</v>
      </c>
      <c r="J435" s="603">
        <v>-116772.93</v>
      </c>
      <c r="K435" s="603">
        <v>0</v>
      </c>
      <c r="L435" s="603">
        <v>0</v>
      </c>
      <c r="M435" s="603">
        <v>50964.44</v>
      </c>
      <c r="N435" s="603">
        <v>-117909.33</v>
      </c>
      <c r="O435" s="603">
        <v>-112026.75</v>
      </c>
      <c r="P435" s="603">
        <v>51255.519999999997</v>
      </c>
      <c r="Q435" s="603">
        <v>101096.61</v>
      </c>
      <c r="R435" s="603">
        <v>101096.61</v>
      </c>
      <c r="S435" s="484">
        <f t="shared" si="82"/>
        <v>-17285.449583333335</v>
      </c>
      <c r="T435" s="604"/>
      <c r="U435" s="642"/>
      <c r="V435" s="679">
        <f t="shared" si="87"/>
        <v>-17285.449583333335</v>
      </c>
      <c r="W435" s="679"/>
      <c r="X435" s="702"/>
      <c r="Y435" s="679"/>
      <c r="Z435" s="679"/>
      <c r="AA435" s="642"/>
      <c r="AB435" s="679"/>
      <c r="AC435" s="643"/>
      <c r="AD435" s="644">
        <f t="shared" si="88"/>
        <v>-17285.449583333335</v>
      </c>
      <c r="AE435" s="643"/>
      <c r="AF435" s="677">
        <f t="shared" si="73"/>
        <v>0</v>
      </c>
    </row>
    <row r="436" spans="1:32">
      <c r="A436" s="604">
        <v>424</v>
      </c>
      <c r="B436" s="316" t="s">
        <v>956</v>
      </c>
      <c r="C436" s="316" t="s">
        <v>578</v>
      </c>
      <c r="D436" s="316" t="s">
        <v>1193</v>
      </c>
      <c r="E436" s="589" t="s">
        <v>1648</v>
      </c>
      <c r="F436" s="603">
        <v>-20867.39</v>
      </c>
      <c r="G436" s="603">
        <v>-19631.25</v>
      </c>
      <c r="H436" s="603">
        <v>-19126.38</v>
      </c>
      <c r="I436" s="603">
        <v>-18210.55</v>
      </c>
      <c r="J436" s="603">
        <v>-15794.76</v>
      </c>
      <c r="K436" s="603">
        <v>-13267.2</v>
      </c>
      <c r="L436" s="603">
        <v>-12174.84</v>
      </c>
      <c r="M436" s="603">
        <v>-14643.43</v>
      </c>
      <c r="N436" s="603">
        <v>-16296.07</v>
      </c>
      <c r="O436" s="603">
        <v>-16851.669999999998</v>
      </c>
      <c r="P436" s="603">
        <v>-18984.599999999999</v>
      </c>
      <c r="Q436" s="603">
        <v>-9215.7099999999991</v>
      </c>
      <c r="R436" s="603">
        <v>-11663.77</v>
      </c>
      <c r="S436" s="484">
        <f t="shared" si="82"/>
        <v>-15871.836666666668</v>
      </c>
      <c r="T436" s="604"/>
      <c r="U436" s="642"/>
      <c r="V436" s="679">
        <f t="shared" si="87"/>
        <v>-15871.836666666668</v>
      </c>
      <c r="W436" s="679"/>
      <c r="X436" s="702"/>
      <c r="Y436" s="679"/>
      <c r="Z436" s="679"/>
      <c r="AA436" s="642"/>
      <c r="AB436" s="679"/>
      <c r="AC436" s="643"/>
      <c r="AD436" s="644">
        <f t="shared" si="88"/>
        <v>-15871.836666666668</v>
      </c>
      <c r="AE436" s="643"/>
      <c r="AF436" s="677">
        <f t="shared" si="73"/>
        <v>0</v>
      </c>
    </row>
    <row r="437" spans="1:32">
      <c r="A437" s="604">
        <v>425</v>
      </c>
      <c r="B437" s="316" t="s">
        <v>956</v>
      </c>
      <c r="C437" s="316" t="s">
        <v>578</v>
      </c>
      <c r="D437" s="316" t="s">
        <v>1194</v>
      </c>
      <c r="E437" s="589" t="s">
        <v>1649</v>
      </c>
      <c r="F437" s="603">
        <v>0</v>
      </c>
      <c r="G437" s="603">
        <v>24768.26</v>
      </c>
      <c r="H437" s="603">
        <v>24342.58</v>
      </c>
      <c r="I437" s="603">
        <v>-3.6379788070917101E-12</v>
      </c>
      <c r="J437" s="603">
        <v>-3.6379788070917101E-12</v>
      </c>
      <c r="K437" s="603">
        <v>-3.6379788070917101E-12</v>
      </c>
      <c r="L437" s="603">
        <v>-3.6379788070917101E-12</v>
      </c>
      <c r="M437" s="603">
        <v>-3.6379788070917101E-12</v>
      </c>
      <c r="N437" s="603">
        <v>-3.6379788070917101E-12</v>
      </c>
      <c r="O437" s="603">
        <v>-3.6379788070917101E-12</v>
      </c>
      <c r="P437" s="603">
        <v>-3.6379788070917101E-12</v>
      </c>
      <c r="Q437" s="603">
        <v>-3.6379788070917101E-12</v>
      </c>
      <c r="R437" s="603">
        <v>-3.6379788070917101E-12</v>
      </c>
      <c r="S437" s="484">
        <f t="shared" si="82"/>
        <v>4092.5699999999997</v>
      </c>
      <c r="T437" s="604"/>
      <c r="U437" s="642"/>
      <c r="V437" s="679">
        <f t="shared" si="87"/>
        <v>4092.5699999999997</v>
      </c>
      <c r="W437" s="679"/>
      <c r="X437" s="702"/>
      <c r="Y437" s="679"/>
      <c r="Z437" s="679"/>
      <c r="AA437" s="642"/>
      <c r="AB437" s="679"/>
      <c r="AC437" s="643"/>
      <c r="AD437" s="644">
        <f t="shared" si="88"/>
        <v>4092.5699999999997</v>
      </c>
      <c r="AE437" s="643"/>
      <c r="AF437" s="677">
        <f t="shared" si="73"/>
        <v>0</v>
      </c>
    </row>
    <row r="438" spans="1:32">
      <c r="A438" s="604">
        <v>426</v>
      </c>
      <c r="B438" s="316" t="s">
        <v>956</v>
      </c>
      <c r="C438" s="316" t="s">
        <v>578</v>
      </c>
      <c r="D438" s="316" t="s">
        <v>1195</v>
      </c>
      <c r="E438" s="589" t="s">
        <v>1650</v>
      </c>
      <c r="F438" s="603">
        <v>3.6379788070917101E-12</v>
      </c>
      <c r="G438" s="603">
        <v>0</v>
      </c>
      <c r="H438" s="603">
        <v>0</v>
      </c>
      <c r="I438" s="603">
        <v>-23110.86</v>
      </c>
      <c r="J438" s="603">
        <v>-23068.71</v>
      </c>
      <c r="K438" s="603">
        <v>0</v>
      </c>
      <c r="L438" s="603">
        <v>0</v>
      </c>
      <c r="M438" s="603">
        <v>-23290.36</v>
      </c>
      <c r="N438" s="603">
        <v>-23250.71</v>
      </c>
      <c r="O438" s="603">
        <v>-23853.51</v>
      </c>
      <c r="P438" s="603">
        <v>-24147.06</v>
      </c>
      <c r="Q438" s="603">
        <v>-47891.3</v>
      </c>
      <c r="R438" s="603">
        <v>-47891.3</v>
      </c>
      <c r="S438" s="484">
        <f t="shared" si="82"/>
        <v>-17713.18</v>
      </c>
      <c r="T438" s="604"/>
      <c r="U438" s="642"/>
      <c r="V438" s="679">
        <f t="shared" si="87"/>
        <v>-17713.18</v>
      </c>
      <c r="W438" s="679"/>
      <c r="X438" s="702"/>
      <c r="Y438" s="679"/>
      <c r="Z438" s="679"/>
      <c r="AA438" s="642"/>
      <c r="AB438" s="679"/>
      <c r="AC438" s="643"/>
      <c r="AD438" s="644">
        <f t="shared" si="88"/>
        <v>-17713.18</v>
      </c>
      <c r="AE438" s="643"/>
      <c r="AF438" s="677">
        <f t="shared" si="73"/>
        <v>0</v>
      </c>
    </row>
    <row r="439" spans="1:32">
      <c r="A439" s="604">
        <v>427</v>
      </c>
      <c r="B439" s="316" t="s">
        <v>956</v>
      </c>
      <c r="C439" s="316" t="s">
        <v>578</v>
      </c>
      <c r="D439" s="316" t="s">
        <v>1895</v>
      </c>
      <c r="E439" s="589" t="s">
        <v>1896</v>
      </c>
      <c r="F439" s="603">
        <v>0</v>
      </c>
      <c r="G439" s="603">
        <v>0</v>
      </c>
      <c r="H439" s="603">
        <v>0</v>
      </c>
      <c r="I439" s="603">
        <v>0</v>
      </c>
      <c r="J439" s="603">
        <v>0</v>
      </c>
      <c r="K439" s="603">
        <v>0</v>
      </c>
      <c r="L439" s="603">
        <v>0</v>
      </c>
      <c r="M439" s="603">
        <v>0</v>
      </c>
      <c r="N439" s="603">
        <v>-220.5</v>
      </c>
      <c r="O439" s="603">
        <v>-220.5</v>
      </c>
      <c r="P439" s="603">
        <v>0</v>
      </c>
      <c r="Q439" s="603">
        <v>0</v>
      </c>
      <c r="R439" s="603">
        <v>0</v>
      </c>
      <c r="S439" s="484">
        <f t="shared" si="82"/>
        <v>-36.75</v>
      </c>
      <c r="T439" s="604"/>
      <c r="U439" s="642"/>
      <c r="V439" s="679">
        <f>+S439</f>
        <v>-36.75</v>
      </c>
      <c r="W439" s="679"/>
      <c r="X439" s="702"/>
      <c r="Y439" s="679"/>
      <c r="Z439" s="679"/>
      <c r="AA439" s="642"/>
      <c r="AB439" s="679"/>
      <c r="AC439" s="643"/>
      <c r="AD439" s="644">
        <f t="shared" si="88"/>
        <v>-36.75</v>
      </c>
      <c r="AE439" s="643"/>
      <c r="AF439" s="677">
        <f t="shared" si="73"/>
        <v>0</v>
      </c>
    </row>
    <row r="440" spans="1:32">
      <c r="A440" s="604">
        <v>428</v>
      </c>
      <c r="B440" s="316" t="s">
        <v>956</v>
      </c>
      <c r="C440" s="316" t="s">
        <v>581</v>
      </c>
      <c r="D440" s="316" t="s">
        <v>515</v>
      </c>
      <c r="E440" s="589" t="s">
        <v>582</v>
      </c>
      <c r="F440" s="603">
        <v>-1225497.53</v>
      </c>
      <c r="G440" s="603">
        <v>-916289.02</v>
      </c>
      <c r="H440" s="603">
        <v>-893894.98</v>
      </c>
      <c r="I440" s="603">
        <v>-847938.09</v>
      </c>
      <c r="J440" s="603">
        <v>-1296361.82</v>
      </c>
      <c r="K440" s="603">
        <v>-1222757.27</v>
      </c>
      <c r="L440" s="603">
        <v>-736791.79</v>
      </c>
      <c r="M440" s="603">
        <v>-1134554.6200000001</v>
      </c>
      <c r="N440" s="603">
        <v>-5187950.49</v>
      </c>
      <c r="O440" s="603">
        <v>-1565905.63</v>
      </c>
      <c r="P440" s="603">
        <v>-3017429.74</v>
      </c>
      <c r="Q440" s="603">
        <v>-2289242.7599999998</v>
      </c>
      <c r="R440" s="603">
        <v>-3495159.53</v>
      </c>
      <c r="S440" s="484">
        <f t="shared" si="82"/>
        <v>-1789120.3950000003</v>
      </c>
      <c r="T440" s="604"/>
      <c r="U440" s="642"/>
      <c r="V440" s="679">
        <f t="shared" si="87"/>
        <v>-1789120.3950000003</v>
      </c>
      <c r="W440" s="679"/>
      <c r="X440" s="702"/>
      <c r="Y440" s="679"/>
      <c r="Z440" s="679"/>
      <c r="AA440" s="642"/>
      <c r="AB440" s="679"/>
      <c r="AC440" s="643"/>
      <c r="AD440" s="644">
        <f t="shared" si="88"/>
        <v>-1789120.3950000003</v>
      </c>
      <c r="AE440" s="643"/>
      <c r="AF440" s="677">
        <f t="shared" si="73"/>
        <v>0</v>
      </c>
    </row>
    <row r="441" spans="1:32">
      <c r="A441" s="604">
        <v>429</v>
      </c>
      <c r="B441" s="604"/>
      <c r="C441" s="604"/>
      <c r="D441" s="604"/>
      <c r="E441" s="589"/>
      <c r="F441" s="603"/>
      <c r="G441" s="314"/>
      <c r="H441" s="305"/>
      <c r="I441" s="305"/>
      <c r="J441" s="306"/>
      <c r="K441" s="307"/>
      <c r="L441" s="308"/>
      <c r="M441" s="309"/>
      <c r="N441" s="310"/>
      <c r="O441" s="590"/>
      <c r="P441" s="311"/>
      <c r="Q441" s="315"/>
      <c r="R441" s="603"/>
      <c r="S441" s="484"/>
      <c r="T441" s="604"/>
      <c r="U441" s="642"/>
      <c r="V441" s="679"/>
      <c r="W441" s="679"/>
      <c r="X441" s="702"/>
      <c r="Y441" s="679"/>
      <c r="Z441" s="679"/>
      <c r="AA441" s="642"/>
      <c r="AB441" s="679"/>
      <c r="AC441" s="643"/>
      <c r="AD441" s="644">
        <f t="shared" si="88"/>
        <v>0</v>
      </c>
      <c r="AE441" s="643"/>
      <c r="AF441" s="677">
        <f t="shared" ref="AF441:AF513" si="89">+U441+V441-AD441</f>
        <v>0</v>
      </c>
    </row>
    <row r="442" spans="1:32">
      <c r="A442" s="604">
        <v>430</v>
      </c>
      <c r="B442" s="316" t="s">
        <v>956</v>
      </c>
      <c r="C442" s="316" t="s">
        <v>583</v>
      </c>
      <c r="D442" s="316" t="s">
        <v>412</v>
      </c>
      <c r="E442" s="591" t="s">
        <v>1399</v>
      </c>
      <c r="F442" s="603">
        <v>-1704352.31</v>
      </c>
      <c r="G442" s="603">
        <v>-1185350.18</v>
      </c>
      <c r="H442" s="603">
        <v>-2242639.23</v>
      </c>
      <c r="I442" s="603">
        <v>-1088614.98</v>
      </c>
      <c r="J442" s="603">
        <v>-1109584.99</v>
      </c>
      <c r="K442" s="603">
        <v>-1021661.18</v>
      </c>
      <c r="L442" s="603">
        <v>-902069.26</v>
      </c>
      <c r="M442" s="603">
        <v>-919673.94</v>
      </c>
      <c r="N442" s="603">
        <v>-1277411.8700000001</v>
      </c>
      <c r="O442" s="603">
        <v>-1109369.68</v>
      </c>
      <c r="P442" s="603">
        <v>-1220956.3700000001</v>
      </c>
      <c r="Q442" s="603">
        <v>-1138489.29</v>
      </c>
      <c r="R442" s="603">
        <v>-1330718.17</v>
      </c>
      <c r="S442" s="484">
        <f t="shared" si="82"/>
        <v>-1227779.6841666666</v>
      </c>
      <c r="T442" s="604"/>
      <c r="U442" s="642"/>
      <c r="V442" s="679"/>
      <c r="W442" s="679"/>
      <c r="X442" s="702">
        <f>+S442</f>
        <v>-1227779.6841666666</v>
      </c>
      <c r="Y442" s="679"/>
      <c r="Z442" s="679"/>
      <c r="AA442" s="642"/>
      <c r="AB442" s="679">
        <f t="shared" ref="AB442:AB449" si="90">+S442</f>
        <v>-1227779.6841666666</v>
      </c>
      <c r="AC442" s="643"/>
      <c r="AD442" s="644"/>
      <c r="AE442" s="643"/>
      <c r="AF442" s="677">
        <f t="shared" si="89"/>
        <v>0</v>
      </c>
    </row>
    <row r="443" spans="1:32">
      <c r="A443" s="604">
        <v>431</v>
      </c>
      <c r="B443" s="316" t="s">
        <v>956</v>
      </c>
      <c r="C443" s="316" t="s">
        <v>583</v>
      </c>
      <c r="D443" s="316" t="s">
        <v>1400</v>
      </c>
      <c r="E443" s="589" t="s">
        <v>1652</v>
      </c>
      <c r="F443" s="603">
        <v>0</v>
      </c>
      <c r="G443" s="603">
        <v>-519552.23</v>
      </c>
      <c r="H443" s="603">
        <v>-969604.43</v>
      </c>
      <c r="I443" s="603">
        <v>-569082.82999999996</v>
      </c>
      <c r="J443" s="603">
        <v>-513669.2</v>
      </c>
      <c r="K443" s="603">
        <v>-783318.31</v>
      </c>
      <c r="L443" s="603">
        <v>-381146.96</v>
      </c>
      <c r="M443" s="603">
        <v>-514237.45</v>
      </c>
      <c r="N443" s="603">
        <v>-281315.93</v>
      </c>
      <c r="O443" s="603">
        <v>-606998.31000000006</v>
      </c>
      <c r="P443" s="603">
        <v>-508022.18</v>
      </c>
      <c r="Q443" s="603">
        <v>-907109.46</v>
      </c>
      <c r="R443" s="603">
        <v>-1029872.32</v>
      </c>
      <c r="S443" s="484">
        <f t="shared" si="82"/>
        <v>-589082.78749999998</v>
      </c>
      <c r="T443" s="604"/>
      <c r="U443" s="642"/>
      <c r="V443" s="679"/>
      <c r="W443" s="679"/>
      <c r="X443" s="702">
        <f t="shared" ref="X443:X449" si="91">+S443</f>
        <v>-589082.78749999998</v>
      </c>
      <c r="Y443" s="679"/>
      <c r="Z443" s="679"/>
      <c r="AA443" s="642"/>
      <c r="AB443" s="679">
        <f t="shared" si="90"/>
        <v>-589082.78749999998</v>
      </c>
      <c r="AC443" s="643"/>
      <c r="AD443" s="644"/>
      <c r="AE443" s="643"/>
      <c r="AF443" s="677">
        <f t="shared" si="89"/>
        <v>0</v>
      </c>
    </row>
    <row r="444" spans="1:32">
      <c r="A444" s="604">
        <v>432</v>
      </c>
      <c r="B444" s="316" t="s">
        <v>956</v>
      </c>
      <c r="C444" s="316" t="s">
        <v>583</v>
      </c>
      <c r="D444" s="316" t="s">
        <v>1196</v>
      </c>
      <c r="E444" s="589" t="s">
        <v>1653</v>
      </c>
      <c r="F444" s="603">
        <v>-154330.98000000001</v>
      </c>
      <c r="G444" s="603">
        <v>-1026743.85</v>
      </c>
      <c r="H444" s="603">
        <v>-1065529.23</v>
      </c>
      <c r="I444" s="603">
        <v>-120684.51</v>
      </c>
      <c r="J444" s="603">
        <v>-30479.96</v>
      </c>
      <c r="K444" s="603">
        <v>-619.00000000000705</v>
      </c>
      <c r="L444" s="603">
        <v>-30200.11</v>
      </c>
      <c r="M444" s="603">
        <v>-10964.17</v>
      </c>
      <c r="N444" s="603">
        <v>-14254.17</v>
      </c>
      <c r="O444" s="603">
        <v>-23975.279999999999</v>
      </c>
      <c r="P444" s="603">
        <v>-20685.28</v>
      </c>
      <c r="Q444" s="603">
        <v>-172283.13</v>
      </c>
      <c r="R444" s="603">
        <v>-156065.51</v>
      </c>
      <c r="S444" s="484">
        <f t="shared" si="82"/>
        <v>-222634.74458333326</v>
      </c>
      <c r="T444" s="604"/>
      <c r="U444" s="642"/>
      <c r="V444" s="679"/>
      <c r="W444" s="679"/>
      <c r="X444" s="702">
        <f t="shared" si="91"/>
        <v>-222634.74458333326</v>
      </c>
      <c r="Y444" s="679"/>
      <c r="Z444" s="679"/>
      <c r="AA444" s="642"/>
      <c r="AB444" s="679">
        <f t="shared" si="90"/>
        <v>-222634.74458333326</v>
      </c>
      <c r="AC444" s="643"/>
      <c r="AD444" s="644"/>
      <c r="AE444" s="643"/>
      <c r="AF444" s="677">
        <f t="shared" si="89"/>
        <v>0</v>
      </c>
    </row>
    <row r="445" spans="1:32">
      <c r="A445" s="604">
        <v>433</v>
      </c>
      <c r="B445" s="316" t="s">
        <v>956</v>
      </c>
      <c r="C445" s="316" t="s">
        <v>583</v>
      </c>
      <c r="D445" s="316" t="s">
        <v>1197</v>
      </c>
      <c r="E445" s="591" t="s">
        <v>584</v>
      </c>
      <c r="F445" s="603">
        <v>0</v>
      </c>
      <c r="G445" s="603">
        <v>-103102</v>
      </c>
      <c r="H445" s="603">
        <v>-103102</v>
      </c>
      <c r="I445" s="603">
        <v>0</v>
      </c>
      <c r="J445" s="603">
        <v>0</v>
      </c>
      <c r="K445" s="603">
        <v>0</v>
      </c>
      <c r="L445" s="603">
        <v>0</v>
      </c>
      <c r="M445" s="603">
        <v>0</v>
      </c>
      <c r="N445" s="603">
        <v>0</v>
      </c>
      <c r="O445" s="603">
        <v>0</v>
      </c>
      <c r="P445" s="603">
        <v>0</v>
      </c>
      <c r="Q445" s="603">
        <v>0</v>
      </c>
      <c r="R445" s="603">
        <v>0</v>
      </c>
      <c r="S445" s="484">
        <f t="shared" si="82"/>
        <v>-17183.666666666668</v>
      </c>
      <c r="T445" s="604"/>
      <c r="U445" s="642"/>
      <c r="V445" s="679"/>
      <c r="W445" s="679"/>
      <c r="X445" s="702">
        <f t="shared" si="91"/>
        <v>-17183.666666666668</v>
      </c>
      <c r="Y445" s="679"/>
      <c r="Z445" s="679"/>
      <c r="AA445" s="642"/>
      <c r="AB445" s="679">
        <f t="shared" si="90"/>
        <v>-17183.666666666668</v>
      </c>
      <c r="AC445" s="643"/>
      <c r="AD445" s="644"/>
      <c r="AE445" s="643"/>
      <c r="AF445" s="677">
        <f t="shared" si="89"/>
        <v>0</v>
      </c>
    </row>
    <row r="446" spans="1:32">
      <c r="A446" s="604">
        <v>434</v>
      </c>
      <c r="B446" s="316" t="s">
        <v>956</v>
      </c>
      <c r="C446" s="316" t="s">
        <v>583</v>
      </c>
      <c r="D446" s="316" t="s">
        <v>585</v>
      </c>
      <c r="E446" s="591" t="s">
        <v>586</v>
      </c>
      <c r="F446" s="603">
        <v>-7846.82</v>
      </c>
      <c r="G446" s="603">
        <v>-4049.93</v>
      </c>
      <c r="H446" s="603">
        <v>0</v>
      </c>
      <c r="I446" s="603">
        <v>0</v>
      </c>
      <c r="J446" s="603">
        <v>-3826.77</v>
      </c>
      <c r="K446" s="603">
        <v>-5785.53</v>
      </c>
      <c r="L446" s="603">
        <v>-278.16000000000003</v>
      </c>
      <c r="M446" s="603">
        <v>1.7053025658242399E-13</v>
      </c>
      <c r="N446" s="603">
        <v>-1917.97</v>
      </c>
      <c r="O446" s="603">
        <v>2.2737367544323201E-13</v>
      </c>
      <c r="P446" s="603">
        <v>-1140</v>
      </c>
      <c r="Q446" s="603">
        <v>1434.96</v>
      </c>
      <c r="R446" s="603">
        <v>-5404.1</v>
      </c>
      <c r="S446" s="484">
        <f t="shared" si="82"/>
        <v>-1849.0716666666667</v>
      </c>
      <c r="T446" s="604"/>
      <c r="U446" s="642"/>
      <c r="V446" s="679"/>
      <c r="W446" s="679"/>
      <c r="X446" s="702">
        <f t="shared" si="91"/>
        <v>-1849.0716666666667</v>
      </c>
      <c r="Y446" s="679"/>
      <c r="Z446" s="679"/>
      <c r="AA446" s="642"/>
      <c r="AB446" s="679">
        <f t="shared" si="90"/>
        <v>-1849.0716666666667</v>
      </c>
      <c r="AC446" s="643"/>
      <c r="AD446" s="644"/>
      <c r="AE446" s="643"/>
      <c r="AF446" s="677">
        <f t="shared" si="89"/>
        <v>0</v>
      </c>
    </row>
    <row r="447" spans="1:32">
      <c r="A447" s="604">
        <v>435</v>
      </c>
      <c r="B447" s="316" t="s">
        <v>956</v>
      </c>
      <c r="C447" s="316" t="s">
        <v>583</v>
      </c>
      <c r="D447" s="316" t="s">
        <v>414</v>
      </c>
      <c r="E447" s="591" t="s">
        <v>587</v>
      </c>
      <c r="F447" s="603">
        <v>0</v>
      </c>
      <c r="G447" s="603">
        <v>0</v>
      </c>
      <c r="H447" s="603">
        <v>0</v>
      </c>
      <c r="I447" s="603">
        <v>0</v>
      </c>
      <c r="J447" s="603">
        <v>0</v>
      </c>
      <c r="K447" s="603">
        <v>0</v>
      </c>
      <c r="L447" s="603">
        <v>0</v>
      </c>
      <c r="M447" s="603">
        <v>0</v>
      </c>
      <c r="N447" s="603">
        <v>-29.74</v>
      </c>
      <c r="O447" s="603">
        <v>-29.74</v>
      </c>
      <c r="P447" s="603">
        <v>0</v>
      </c>
      <c r="Q447" s="603">
        <v>0</v>
      </c>
      <c r="R447" s="603">
        <v>0</v>
      </c>
      <c r="S447" s="484">
        <f t="shared" si="82"/>
        <v>-4.9566666666666661</v>
      </c>
      <c r="T447" s="604"/>
      <c r="U447" s="642"/>
      <c r="V447" s="679"/>
      <c r="W447" s="679"/>
      <c r="X447" s="702">
        <f t="shared" si="91"/>
        <v>-4.9566666666666661</v>
      </c>
      <c r="Y447" s="679"/>
      <c r="Z447" s="679"/>
      <c r="AA447" s="642"/>
      <c r="AB447" s="679">
        <f t="shared" si="90"/>
        <v>-4.9566666666666661</v>
      </c>
      <c r="AC447" s="643"/>
      <c r="AD447" s="644"/>
      <c r="AE447" s="643"/>
      <c r="AF447" s="677">
        <f t="shared" si="89"/>
        <v>0</v>
      </c>
    </row>
    <row r="448" spans="1:32">
      <c r="A448" s="604">
        <v>436</v>
      </c>
      <c r="B448" s="316" t="s">
        <v>956</v>
      </c>
      <c r="C448" s="316" t="s">
        <v>583</v>
      </c>
      <c r="D448" s="316" t="s">
        <v>417</v>
      </c>
      <c r="E448" s="589" t="s">
        <v>588</v>
      </c>
      <c r="F448" s="603">
        <v>0</v>
      </c>
      <c r="G448" s="603">
        <v>0</v>
      </c>
      <c r="H448" s="603">
        <v>0</v>
      </c>
      <c r="I448" s="603">
        <v>0</v>
      </c>
      <c r="J448" s="603">
        <v>0</v>
      </c>
      <c r="K448" s="603">
        <v>0</v>
      </c>
      <c r="L448" s="603">
        <v>0</v>
      </c>
      <c r="M448" s="603">
        <v>0</v>
      </c>
      <c r="N448" s="603">
        <v>0</v>
      </c>
      <c r="O448" s="603">
        <v>0</v>
      </c>
      <c r="P448" s="603">
        <v>0</v>
      </c>
      <c r="Q448" s="603">
        <v>0</v>
      </c>
      <c r="R448" s="603">
        <v>0</v>
      </c>
      <c r="S448" s="484"/>
      <c r="T448" s="604"/>
      <c r="U448" s="642"/>
      <c r="V448" s="679"/>
      <c r="W448" s="679"/>
      <c r="X448" s="702"/>
      <c r="Y448" s="679"/>
      <c r="Z448" s="679"/>
      <c r="AA448" s="642"/>
      <c r="AB448" s="679"/>
      <c r="AC448" s="643"/>
      <c r="AD448" s="644"/>
      <c r="AE448" s="643"/>
      <c r="AF448" s="677">
        <f t="shared" si="89"/>
        <v>0</v>
      </c>
    </row>
    <row r="449" spans="1:32">
      <c r="A449" s="604">
        <v>437</v>
      </c>
      <c r="B449" s="316" t="s">
        <v>956</v>
      </c>
      <c r="C449" s="316" t="s">
        <v>583</v>
      </c>
      <c r="D449" s="316" t="s">
        <v>419</v>
      </c>
      <c r="E449" s="589" t="s">
        <v>1654</v>
      </c>
      <c r="F449" s="601">
        <v>-141047.06</v>
      </c>
      <c r="G449" s="601">
        <v>-235826.31</v>
      </c>
      <c r="H449" s="601">
        <v>-217771.7</v>
      </c>
      <c r="I449" s="601">
        <v>-241018.49</v>
      </c>
      <c r="J449" s="601">
        <v>-238130.01</v>
      </c>
      <c r="K449" s="601">
        <v>-126537.31</v>
      </c>
      <c r="L449" s="601">
        <v>-123539.78</v>
      </c>
      <c r="M449" s="601">
        <v>-107664.4</v>
      </c>
      <c r="N449" s="601">
        <v>-126691.93</v>
      </c>
      <c r="O449" s="601">
        <v>-229571.79</v>
      </c>
      <c r="P449" s="601">
        <v>-232516.69</v>
      </c>
      <c r="Q449" s="601">
        <v>-239827.82</v>
      </c>
      <c r="R449" s="601">
        <v>-122705.44</v>
      </c>
      <c r="S449" s="484">
        <f t="shared" si="82"/>
        <v>-187581.04</v>
      </c>
      <c r="T449" s="604"/>
      <c r="U449" s="642"/>
      <c r="V449" s="679"/>
      <c r="W449" s="679"/>
      <c r="X449" s="702">
        <f t="shared" si="91"/>
        <v>-187581.04</v>
      </c>
      <c r="Y449" s="679"/>
      <c r="Z449" s="679"/>
      <c r="AA449" s="642"/>
      <c r="AB449" s="679">
        <f t="shared" si="90"/>
        <v>-187581.04</v>
      </c>
      <c r="AC449" s="643"/>
      <c r="AD449" s="644"/>
      <c r="AE449" s="643"/>
      <c r="AF449" s="677">
        <f t="shared" si="89"/>
        <v>0</v>
      </c>
    </row>
    <row r="450" spans="1:32">
      <c r="A450" s="604">
        <v>438</v>
      </c>
      <c r="B450" s="316" t="s">
        <v>956</v>
      </c>
      <c r="C450" s="316" t="s">
        <v>583</v>
      </c>
      <c r="D450" s="316" t="s">
        <v>421</v>
      </c>
      <c r="E450" s="589" t="s">
        <v>1897</v>
      </c>
      <c r="F450" s="601">
        <v>0</v>
      </c>
      <c r="G450" s="601">
        <v>0</v>
      </c>
      <c r="H450" s="601">
        <v>0</v>
      </c>
      <c r="I450" s="601">
        <v>0</v>
      </c>
      <c r="J450" s="601">
        <v>0</v>
      </c>
      <c r="K450" s="601">
        <v>0</v>
      </c>
      <c r="L450" s="601">
        <v>0</v>
      </c>
      <c r="M450" s="601">
        <v>0</v>
      </c>
      <c r="N450" s="601">
        <v>0</v>
      </c>
      <c r="O450" s="601">
        <v>0</v>
      </c>
      <c r="P450" s="601">
        <v>0</v>
      </c>
      <c r="Q450" s="601">
        <v>0</v>
      </c>
      <c r="R450" s="601">
        <v>0</v>
      </c>
      <c r="S450" s="484">
        <f t="shared" si="82"/>
        <v>0</v>
      </c>
      <c r="T450" s="604"/>
      <c r="U450" s="642"/>
      <c r="V450" s="679"/>
      <c r="W450" s="679"/>
      <c r="X450" s="702"/>
      <c r="Y450" s="679"/>
      <c r="Z450" s="679"/>
      <c r="AA450" s="642"/>
      <c r="AB450" s="679"/>
      <c r="AC450" s="643"/>
      <c r="AD450" s="644"/>
      <c r="AE450" s="643"/>
      <c r="AF450" s="677"/>
    </row>
    <row r="451" spans="1:32">
      <c r="A451" s="604">
        <v>439</v>
      </c>
      <c r="B451" s="604"/>
      <c r="C451" s="604"/>
      <c r="D451" s="604"/>
      <c r="E451" s="589" t="s">
        <v>589</v>
      </c>
      <c r="F451" s="295">
        <f t="shared" ref="F451:S451" si="92">SUM(F442:F449)</f>
        <v>-2007577.1700000002</v>
      </c>
      <c r="G451" s="295">
        <f t="shared" si="92"/>
        <v>-3074624.5</v>
      </c>
      <c r="H451" s="295">
        <f t="shared" si="92"/>
        <v>-4598646.5900000008</v>
      </c>
      <c r="I451" s="295">
        <f t="shared" si="92"/>
        <v>-2019400.81</v>
      </c>
      <c r="J451" s="295">
        <f t="shared" si="92"/>
        <v>-1895690.93</v>
      </c>
      <c r="K451" s="295">
        <f t="shared" si="92"/>
        <v>-1937921.3300000003</v>
      </c>
      <c r="L451" s="295">
        <f t="shared" si="92"/>
        <v>-1437234.27</v>
      </c>
      <c r="M451" s="295">
        <f t="shared" si="92"/>
        <v>-1552539.9599999997</v>
      </c>
      <c r="N451" s="295">
        <f t="shared" si="92"/>
        <v>-1701621.6099999999</v>
      </c>
      <c r="O451" s="295">
        <f t="shared" si="92"/>
        <v>-1969944.8</v>
      </c>
      <c r="P451" s="295">
        <f t="shared" si="92"/>
        <v>-1983320.52</v>
      </c>
      <c r="Q451" s="295">
        <f t="shared" si="92"/>
        <v>-2456274.7399999998</v>
      </c>
      <c r="R451" s="295">
        <f t="shared" si="92"/>
        <v>-2644765.54</v>
      </c>
      <c r="S451" s="486">
        <f t="shared" si="92"/>
        <v>-2246115.9512500004</v>
      </c>
      <c r="T451" s="604"/>
      <c r="U451" s="642"/>
      <c r="V451" s="679"/>
      <c r="W451" s="679"/>
      <c r="X451" s="702"/>
      <c r="Y451" s="679"/>
      <c r="Z451" s="679"/>
      <c r="AA451" s="642"/>
      <c r="AB451" s="679"/>
      <c r="AC451" s="643"/>
      <c r="AD451" s="643"/>
      <c r="AE451" s="643"/>
      <c r="AF451" s="677">
        <f t="shared" si="89"/>
        <v>0</v>
      </c>
    </row>
    <row r="452" spans="1:32">
      <c r="A452" s="604">
        <v>440</v>
      </c>
      <c r="B452" s="604"/>
      <c r="C452" s="604"/>
      <c r="D452" s="604"/>
      <c r="E452" s="589"/>
      <c r="F452" s="603"/>
      <c r="G452" s="314"/>
      <c r="H452" s="305"/>
      <c r="I452" s="305"/>
      <c r="J452" s="306"/>
      <c r="K452" s="307"/>
      <c r="L452" s="308"/>
      <c r="M452" s="309"/>
      <c r="N452" s="310"/>
      <c r="O452" s="590"/>
      <c r="P452" s="311"/>
      <c r="Q452" s="315"/>
      <c r="R452" s="603"/>
      <c r="S452" s="294"/>
      <c r="T452" s="604"/>
      <c r="U452" s="642"/>
      <c r="V452" s="679"/>
      <c r="W452" s="679"/>
      <c r="X452" s="702"/>
      <c r="Y452" s="679"/>
      <c r="Z452" s="679"/>
      <c r="AA452" s="642"/>
      <c r="AB452" s="679"/>
      <c r="AC452" s="643"/>
      <c r="AD452" s="643"/>
      <c r="AE452" s="643"/>
      <c r="AF452" s="677">
        <f t="shared" si="89"/>
        <v>0</v>
      </c>
    </row>
    <row r="453" spans="1:32">
      <c r="A453" s="604">
        <v>441</v>
      </c>
      <c r="B453" s="316" t="s">
        <v>956</v>
      </c>
      <c r="C453" s="316" t="s">
        <v>590</v>
      </c>
      <c r="D453" s="604" t="s">
        <v>70</v>
      </c>
      <c r="E453" s="589" t="s">
        <v>1657</v>
      </c>
      <c r="F453" s="603">
        <v>-1.45519152283669E-11</v>
      </c>
      <c r="G453" s="603">
        <v>0</v>
      </c>
      <c r="H453" s="603">
        <v>0</v>
      </c>
      <c r="I453" s="603">
        <v>-107662.78</v>
      </c>
      <c r="J453" s="603">
        <v>0</v>
      </c>
      <c r="K453" s="603">
        <v>0</v>
      </c>
      <c r="L453" s="603">
        <v>0</v>
      </c>
      <c r="M453" s="603">
        <v>0</v>
      </c>
      <c r="N453" s="603">
        <v>-119237.11</v>
      </c>
      <c r="O453" s="603">
        <v>0</v>
      </c>
      <c r="P453" s="603">
        <v>0</v>
      </c>
      <c r="Q453" s="603">
        <v>0</v>
      </c>
      <c r="R453" s="603">
        <v>0</v>
      </c>
      <c r="S453" s="484">
        <f t="shared" si="82"/>
        <v>-18908.324166666669</v>
      </c>
      <c r="T453" s="604"/>
      <c r="U453" s="642"/>
      <c r="V453" s="679">
        <f>+S453</f>
        <v>-18908.324166666669</v>
      </c>
      <c r="W453" s="679"/>
      <c r="X453" s="702"/>
      <c r="Y453" s="679"/>
      <c r="Z453" s="679"/>
      <c r="AA453" s="642"/>
      <c r="AB453" s="679"/>
      <c r="AC453" s="643"/>
      <c r="AD453" s="644">
        <f>+V453</f>
        <v>-18908.324166666669</v>
      </c>
      <c r="AE453" s="643"/>
      <c r="AF453" s="677">
        <f t="shared" si="89"/>
        <v>0</v>
      </c>
    </row>
    <row r="454" spans="1:32">
      <c r="A454" s="604">
        <v>442</v>
      </c>
      <c r="B454" s="316" t="s">
        <v>956</v>
      </c>
      <c r="C454" s="316" t="s">
        <v>590</v>
      </c>
      <c r="D454" s="604" t="s">
        <v>1401</v>
      </c>
      <c r="E454" s="589" t="s">
        <v>1658</v>
      </c>
      <c r="F454" s="603">
        <v>1.45519152283669E-11</v>
      </c>
      <c r="G454" s="603">
        <v>0</v>
      </c>
      <c r="H454" s="603">
        <v>0</v>
      </c>
      <c r="I454" s="603">
        <v>-80808.570000000007</v>
      </c>
      <c r="J454" s="603">
        <v>0</v>
      </c>
      <c r="K454" s="603">
        <v>0</v>
      </c>
      <c r="L454" s="603">
        <v>0</v>
      </c>
      <c r="M454" s="603">
        <v>0</v>
      </c>
      <c r="N454" s="603">
        <v>-84293.21</v>
      </c>
      <c r="O454" s="603">
        <v>0</v>
      </c>
      <c r="P454" s="603">
        <v>907.8</v>
      </c>
      <c r="Q454" s="603">
        <v>907.8</v>
      </c>
      <c r="R454" s="603">
        <v>907.8</v>
      </c>
      <c r="S454" s="484">
        <f t="shared" si="82"/>
        <v>-13569.356666666672</v>
      </c>
      <c r="T454" s="604"/>
      <c r="U454" s="642"/>
      <c r="V454" s="679">
        <f>+S454</f>
        <v>-13569.356666666672</v>
      </c>
      <c r="W454" s="679"/>
      <c r="X454" s="702"/>
      <c r="Y454" s="679"/>
      <c r="Z454" s="679"/>
      <c r="AA454" s="642"/>
      <c r="AB454" s="679"/>
      <c r="AC454" s="643"/>
      <c r="AD454" s="644">
        <f>+V454</f>
        <v>-13569.356666666672</v>
      </c>
      <c r="AE454" s="643"/>
      <c r="AF454" s="677">
        <f t="shared" si="89"/>
        <v>0</v>
      </c>
    </row>
    <row r="455" spans="1:32">
      <c r="A455" s="604">
        <v>443</v>
      </c>
      <c r="B455" s="316" t="s">
        <v>956</v>
      </c>
      <c r="C455" s="316" t="s">
        <v>591</v>
      </c>
      <c r="D455" s="316" t="s">
        <v>515</v>
      </c>
      <c r="E455" s="589" t="s">
        <v>1655</v>
      </c>
      <c r="F455" s="603">
        <v>1.8189894035458601E-12</v>
      </c>
      <c r="G455" s="603">
        <v>1309.1600000000001</v>
      </c>
      <c r="H455" s="603">
        <v>1309.1600000000001</v>
      </c>
      <c r="I455" s="603">
        <v>-12620.42</v>
      </c>
      <c r="J455" s="603">
        <v>1309.1600000000001</v>
      </c>
      <c r="K455" s="603">
        <v>1309.1600000000001</v>
      </c>
      <c r="L455" s="603">
        <v>1309.1600000000001</v>
      </c>
      <c r="M455" s="603">
        <v>1309.1600000000001</v>
      </c>
      <c r="N455" s="603">
        <v>-14590.46</v>
      </c>
      <c r="O455" s="603">
        <v>-1.8189894035458601E-12</v>
      </c>
      <c r="P455" s="603">
        <v>-1.8189894035458601E-12</v>
      </c>
      <c r="Q455" s="603">
        <v>-1.8189894035458601E-12</v>
      </c>
      <c r="R455" s="603">
        <v>-1.8189894035458601E-12</v>
      </c>
      <c r="S455" s="484">
        <f t="shared" si="82"/>
        <v>-1612.9933333333331</v>
      </c>
      <c r="T455" s="604"/>
      <c r="U455" s="642"/>
      <c r="V455" s="679">
        <f>+S455</f>
        <v>-1612.9933333333331</v>
      </c>
      <c r="W455" s="679"/>
      <c r="X455" s="702"/>
      <c r="Y455" s="679"/>
      <c r="Z455" s="679"/>
      <c r="AA455" s="642"/>
      <c r="AB455" s="679"/>
      <c r="AC455" s="643"/>
      <c r="AD455" s="644">
        <f>+V455</f>
        <v>-1612.9933333333331</v>
      </c>
      <c r="AE455" s="643"/>
      <c r="AF455" s="677">
        <f t="shared" si="89"/>
        <v>0</v>
      </c>
    </row>
    <row r="456" spans="1:32">
      <c r="A456" s="604">
        <v>444</v>
      </c>
      <c r="B456" s="316" t="s">
        <v>956</v>
      </c>
      <c r="C456" s="316" t="s">
        <v>591</v>
      </c>
      <c r="D456" s="316" t="s">
        <v>549</v>
      </c>
      <c r="E456" s="589" t="s">
        <v>1656</v>
      </c>
      <c r="F456" s="603">
        <v>-1309.05</v>
      </c>
      <c r="G456" s="603">
        <v>-1711.24</v>
      </c>
      <c r="H456" s="603">
        <v>-2214.2399999999998</v>
      </c>
      <c r="I456" s="603">
        <v>-2841.3</v>
      </c>
      <c r="J456" s="603">
        <v>-1734.02</v>
      </c>
      <c r="K456" s="603">
        <v>-2162.9</v>
      </c>
      <c r="L456" s="603">
        <v>-2574.96</v>
      </c>
      <c r="M456" s="603">
        <v>-2997.03</v>
      </c>
      <c r="N456" s="603">
        <v>-1010.92</v>
      </c>
      <c r="O456" s="603">
        <v>-1402.37</v>
      </c>
      <c r="P456" s="603">
        <v>-412.51</v>
      </c>
      <c r="Q456" s="603">
        <v>-832.16</v>
      </c>
      <c r="R456" s="603">
        <v>-1221.53</v>
      </c>
      <c r="S456" s="484">
        <f t="shared" si="82"/>
        <v>-1763.2449999999999</v>
      </c>
      <c r="T456" s="604"/>
      <c r="U456" s="642"/>
      <c r="V456" s="679">
        <f>+S456</f>
        <v>-1763.2449999999999</v>
      </c>
      <c r="W456" s="679"/>
      <c r="X456" s="702"/>
      <c r="Y456" s="679"/>
      <c r="Z456" s="679"/>
      <c r="AA456" s="642"/>
      <c r="AB456" s="679"/>
      <c r="AC456" s="643"/>
      <c r="AD456" s="644">
        <f>+V456</f>
        <v>-1763.2449999999999</v>
      </c>
      <c r="AE456" s="643"/>
      <c r="AF456" s="677">
        <f t="shared" si="89"/>
        <v>0</v>
      </c>
    </row>
    <row r="457" spans="1:32">
      <c r="A457" s="604">
        <v>445</v>
      </c>
      <c r="B457" s="604"/>
      <c r="C457" s="604"/>
      <c r="D457" s="604"/>
      <c r="E457" s="589" t="s">
        <v>592</v>
      </c>
      <c r="F457" s="295">
        <f t="shared" ref="F457:S457" si="93">SUM(F453:F456)</f>
        <v>-1309.0499999999981</v>
      </c>
      <c r="G457" s="295">
        <f t="shared" si="93"/>
        <v>-402.07999999999993</v>
      </c>
      <c r="H457" s="295">
        <f t="shared" si="93"/>
        <v>-905.0799999999997</v>
      </c>
      <c r="I457" s="295">
        <f t="shared" si="93"/>
        <v>-203933.07</v>
      </c>
      <c r="J457" s="295">
        <f t="shared" si="93"/>
        <v>-424.8599999999999</v>
      </c>
      <c r="K457" s="295">
        <f t="shared" si="93"/>
        <v>-853.74</v>
      </c>
      <c r="L457" s="295">
        <f t="shared" si="93"/>
        <v>-1265.8</v>
      </c>
      <c r="M457" s="295">
        <f t="shared" si="93"/>
        <v>-1687.8700000000001</v>
      </c>
      <c r="N457" s="295">
        <f t="shared" si="93"/>
        <v>-219131.7</v>
      </c>
      <c r="O457" s="295">
        <f t="shared" si="93"/>
        <v>-1402.3700000000017</v>
      </c>
      <c r="P457" s="295">
        <f t="shared" si="93"/>
        <v>495.28999999999814</v>
      </c>
      <c r="Q457" s="295">
        <f t="shared" si="93"/>
        <v>75.639999999998167</v>
      </c>
      <c r="R457" s="295">
        <f t="shared" si="93"/>
        <v>-313.73000000000184</v>
      </c>
      <c r="S457" s="486">
        <f t="shared" si="93"/>
        <v>-35853.919166666674</v>
      </c>
      <c r="T457" s="604"/>
      <c r="U457" s="642"/>
      <c r="V457" s="679"/>
      <c r="W457" s="679"/>
      <c r="X457" s="702"/>
      <c r="Y457" s="679"/>
      <c r="Z457" s="679"/>
      <c r="AA457" s="642"/>
      <c r="AB457" s="679"/>
      <c r="AC457" s="643"/>
      <c r="AD457" s="643"/>
      <c r="AE457" s="643"/>
      <c r="AF457" s="677">
        <f t="shared" si="89"/>
        <v>0</v>
      </c>
    </row>
    <row r="458" spans="1:32">
      <c r="A458" s="604">
        <v>446</v>
      </c>
      <c r="B458" s="604"/>
      <c r="C458" s="604"/>
      <c r="D458" s="604"/>
      <c r="E458" s="589"/>
      <c r="F458" s="603"/>
      <c r="G458" s="314"/>
      <c r="H458" s="305"/>
      <c r="I458" s="305"/>
      <c r="J458" s="306"/>
      <c r="K458" s="307"/>
      <c r="L458" s="308"/>
      <c r="M458" s="309"/>
      <c r="N458" s="310"/>
      <c r="O458" s="590"/>
      <c r="P458" s="311"/>
      <c r="Q458" s="315"/>
      <c r="R458" s="603"/>
      <c r="S458" s="294"/>
      <c r="T458" s="604"/>
      <c r="U458" s="642"/>
      <c r="V458" s="679"/>
      <c r="W458" s="679"/>
      <c r="X458" s="702"/>
      <c r="Y458" s="679"/>
      <c r="Z458" s="679"/>
      <c r="AA458" s="642"/>
      <c r="AB458" s="679"/>
      <c r="AC458" s="643"/>
      <c r="AD458" s="643"/>
      <c r="AE458" s="643"/>
      <c r="AF458" s="677">
        <f t="shared" si="89"/>
        <v>0</v>
      </c>
    </row>
    <row r="459" spans="1:32">
      <c r="A459" s="604">
        <v>447</v>
      </c>
      <c r="B459" s="604"/>
      <c r="C459" s="604"/>
      <c r="D459" s="604"/>
      <c r="E459" s="589" t="s">
        <v>593</v>
      </c>
      <c r="F459" s="295">
        <f>SUM(F421:F440)+F451+F457</f>
        <v>-68448004.469999999</v>
      </c>
      <c r="G459" s="295">
        <f>SUM(G421:G440)+G451+G457</f>
        <v>-72856652.530000001</v>
      </c>
      <c r="H459" s="295">
        <f t="shared" ref="H459:R459" si="94">SUM(H421:H440)+H451+H457</f>
        <v>-83692932.400000021</v>
      </c>
      <c r="I459" s="295">
        <f t="shared" si="94"/>
        <v>-128599309.39000002</v>
      </c>
      <c r="J459" s="295">
        <f t="shared" si="94"/>
        <v>-91194215.01000002</v>
      </c>
      <c r="K459" s="295">
        <f t="shared" si="94"/>
        <v>-87689955.140000001</v>
      </c>
      <c r="L459" s="295">
        <f t="shared" si="94"/>
        <v>-56138812.299999997</v>
      </c>
      <c r="M459" s="295">
        <f t="shared" si="94"/>
        <v>-62275082.989999995</v>
      </c>
      <c r="N459" s="295">
        <f t="shared" si="94"/>
        <v>-63145705.640000008</v>
      </c>
      <c r="O459" s="295">
        <f t="shared" si="94"/>
        <v>-60988461.799999997</v>
      </c>
      <c r="P459" s="295">
        <f t="shared" si="94"/>
        <v>-70227845.199999988</v>
      </c>
      <c r="Q459" s="295">
        <f t="shared" si="94"/>
        <v>-75329339.150000006</v>
      </c>
      <c r="R459" s="295">
        <f t="shared" si="94"/>
        <v>-47045472.370000005</v>
      </c>
      <c r="S459" s="486">
        <f>SUM(S424:S440)+S451+S457+S421+S422</f>
        <v>-75823754.164166704</v>
      </c>
      <c r="T459" s="604"/>
      <c r="U459" s="642"/>
      <c r="V459" s="679"/>
      <c r="W459" s="679"/>
      <c r="X459" s="702"/>
      <c r="Y459" s="679"/>
      <c r="Z459" s="679"/>
      <c r="AA459" s="642"/>
      <c r="AB459" s="679"/>
      <c r="AC459" s="643"/>
      <c r="AD459" s="643"/>
      <c r="AE459" s="643"/>
      <c r="AF459" s="677">
        <f t="shared" si="89"/>
        <v>0</v>
      </c>
    </row>
    <row r="460" spans="1:32">
      <c r="A460" s="604">
        <v>448</v>
      </c>
      <c r="B460" s="604"/>
      <c r="C460" s="604"/>
      <c r="D460" s="604"/>
      <c r="E460" s="589"/>
      <c r="F460" s="603"/>
      <c r="G460" s="314"/>
      <c r="H460" s="305"/>
      <c r="I460" s="305"/>
      <c r="J460" s="306"/>
      <c r="K460" s="307"/>
      <c r="L460" s="308"/>
      <c r="M460" s="309"/>
      <c r="N460" s="310"/>
      <c r="O460" s="590"/>
      <c r="P460" s="311"/>
      <c r="Q460" s="315"/>
      <c r="R460" s="603"/>
      <c r="S460" s="294"/>
      <c r="T460" s="604"/>
      <c r="U460" s="642"/>
      <c r="V460" s="679"/>
      <c r="W460" s="679"/>
      <c r="X460" s="702"/>
      <c r="Y460" s="679"/>
      <c r="Z460" s="679"/>
      <c r="AA460" s="642"/>
      <c r="AB460" s="679"/>
      <c r="AC460" s="643"/>
      <c r="AD460" s="643"/>
      <c r="AE460" s="643"/>
      <c r="AF460" s="677">
        <f t="shared" si="89"/>
        <v>0</v>
      </c>
    </row>
    <row r="461" spans="1:32">
      <c r="A461" s="604">
        <v>449</v>
      </c>
      <c r="B461" s="604"/>
      <c r="C461" s="604"/>
      <c r="D461" s="604"/>
      <c r="E461" s="589"/>
      <c r="F461" s="603"/>
      <c r="G461" s="314"/>
      <c r="H461" s="305"/>
      <c r="I461" s="305"/>
      <c r="J461" s="306"/>
      <c r="K461" s="307"/>
      <c r="L461" s="308"/>
      <c r="M461" s="309"/>
      <c r="N461" s="310"/>
      <c r="O461" s="590"/>
      <c r="P461" s="311"/>
      <c r="Q461" s="315"/>
      <c r="R461" s="603"/>
      <c r="S461" s="294"/>
      <c r="T461" s="604"/>
      <c r="U461" s="642"/>
      <c r="V461" s="679"/>
      <c r="W461" s="679"/>
      <c r="X461" s="702"/>
      <c r="Y461" s="679"/>
      <c r="Z461" s="679"/>
      <c r="AA461" s="642"/>
      <c r="AB461" s="679"/>
      <c r="AC461" s="643"/>
      <c r="AD461" s="643"/>
      <c r="AE461" s="643"/>
      <c r="AF461" s="677"/>
    </row>
    <row r="462" spans="1:32">
      <c r="A462" s="604">
        <v>450</v>
      </c>
      <c r="B462" s="604">
        <v>47</v>
      </c>
      <c r="C462" s="604" t="s">
        <v>608</v>
      </c>
      <c r="D462" s="604" t="s">
        <v>450</v>
      </c>
      <c r="E462" s="589" t="s">
        <v>1898</v>
      </c>
      <c r="F462" s="603">
        <v>-379517.67</v>
      </c>
      <c r="G462" s="314">
        <v>-379517.67</v>
      </c>
      <c r="H462" s="305">
        <v>-379517.67</v>
      </c>
      <c r="I462" s="305">
        <v>-607717.67000000004</v>
      </c>
      <c r="J462" s="306">
        <v>-607717.67000000004</v>
      </c>
      <c r="K462" s="307">
        <v>-607717.67000000004</v>
      </c>
      <c r="L462" s="308">
        <v>-703517.67</v>
      </c>
      <c r="M462" s="309">
        <v>-703517.67</v>
      </c>
      <c r="N462" s="310">
        <v>-703517.67</v>
      </c>
      <c r="O462" s="590">
        <v>-338797.26</v>
      </c>
      <c r="P462" s="311">
        <v>-91243.58</v>
      </c>
      <c r="Q462" s="315">
        <v>4.3655745685100601E-11</v>
      </c>
      <c r="R462" s="603">
        <v>-30100</v>
      </c>
      <c r="S462" s="484">
        <f t="shared" ref="S462:S684" si="95">((F462+R462)+((G462+H462+I462+J462+K462+L462+M462+N462+O462+P462+Q462)*2))/24</f>
        <v>-443965.91958333337</v>
      </c>
      <c r="T462" s="604"/>
      <c r="U462" s="642"/>
      <c r="V462" s="679">
        <f>+S462</f>
        <v>-443965.91958333337</v>
      </c>
      <c r="W462" s="679"/>
      <c r="X462" s="702"/>
      <c r="Y462" s="679"/>
      <c r="Z462" s="679"/>
      <c r="AA462" s="642"/>
      <c r="AB462" s="679"/>
      <c r="AC462" s="643"/>
      <c r="AD462" s="644">
        <f>+S462</f>
        <v>-443965.91958333337</v>
      </c>
      <c r="AE462" s="643"/>
      <c r="AF462" s="677"/>
    </row>
    <row r="463" spans="1:32">
      <c r="A463" s="604">
        <v>451</v>
      </c>
      <c r="B463" s="316" t="s">
        <v>956</v>
      </c>
      <c r="C463" s="316" t="s">
        <v>609</v>
      </c>
      <c r="D463" s="316" t="s">
        <v>481</v>
      </c>
      <c r="E463" s="589" t="s">
        <v>610</v>
      </c>
      <c r="F463" s="603">
        <v>-24135</v>
      </c>
      <c r="G463" s="603">
        <v>-24135</v>
      </c>
      <c r="H463" s="603">
        <v>-24135</v>
      </c>
      <c r="I463" s="603">
        <v>-24135</v>
      </c>
      <c r="J463" s="603">
        <v>-24135</v>
      </c>
      <c r="K463" s="603">
        <v>-24135</v>
      </c>
      <c r="L463" s="603">
        <v>-24135</v>
      </c>
      <c r="M463" s="603">
        <v>-24135</v>
      </c>
      <c r="N463" s="603">
        <v>-24135</v>
      </c>
      <c r="O463" s="603">
        <v>-24135</v>
      </c>
      <c r="P463" s="603">
        <v>-24135</v>
      </c>
      <c r="Q463" s="603">
        <v>-24135</v>
      </c>
      <c r="R463" s="603">
        <v>-24135</v>
      </c>
      <c r="S463" s="484">
        <f t="shared" si="95"/>
        <v>-24135</v>
      </c>
      <c r="T463" s="604"/>
      <c r="U463" s="642"/>
      <c r="V463" s="679">
        <f t="shared" ref="V463:V484" si="96">+S463</f>
        <v>-24135</v>
      </c>
      <c r="W463" s="679"/>
      <c r="X463" s="702"/>
      <c r="Y463" s="679"/>
      <c r="Z463" s="679"/>
      <c r="AA463" s="642"/>
      <c r="AB463" s="679"/>
      <c r="AC463" s="643"/>
      <c r="AD463" s="644">
        <f t="shared" ref="AD463:AD480" si="97">+V463</f>
        <v>-24135</v>
      </c>
      <c r="AE463" s="643"/>
      <c r="AF463" s="677">
        <f t="shared" si="89"/>
        <v>0</v>
      </c>
    </row>
    <row r="464" spans="1:32">
      <c r="A464" s="604">
        <v>452</v>
      </c>
      <c r="B464" s="316" t="s">
        <v>956</v>
      </c>
      <c r="C464" s="316" t="s">
        <v>594</v>
      </c>
      <c r="D464" s="316" t="s">
        <v>949</v>
      </c>
      <c r="E464" s="589" t="s">
        <v>1659</v>
      </c>
      <c r="F464" s="603">
        <v>9.3132257461547893E-10</v>
      </c>
      <c r="G464" s="603">
        <v>0</v>
      </c>
      <c r="H464" s="603">
        <v>0</v>
      </c>
      <c r="I464" s="603">
        <v>0</v>
      </c>
      <c r="J464" s="603">
        <v>0</v>
      </c>
      <c r="K464" s="603">
        <v>0</v>
      </c>
      <c r="L464" s="603">
        <v>0</v>
      </c>
      <c r="M464" s="603">
        <v>0</v>
      </c>
      <c r="N464" s="603">
        <v>0</v>
      </c>
      <c r="O464" s="603">
        <v>0</v>
      </c>
      <c r="P464" s="603">
        <v>0</v>
      </c>
      <c r="Q464" s="603">
        <v>0</v>
      </c>
      <c r="R464" s="603">
        <v>0</v>
      </c>
      <c r="S464" s="484">
        <f t="shared" si="95"/>
        <v>3.8805107275644955E-11</v>
      </c>
      <c r="T464" s="604"/>
      <c r="U464" s="642"/>
      <c r="V464" s="679">
        <f t="shared" si="96"/>
        <v>3.8805107275644955E-11</v>
      </c>
      <c r="W464" s="679"/>
      <c r="X464" s="702"/>
      <c r="Y464" s="679"/>
      <c r="Z464" s="679"/>
      <c r="AA464" s="642"/>
      <c r="AB464" s="679"/>
      <c r="AC464" s="643"/>
      <c r="AD464" s="644">
        <f t="shared" si="97"/>
        <v>3.8805107275644955E-11</v>
      </c>
      <c r="AE464" s="643"/>
      <c r="AF464" s="677">
        <f t="shared" si="89"/>
        <v>0</v>
      </c>
    </row>
    <row r="465" spans="1:32">
      <c r="A465" s="604">
        <v>453</v>
      </c>
      <c r="B465" s="316" t="s">
        <v>956</v>
      </c>
      <c r="C465" s="316" t="s">
        <v>595</v>
      </c>
      <c r="D465" s="316" t="s">
        <v>948</v>
      </c>
      <c r="E465" s="589" t="s">
        <v>1660</v>
      </c>
      <c r="F465" s="603">
        <v>-129565.47</v>
      </c>
      <c r="G465" s="603">
        <v>-154802.07</v>
      </c>
      <c r="H465" s="603">
        <v>-155416.01</v>
      </c>
      <c r="I465" s="603">
        <v>-167490.20000000001</v>
      </c>
      <c r="J465" s="603">
        <v>-104211.76</v>
      </c>
      <c r="K465" s="603">
        <v>-127291.67</v>
      </c>
      <c r="L465" s="603">
        <v>-130276.45</v>
      </c>
      <c r="M465" s="603">
        <v>-150713.28</v>
      </c>
      <c r="N465" s="603">
        <v>-168428.32</v>
      </c>
      <c r="O465" s="603">
        <v>-92548.62</v>
      </c>
      <c r="P465" s="603">
        <v>-114503.63</v>
      </c>
      <c r="Q465" s="603">
        <v>-119017.89</v>
      </c>
      <c r="R465" s="603">
        <v>-139783.25</v>
      </c>
      <c r="S465" s="484">
        <f t="shared" si="95"/>
        <v>-134947.85499999998</v>
      </c>
      <c r="T465" s="604"/>
      <c r="U465" s="642"/>
      <c r="V465" s="679">
        <f t="shared" si="96"/>
        <v>-134947.85499999998</v>
      </c>
      <c r="W465" s="679"/>
      <c r="X465" s="702"/>
      <c r="Y465" s="679"/>
      <c r="Z465" s="679"/>
      <c r="AA465" s="642"/>
      <c r="AB465" s="679"/>
      <c r="AC465" s="643"/>
      <c r="AD465" s="644">
        <f t="shared" si="97"/>
        <v>-134947.85499999998</v>
      </c>
      <c r="AE465" s="643"/>
      <c r="AF465" s="677">
        <f t="shared" si="89"/>
        <v>0</v>
      </c>
    </row>
    <row r="466" spans="1:32">
      <c r="A466" s="604">
        <v>454</v>
      </c>
      <c r="B466" s="316" t="s">
        <v>956</v>
      </c>
      <c r="C466" s="316" t="s">
        <v>595</v>
      </c>
      <c r="D466" s="316" t="s">
        <v>1187</v>
      </c>
      <c r="E466" s="589" t="s">
        <v>1661</v>
      </c>
      <c r="F466" s="603">
        <v>-91467.8</v>
      </c>
      <c r="G466" s="603">
        <v>-99661.6</v>
      </c>
      <c r="H466" s="603">
        <v>-34028.67</v>
      </c>
      <c r="I466" s="603">
        <v>-41411.040000000001</v>
      </c>
      <c r="J466" s="603">
        <v>-49001.66</v>
      </c>
      <c r="K466" s="603">
        <v>-61904.91</v>
      </c>
      <c r="L466" s="603">
        <v>-71772.570000000007</v>
      </c>
      <c r="M466" s="603">
        <v>-82456.28</v>
      </c>
      <c r="N466" s="603">
        <v>-92381.74</v>
      </c>
      <c r="O466" s="603">
        <v>-101952.82</v>
      </c>
      <c r="P466" s="603">
        <v>-120343.18</v>
      </c>
      <c r="Q466" s="603">
        <v>-134804.47</v>
      </c>
      <c r="R466" s="603">
        <v>-147991.14000000001</v>
      </c>
      <c r="S466" s="484">
        <f t="shared" si="95"/>
        <v>-84120.700833333321</v>
      </c>
      <c r="T466" s="604"/>
      <c r="U466" s="642"/>
      <c r="V466" s="679">
        <f t="shared" si="96"/>
        <v>-84120.700833333321</v>
      </c>
      <c r="W466" s="679"/>
      <c r="X466" s="702"/>
      <c r="Y466" s="679"/>
      <c r="Z466" s="679"/>
      <c r="AA466" s="642"/>
      <c r="AB466" s="679"/>
      <c r="AC466" s="643"/>
      <c r="AD466" s="644">
        <f t="shared" si="97"/>
        <v>-84120.700833333321</v>
      </c>
      <c r="AE466" s="643"/>
      <c r="AF466" s="677">
        <f t="shared" si="89"/>
        <v>0</v>
      </c>
    </row>
    <row r="467" spans="1:32">
      <c r="A467" s="604">
        <v>455</v>
      </c>
      <c r="B467" s="316" t="s">
        <v>956</v>
      </c>
      <c r="C467" s="316" t="s">
        <v>595</v>
      </c>
      <c r="D467" s="316" t="s">
        <v>949</v>
      </c>
      <c r="E467" s="589" t="s">
        <v>1662</v>
      </c>
      <c r="F467" s="603">
        <v>-10477.540000000001</v>
      </c>
      <c r="G467" s="603">
        <v>-15422.37</v>
      </c>
      <c r="H467" s="603">
        <v>-14310.3</v>
      </c>
      <c r="I467" s="603">
        <v>-14371.42</v>
      </c>
      <c r="J467" s="603">
        <v>-183.34000000000199</v>
      </c>
      <c r="K467" s="603">
        <v>-381.16000000000201</v>
      </c>
      <c r="L467" s="603">
        <v>-658.79000000000201</v>
      </c>
      <c r="M467" s="603">
        <v>-561.12000000000205</v>
      </c>
      <c r="N467" s="603">
        <v>-760.22000000000196</v>
      </c>
      <c r="O467" s="603">
        <v>-898.33000000000197</v>
      </c>
      <c r="P467" s="603">
        <v>-97.270000000002099</v>
      </c>
      <c r="Q467" s="603">
        <v>-194.88000000000201</v>
      </c>
      <c r="R467" s="603">
        <v>-11252.53</v>
      </c>
      <c r="S467" s="484">
        <f t="shared" si="95"/>
        <v>-4892.0195833333346</v>
      </c>
      <c r="T467" s="604"/>
      <c r="U467" s="642"/>
      <c r="V467" s="679">
        <f t="shared" si="96"/>
        <v>-4892.0195833333346</v>
      </c>
      <c r="W467" s="679"/>
      <c r="X467" s="702"/>
      <c r="Y467" s="679"/>
      <c r="Z467" s="679"/>
      <c r="AA467" s="642"/>
      <c r="AB467" s="679"/>
      <c r="AC467" s="643"/>
      <c r="AD467" s="644">
        <f t="shared" si="97"/>
        <v>-4892.0195833333346</v>
      </c>
      <c r="AE467" s="643"/>
      <c r="AF467" s="677">
        <f t="shared" si="89"/>
        <v>0</v>
      </c>
    </row>
    <row r="468" spans="1:32">
      <c r="A468" s="604">
        <v>456</v>
      </c>
      <c r="B468" s="316" t="s">
        <v>956</v>
      </c>
      <c r="C468" s="316" t="s">
        <v>595</v>
      </c>
      <c r="D468" s="316" t="s">
        <v>70</v>
      </c>
      <c r="E468" s="589" t="s">
        <v>1663</v>
      </c>
      <c r="F468" s="603">
        <v>-5803.23</v>
      </c>
      <c r="G468" s="603">
        <v>-11582.07</v>
      </c>
      <c r="H468" s="603">
        <v>-18648.330000000002</v>
      </c>
      <c r="I468" s="603">
        <v>-25096.81</v>
      </c>
      <c r="J468" s="603">
        <v>-9025.06</v>
      </c>
      <c r="K468" s="603">
        <v>-13022.16</v>
      </c>
      <c r="L468" s="603">
        <v>-14887</v>
      </c>
      <c r="M468" s="603">
        <v>-2948.76</v>
      </c>
      <c r="N468" s="603">
        <v>-3587.88</v>
      </c>
      <c r="O468" s="603">
        <v>-4258.08</v>
      </c>
      <c r="P468" s="603">
        <v>-847.91000000000201</v>
      </c>
      <c r="Q468" s="603">
        <v>-1289.18</v>
      </c>
      <c r="R468" s="603">
        <v>-5342.62</v>
      </c>
      <c r="S468" s="484">
        <f t="shared" si="95"/>
        <v>-9230.5137500000001</v>
      </c>
      <c r="T468" s="604"/>
      <c r="U468" s="642"/>
      <c r="V468" s="679">
        <f t="shared" si="96"/>
        <v>-9230.5137500000001</v>
      </c>
      <c r="W468" s="679"/>
      <c r="X468" s="702"/>
      <c r="Y468" s="679"/>
      <c r="Z468" s="679"/>
      <c r="AA468" s="642"/>
      <c r="AB468" s="679"/>
      <c r="AC468" s="643"/>
      <c r="AD468" s="644">
        <f t="shared" si="97"/>
        <v>-9230.5137500000001</v>
      </c>
      <c r="AE468" s="643"/>
      <c r="AF468" s="677">
        <f t="shared" si="89"/>
        <v>0</v>
      </c>
    </row>
    <row r="469" spans="1:32">
      <c r="A469" s="604">
        <v>457</v>
      </c>
      <c r="B469" s="316" t="s">
        <v>956</v>
      </c>
      <c r="C469" s="316" t="s">
        <v>595</v>
      </c>
      <c r="D469" s="604" t="s">
        <v>1156</v>
      </c>
      <c r="E469" s="589" t="s">
        <v>1664</v>
      </c>
      <c r="F469" s="603">
        <v>-985.4</v>
      </c>
      <c r="G469" s="603">
        <v>0</v>
      </c>
      <c r="H469" s="603">
        <v>0</v>
      </c>
      <c r="I469" s="603">
        <v>-5312.44</v>
      </c>
      <c r="J469" s="603">
        <v>0</v>
      </c>
      <c r="K469" s="603">
        <v>0</v>
      </c>
      <c r="L469" s="603">
        <v>-25079.21</v>
      </c>
      <c r="M469" s="603">
        <v>0</v>
      </c>
      <c r="N469" s="603">
        <v>0</v>
      </c>
      <c r="O469" s="603">
        <v>-27807.85</v>
      </c>
      <c r="P469" s="603">
        <v>-31732.3</v>
      </c>
      <c r="Q469" s="603">
        <v>-41733.56</v>
      </c>
      <c r="R469" s="603">
        <v>0</v>
      </c>
      <c r="S469" s="484">
        <f t="shared" si="95"/>
        <v>-11013.171666666667</v>
      </c>
      <c r="T469" s="604"/>
      <c r="U469" s="642"/>
      <c r="V469" s="679">
        <f t="shared" si="96"/>
        <v>-11013.171666666667</v>
      </c>
      <c r="W469" s="679"/>
      <c r="X469" s="702"/>
      <c r="Y469" s="679"/>
      <c r="Z469" s="679"/>
      <c r="AA469" s="642"/>
      <c r="AB469" s="679"/>
      <c r="AC469" s="643"/>
      <c r="AD469" s="644">
        <f t="shared" si="97"/>
        <v>-11013.171666666667</v>
      </c>
      <c r="AE469" s="643"/>
      <c r="AF469" s="677">
        <f t="shared" si="89"/>
        <v>0</v>
      </c>
    </row>
    <row r="470" spans="1:32">
      <c r="A470" s="604">
        <v>458</v>
      </c>
      <c r="B470" s="316" t="s">
        <v>956</v>
      </c>
      <c r="C470" s="316" t="s">
        <v>595</v>
      </c>
      <c r="D470" s="316" t="s">
        <v>1402</v>
      </c>
      <c r="E470" s="589" t="s">
        <v>1665</v>
      </c>
      <c r="F470" s="603">
        <v>0</v>
      </c>
      <c r="G470" s="603">
        <v>0</v>
      </c>
      <c r="H470" s="603">
        <v>0</v>
      </c>
      <c r="I470" s="603">
        <v>-1781.97</v>
      </c>
      <c r="J470" s="603">
        <v>852.74</v>
      </c>
      <c r="K470" s="603">
        <v>852.74</v>
      </c>
      <c r="L470" s="603">
        <v>-1709.42</v>
      </c>
      <c r="M470" s="603">
        <v>852.74</v>
      </c>
      <c r="N470" s="603">
        <v>13.11</v>
      </c>
      <c r="O470" s="603">
        <v>-895.76</v>
      </c>
      <c r="P470" s="603">
        <v>-306.87</v>
      </c>
      <c r="Q470" s="603">
        <v>-548.22</v>
      </c>
      <c r="R470" s="603">
        <v>-766.71</v>
      </c>
      <c r="S470" s="484">
        <f t="shared" si="95"/>
        <v>-254.52208333333331</v>
      </c>
      <c r="T470" s="604"/>
      <c r="U470" s="642"/>
      <c r="V470" s="679">
        <f t="shared" si="96"/>
        <v>-254.52208333333331</v>
      </c>
      <c r="W470" s="679"/>
      <c r="X470" s="702"/>
      <c r="Y470" s="679"/>
      <c r="Z470" s="679"/>
      <c r="AA470" s="642"/>
      <c r="AB470" s="679"/>
      <c r="AC470" s="643"/>
      <c r="AD470" s="644">
        <f t="shared" si="97"/>
        <v>-254.52208333333331</v>
      </c>
      <c r="AE470" s="643"/>
      <c r="AF470" s="677">
        <f t="shared" si="89"/>
        <v>0</v>
      </c>
    </row>
    <row r="471" spans="1:32">
      <c r="A471" s="604">
        <v>459</v>
      </c>
      <c r="B471" s="316" t="s">
        <v>956</v>
      </c>
      <c r="C471" s="316" t="s">
        <v>595</v>
      </c>
      <c r="D471" s="316" t="s">
        <v>93</v>
      </c>
      <c r="E471" s="589" t="s">
        <v>1666</v>
      </c>
      <c r="F471" s="603">
        <v>-9109.7999999999993</v>
      </c>
      <c r="G471" s="603">
        <v>-17034.45</v>
      </c>
      <c r="H471" s="603">
        <v>-28797.9</v>
      </c>
      <c r="I471" s="603">
        <v>-37576.379999999997</v>
      </c>
      <c r="J471" s="603">
        <v>-11906.16</v>
      </c>
      <c r="K471" s="603">
        <v>51711.99</v>
      </c>
      <c r="L471" s="603">
        <v>47225.06</v>
      </c>
      <c r="M471" s="603">
        <v>43899.66</v>
      </c>
      <c r="N471" s="603">
        <v>-8675.73</v>
      </c>
      <c r="O471" s="603">
        <v>-10195.17</v>
      </c>
      <c r="P471" s="603">
        <v>-1543.67</v>
      </c>
      <c r="Q471" s="603">
        <v>-2272.86</v>
      </c>
      <c r="R471" s="603">
        <v>-10011.82</v>
      </c>
      <c r="S471" s="484">
        <f t="shared" si="95"/>
        <v>1272.798333333332</v>
      </c>
      <c r="T471" s="604"/>
      <c r="U471" s="642"/>
      <c r="V471" s="679">
        <f t="shared" si="96"/>
        <v>1272.798333333332</v>
      </c>
      <c r="W471" s="679"/>
      <c r="X471" s="702"/>
      <c r="Y471" s="679"/>
      <c r="Z471" s="679"/>
      <c r="AA471" s="642"/>
      <c r="AB471" s="679"/>
      <c r="AC471" s="643"/>
      <c r="AD471" s="644">
        <f t="shared" si="97"/>
        <v>1272.798333333332</v>
      </c>
      <c r="AE471" s="643"/>
      <c r="AF471" s="677">
        <f t="shared" si="89"/>
        <v>0</v>
      </c>
    </row>
    <row r="472" spans="1:32">
      <c r="A472" s="604">
        <v>460</v>
      </c>
      <c r="B472" s="316" t="s">
        <v>956</v>
      </c>
      <c r="C472" s="316" t="s">
        <v>595</v>
      </c>
      <c r="D472" s="316" t="s">
        <v>1403</v>
      </c>
      <c r="E472" s="589" t="s">
        <v>1667</v>
      </c>
      <c r="F472" s="603">
        <v>-71423.69</v>
      </c>
      <c r="G472" s="603">
        <v>0</v>
      </c>
      <c r="H472" s="603">
        <v>0</v>
      </c>
      <c r="I472" s="603">
        <v>-78265.179999999993</v>
      </c>
      <c r="J472" s="603">
        <v>0</v>
      </c>
      <c r="K472" s="603">
        <v>0</v>
      </c>
      <c r="L472" s="603">
        <v>-146828.9</v>
      </c>
      <c r="M472" s="603">
        <v>-3548.45999999999</v>
      </c>
      <c r="N472" s="603">
        <v>8.1854523159563493E-12</v>
      </c>
      <c r="O472" s="603">
        <v>-82589.990000000005</v>
      </c>
      <c r="P472" s="603">
        <v>-108008.53</v>
      </c>
      <c r="Q472" s="603">
        <v>-55569.09</v>
      </c>
      <c r="R472" s="603">
        <v>-79962.61</v>
      </c>
      <c r="S472" s="484">
        <f t="shared" si="95"/>
        <v>-45875.274999999994</v>
      </c>
      <c r="T472" s="604"/>
      <c r="U472" s="642"/>
      <c r="V472" s="679">
        <f t="shared" si="96"/>
        <v>-45875.274999999994</v>
      </c>
      <c r="W472" s="679"/>
      <c r="X472" s="702"/>
      <c r="Y472" s="679"/>
      <c r="Z472" s="679"/>
      <c r="AA472" s="642"/>
      <c r="AB472" s="679"/>
      <c r="AC472" s="643"/>
      <c r="AD472" s="644">
        <f t="shared" si="97"/>
        <v>-45875.274999999994</v>
      </c>
      <c r="AE472" s="643"/>
      <c r="AF472" s="677">
        <f t="shared" si="89"/>
        <v>0</v>
      </c>
    </row>
    <row r="473" spans="1:32">
      <c r="A473" s="604">
        <v>461</v>
      </c>
      <c r="B473" s="316" t="s">
        <v>956</v>
      </c>
      <c r="C473" s="316" t="s">
        <v>595</v>
      </c>
      <c r="D473" s="316" t="s">
        <v>1899</v>
      </c>
      <c r="E473" s="589" t="s">
        <v>1667</v>
      </c>
      <c r="F473" s="603">
        <v>0</v>
      </c>
      <c r="G473" s="603">
        <v>-6089.54</v>
      </c>
      <c r="H473" s="603">
        <v>-16011.4</v>
      </c>
      <c r="I473" s="603">
        <v>-25667.31</v>
      </c>
      <c r="J473" s="603">
        <v>-33140.21</v>
      </c>
      <c r="K473" s="603">
        <v>-13082.53</v>
      </c>
      <c r="L473" s="603">
        <v>-20607.52</v>
      </c>
      <c r="M473" s="603">
        <v>-28197.32</v>
      </c>
      <c r="N473" s="603">
        <v>-19606.07</v>
      </c>
      <c r="O473" s="603">
        <v>-26881.07</v>
      </c>
      <c r="P473" s="603">
        <v>-34787.53</v>
      </c>
      <c r="Q473" s="603">
        <v>-16447.91</v>
      </c>
      <c r="R473" s="603">
        <v>-23699.43</v>
      </c>
      <c r="S473" s="484">
        <f t="shared" si="95"/>
        <v>-21030.677083333332</v>
      </c>
      <c r="T473" s="604"/>
      <c r="U473" s="642"/>
      <c r="V473" s="679">
        <f>+S473</f>
        <v>-21030.677083333332</v>
      </c>
      <c r="W473" s="679"/>
      <c r="X473" s="702"/>
      <c r="Y473" s="679"/>
      <c r="Z473" s="679"/>
      <c r="AA473" s="642"/>
      <c r="AB473" s="679"/>
      <c r="AC473" s="643"/>
      <c r="AD473" s="644">
        <f t="shared" si="97"/>
        <v>-21030.677083333332</v>
      </c>
      <c r="AE473" s="643"/>
      <c r="AF473" s="677">
        <f t="shared" si="89"/>
        <v>0</v>
      </c>
    </row>
    <row r="474" spans="1:32">
      <c r="A474" s="604">
        <v>462</v>
      </c>
      <c r="B474" s="316" t="s">
        <v>956</v>
      </c>
      <c r="C474" s="316" t="s">
        <v>596</v>
      </c>
      <c r="D474" s="316"/>
      <c r="E474" s="589" t="s">
        <v>1668</v>
      </c>
      <c r="F474" s="603">
        <v>-4512.1000000000004</v>
      </c>
      <c r="G474" s="603">
        <v>-8005.13</v>
      </c>
      <c r="H474" s="603">
        <v>-2175.64</v>
      </c>
      <c r="I474" s="603">
        <v>-16022.16</v>
      </c>
      <c r="J474" s="603">
        <v>-1720.98</v>
      </c>
      <c r="K474" s="603">
        <v>-17838.740000000002</v>
      </c>
      <c r="L474" s="603">
        <v>-550.78000000000202</v>
      </c>
      <c r="M474" s="603">
        <v>-2048</v>
      </c>
      <c r="N474" s="603">
        <v>-8330.27</v>
      </c>
      <c r="O474" s="603">
        <v>-7944.76</v>
      </c>
      <c r="P474" s="603">
        <v>-6135.49</v>
      </c>
      <c r="Q474" s="603">
        <v>-6993.22</v>
      </c>
      <c r="R474" s="603">
        <v>-11696.45</v>
      </c>
      <c r="S474" s="484">
        <f t="shared" si="95"/>
        <v>-7155.7870833333327</v>
      </c>
      <c r="T474" s="604"/>
      <c r="U474" s="642"/>
      <c r="V474" s="679">
        <f t="shared" si="96"/>
        <v>-7155.7870833333327</v>
      </c>
      <c r="W474" s="679"/>
      <c r="X474" s="702"/>
      <c r="Y474" s="679"/>
      <c r="Z474" s="679"/>
      <c r="AA474" s="642"/>
      <c r="AB474" s="679"/>
      <c r="AC474" s="643"/>
      <c r="AD474" s="644">
        <f t="shared" si="97"/>
        <v>-7155.7870833333327</v>
      </c>
      <c r="AE474" s="643"/>
      <c r="AF474" s="677">
        <f t="shared" si="89"/>
        <v>0</v>
      </c>
    </row>
    <row r="475" spans="1:32">
      <c r="A475" s="604">
        <v>463</v>
      </c>
      <c r="B475" s="316" t="s">
        <v>959</v>
      </c>
      <c r="C475" s="316" t="s">
        <v>596</v>
      </c>
      <c r="D475" s="316" t="s">
        <v>515</v>
      </c>
      <c r="E475" s="589" t="s">
        <v>1699</v>
      </c>
      <c r="F475" s="603">
        <v>-26.14</v>
      </c>
      <c r="G475" s="603">
        <v>0</v>
      </c>
      <c r="H475" s="603">
        <v>-20.87</v>
      </c>
      <c r="I475" s="603">
        <v>0</v>
      </c>
      <c r="J475" s="603">
        <v>0</v>
      </c>
      <c r="K475" s="603">
        <v>-72.22</v>
      </c>
      <c r="L475" s="603">
        <v>-21.68</v>
      </c>
      <c r="M475" s="603">
        <v>-21</v>
      </c>
      <c r="N475" s="603">
        <v>-46.58</v>
      </c>
      <c r="O475" s="603">
        <v>-8.9999999999996305E-2</v>
      </c>
      <c r="P475" s="603">
        <v>-5.25</v>
      </c>
      <c r="Q475" s="603">
        <v>3.5527136788005001E-15</v>
      </c>
      <c r="R475" s="603">
        <v>-13.91</v>
      </c>
      <c r="S475" s="484">
        <f t="shared" si="95"/>
        <v>-17.309583333333336</v>
      </c>
      <c r="T475" s="604"/>
      <c r="U475" s="642"/>
      <c r="V475" s="679">
        <f t="shared" si="96"/>
        <v>-17.309583333333336</v>
      </c>
      <c r="W475" s="679"/>
      <c r="X475" s="702"/>
      <c r="Y475" s="679"/>
      <c r="Z475" s="679"/>
      <c r="AA475" s="642"/>
      <c r="AB475" s="679"/>
      <c r="AC475" s="643"/>
      <c r="AD475" s="644">
        <f t="shared" si="97"/>
        <v>-17.309583333333336</v>
      </c>
      <c r="AE475" s="643"/>
      <c r="AF475" s="677">
        <f t="shared" si="89"/>
        <v>0</v>
      </c>
    </row>
    <row r="476" spans="1:32">
      <c r="A476" s="604">
        <v>464</v>
      </c>
      <c r="B476" s="316" t="s">
        <v>984</v>
      </c>
      <c r="C476" s="316" t="s">
        <v>597</v>
      </c>
      <c r="D476" s="316" t="s">
        <v>948</v>
      </c>
      <c r="E476" s="589" t="s">
        <v>1700</v>
      </c>
      <c r="F476" s="603">
        <v>0</v>
      </c>
      <c r="G476" s="603">
        <v>0</v>
      </c>
      <c r="H476" s="603">
        <v>0</v>
      </c>
      <c r="I476" s="603">
        <v>0</v>
      </c>
      <c r="J476" s="603">
        <v>0</v>
      </c>
      <c r="K476" s="603">
        <v>0</v>
      </c>
      <c r="L476" s="603">
        <v>0</v>
      </c>
      <c r="M476" s="603">
        <v>-157394</v>
      </c>
      <c r="N476" s="603">
        <v>-314788</v>
      </c>
      <c r="O476" s="603">
        <v>-472182</v>
      </c>
      <c r="P476" s="603">
        <v>-629576</v>
      </c>
      <c r="Q476" s="603">
        <v>0</v>
      </c>
      <c r="R476" s="603">
        <v>0</v>
      </c>
      <c r="S476" s="484">
        <f t="shared" si="95"/>
        <v>-131161.66666666666</v>
      </c>
      <c r="T476" s="604"/>
      <c r="U476" s="642"/>
      <c r="V476" s="679">
        <f t="shared" si="96"/>
        <v>-131161.66666666666</v>
      </c>
      <c r="W476" s="679"/>
      <c r="X476" s="702"/>
      <c r="Y476" s="679"/>
      <c r="Z476" s="679"/>
      <c r="AA476" s="642"/>
      <c r="AB476" s="679"/>
      <c r="AC476" s="643"/>
      <c r="AD476" s="644">
        <f t="shared" si="97"/>
        <v>-131161.66666666666</v>
      </c>
      <c r="AE476" s="643"/>
      <c r="AF476" s="677">
        <f t="shared" si="89"/>
        <v>0</v>
      </c>
    </row>
    <row r="477" spans="1:32">
      <c r="A477" s="604">
        <v>465</v>
      </c>
      <c r="B477" s="316" t="s">
        <v>984</v>
      </c>
      <c r="C477" s="316" t="s">
        <v>597</v>
      </c>
      <c r="D477" s="316" t="s">
        <v>470</v>
      </c>
      <c r="E477" s="589" t="s">
        <v>1690</v>
      </c>
      <c r="F477" s="603">
        <v>-709456.17</v>
      </c>
      <c r="G477" s="603">
        <v>-544458.74</v>
      </c>
      <c r="H477" s="603">
        <v>-781478.16</v>
      </c>
      <c r="I477" s="603">
        <v>-1007790.95</v>
      </c>
      <c r="J477" s="603">
        <v>-383831.59</v>
      </c>
      <c r="K477" s="603">
        <v>-405417.44</v>
      </c>
      <c r="L477" s="603">
        <v>-452361.79</v>
      </c>
      <c r="M477" s="603">
        <v>-148123.29</v>
      </c>
      <c r="N477" s="603">
        <v>-199462.39</v>
      </c>
      <c r="O477" s="603">
        <v>-279629.99</v>
      </c>
      <c r="P477" s="603">
        <v>-293035.52000000002</v>
      </c>
      <c r="Q477" s="603">
        <v>-564104.62</v>
      </c>
      <c r="R477" s="603">
        <v>-920291.67</v>
      </c>
      <c r="S477" s="484">
        <f t="shared" si="95"/>
        <v>-489547.36666666664</v>
      </c>
      <c r="T477" s="604"/>
      <c r="U477" s="642"/>
      <c r="V477" s="679">
        <f t="shared" si="96"/>
        <v>-489547.36666666664</v>
      </c>
      <c r="W477" s="679"/>
      <c r="X477" s="702"/>
      <c r="Y477" s="679"/>
      <c r="Z477" s="679"/>
      <c r="AA477" s="642"/>
      <c r="AB477" s="679"/>
      <c r="AC477" s="643"/>
      <c r="AD477" s="644">
        <f t="shared" si="97"/>
        <v>-489547.36666666664</v>
      </c>
      <c r="AE477" s="643"/>
      <c r="AF477" s="677">
        <f t="shared" si="89"/>
        <v>0</v>
      </c>
    </row>
    <row r="478" spans="1:32">
      <c r="A478" s="604">
        <v>466</v>
      </c>
      <c r="B478" s="316" t="s">
        <v>959</v>
      </c>
      <c r="C478" s="316" t="s">
        <v>597</v>
      </c>
      <c r="D478" s="316" t="s">
        <v>948</v>
      </c>
      <c r="E478" s="589" t="s">
        <v>1700</v>
      </c>
      <c r="F478" s="603">
        <v>-2609583</v>
      </c>
      <c r="G478" s="603">
        <v>-2837921</v>
      </c>
      <c r="H478" s="603">
        <v>-3066259</v>
      </c>
      <c r="I478" s="603">
        <v>-3294597</v>
      </c>
      <c r="J478" s="603">
        <v>-1999040.86</v>
      </c>
      <c r="K478" s="603">
        <v>-2181038.86</v>
      </c>
      <c r="L478" s="603">
        <v>-2400108.86</v>
      </c>
      <c r="M478" s="603">
        <v>-2619178.86</v>
      </c>
      <c r="N478" s="603">
        <v>-1861990</v>
      </c>
      <c r="O478" s="603">
        <v>-2094739</v>
      </c>
      <c r="P478" s="603">
        <v>-2327488</v>
      </c>
      <c r="Q478" s="603">
        <v>-2560237</v>
      </c>
      <c r="R478" s="603">
        <v>-2792986</v>
      </c>
      <c r="S478" s="484">
        <f t="shared" si="95"/>
        <v>-2495323.5783333331</v>
      </c>
      <c r="T478" s="604"/>
      <c r="U478" s="642"/>
      <c r="V478" s="679">
        <f t="shared" si="96"/>
        <v>-2495323.5783333331</v>
      </c>
      <c r="W478" s="679"/>
      <c r="X478" s="702"/>
      <c r="Y478" s="679"/>
      <c r="Z478" s="679"/>
      <c r="AA478" s="642"/>
      <c r="AB478" s="679"/>
      <c r="AC478" s="643"/>
      <c r="AD478" s="644">
        <f t="shared" si="97"/>
        <v>-2495323.5783333331</v>
      </c>
      <c r="AE478" s="643"/>
      <c r="AF478" s="677">
        <f t="shared" si="89"/>
        <v>0</v>
      </c>
    </row>
    <row r="479" spans="1:32">
      <c r="A479" s="604">
        <v>467</v>
      </c>
      <c r="B479" s="316" t="s">
        <v>959</v>
      </c>
      <c r="C479" s="316" t="s">
        <v>597</v>
      </c>
      <c r="D479" s="316" t="s">
        <v>470</v>
      </c>
      <c r="E479" s="589" t="s">
        <v>1690</v>
      </c>
      <c r="F479" s="603">
        <v>-21934.62</v>
      </c>
      <c r="G479" s="603">
        <v>-27430.560000000001</v>
      </c>
      <c r="H479" s="603">
        <v>-27532.13</v>
      </c>
      <c r="I479" s="603">
        <v>-31135.78</v>
      </c>
      <c r="J479" s="603">
        <v>-21019.8</v>
      </c>
      <c r="K479" s="603">
        <v>-16692.04</v>
      </c>
      <c r="L479" s="603">
        <v>-9390.43</v>
      </c>
      <c r="M479" s="603">
        <v>-8255.4699999999993</v>
      </c>
      <c r="N479" s="603">
        <v>-7374.55</v>
      </c>
      <c r="O479" s="603">
        <v>-7184.47</v>
      </c>
      <c r="P479" s="603">
        <v>-9990.31</v>
      </c>
      <c r="Q479" s="603">
        <v>-18401.5</v>
      </c>
      <c r="R479" s="603">
        <v>-27823.65</v>
      </c>
      <c r="S479" s="484">
        <f t="shared" si="95"/>
        <v>-17440.514583333334</v>
      </c>
      <c r="T479" s="604"/>
      <c r="U479" s="642"/>
      <c r="V479" s="679">
        <f t="shared" si="96"/>
        <v>-17440.514583333334</v>
      </c>
      <c r="W479" s="679"/>
      <c r="X479" s="702"/>
      <c r="Y479" s="679"/>
      <c r="Z479" s="679"/>
      <c r="AA479" s="642"/>
      <c r="AB479" s="679"/>
      <c r="AC479" s="643"/>
      <c r="AD479" s="644">
        <f t="shared" si="97"/>
        <v>-17440.514583333334</v>
      </c>
      <c r="AE479" s="643"/>
      <c r="AF479" s="677">
        <f t="shared" si="89"/>
        <v>0</v>
      </c>
    </row>
    <row r="480" spans="1:32">
      <c r="A480" s="604">
        <v>468</v>
      </c>
      <c r="B480" s="316" t="s">
        <v>959</v>
      </c>
      <c r="C480" s="316" t="s">
        <v>597</v>
      </c>
      <c r="D480" s="316" t="s">
        <v>472</v>
      </c>
      <c r="E480" s="589" t="s">
        <v>1701</v>
      </c>
      <c r="F480" s="603">
        <v>-1426163.81</v>
      </c>
      <c r="G480" s="603">
        <v>-1358985.08</v>
      </c>
      <c r="H480" s="603">
        <v>-1649868.15</v>
      </c>
      <c r="I480" s="603">
        <v>-2005953.53</v>
      </c>
      <c r="J480" s="603">
        <v>-998560.67</v>
      </c>
      <c r="K480" s="603">
        <v>-806779.99</v>
      </c>
      <c r="L480" s="603">
        <v>-710886.74</v>
      </c>
      <c r="M480" s="603">
        <v>-425571.72</v>
      </c>
      <c r="N480" s="603">
        <v>-472240.06</v>
      </c>
      <c r="O480" s="603">
        <v>-511907.33</v>
      </c>
      <c r="P480" s="603">
        <v>-639920.81000000006</v>
      </c>
      <c r="Q480" s="603">
        <v>-1159905.6000000001</v>
      </c>
      <c r="R480" s="603">
        <v>-1879892.94</v>
      </c>
      <c r="S480" s="484">
        <f t="shared" si="95"/>
        <v>-1032800.67125</v>
      </c>
      <c r="T480" s="604"/>
      <c r="U480" s="642"/>
      <c r="V480" s="679">
        <f t="shared" si="96"/>
        <v>-1032800.67125</v>
      </c>
      <c r="W480" s="679"/>
      <c r="X480" s="702"/>
      <c r="Y480" s="679"/>
      <c r="Z480" s="679"/>
      <c r="AA480" s="642"/>
      <c r="AB480" s="679"/>
      <c r="AC480" s="643"/>
      <c r="AD480" s="644">
        <f t="shared" si="97"/>
        <v>-1032800.67125</v>
      </c>
      <c r="AE480" s="643"/>
      <c r="AF480" s="677">
        <f t="shared" si="89"/>
        <v>0</v>
      </c>
    </row>
    <row r="481" spans="1:32">
      <c r="A481" s="604">
        <v>469</v>
      </c>
      <c r="B481" s="316" t="s">
        <v>959</v>
      </c>
      <c r="C481" s="316" t="s">
        <v>597</v>
      </c>
      <c r="D481" s="316" t="s">
        <v>444</v>
      </c>
      <c r="E481" s="589" t="s">
        <v>1702</v>
      </c>
      <c r="F481" s="603">
        <v>-9882.26</v>
      </c>
      <c r="G481" s="603">
        <v>-9787.02</v>
      </c>
      <c r="H481" s="603">
        <v>-11182.37</v>
      </c>
      <c r="I481" s="603">
        <v>-12538.43</v>
      </c>
      <c r="J481" s="603">
        <v>-5768.13</v>
      </c>
      <c r="K481" s="603">
        <v>-3224</v>
      </c>
      <c r="L481" s="603">
        <v>-2199.13</v>
      </c>
      <c r="M481" s="603">
        <v>-1917.07</v>
      </c>
      <c r="N481" s="603">
        <v>-3151.52</v>
      </c>
      <c r="O481" s="603">
        <v>-2793.12</v>
      </c>
      <c r="P481" s="603">
        <v>-5690.58</v>
      </c>
      <c r="Q481" s="603">
        <v>-8672.2199999999993</v>
      </c>
      <c r="R481" s="603">
        <v>-11504.29</v>
      </c>
      <c r="S481" s="484">
        <f t="shared" si="95"/>
        <v>-6468.0720833333326</v>
      </c>
      <c r="T481" s="604"/>
      <c r="U481" s="642"/>
      <c r="V481" s="679">
        <f t="shared" si="96"/>
        <v>-6468.0720833333326</v>
      </c>
      <c r="W481" s="679"/>
      <c r="X481" s="702"/>
      <c r="Y481" s="679"/>
      <c r="Z481" s="679"/>
      <c r="AA481" s="642"/>
      <c r="AB481" s="679"/>
      <c r="AC481" s="649"/>
      <c r="AD481" s="644">
        <f>+S481</f>
        <v>-6468.0720833333326</v>
      </c>
      <c r="AE481" s="643"/>
      <c r="AF481" s="677">
        <f t="shared" si="89"/>
        <v>0</v>
      </c>
    </row>
    <row r="482" spans="1:32">
      <c r="A482" s="604">
        <v>470</v>
      </c>
      <c r="B482" s="316" t="s">
        <v>959</v>
      </c>
      <c r="C482" s="316" t="s">
        <v>597</v>
      </c>
      <c r="D482" s="316" t="s">
        <v>475</v>
      </c>
      <c r="E482" s="589" t="s">
        <v>1703</v>
      </c>
      <c r="F482" s="603">
        <v>-1344.79</v>
      </c>
      <c r="G482" s="603">
        <v>-643.51</v>
      </c>
      <c r="H482" s="603">
        <v>-1365.44</v>
      </c>
      <c r="I482" s="603">
        <v>-2110.3000000000002</v>
      </c>
      <c r="J482" s="603">
        <v>-428.78</v>
      </c>
      <c r="K482" s="603">
        <v>-863.85</v>
      </c>
      <c r="L482" s="603">
        <v>-1162.3800000000001</v>
      </c>
      <c r="M482" s="603">
        <v>-283.02999999999997</v>
      </c>
      <c r="N482" s="603">
        <v>-539.02</v>
      </c>
      <c r="O482" s="603">
        <v>-772.18</v>
      </c>
      <c r="P482" s="603">
        <v>-370.96</v>
      </c>
      <c r="Q482" s="603">
        <v>-935.52</v>
      </c>
      <c r="R482" s="603">
        <v>-1630.39</v>
      </c>
      <c r="S482" s="484">
        <f t="shared" si="95"/>
        <v>-913.54666666666662</v>
      </c>
      <c r="T482" s="604"/>
      <c r="U482" s="642"/>
      <c r="V482" s="679">
        <f t="shared" si="96"/>
        <v>-913.54666666666662</v>
      </c>
      <c r="W482" s="679"/>
      <c r="X482" s="702"/>
      <c r="Y482" s="679"/>
      <c r="Z482" s="679"/>
      <c r="AA482" s="642"/>
      <c r="AB482" s="679"/>
      <c r="AC482" s="643"/>
      <c r="AD482" s="644">
        <f>+S482</f>
        <v>-913.54666666666662</v>
      </c>
      <c r="AE482" s="643"/>
      <c r="AF482" s="677">
        <f t="shared" si="89"/>
        <v>0</v>
      </c>
    </row>
    <row r="483" spans="1:32">
      <c r="A483" s="604">
        <v>471</v>
      </c>
      <c r="B483" s="316" t="s">
        <v>959</v>
      </c>
      <c r="C483" s="316" t="s">
        <v>597</v>
      </c>
      <c r="D483" s="316" t="s">
        <v>1198</v>
      </c>
      <c r="E483" s="589" t="s">
        <v>1704</v>
      </c>
      <c r="F483" s="603">
        <v>-460550.9</v>
      </c>
      <c r="G483" s="603">
        <v>-519326.43</v>
      </c>
      <c r="H483" s="603">
        <v>-581865.69999999995</v>
      </c>
      <c r="I483" s="603">
        <v>-649970.06000000006</v>
      </c>
      <c r="J483" s="603">
        <v>-243797.94</v>
      </c>
      <c r="K483" s="603">
        <v>-262177.25</v>
      </c>
      <c r="L483" s="603">
        <v>-282839.92</v>
      </c>
      <c r="M483" s="603">
        <v>-301393.96999999997</v>
      </c>
      <c r="N483" s="603">
        <v>-319341.24</v>
      </c>
      <c r="O483" s="603">
        <v>-337096.42</v>
      </c>
      <c r="P483" s="603">
        <v>-365854.16</v>
      </c>
      <c r="Q483" s="603">
        <v>-411437.86</v>
      </c>
      <c r="R483" s="603">
        <v>-479297.52</v>
      </c>
      <c r="S483" s="484">
        <f t="shared" si="95"/>
        <v>-395418.76333333337</v>
      </c>
      <c r="T483" s="604"/>
      <c r="U483" s="642"/>
      <c r="V483" s="679">
        <f t="shared" si="96"/>
        <v>-395418.76333333337</v>
      </c>
      <c r="W483" s="679"/>
      <c r="X483" s="702"/>
      <c r="Y483" s="679"/>
      <c r="Z483" s="679"/>
      <c r="AA483" s="642"/>
      <c r="AB483" s="679"/>
      <c r="AC483" s="643"/>
      <c r="AD483" s="644">
        <f>+S483</f>
        <v>-395418.76333333337</v>
      </c>
      <c r="AE483" s="643"/>
      <c r="AF483" s="677">
        <f t="shared" si="89"/>
        <v>0</v>
      </c>
    </row>
    <row r="484" spans="1:32">
      <c r="A484" s="604">
        <v>472</v>
      </c>
      <c r="B484" s="316" t="s">
        <v>959</v>
      </c>
      <c r="C484" s="316" t="s">
        <v>597</v>
      </c>
      <c r="D484" s="316" t="s">
        <v>1199</v>
      </c>
      <c r="E484" s="589" t="s">
        <v>1705</v>
      </c>
      <c r="F484" s="603">
        <v>-1722879.56</v>
      </c>
      <c r="G484" s="603">
        <v>-1846427.53</v>
      </c>
      <c r="H484" s="603">
        <v>-2077328.43</v>
      </c>
      <c r="I484" s="603">
        <v>-1910216.81</v>
      </c>
      <c r="J484" s="603">
        <v>-1204070.96</v>
      </c>
      <c r="K484" s="603">
        <v>-823833.01</v>
      </c>
      <c r="L484" s="603">
        <v>-592575.56000000006</v>
      </c>
      <c r="M484" s="603">
        <v>-555151.97</v>
      </c>
      <c r="N484" s="603">
        <v>-493032.53</v>
      </c>
      <c r="O484" s="603">
        <v>-585370.29</v>
      </c>
      <c r="P484" s="603">
        <v>-1066739.44</v>
      </c>
      <c r="Q484" s="603">
        <v>-1718966.4</v>
      </c>
      <c r="R484" s="603">
        <v>-2281478.2999999998</v>
      </c>
      <c r="S484" s="484">
        <f t="shared" si="95"/>
        <v>-1239657.655</v>
      </c>
      <c r="T484" s="604"/>
      <c r="U484" s="642"/>
      <c r="V484" s="679">
        <f t="shared" si="96"/>
        <v>-1239657.655</v>
      </c>
      <c r="W484" s="679"/>
      <c r="X484" s="702"/>
      <c r="Y484" s="679"/>
      <c r="Z484" s="679"/>
      <c r="AA484" s="642"/>
      <c r="AB484" s="679"/>
      <c r="AC484" s="643"/>
      <c r="AD484" s="644">
        <f>+V484</f>
        <v>-1239657.655</v>
      </c>
      <c r="AE484" s="643"/>
      <c r="AF484" s="677">
        <f t="shared" si="89"/>
        <v>0</v>
      </c>
    </row>
    <row r="485" spans="1:32">
      <c r="A485" s="604">
        <v>473</v>
      </c>
      <c r="B485" s="316" t="s">
        <v>956</v>
      </c>
      <c r="C485" s="316" t="s">
        <v>598</v>
      </c>
      <c r="D485" s="604" t="s">
        <v>1112</v>
      </c>
      <c r="E485" s="589" t="s">
        <v>599</v>
      </c>
      <c r="F485" s="603">
        <v>-2960000</v>
      </c>
      <c r="G485" s="603">
        <v>0</v>
      </c>
      <c r="H485" s="603">
        <v>-2960000</v>
      </c>
      <c r="I485" s="603">
        <v>-2960000</v>
      </c>
      <c r="J485" s="603">
        <v>0</v>
      </c>
      <c r="K485" s="603">
        <v>-2480000</v>
      </c>
      <c r="L485" s="603">
        <v>-2480000</v>
      </c>
      <c r="M485" s="603">
        <v>0</v>
      </c>
      <c r="N485" s="603">
        <v>-2480000</v>
      </c>
      <c r="O485" s="603">
        <v>-2480000</v>
      </c>
      <c r="P485" s="603">
        <v>0</v>
      </c>
      <c r="Q485" s="603">
        <v>-2480000</v>
      </c>
      <c r="R485" s="603">
        <v>-2480000</v>
      </c>
      <c r="S485" s="484">
        <f t="shared" si="95"/>
        <v>-1753333.3333333333</v>
      </c>
      <c r="T485" s="604"/>
      <c r="U485" s="642"/>
      <c r="V485" s="650"/>
      <c r="W485" s="679">
        <f>+S485</f>
        <v>-1753333.3333333333</v>
      </c>
      <c r="X485" s="702"/>
      <c r="Y485" s="679"/>
      <c r="Z485" s="679"/>
      <c r="AA485" s="642"/>
      <c r="AB485" s="679"/>
      <c r="AC485" s="644">
        <f>+W485</f>
        <v>-1753333.3333333333</v>
      </c>
      <c r="AD485" s="649"/>
      <c r="AE485" s="643"/>
      <c r="AF485" s="677">
        <f t="shared" si="89"/>
        <v>0</v>
      </c>
    </row>
    <row r="486" spans="1:32">
      <c r="A486" s="604">
        <v>474</v>
      </c>
      <c r="B486" s="316" t="s">
        <v>984</v>
      </c>
      <c r="C486" s="316" t="s">
        <v>600</v>
      </c>
      <c r="D486" s="604" t="s">
        <v>1186</v>
      </c>
      <c r="E486" s="589" t="s">
        <v>601</v>
      </c>
      <c r="F486" s="603">
        <v>-214551.55</v>
      </c>
      <c r="G486" s="603">
        <v>-218550.05</v>
      </c>
      <c r="H486" s="603">
        <v>-218801.9</v>
      </c>
      <c r="I486" s="603">
        <v>-215999.99</v>
      </c>
      <c r="J486" s="603">
        <v>-198295.26</v>
      </c>
      <c r="K486" s="603">
        <v>-182418.51</v>
      </c>
      <c r="L486" s="603">
        <v>-179669.64</v>
      </c>
      <c r="M486" s="603">
        <v>-168647.67999999999</v>
      </c>
      <c r="N486" s="603">
        <v>-153082.81</v>
      </c>
      <c r="O486" s="603">
        <v>-144606.22</v>
      </c>
      <c r="P486" s="603">
        <v>-129804.87</v>
      </c>
      <c r="Q486" s="603">
        <v>-123427.45</v>
      </c>
      <c r="R486" s="603">
        <v>-118440.31</v>
      </c>
      <c r="S486" s="484">
        <f t="shared" si="95"/>
        <v>-174983.35916666666</v>
      </c>
      <c r="T486" s="604"/>
      <c r="U486" s="642"/>
      <c r="V486" s="650"/>
      <c r="W486" s="679"/>
      <c r="X486" s="679">
        <f>+S486</f>
        <v>-174983.35916666666</v>
      </c>
      <c r="Y486" s="679"/>
      <c r="Z486" s="679"/>
      <c r="AA486" s="642"/>
      <c r="AB486" s="644">
        <f>+X486</f>
        <v>-174983.35916666666</v>
      </c>
      <c r="AC486" s="643"/>
      <c r="AD486" s="649"/>
      <c r="AE486" s="643"/>
      <c r="AF486" s="677">
        <f t="shared" si="89"/>
        <v>0</v>
      </c>
    </row>
    <row r="487" spans="1:32">
      <c r="A487" s="604">
        <v>475</v>
      </c>
      <c r="B487" s="316" t="s">
        <v>959</v>
      </c>
      <c r="C487" s="316" t="s">
        <v>600</v>
      </c>
      <c r="D487" s="316" t="s">
        <v>1186</v>
      </c>
      <c r="E487" s="589" t="s">
        <v>601</v>
      </c>
      <c r="F487" s="603">
        <v>-678553.58</v>
      </c>
      <c r="G487" s="603">
        <v>-698877.64</v>
      </c>
      <c r="H487" s="603">
        <v>-702196.65</v>
      </c>
      <c r="I487" s="603">
        <v>-680853.69</v>
      </c>
      <c r="J487" s="603">
        <v>-649266.05000000005</v>
      </c>
      <c r="K487" s="603">
        <v>-625554.4</v>
      </c>
      <c r="L487" s="603">
        <v>-613318.13</v>
      </c>
      <c r="M487" s="603">
        <v>-627299.59</v>
      </c>
      <c r="N487" s="603">
        <v>-610978.82999999996</v>
      </c>
      <c r="O487" s="603">
        <v>-619300.19999999995</v>
      </c>
      <c r="P487" s="603">
        <v>-623094.34</v>
      </c>
      <c r="Q487" s="603">
        <v>-647407.01</v>
      </c>
      <c r="R487" s="603">
        <v>-664878.92000000004</v>
      </c>
      <c r="S487" s="484">
        <f t="shared" si="95"/>
        <v>-647488.56500000006</v>
      </c>
      <c r="T487" s="604"/>
      <c r="U487" s="642"/>
      <c r="V487" s="650"/>
      <c r="W487" s="679"/>
      <c r="X487" s="679">
        <f>+S487</f>
        <v>-647488.56500000006</v>
      </c>
      <c r="Y487" s="679"/>
      <c r="Z487" s="679"/>
      <c r="AA487" s="642"/>
      <c r="AB487" s="644">
        <f>+X487</f>
        <v>-647488.56500000006</v>
      </c>
      <c r="AC487" s="643"/>
      <c r="AD487" s="649"/>
      <c r="AE487" s="643"/>
      <c r="AF487" s="677">
        <f t="shared" si="89"/>
        <v>0</v>
      </c>
    </row>
    <row r="488" spans="1:32">
      <c r="A488" s="604">
        <v>476</v>
      </c>
      <c r="B488" s="316" t="s">
        <v>956</v>
      </c>
      <c r="C488" s="316" t="s">
        <v>602</v>
      </c>
      <c r="D488" s="316" t="s">
        <v>460</v>
      </c>
      <c r="E488" s="589" t="s">
        <v>1669</v>
      </c>
      <c r="F488" s="603">
        <v>-374000</v>
      </c>
      <c r="G488" s="603">
        <v>-498666.67</v>
      </c>
      <c r="H488" s="603">
        <v>-623333.34</v>
      </c>
      <c r="I488" s="603">
        <v>-748000</v>
      </c>
      <c r="J488" s="603">
        <v>-124666.67</v>
      </c>
      <c r="K488" s="603">
        <v>-249333.34</v>
      </c>
      <c r="L488" s="603">
        <v>-374000</v>
      </c>
      <c r="M488" s="603">
        <v>-498666.67</v>
      </c>
      <c r="N488" s="603">
        <v>-623333.34</v>
      </c>
      <c r="O488" s="603">
        <v>-748000</v>
      </c>
      <c r="P488" s="603">
        <v>-124666.67</v>
      </c>
      <c r="Q488" s="603">
        <v>-249333.34</v>
      </c>
      <c r="R488" s="603">
        <v>-374000</v>
      </c>
      <c r="S488" s="484">
        <f t="shared" si="95"/>
        <v>-436333.33666666661</v>
      </c>
      <c r="T488" s="604"/>
      <c r="U488" s="642"/>
      <c r="V488" s="679">
        <f t="shared" ref="V488:V531" si="98">+S488</f>
        <v>-436333.33666666661</v>
      </c>
      <c r="W488" s="679"/>
      <c r="X488" s="702"/>
      <c r="Y488" s="679"/>
      <c r="Z488" s="679"/>
      <c r="AA488" s="642"/>
      <c r="AB488" s="679"/>
      <c r="AC488" s="643"/>
      <c r="AD488" s="644">
        <f t="shared" ref="AD488:AD545" si="99">+V488</f>
        <v>-436333.33666666661</v>
      </c>
      <c r="AE488" s="643"/>
      <c r="AF488" s="677">
        <f t="shared" si="89"/>
        <v>0</v>
      </c>
    </row>
    <row r="489" spans="1:32">
      <c r="A489" s="604">
        <v>477</v>
      </c>
      <c r="B489" s="316" t="s">
        <v>956</v>
      </c>
      <c r="C489" s="316" t="s">
        <v>602</v>
      </c>
      <c r="D489" s="316" t="s">
        <v>462</v>
      </c>
      <c r="E489" s="589" t="s">
        <v>1670</v>
      </c>
      <c r="F489" s="603">
        <v>-266175</v>
      </c>
      <c r="G489" s="603">
        <v>-354900</v>
      </c>
      <c r="H489" s="603">
        <v>-443625</v>
      </c>
      <c r="I489" s="603">
        <v>-532350</v>
      </c>
      <c r="J489" s="603">
        <v>-88725</v>
      </c>
      <c r="K489" s="603">
        <v>-177450</v>
      </c>
      <c r="L489" s="603">
        <v>-266175</v>
      </c>
      <c r="M489" s="603">
        <v>-354900</v>
      </c>
      <c r="N489" s="603">
        <v>-443625</v>
      </c>
      <c r="O489" s="603">
        <v>-532350</v>
      </c>
      <c r="P489" s="603">
        <v>-88725</v>
      </c>
      <c r="Q489" s="603">
        <v>-177450</v>
      </c>
      <c r="R489" s="603">
        <v>-266175</v>
      </c>
      <c r="S489" s="484">
        <f t="shared" si="95"/>
        <v>-310537.5</v>
      </c>
      <c r="T489" s="604"/>
      <c r="U489" s="642"/>
      <c r="V489" s="679">
        <f t="shared" si="98"/>
        <v>-310537.5</v>
      </c>
      <c r="W489" s="679"/>
      <c r="X489" s="702"/>
      <c r="Y489" s="679"/>
      <c r="Z489" s="679"/>
      <c r="AA489" s="642"/>
      <c r="AB489" s="679"/>
      <c r="AC489" s="643"/>
      <c r="AD489" s="644">
        <f t="shared" si="99"/>
        <v>-310537.5</v>
      </c>
      <c r="AE489" s="643"/>
      <c r="AF489" s="677">
        <f t="shared" si="89"/>
        <v>0</v>
      </c>
    </row>
    <row r="490" spans="1:32">
      <c r="A490" s="604">
        <v>478</v>
      </c>
      <c r="B490" s="316" t="s">
        <v>956</v>
      </c>
      <c r="C490" s="316" t="s">
        <v>602</v>
      </c>
      <c r="D490" s="316" t="s">
        <v>464</v>
      </c>
      <c r="E490" s="589" t="s">
        <v>1671</v>
      </c>
      <c r="F490" s="603">
        <v>-213158.76</v>
      </c>
      <c r="G490" s="603">
        <v>-319738.13</v>
      </c>
      <c r="H490" s="603">
        <v>-106491.88</v>
      </c>
      <c r="I490" s="603">
        <v>-212983.76</v>
      </c>
      <c r="J490" s="603">
        <v>-319475.63</v>
      </c>
      <c r="K490" s="603">
        <v>-106089.38</v>
      </c>
      <c r="L490" s="603">
        <v>-212178.76</v>
      </c>
      <c r="M490" s="603">
        <v>-318268.13</v>
      </c>
      <c r="N490" s="603">
        <v>-106045.63</v>
      </c>
      <c r="O490" s="603">
        <v>-212091.26</v>
      </c>
      <c r="P490" s="603">
        <v>-318136.88</v>
      </c>
      <c r="Q490" s="603">
        <v>-105936.25</v>
      </c>
      <c r="R490" s="603">
        <v>-211872.5</v>
      </c>
      <c r="S490" s="484">
        <f t="shared" si="95"/>
        <v>-212495.94333333333</v>
      </c>
      <c r="T490" s="604"/>
      <c r="U490" s="642"/>
      <c r="V490" s="679">
        <f t="shared" si="98"/>
        <v>-212495.94333333333</v>
      </c>
      <c r="W490" s="679"/>
      <c r="X490" s="702"/>
      <c r="Y490" s="679"/>
      <c r="Z490" s="679"/>
      <c r="AA490" s="642"/>
      <c r="AB490" s="679"/>
      <c r="AC490" s="643"/>
      <c r="AD490" s="644">
        <f t="shared" si="99"/>
        <v>-212495.94333333333</v>
      </c>
      <c r="AE490" s="643"/>
      <c r="AF490" s="677">
        <f t="shared" si="89"/>
        <v>0</v>
      </c>
    </row>
    <row r="491" spans="1:32">
      <c r="A491" s="604">
        <v>479</v>
      </c>
      <c r="B491" s="316" t="s">
        <v>956</v>
      </c>
      <c r="C491" s="316" t="s">
        <v>602</v>
      </c>
      <c r="D491" s="316" t="s">
        <v>466</v>
      </c>
      <c r="E491" s="589" t="s">
        <v>1672</v>
      </c>
      <c r="F491" s="603">
        <v>-260500</v>
      </c>
      <c r="G491" s="603">
        <v>-325625</v>
      </c>
      <c r="H491" s="603">
        <v>-390750</v>
      </c>
      <c r="I491" s="603">
        <v>-65125</v>
      </c>
      <c r="J491" s="603">
        <v>-130250</v>
      </c>
      <c r="K491" s="603">
        <v>-195375</v>
      </c>
      <c r="L491" s="603">
        <v>-260500</v>
      </c>
      <c r="M491" s="603">
        <v>-325625</v>
      </c>
      <c r="N491" s="603">
        <v>-390750</v>
      </c>
      <c r="O491" s="603">
        <v>-65125</v>
      </c>
      <c r="P491" s="603">
        <v>-130250</v>
      </c>
      <c r="Q491" s="603">
        <v>-195375</v>
      </c>
      <c r="R491" s="603">
        <v>-260500</v>
      </c>
      <c r="S491" s="484">
        <f t="shared" si="95"/>
        <v>-227937.5</v>
      </c>
      <c r="T491" s="604"/>
      <c r="U491" s="642"/>
      <c r="V491" s="679">
        <f t="shared" si="98"/>
        <v>-227937.5</v>
      </c>
      <c r="W491" s="679"/>
      <c r="X491" s="702"/>
      <c r="Y491" s="679"/>
      <c r="Z491" s="679"/>
      <c r="AA491" s="642"/>
      <c r="AB491" s="679"/>
      <c r="AC491" s="643"/>
      <c r="AD491" s="644">
        <f t="shared" si="99"/>
        <v>-227937.5</v>
      </c>
      <c r="AE491" s="643"/>
      <c r="AF491" s="677">
        <f t="shared" si="89"/>
        <v>0</v>
      </c>
    </row>
    <row r="492" spans="1:32">
      <c r="A492" s="604">
        <v>480</v>
      </c>
      <c r="B492" s="316" t="s">
        <v>956</v>
      </c>
      <c r="C492" s="316" t="s">
        <v>602</v>
      </c>
      <c r="D492" s="316" t="s">
        <v>468</v>
      </c>
      <c r="E492" s="589" t="s">
        <v>1673</v>
      </c>
      <c r="F492" s="603">
        <v>-772000</v>
      </c>
      <c r="G492" s="603">
        <v>-965000</v>
      </c>
      <c r="H492" s="603">
        <v>-1158000</v>
      </c>
      <c r="I492" s="603">
        <v>-193000</v>
      </c>
      <c r="J492" s="603">
        <v>-386000</v>
      </c>
      <c r="K492" s="603">
        <v>-579000</v>
      </c>
      <c r="L492" s="603">
        <v>-772000</v>
      </c>
      <c r="M492" s="603">
        <v>-965000</v>
      </c>
      <c r="N492" s="603">
        <v>-1158000</v>
      </c>
      <c r="O492" s="603">
        <v>-193000</v>
      </c>
      <c r="P492" s="603">
        <v>-386000</v>
      </c>
      <c r="Q492" s="603">
        <v>-579000</v>
      </c>
      <c r="R492" s="603">
        <v>-772000</v>
      </c>
      <c r="S492" s="484">
        <f t="shared" si="95"/>
        <v>-675500</v>
      </c>
      <c r="T492" s="604"/>
      <c r="U492" s="642"/>
      <c r="V492" s="679">
        <f t="shared" si="98"/>
        <v>-675500</v>
      </c>
      <c r="W492" s="679"/>
      <c r="X492" s="702"/>
      <c r="Y492" s="679"/>
      <c r="Z492" s="679"/>
      <c r="AA492" s="642"/>
      <c r="AB492" s="679"/>
      <c r="AC492" s="643"/>
      <c r="AD492" s="644">
        <f t="shared" si="99"/>
        <v>-675500</v>
      </c>
      <c r="AE492" s="643"/>
      <c r="AF492" s="677">
        <f t="shared" si="89"/>
        <v>0</v>
      </c>
    </row>
    <row r="493" spans="1:32">
      <c r="A493" s="604">
        <v>481</v>
      </c>
      <c r="B493" s="316" t="s">
        <v>956</v>
      </c>
      <c r="C493" s="316" t="s">
        <v>602</v>
      </c>
      <c r="D493" s="316" t="s">
        <v>470</v>
      </c>
      <c r="E493" s="589" t="s">
        <v>1674</v>
      </c>
      <c r="F493" s="603">
        <v>-342500</v>
      </c>
      <c r="G493" s="603">
        <v>-428125</v>
      </c>
      <c r="H493" s="603">
        <v>0</v>
      </c>
      <c r="I493" s="603">
        <v>-85625</v>
      </c>
      <c r="J493" s="603">
        <v>-171250</v>
      </c>
      <c r="K493" s="603">
        <v>-256875</v>
      </c>
      <c r="L493" s="603">
        <v>-342500</v>
      </c>
      <c r="M493" s="603">
        <v>-428125</v>
      </c>
      <c r="N493" s="603">
        <v>0</v>
      </c>
      <c r="O493" s="603">
        <v>-85625</v>
      </c>
      <c r="P493" s="603">
        <v>-171250</v>
      </c>
      <c r="Q493" s="603">
        <v>-256875</v>
      </c>
      <c r="R493" s="603">
        <v>-342500</v>
      </c>
      <c r="S493" s="484">
        <f t="shared" si="95"/>
        <v>-214062.5</v>
      </c>
      <c r="T493" s="604"/>
      <c r="U493" s="642"/>
      <c r="V493" s="679">
        <f t="shared" si="98"/>
        <v>-214062.5</v>
      </c>
      <c r="W493" s="679"/>
      <c r="X493" s="702"/>
      <c r="Y493" s="679"/>
      <c r="Z493" s="679"/>
      <c r="AA493" s="642"/>
      <c r="AB493" s="679"/>
      <c r="AC493" s="643"/>
      <c r="AD493" s="644">
        <f t="shared" si="99"/>
        <v>-214062.5</v>
      </c>
      <c r="AE493" s="643"/>
      <c r="AF493" s="677">
        <f t="shared" si="89"/>
        <v>0</v>
      </c>
    </row>
    <row r="494" spans="1:32">
      <c r="A494" s="604">
        <v>482</v>
      </c>
      <c r="B494" s="316" t="s">
        <v>956</v>
      </c>
      <c r="C494" s="316" t="s">
        <v>602</v>
      </c>
      <c r="D494" s="316" t="s">
        <v>472</v>
      </c>
      <c r="E494" s="589" t="s">
        <v>1675</v>
      </c>
      <c r="F494" s="603">
        <v>-363333.33</v>
      </c>
      <c r="G494" s="603">
        <v>-454166.66</v>
      </c>
      <c r="H494" s="603">
        <v>-5.8207660913467401E-11</v>
      </c>
      <c r="I494" s="603">
        <v>-90833.330000000104</v>
      </c>
      <c r="J494" s="603">
        <v>-181666.66</v>
      </c>
      <c r="K494" s="603">
        <v>-272500</v>
      </c>
      <c r="L494" s="603">
        <v>-363333.33</v>
      </c>
      <c r="M494" s="603">
        <v>-454166.66</v>
      </c>
      <c r="N494" s="603">
        <v>-1.16415321826935E-10</v>
      </c>
      <c r="O494" s="603">
        <v>-90833.330000000104</v>
      </c>
      <c r="P494" s="603">
        <v>-181666.66</v>
      </c>
      <c r="Q494" s="603">
        <v>-272500</v>
      </c>
      <c r="R494" s="603">
        <v>-363333.33</v>
      </c>
      <c r="S494" s="484">
        <f t="shared" si="95"/>
        <v>-227083.33</v>
      </c>
      <c r="T494" s="604"/>
      <c r="U494" s="642"/>
      <c r="V494" s="679">
        <f t="shared" si="98"/>
        <v>-227083.33</v>
      </c>
      <c r="W494" s="679"/>
      <c r="X494" s="702"/>
      <c r="Y494" s="679"/>
      <c r="Z494" s="679"/>
      <c r="AA494" s="642"/>
      <c r="AB494" s="679"/>
      <c r="AC494" s="643"/>
      <c r="AD494" s="644">
        <f t="shared" si="99"/>
        <v>-227083.33</v>
      </c>
      <c r="AE494" s="643"/>
      <c r="AF494" s="677">
        <f t="shared" si="89"/>
        <v>0</v>
      </c>
    </row>
    <row r="495" spans="1:32">
      <c r="A495" s="604">
        <v>483</v>
      </c>
      <c r="B495" s="316" t="s">
        <v>956</v>
      </c>
      <c r="C495" s="316" t="s">
        <v>602</v>
      </c>
      <c r="D495" s="316" t="s">
        <v>475</v>
      </c>
      <c r="E495" s="589" t="s">
        <v>1676</v>
      </c>
      <c r="F495" s="603">
        <v>-42604.17</v>
      </c>
      <c r="G495" s="603">
        <v>-85208.34</v>
      </c>
      <c r="H495" s="603">
        <v>-127812.5</v>
      </c>
      <c r="I495" s="603">
        <v>-170416.67</v>
      </c>
      <c r="J495" s="603">
        <v>-213020.84</v>
      </c>
      <c r="K495" s="603">
        <v>2.91038304567337E-11</v>
      </c>
      <c r="L495" s="603">
        <v>-42604.17</v>
      </c>
      <c r="M495" s="603">
        <v>-85208.34</v>
      </c>
      <c r="N495" s="603">
        <v>-127812.5</v>
      </c>
      <c r="O495" s="603">
        <v>-170416.67</v>
      </c>
      <c r="P495" s="603">
        <v>-213020.84</v>
      </c>
      <c r="Q495" s="603">
        <v>2.91038304567337E-11</v>
      </c>
      <c r="R495" s="603">
        <v>-42604.17</v>
      </c>
      <c r="S495" s="484">
        <f t="shared" si="95"/>
        <v>-106510.42</v>
      </c>
      <c r="T495" s="604"/>
      <c r="U495" s="642"/>
      <c r="V495" s="679">
        <f t="shared" si="98"/>
        <v>-106510.42</v>
      </c>
      <c r="W495" s="679"/>
      <c r="X495" s="702"/>
      <c r="Y495" s="679"/>
      <c r="Z495" s="679"/>
      <c r="AA495" s="642"/>
      <c r="AB495" s="679"/>
      <c r="AC495" s="643"/>
      <c r="AD495" s="644">
        <f t="shared" si="99"/>
        <v>-106510.42</v>
      </c>
      <c r="AE495" s="643"/>
      <c r="AF495" s="677">
        <f t="shared" si="89"/>
        <v>0</v>
      </c>
    </row>
    <row r="496" spans="1:32">
      <c r="A496" s="604">
        <v>484</v>
      </c>
      <c r="B496" s="316" t="s">
        <v>956</v>
      </c>
      <c r="C496" s="316" t="s">
        <v>602</v>
      </c>
      <c r="D496" s="316" t="s">
        <v>476</v>
      </c>
      <c r="E496" s="589" t="s">
        <v>1677</v>
      </c>
      <c r="F496" s="603">
        <v>-44166.67</v>
      </c>
      <c r="G496" s="603">
        <v>-88333.34</v>
      </c>
      <c r="H496" s="603">
        <v>-132500</v>
      </c>
      <c r="I496" s="603">
        <v>-176666.67</v>
      </c>
      <c r="J496" s="603">
        <v>-220833.34</v>
      </c>
      <c r="K496" s="603">
        <v>2.91038304567337E-11</v>
      </c>
      <c r="L496" s="603">
        <v>-44166.67</v>
      </c>
      <c r="M496" s="603">
        <v>-88333.34</v>
      </c>
      <c r="N496" s="603">
        <v>-132500</v>
      </c>
      <c r="O496" s="603">
        <v>-176666.67</v>
      </c>
      <c r="P496" s="603">
        <v>-220833.34</v>
      </c>
      <c r="Q496" s="603">
        <v>2.91038304567337E-11</v>
      </c>
      <c r="R496" s="603">
        <v>-44166.67</v>
      </c>
      <c r="S496" s="484">
        <f t="shared" si="95"/>
        <v>-110416.67</v>
      </c>
      <c r="T496" s="604"/>
      <c r="U496" s="642"/>
      <c r="V496" s="679">
        <f t="shared" si="98"/>
        <v>-110416.67</v>
      </c>
      <c r="W496" s="679"/>
      <c r="X496" s="702"/>
      <c r="Y496" s="679"/>
      <c r="Z496" s="679"/>
      <c r="AA496" s="642"/>
      <c r="AB496" s="679"/>
      <c r="AC496" s="643"/>
      <c r="AD496" s="644">
        <f t="shared" si="99"/>
        <v>-110416.67</v>
      </c>
      <c r="AE496" s="643"/>
      <c r="AF496" s="677">
        <f t="shared" si="89"/>
        <v>0</v>
      </c>
    </row>
    <row r="497" spans="1:32">
      <c r="A497" s="604">
        <v>485</v>
      </c>
      <c r="B497" s="316" t="s">
        <v>956</v>
      </c>
      <c r="C497" s="316" t="s">
        <v>602</v>
      </c>
      <c r="D497" s="316" t="s">
        <v>477</v>
      </c>
      <c r="E497" s="589" t="s">
        <v>1678</v>
      </c>
      <c r="F497" s="603">
        <v>-213020.83</v>
      </c>
      <c r="G497" s="603">
        <v>0</v>
      </c>
      <c r="H497" s="603">
        <v>-42604.17</v>
      </c>
      <c r="I497" s="603">
        <v>-85208.34</v>
      </c>
      <c r="J497" s="603">
        <v>-127812.5</v>
      </c>
      <c r="K497" s="603">
        <v>-170416.67</v>
      </c>
      <c r="L497" s="603">
        <v>-213020.84</v>
      </c>
      <c r="M497" s="603">
        <v>2.91038304567337E-11</v>
      </c>
      <c r="N497" s="603">
        <v>-42604.17</v>
      </c>
      <c r="O497" s="603">
        <v>-85208.34</v>
      </c>
      <c r="P497" s="603">
        <v>-127812.5</v>
      </c>
      <c r="Q497" s="603">
        <v>-170416.67</v>
      </c>
      <c r="R497" s="603">
        <v>-213020.84</v>
      </c>
      <c r="S497" s="484">
        <f t="shared" si="95"/>
        <v>-106510.41958333332</v>
      </c>
      <c r="T497" s="604"/>
      <c r="U497" s="642"/>
      <c r="V497" s="679">
        <f t="shared" si="98"/>
        <v>-106510.41958333332</v>
      </c>
      <c r="W497" s="679"/>
      <c r="X497" s="702"/>
      <c r="Y497" s="679"/>
      <c r="Z497" s="679"/>
      <c r="AA497" s="642"/>
      <c r="AB497" s="679"/>
      <c r="AC497" s="643"/>
      <c r="AD497" s="644">
        <f t="shared" si="99"/>
        <v>-106510.41958333332</v>
      </c>
      <c r="AE497" s="643"/>
      <c r="AF497" s="677">
        <f t="shared" si="89"/>
        <v>0</v>
      </c>
    </row>
    <row r="498" spans="1:32">
      <c r="A498" s="604">
        <v>486</v>
      </c>
      <c r="B498" s="316" t="s">
        <v>956</v>
      </c>
      <c r="C498" s="316" t="s">
        <v>602</v>
      </c>
      <c r="D498" s="316" t="s">
        <v>478</v>
      </c>
      <c r="E498" s="589" t="s">
        <v>1679</v>
      </c>
      <c r="F498" s="603">
        <v>-220833.33</v>
      </c>
      <c r="G498" s="603">
        <v>0</v>
      </c>
      <c r="H498" s="603">
        <v>-44166.67</v>
      </c>
      <c r="I498" s="603">
        <v>-88333.34</v>
      </c>
      <c r="J498" s="603">
        <v>-132500</v>
      </c>
      <c r="K498" s="603">
        <v>-176666.67</v>
      </c>
      <c r="L498" s="603">
        <v>-220833.34</v>
      </c>
      <c r="M498" s="603">
        <v>2.91038304567337E-11</v>
      </c>
      <c r="N498" s="603">
        <v>-44166.67</v>
      </c>
      <c r="O498" s="603">
        <v>-88333.34</v>
      </c>
      <c r="P498" s="603">
        <v>-132500</v>
      </c>
      <c r="Q498" s="603">
        <v>-176666.67</v>
      </c>
      <c r="R498" s="603">
        <v>-220833.34</v>
      </c>
      <c r="S498" s="484">
        <f t="shared" si="95"/>
        <v>-110416.66958333332</v>
      </c>
      <c r="T498" s="604"/>
      <c r="U498" s="642"/>
      <c r="V498" s="679">
        <f t="shared" si="98"/>
        <v>-110416.66958333332</v>
      </c>
      <c r="W498" s="679"/>
      <c r="X498" s="702"/>
      <c r="Y498" s="679"/>
      <c r="Z498" s="679"/>
      <c r="AA498" s="642"/>
      <c r="AB498" s="679"/>
      <c r="AC498" s="643"/>
      <c r="AD498" s="644">
        <f t="shared" si="99"/>
        <v>-110416.66958333332</v>
      </c>
      <c r="AE498" s="643"/>
      <c r="AF498" s="677">
        <f t="shared" si="89"/>
        <v>0</v>
      </c>
    </row>
    <row r="499" spans="1:32">
      <c r="A499" s="604">
        <v>487</v>
      </c>
      <c r="B499" s="316" t="s">
        <v>956</v>
      </c>
      <c r="C499" s="316" t="s">
        <v>602</v>
      </c>
      <c r="D499" s="316" t="s">
        <v>1859</v>
      </c>
      <c r="E499" s="589" t="s">
        <v>1900</v>
      </c>
      <c r="F499" s="603">
        <v>0</v>
      </c>
      <c r="G499" s="603">
        <v>0</v>
      </c>
      <c r="H499" s="603">
        <v>0</v>
      </c>
      <c r="I499" s="603">
        <v>0</v>
      </c>
      <c r="J499" s="603">
        <v>0</v>
      </c>
      <c r="K499" s="603">
        <v>0</v>
      </c>
      <c r="L499" s="603">
        <v>-75416.67</v>
      </c>
      <c r="M499" s="603">
        <v>-150833.34</v>
      </c>
      <c r="N499" s="603">
        <v>-226250</v>
      </c>
      <c r="O499" s="603">
        <v>-301666.67</v>
      </c>
      <c r="P499" s="603">
        <v>-377083.34</v>
      </c>
      <c r="Q499" s="603">
        <v>-452500</v>
      </c>
      <c r="R499" s="603">
        <v>-75416.67</v>
      </c>
      <c r="S499" s="484">
        <f t="shared" si="95"/>
        <v>-135121.52958333332</v>
      </c>
      <c r="T499" s="604"/>
      <c r="U499" s="642"/>
      <c r="V499" s="679">
        <f>+S499</f>
        <v>-135121.52958333332</v>
      </c>
      <c r="W499" s="679"/>
      <c r="X499" s="702"/>
      <c r="Y499" s="679"/>
      <c r="Z499" s="679"/>
      <c r="AA499" s="642"/>
      <c r="AB499" s="679"/>
      <c r="AC499" s="643"/>
      <c r="AD499" s="644">
        <f t="shared" si="99"/>
        <v>-135121.52958333332</v>
      </c>
      <c r="AE499" s="643"/>
      <c r="AF499" s="677">
        <f t="shared" si="89"/>
        <v>0</v>
      </c>
    </row>
    <row r="500" spans="1:32">
      <c r="A500" s="604">
        <v>488</v>
      </c>
      <c r="B500" s="316" t="s">
        <v>956</v>
      </c>
      <c r="C500" s="316" t="s">
        <v>602</v>
      </c>
      <c r="D500" s="316" t="s">
        <v>1861</v>
      </c>
      <c r="E500" s="589" t="s">
        <v>1901</v>
      </c>
      <c r="F500" s="603">
        <v>0</v>
      </c>
      <c r="G500" s="603">
        <v>0</v>
      </c>
      <c r="H500" s="603">
        <v>0</v>
      </c>
      <c r="I500" s="603">
        <v>0</v>
      </c>
      <c r="J500" s="603">
        <v>0</v>
      </c>
      <c r="K500" s="603">
        <v>0</v>
      </c>
      <c r="L500" s="603">
        <v>-63666.67</v>
      </c>
      <c r="M500" s="603">
        <v>-127333.34</v>
      </c>
      <c r="N500" s="603">
        <v>-191000</v>
      </c>
      <c r="O500" s="603">
        <v>-254666.67</v>
      </c>
      <c r="P500" s="603">
        <v>-318333.34000000003</v>
      </c>
      <c r="Q500" s="603">
        <v>-382000</v>
      </c>
      <c r="R500" s="603">
        <v>-63666.67</v>
      </c>
      <c r="S500" s="484">
        <f t="shared" si="95"/>
        <v>-114069.44624999999</v>
      </c>
      <c r="T500" s="604"/>
      <c r="U500" s="642"/>
      <c r="V500" s="679">
        <f>+S500</f>
        <v>-114069.44624999999</v>
      </c>
      <c r="W500" s="679"/>
      <c r="X500" s="702"/>
      <c r="Y500" s="679"/>
      <c r="Z500" s="679"/>
      <c r="AA500" s="642"/>
      <c r="AB500" s="679"/>
      <c r="AC500" s="643"/>
      <c r="AD500" s="644">
        <f t="shared" si="99"/>
        <v>-114069.44624999999</v>
      </c>
      <c r="AE500" s="643"/>
      <c r="AF500" s="677">
        <f t="shared" si="89"/>
        <v>0</v>
      </c>
    </row>
    <row r="501" spans="1:32">
      <c r="A501" s="604">
        <v>489</v>
      </c>
      <c r="B501" s="316" t="s">
        <v>956</v>
      </c>
      <c r="C501" s="316" t="s">
        <v>602</v>
      </c>
      <c r="D501" s="316" t="s">
        <v>1863</v>
      </c>
      <c r="E501" s="589" t="s">
        <v>1902</v>
      </c>
      <c r="F501" s="603">
        <v>0</v>
      </c>
      <c r="G501" s="603">
        <v>0</v>
      </c>
      <c r="H501" s="603">
        <v>0</v>
      </c>
      <c r="I501" s="603">
        <v>0</v>
      </c>
      <c r="J501" s="603">
        <v>0</v>
      </c>
      <c r="K501" s="603">
        <v>0</v>
      </c>
      <c r="L501" s="603">
        <v>-106500</v>
      </c>
      <c r="M501" s="603">
        <v>-213000</v>
      </c>
      <c r="N501" s="603">
        <v>-319500</v>
      </c>
      <c r="O501" s="603">
        <v>-426000</v>
      </c>
      <c r="P501" s="603">
        <v>-532500</v>
      </c>
      <c r="Q501" s="603">
        <v>-639000</v>
      </c>
      <c r="R501" s="603">
        <v>-106500</v>
      </c>
      <c r="S501" s="484">
        <f t="shared" si="95"/>
        <v>-190812.5</v>
      </c>
      <c r="T501" s="604"/>
      <c r="U501" s="642"/>
      <c r="V501" s="679">
        <f>+S501</f>
        <v>-190812.5</v>
      </c>
      <c r="W501" s="679"/>
      <c r="X501" s="702"/>
      <c r="Y501" s="679"/>
      <c r="Z501" s="679"/>
      <c r="AA501" s="642"/>
      <c r="AB501" s="679"/>
      <c r="AC501" s="643"/>
      <c r="AD501" s="644">
        <f t="shared" si="99"/>
        <v>-190812.5</v>
      </c>
      <c r="AE501" s="643"/>
      <c r="AF501" s="677">
        <f t="shared" si="89"/>
        <v>0</v>
      </c>
    </row>
    <row r="502" spans="1:32">
      <c r="A502" s="604">
        <v>490</v>
      </c>
      <c r="B502" s="316" t="s">
        <v>956</v>
      </c>
      <c r="C502" s="316" t="s">
        <v>1903</v>
      </c>
      <c r="D502" s="316" t="s">
        <v>369</v>
      </c>
      <c r="E502" s="589" t="s">
        <v>1904</v>
      </c>
      <c r="F502" s="603">
        <v>0</v>
      </c>
      <c r="G502" s="603">
        <v>-34533.33</v>
      </c>
      <c r="H502" s="603">
        <v>-103337.65</v>
      </c>
      <c r="I502" s="603">
        <v>-31325.55</v>
      </c>
      <c r="J502" s="603">
        <v>-127122.09</v>
      </c>
      <c r="K502" s="603">
        <v>-55447.77</v>
      </c>
      <c r="L502" s="603">
        <v>-18947.86</v>
      </c>
      <c r="M502" s="603">
        <v>-21537.69</v>
      </c>
      <c r="N502" s="603">
        <v>-23703.39</v>
      </c>
      <c r="O502" s="603">
        <v>-19801.3</v>
      </c>
      <c r="P502" s="603">
        <v>-20648.900000000001</v>
      </c>
      <c r="Q502" s="603">
        <v>-12266.68</v>
      </c>
      <c r="R502" s="603">
        <v>-9.9999999874853494E-3</v>
      </c>
      <c r="S502" s="484">
        <f t="shared" si="95"/>
        <v>-39056.017916666671</v>
      </c>
      <c r="T502" s="604"/>
      <c r="U502" s="642"/>
      <c r="V502" s="679">
        <f>+S502</f>
        <v>-39056.017916666671</v>
      </c>
      <c r="W502" s="679"/>
      <c r="X502" s="702"/>
      <c r="Y502" s="679"/>
      <c r="Z502" s="679"/>
      <c r="AA502" s="642"/>
      <c r="AB502" s="679"/>
      <c r="AC502" s="643"/>
      <c r="AD502" s="644">
        <f>+S502</f>
        <v>-39056.017916666671</v>
      </c>
      <c r="AE502" s="643"/>
      <c r="AF502" s="677">
        <f t="shared" si="89"/>
        <v>0</v>
      </c>
    </row>
    <row r="503" spans="1:32">
      <c r="A503" s="604">
        <v>491</v>
      </c>
      <c r="B503" s="316" t="s">
        <v>956</v>
      </c>
      <c r="C503" s="316" t="s">
        <v>602</v>
      </c>
      <c r="D503" s="316" t="s">
        <v>1113</v>
      </c>
      <c r="E503" s="589" t="s">
        <v>1404</v>
      </c>
      <c r="F503" s="603">
        <v>-3.6379788070917101E-12</v>
      </c>
      <c r="G503" s="603">
        <v>-8072.92</v>
      </c>
      <c r="H503" s="603">
        <v>-15364.59</v>
      </c>
      <c r="I503" s="603">
        <v>-520.84</v>
      </c>
      <c r="J503" s="603">
        <v>-8333.34</v>
      </c>
      <c r="K503" s="603">
        <v>-16406.259999999998</v>
      </c>
      <c r="L503" s="603">
        <v>-520.85000000000196</v>
      </c>
      <c r="M503" s="603">
        <v>-11284.74</v>
      </c>
      <c r="N503" s="603">
        <v>-22048.63</v>
      </c>
      <c r="O503" s="603">
        <v>0</v>
      </c>
      <c r="P503" s="603">
        <v>-10763.89</v>
      </c>
      <c r="Q503" s="603">
        <v>-21180.560000000001</v>
      </c>
      <c r="R503" s="603">
        <v>3.6379788070917101E-12</v>
      </c>
      <c r="S503" s="484">
        <f t="shared" si="95"/>
        <v>-9541.3850000000002</v>
      </c>
      <c r="T503" s="604"/>
      <c r="U503" s="642"/>
      <c r="V503" s="679">
        <f t="shared" si="98"/>
        <v>-9541.3850000000002</v>
      </c>
      <c r="W503" s="679"/>
      <c r="X503" s="702"/>
      <c r="Y503" s="679"/>
      <c r="Z503" s="679"/>
      <c r="AA503" s="642"/>
      <c r="AB503" s="679"/>
      <c r="AC503" s="643"/>
      <c r="AD503" s="644">
        <f t="shared" si="99"/>
        <v>-9541.3850000000002</v>
      </c>
      <c r="AE503" s="643"/>
      <c r="AF503" s="677">
        <f t="shared" si="89"/>
        <v>0</v>
      </c>
    </row>
    <row r="504" spans="1:32">
      <c r="A504" s="604">
        <v>492</v>
      </c>
      <c r="B504" s="316" t="s">
        <v>956</v>
      </c>
      <c r="C504" s="316" t="s">
        <v>602</v>
      </c>
      <c r="D504" s="316" t="s">
        <v>1187</v>
      </c>
      <c r="E504" s="589" t="s">
        <v>1405</v>
      </c>
      <c r="F504" s="603">
        <v>-43049.35</v>
      </c>
      <c r="G504" s="603">
        <v>-164373.76000000001</v>
      </c>
      <c r="H504" s="603">
        <v>-258762.12</v>
      </c>
      <c r="I504" s="603">
        <v>-59583.81</v>
      </c>
      <c r="J504" s="603">
        <v>-101923.77</v>
      </c>
      <c r="K504" s="603">
        <v>-278228.28000000003</v>
      </c>
      <c r="L504" s="603">
        <v>-5006.5</v>
      </c>
      <c r="M504" s="603">
        <v>-49420.89</v>
      </c>
      <c r="N504" s="603">
        <v>-125360.98</v>
      </c>
      <c r="O504" s="603">
        <v>-6581.11</v>
      </c>
      <c r="P504" s="603">
        <v>-22372.26</v>
      </c>
      <c r="Q504" s="603">
        <v>-73841.429999999993</v>
      </c>
      <c r="R504" s="603">
        <v>-16790.72</v>
      </c>
      <c r="S504" s="484">
        <f t="shared" si="95"/>
        <v>-97947.912083333315</v>
      </c>
      <c r="T504" s="604"/>
      <c r="U504" s="642"/>
      <c r="V504" s="679">
        <f t="shared" si="98"/>
        <v>-97947.912083333315</v>
      </c>
      <c r="W504" s="679"/>
      <c r="X504" s="702"/>
      <c r="Y504" s="679"/>
      <c r="Z504" s="679"/>
      <c r="AA504" s="642"/>
      <c r="AB504" s="679"/>
      <c r="AC504" s="643"/>
      <c r="AD504" s="644">
        <f t="shared" si="99"/>
        <v>-97947.912083333315</v>
      </c>
      <c r="AE504" s="643"/>
      <c r="AF504" s="677">
        <f t="shared" si="89"/>
        <v>0</v>
      </c>
    </row>
    <row r="505" spans="1:32">
      <c r="A505" s="604">
        <v>493</v>
      </c>
      <c r="B505" s="316" t="s">
        <v>956</v>
      </c>
      <c r="C505" s="316" t="s">
        <v>603</v>
      </c>
      <c r="D505" s="316" t="s">
        <v>515</v>
      </c>
      <c r="E505" s="589" t="s">
        <v>1683</v>
      </c>
      <c r="F505" s="603">
        <v>-1772825.1</v>
      </c>
      <c r="G505" s="603">
        <v>-2115086.0499999998</v>
      </c>
      <c r="H505" s="603">
        <v>-2114803.94</v>
      </c>
      <c r="I505" s="603">
        <v>-1186420.8400000001</v>
      </c>
      <c r="J505" s="603">
        <v>-1422780.04</v>
      </c>
      <c r="K505" s="603">
        <v>-1743994.17</v>
      </c>
      <c r="L505" s="603">
        <v>-1795389.35</v>
      </c>
      <c r="M505" s="603">
        <v>-2076333.56</v>
      </c>
      <c r="N505" s="603">
        <v>-1157908.2</v>
      </c>
      <c r="O505" s="603">
        <v>-1273699.3500000001</v>
      </c>
      <c r="P505" s="603">
        <v>-1610170.17</v>
      </c>
      <c r="Q505" s="603">
        <v>-1699953.15</v>
      </c>
      <c r="R505" s="603">
        <v>-1925850.86</v>
      </c>
      <c r="S505" s="484">
        <f t="shared" si="95"/>
        <v>-1670489.7333333332</v>
      </c>
      <c r="T505" s="604"/>
      <c r="U505" s="642"/>
      <c r="V505" s="679">
        <f t="shared" si="98"/>
        <v>-1670489.7333333332</v>
      </c>
      <c r="W505" s="679"/>
      <c r="X505" s="702"/>
      <c r="Y505" s="679"/>
      <c r="Z505" s="679"/>
      <c r="AA505" s="642"/>
      <c r="AB505" s="679"/>
      <c r="AC505" s="643"/>
      <c r="AD505" s="644">
        <f t="shared" si="99"/>
        <v>-1670489.7333333332</v>
      </c>
      <c r="AE505" s="643"/>
      <c r="AF505" s="677">
        <f t="shared" si="89"/>
        <v>0</v>
      </c>
    </row>
    <row r="506" spans="1:32">
      <c r="A506" s="604">
        <v>494</v>
      </c>
      <c r="B506" s="316" t="s">
        <v>956</v>
      </c>
      <c r="C506" s="316" t="s">
        <v>603</v>
      </c>
      <c r="D506" s="316" t="s">
        <v>550</v>
      </c>
      <c r="E506" s="589" t="s">
        <v>1684</v>
      </c>
      <c r="F506" s="603">
        <v>-982534</v>
      </c>
      <c r="G506" s="603">
        <v>-1089641.1399999999</v>
      </c>
      <c r="H506" s="603">
        <v>-222918.25</v>
      </c>
      <c r="I506" s="603">
        <v>-319418.82</v>
      </c>
      <c r="J506" s="603">
        <v>-418641.64</v>
      </c>
      <c r="K506" s="603">
        <v>-587312.63</v>
      </c>
      <c r="L506" s="603">
        <v>-716302.53</v>
      </c>
      <c r="M506" s="603">
        <v>-855958.61</v>
      </c>
      <c r="N506" s="603">
        <v>-985702.15</v>
      </c>
      <c r="O506" s="603">
        <v>-1110814.1299999999</v>
      </c>
      <c r="P506" s="603">
        <v>-1351211.96</v>
      </c>
      <c r="Q506" s="603">
        <v>-1798248.89</v>
      </c>
      <c r="R506" s="603">
        <v>-1697134.42</v>
      </c>
      <c r="S506" s="484">
        <f t="shared" si="95"/>
        <v>-899667.08000000007</v>
      </c>
      <c r="T506" s="604"/>
      <c r="U506" s="642"/>
      <c r="V506" s="679">
        <f t="shared" si="98"/>
        <v>-899667.08000000007</v>
      </c>
      <c r="W506" s="679"/>
      <c r="X506" s="702"/>
      <c r="Y506" s="679"/>
      <c r="Z506" s="679"/>
      <c r="AA506" s="642"/>
      <c r="AB506" s="679"/>
      <c r="AC506" s="643"/>
      <c r="AD506" s="644">
        <f t="shared" si="99"/>
        <v>-899667.08000000007</v>
      </c>
      <c r="AE506" s="643"/>
      <c r="AF506" s="677">
        <f t="shared" si="89"/>
        <v>0</v>
      </c>
    </row>
    <row r="507" spans="1:32">
      <c r="A507" s="604">
        <v>495</v>
      </c>
      <c r="B507" s="316" t="s">
        <v>956</v>
      </c>
      <c r="C507" s="316" t="s">
        <v>604</v>
      </c>
      <c r="D507" s="316" t="s">
        <v>1157</v>
      </c>
      <c r="E507" s="589" t="s">
        <v>1680</v>
      </c>
      <c r="F507" s="603">
        <v>-6948083.4400000004</v>
      </c>
      <c r="G507" s="603">
        <v>-99160</v>
      </c>
      <c r="H507" s="603">
        <v>-99160</v>
      </c>
      <c r="I507" s="603">
        <v>0</v>
      </c>
      <c r="J507" s="603">
        <v>0</v>
      </c>
      <c r="K507" s="603">
        <v>0</v>
      </c>
      <c r="L507" s="603">
        <v>-156910</v>
      </c>
      <c r="M507" s="603">
        <v>-130758.33</v>
      </c>
      <c r="N507" s="603">
        <v>-104606.66</v>
      </c>
      <c r="O507" s="603">
        <v>-121320</v>
      </c>
      <c r="P507" s="603">
        <v>-121320</v>
      </c>
      <c r="Q507" s="603">
        <v>0</v>
      </c>
      <c r="R507" s="603">
        <v>-219560</v>
      </c>
      <c r="S507" s="484">
        <f t="shared" si="95"/>
        <v>-368088.05916666664</v>
      </c>
      <c r="T507" s="604"/>
      <c r="U507" s="642"/>
      <c r="V507" s="679">
        <f t="shared" si="98"/>
        <v>-368088.05916666664</v>
      </c>
      <c r="W507" s="679"/>
      <c r="X507" s="702"/>
      <c r="Y507" s="679"/>
      <c r="Z507" s="679"/>
      <c r="AA507" s="642"/>
      <c r="AB507" s="679"/>
      <c r="AC507" s="643"/>
      <c r="AD507" s="644">
        <f t="shared" si="99"/>
        <v>-368088.05916666664</v>
      </c>
      <c r="AE507" s="643"/>
      <c r="AF507" s="677">
        <f t="shared" si="89"/>
        <v>0</v>
      </c>
    </row>
    <row r="508" spans="1:32">
      <c r="A508" s="604">
        <v>496</v>
      </c>
      <c r="B508" s="316" t="s">
        <v>1844</v>
      </c>
      <c r="C508" s="316" t="s">
        <v>604</v>
      </c>
      <c r="D508" s="316" t="s">
        <v>1113</v>
      </c>
      <c r="E508" s="589" t="s">
        <v>1680</v>
      </c>
      <c r="F508" s="603">
        <v>0</v>
      </c>
      <c r="G508" s="603">
        <v>-713994.61</v>
      </c>
      <c r="H508" s="603">
        <v>0</v>
      </c>
      <c r="I508" s="603">
        <v>0</v>
      </c>
      <c r="J508" s="603">
        <v>0</v>
      </c>
      <c r="K508" s="603">
        <v>0</v>
      </c>
      <c r="L508" s="603">
        <v>0</v>
      </c>
      <c r="M508" s="603">
        <v>0</v>
      </c>
      <c r="N508" s="603">
        <v>-72840.87</v>
      </c>
      <c r="O508" s="603">
        <v>0</v>
      </c>
      <c r="P508" s="603">
        <v>-125578.49</v>
      </c>
      <c r="Q508" s="603">
        <v>-525780</v>
      </c>
      <c r="R508" s="603">
        <v>0</v>
      </c>
      <c r="S508" s="484">
        <f t="shared" si="95"/>
        <v>-119849.4975</v>
      </c>
      <c r="T508" s="604"/>
      <c r="U508" s="642"/>
      <c r="V508" s="679">
        <f>+S508</f>
        <v>-119849.4975</v>
      </c>
      <c r="W508" s="679"/>
      <c r="X508" s="702"/>
      <c r="Y508" s="679"/>
      <c r="Z508" s="679"/>
      <c r="AA508" s="642"/>
      <c r="AB508" s="679"/>
      <c r="AC508" s="643"/>
      <c r="AD508" s="644">
        <f t="shared" si="99"/>
        <v>-119849.4975</v>
      </c>
      <c r="AE508" s="643"/>
      <c r="AF508" s="677">
        <f t="shared" si="89"/>
        <v>0</v>
      </c>
    </row>
    <row r="509" spans="1:32">
      <c r="A509" s="604">
        <v>497</v>
      </c>
      <c r="B509" s="316" t="s">
        <v>1844</v>
      </c>
      <c r="C509" s="316" t="s">
        <v>604</v>
      </c>
      <c r="D509" s="316" t="s">
        <v>1851</v>
      </c>
      <c r="E509" s="589" t="s">
        <v>1680</v>
      </c>
      <c r="F509" s="603">
        <v>0</v>
      </c>
      <c r="G509" s="603">
        <v>-1894417.12</v>
      </c>
      <c r="H509" s="603">
        <v>-997396.76</v>
      </c>
      <c r="I509" s="603">
        <v>-2760740.36</v>
      </c>
      <c r="J509" s="603">
        <v>-3565589.79</v>
      </c>
      <c r="K509" s="603">
        <v>-3293283.16</v>
      </c>
      <c r="L509" s="603">
        <v>-3491847.81</v>
      </c>
      <c r="M509" s="603">
        <v>-3678346.64</v>
      </c>
      <c r="N509" s="603">
        <v>-3668579.89</v>
      </c>
      <c r="O509" s="603">
        <v>-3989647.66</v>
      </c>
      <c r="P509" s="603">
        <v>-4882069.3600000003</v>
      </c>
      <c r="Q509" s="603">
        <v>-5803500.46</v>
      </c>
      <c r="R509" s="603">
        <v>-4864687.42</v>
      </c>
      <c r="S509" s="484">
        <f t="shared" si="95"/>
        <v>-3371480.2266666666</v>
      </c>
      <c r="T509" s="604"/>
      <c r="U509" s="642"/>
      <c r="V509" s="679">
        <f>+S509</f>
        <v>-3371480.2266666666</v>
      </c>
      <c r="W509" s="679"/>
      <c r="X509" s="702"/>
      <c r="Y509" s="679"/>
      <c r="Z509" s="679"/>
      <c r="AA509" s="642"/>
      <c r="AB509" s="679"/>
      <c r="AC509" s="643"/>
      <c r="AD509" s="644">
        <f t="shared" si="99"/>
        <v>-3371480.2266666666</v>
      </c>
      <c r="AE509" s="643"/>
      <c r="AF509" s="677"/>
    </row>
    <row r="510" spans="1:32">
      <c r="A510" s="604">
        <v>498</v>
      </c>
      <c r="B510" s="316" t="s">
        <v>1844</v>
      </c>
      <c r="C510" s="316" t="s">
        <v>604</v>
      </c>
      <c r="D510" s="316" t="s">
        <v>1853</v>
      </c>
      <c r="E510" s="589" t="s">
        <v>1680</v>
      </c>
      <c r="F510" s="603">
        <v>0</v>
      </c>
      <c r="G510" s="603">
        <v>-8157943.2599999998</v>
      </c>
      <c r="H510" s="603">
        <v>-3636088.48</v>
      </c>
      <c r="I510" s="603">
        <v>-8684567.4199999999</v>
      </c>
      <c r="J510" s="603">
        <v>-7979296.3799999999</v>
      </c>
      <c r="K510" s="603">
        <v>-8166425.1600000001</v>
      </c>
      <c r="L510" s="603">
        <v>-8625732.5</v>
      </c>
      <c r="M510" s="603">
        <v>-9476818.3599999994</v>
      </c>
      <c r="N510" s="603">
        <v>-9878731.6199999992</v>
      </c>
      <c r="O510" s="603">
        <v>-10734957.460000001</v>
      </c>
      <c r="P510" s="603">
        <v>-11316705.210000001</v>
      </c>
      <c r="Q510" s="603">
        <v>-11092668.49</v>
      </c>
      <c r="R510" s="603">
        <v>-9808230.1500000004</v>
      </c>
      <c r="S510" s="484">
        <f t="shared" si="95"/>
        <v>-8554504.117916666</v>
      </c>
      <c r="T510" s="604"/>
      <c r="U510" s="642"/>
      <c r="V510" s="679">
        <f>+S510</f>
        <v>-8554504.117916666</v>
      </c>
      <c r="W510" s="679"/>
      <c r="X510" s="702"/>
      <c r="Y510" s="679"/>
      <c r="Z510" s="679"/>
      <c r="AA510" s="642"/>
      <c r="AB510" s="679"/>
      <c r="AC510" s="643"/>
      <c r="AD510" s="644">
        <f t="shared" si="99"/>
        <v>-8554504.117916666</v>
      </c>
      <c r="AE510" s="643"/>
      <c r="AF510" s="677"/>
    </row>
    <row r="511" spans="1:32">
      <c r="A511" s="604">
        <v>499</v>
      </c>
      <c r="B511" s="316" t="s">
        <v>956</v>
      </c>
      <c r="C511" s="316" t="s">
        <v>604</v>
      </c>
      <c r="D511" s="316" t="s">
        <v>1200</v>
      </c>
      <c r="E511" s="589" t="s">
        <v>1681</v>
      </c>
      <c r="F511" s="603">
        <v>-69203.53</v>
      </c>
      <c r="G511" s="603">
        <v>-28362.46</v>
      </c>
      <c r="H511" s="603">
        <v>-56724.92</v>
      </c>
      <c r="I511" s="603">
        <v>-79779.47</v>
      </c>
      <c r="J511" s="603">
        <v>-34180.089999999997</v>
      </c>
      <c r="K511" s="603">
        <v>-57234.64</v>
      </c>
      <c r="L511" s="603">
        <v>-80289.19</v>
      </c>
      <c r="M511" s="603">
        <v>-34689.81</v>
      </c>
      <c r="N511" s="603">
        <v>-57744.36</v>
      </c>
      <c r="O511" s="603">
        <v>-80798.91</v>
      </c>
      <c r="P511" s="603">
        <v>-35199.53</v>
      </c>
      <c r="Q511" s="603">
        <v>-58254.080000000002</v>
      </c>
      <c r="R511" s="603">
        <v>0</v>
      </c>
      <c r="S511" s="484">
        <f t="shared" si="95"/>
        <v>-53154.935416666667</v>
      </c>
      <c r="T511" s="604"/>
      <c r="U511" s="642"/>
      <c r="V511" s="679">
        <f t="shared" si="98"/>
        <v>-53154.935416666667</v>
      </c>
      <c r="W511" s="679"/>
      <c r="X511" s="702"/>
      <c r="Y511" s="679"/>
      <c r="Z511" s="679"/>
      <c r="AA511" s="642"/>
      <c r="AB511" s="679"/>
      <c r="AC511" s="643"/>
      <c r="AD511" s="644">
        <f t="shared" si="99"/>
        <v>-53154.935416666667</v>
      </c>
      <c r="AE511" s="643"/>
      <c r="AF511" s="677">
        <f t="shared" si="89"/>
        <v>0</v>
      </c>
    </row>
    <row r="512" spans="1:32">
      <c r="A512" s="604">
        <v>500</v>
      </c>
      <c r="B512" s="316" t="s">
        <v>956</v>
      </c>
      <c r="C512" s="316" t="s">
        <v>604</v>
      </c>
      <c r="D512" s="316" t="s">
        <v>1201</v>
      </c>
      <c r="E512" s="589" t="s">
        <v>1682</v>
      </c>
      <c r="F512" s="603">
        <v>-577471</v>
      </c>
      <c r="G512" s="603">
        <v>-577471</v>
      </c>
      <c r="H512" s="603">
        <v>-577471</v>
      </c>
      <c r="I512" s="603">
        <v>-577471</v>
      </c>
      <c r="J512" s="603">
        <v>-577471</v>
      </c>
      <c r="K512" s="603">
        <v>-577471</v>
      </c>
      <c r="L512" s="603">
        <v>-577471</v>
      </c>
      <c r="M512" s="603">
        <v>-577471</v>
      </c>
      <c r="N512" s="603">
        <v>-577471</v>
      </c>
      <c r="O512" s="603">
        <v>-577471</v>
      </c>
      <c r="P512" s="603">
        <v>-577471</v>
      </c>
      <c r="Q512" s="603">
        <v>-577471</v>
      </c>
      <c r="R512" s="603">
        <v>-554325</v>
      </c>
      <c r="S512" s="484">
        <f t="shared" si="95"/>
        <v>-576506.58333333337</v>
      </c>
      <c r="T512" s="604"/>
      <c r="U512" s="642"/>
      <c r="V512" s="679">
        <f t="shared" si="98"/>
        <v>-576506.58333333337</v>
      </c>
      <c r="W512" s="679"/>
      <c r="X512" s="702"/>
      <c r="Y512" s="679"/>
      <c r="Z512" s="679"/>
      <c r="AA512" s="642"/>
      <c r="AB512" s="679"/>
      <c r="AC512" s="643"/>
      <c r="AD512" s="644">
        <f t="shared" si="99"/>
        <v>-576506.58333333337</v>
      </c>
      <c r="AE512" s="643"/>
      <c r="AF512" s="677">
        <f t="shared" si="89"/>
        <v>0</v>
      </c>
    </row>
    <row r="513" spans="1:32">
      <c r="A513" s="604">
        <v>502</v>
      </c>
      <c r="B513" s="316" t="s">
        <v>956</v>
      </c>
      <c r="C513" s="316" t="s">
        <v>605</v>
      </c>
      <c r="D513" s="316" t="s">
        <v>515</v>
      </c>
      <c r="E513" s="589" t="s">
        <v>606</v>
      </c>
      <c r="F513" s="603">
        <v>-2189962.41</v>
      </c>
      <c r="G513" s="603">
        <v>-2198277.29</v>
      </c>
      <c r="H513" s="603">
        <v>-2204143.64</v>
      </c>
      <c r="I513" s="603">
        <v>-2095013.38</v>
      </c>
      <c r="J513" s="603">
        <v>-2101426.5499999998</v>
      </c>
      <c r="K513" s="603">
        <v>-2108128.67</v>
      </c>
      <c r="L513" s="603">
        <v>-2020123.2</v>
      </c>
      <c r="M513" s="603">
        <v>-1998084.12</v>
      </c>
      <c r="N513" s="603">
        <v>-2003884.61</v>
      </c>
      <c r="O513" s="603">
        <v>-2008086.09</v>
      </c>
      <c r="P513" s="603">
        <v>-1996777.14</v>
      </c>
      <c r="Q513" s="603">
        <v>-1994703.23</v>
      </c>
      <c r="R513" s="603">
        <v>-2137261.0299999998</v>
      </c>
      <c r="S513" s="484">
        <f t="shared" si="95"/>
        <v>-2074354.9699999997</v>
      </c>
      <c r="T513" s="604"/>
      <c r="U513" s="642"/>
      <c r="V513" s="679">
        <f t="shared" si="98"/>
        <v>-2074354.9699999997</v>
      </c>
      <c r="W513" s="679"/>
      <c r="X513" s="702"/>
      <c r="Y513" s="679"/>
      <c r="Z513" s="679"/>
      <c r="AA513" s="642"/>
      <c r="AB513" s="679"/>
      <c r="AC513" s="643"/>
      <c r="AD513" s="644">
        <f t="shared" si="99"/>
        <v>-2074354.9699999997</v>
      </c>
      <c r="AE513" s="643"/>
      <c r="AF513" s="677">
        <f t="shared" si="89"/>
        <v>0</v>
      </c>
    </row>
    <row r="514" spans="1:32">
      <c r="A514" s="604">
        <v>503</v>
      </c>
      <c r="B514" s="316" t="s">
        <v>956</v>
      </c>
      <c r="C514" s="316" t="s">
        <v>1406</v>
      </c>
      <c r="D514" s="316" t="s">
        <v>369</v>
      </c>
      <c r="E514" s="589" t="s">
        <v>438</v>
      </c>
      <c r="F514" s="603">
        <v>-727822.38</v>
      </c>
      <c r="G514" s="603">
        <v>-306376.63</v>
      </c>
      <c r="H514" s="603">
        <v>-2912373.68</v>
      </c>
      <c r="I514" s="603">
        <v>4.65661287307739E-10</v>
      </c>
      <c r="J514" s="603">
        <v>-38913.8299999995</v>
      </c>
      <c r="K514" s="603">
        <v>-316739.25</v>
      </c>
      <c r="L514" s="603">
        <v>-21728.059999999499</v>
      </c>
      <c r="M514" s="603">
        <v>-317082.17</v>
      </c>
      <c r="N514" s="603">
        <v>-397858.57999999903</v>
      </c>
      <c r="O514" s="603">
        <v>-392578.57999999903</v>
      </c>
      <c r="P514" s="603">
        <v>-521056.76999999903</v>
      </c>
      <c r="Q514" s="603">
        <v>-556557.049999999</v>
      </c>
      <c r="R514" s="603">
        <v>5.8207660913467397E-10</v>
      </c>
      <c r="S514" s="484">
        <f t="shared" si="95"/>
        <v>-512097.98249999946</v>
      </c>
      <c r="T514" s="604"/>
      <c r="U514" s="642"/>
      <c r="V514" s="679">
        <f t="shared" si="98"/>
        <v>-512097.98249999946</v>
      </c>
      <c r="W514" s="679"/>
      <c r="X514" s="702"/>
      <c r="Y514" s="679"/>
      <c r="Z514" s="679"/>
      <c r="AA514" s="642"/>
      <c r="AB514" s="679"/>
      <c r="AC514" s="643"/>
      <c r="AD514" s="644">
        <f t="shared" si="99"/>
        <v>-512097.98249999946</v>
      </c>
      <c r="AE514" s="643"/>
      <c r="AF514" s="677">
        <f t="shared" ref="AF514:AF579" si="100">+U514+V514-AD514</f>
        <v>0</v>
      </c>
    </row>
    <row r="515" spans="1:32">
      <c r="A515" s="604">
        <v>504</v>
      </c>
      <c r="B515" s="316" t="s">
        <v>956</v>
      </c>
      <c r="C515" s="316" t="s">
        <v>607</v>
      </c>
      <c r="D515" s="316" t="s">
        <v>1202</v>
      </c>
      <c r="E515" s="589" t="s">
        <v>1688</v>
      </c>
      <c r="F515" s="603">
        <v>-106849.59</v>
      </c>
      <c r="G515" s="603">
        <v>-117137.12</v>
      </c>
      <c r="H515" s="603">
        <v>-125259.76</v>
      </c>
      <c r="I515" s="603">
        <v>-131876.07</v>
      </c>
      <c r="J515" s="603">
        <v>-126017.66</v>
      </c>
      <c r="K515" s="603">
        <v>-120338.22</v>
      </c>
      <c r="L515" s="603">
        <v>-116433.17</v>
      </c>
      <c r="M515" s="603">
        <v>-113259.31</v>
      </c>
      <c r="N515" s="603">
        <v>-111859.15</v>
      </c>
      <c r="O515" s="603">
        <v>-112447.41</v>
      </c>
      <c r="P515" s="603">
        <v>-110389.27</v>
      </c>
      <c r="Q515" s="603">
        <v>-106869.38</v>
      </c>
      <c r="R515" s="603">
        <v>-115735.99</v>
      </c>
      <c r="S515" s="484">
        <f t="shared" si="95"/>
        <v>-116931.60916666668</v>
      </c>
      <c r="T515" s="604"/>
      <c r="U515" s="642"/>
      <c r="V515" s="679">
        <f t="shared" si="98"/>
        <v>-116931.60916666668</v>
      </c>
      <c r="W515" s="679"/>
      <c r="X515" s="702"/>
      <c r="Y515" s="679"/>
      <c r="Z515" s="679"/>
      <c r="AA515" s="642"/>
      <c r="AB515" s="679"/>
      <c r="AC515" s="643"/>
      <c r="AD515" s="644">
        <f t="shared" si="99"/>
        <v>-116931.60916666668</v>
      </c>
      <c r="AE515" s="643"/>
      <c r="AF515" s="677">
        <f t="shared" si="100"/>
        <v>0</v>
      </c>
    </row>
    <row r="516" spans="1:32">
      <c r="A516" s="604">
        <v>505</v>
      </c>
      <c r="B516" s="316" t="s">
        <v>984</v>
      </c>
      <c r="C516" s="316" t="s">
        <v>607</v>
      </c>
      <c r="D516" s="604" t="s">
        <v>1112</v>
      </c>
      <c r="E516" s="589" t="s">
        <v>1691</v>
      </c>
      <c r="F516" s="603">
        <v>-346866.55</v>
      </c>
      <c r="G516" s="603">
        <v>-504643.62</v>
      </c>
      <c r="H516" s="603">
        <v>-510785.33</v>
      </c>
      <c r="I516" s="603">
        <v>-408184.18</v>
      </c>
      <c r="J516" s="603">
        <v>-281055.83</v>
      </c>
      <c r="K516" s="603">
        <v>-131075.26999999999</v>
      </c>
      <c r="L516" s="603">
        <v>-135004.74</v>
      </c>
      <c r="M516" s="603">
        <v>-108731.64</v>
      </c>
      <c r="N516" s="603">
        <v>-80171.510000000097</v>
      </c>
      <c r="O516" s="603">
        <v>-142810.07</v>
      </c>
      <c r="P516" s="603">
        <v>-339741.63</v>
      </c>
      <c r="Q516" s="603">
        <v>-435241.12</v>
      </c>
      <c r="R516" s="603">
        <v>-532108.17000000004</v>
      </c>
      <c r="S516" s="484">
        <f t="shared" si="95"/>
        <v>-293077.69166666665</v>
      </c>
      <c r="T516" s="604"/>
      <c r="U516" s="642"/>
      <c r="V516" s="679">
        <f t="shared" si="98"/>
        <v>-293077.69166666665</v>
      </c>
      <c r="W516" s="679"/>
      <c r="X516" s="702"/>
      <c r="Y516" s="679"/>
      <c r="Z516" s="679"/>
      <c r="AA516" s="642"/>
      <c r="AB516" s="679"/>
      <c r="AC516" s="643"/>
      <c r="AD516" s="644">
        <f t="shared" si="99"/>
        <v>-293077.69166666665</v>
      </c>
      <c r="AE516" s="643"/>
      <c r="AF516" s="677">
        <f t="shared" si="100"/>
        <v>0</v>
      </c>
    </row>
    <row r="517" spans="1:32">
      <c r="A517" s="604">
        <v>506</v>
      </c>
      <c r="B517" s="316" t="s">
        <v>984</v>
      </c>
      <c r="C517" s="316" t="s">
        <v>607</v>
      </c>
      <c r="D517" s="604" t="s">
        <v>450</v>
      </c>
      <c r="E517" s="589" t="s">
        <v>1692</v>
      </c>
      <c r="F517" s="603">
        <v>-720197.02</v>
      </c>
      <c r="G517" s="603">
        <v>-763791.89</v>
      </c>
      <c r="H517" s="603">
        <v>-805999.39</v>
      </c>
      <c r="I517" s="603">
        <v>-838498.08</v>
      </c>
      <c r="J517" s="603">
        <v>-858868.55</v>
      </c>
      <c r="K517" s="603">
        <v>-870038.44</v>
      </c>
      <c r="L517" s="603">
        <v>-877963.83</v>
      </c>
      <c r="M517" s="603">
        <v>-887229.66</v>
      </c>
      <c r="N517" s="603">
        <v>-894061.67</v>
      </c>
      <c r="O517" s="603">
        <v>-906081.57</v>
      </c>
      <c r="P517" s="603">
        <v>-935033.47</v>
      </c>
      <c r="Q517" s="603">
        <v>-972123.58</v>
      </c>
      <c r="R517" s="603">
        <v>-1017468.45</v>
      </c>
      <c r="S517" s="484">
        <f t="shared" si="95"/>
        <v>-873210.23875000002</v>
      </c>
      <c r="T517" s="604"/>
      <c r="U517" s="642"/>
      <c r="V517" s="679">
        <f t="shared" si="98"/>
        <v>-873210.23875000002</v>
      </c>
      <c r="W517" s="679"/>
      <c r="X517" s="702"/>
      <c r="Y517" s="679"/>
      <c r="Z517" s="679"/>
      <c r="AA517" s="642"/>
      <c r="AB517" s="679"/>
      <c r="AC517" s="643"/>
      <c r="AD517" s="644">
        <f t="shared" si="99"/>
        <v>-873210.23875000002</v>
      </c>
      <c r="AE517" s="643"/>
      <c r="AF517" s="677">
        <f t="shared" si="100"/>
        <v>0</v>
      </c>
    </row>
    <row r="518" spans="1:32">
      <c r="A518" s="604">
        <v>507</v>
      </c>
      <c r="B518" s="316" t="s">
        <v>984</v>
      </c>
      <c r="C518" s="316" t="s">
        <v>607</v>
      </c>
      <c r="D518" s="604" t="s">
        <v>437</v>
      </c>
      <c r="E518" s="589" t="s">
        <v>1693</v>
      </c>
      <c r="F518" s="603">
        <v>-48875.44</v>
      </c>
      <c r="G518" s="603">
        <v>-41584.04</v>
      </c>
      <c r="H518" s="603">
        <v>-36640.800000000003</v>
      </c>
      <c r="I518" s="603">
        <v>-34802.36</v>
      </c>
      <c r="J518" s="603">
        <v>-26206.15</v>
      </c>
      <c r="K518" s="603">
        <v>-22542.58</v>
      </c>
      <c r="L518" s="603">
        <v>-20209.169999999998</v>
      </c>
      <c r="M518" s="603">
        <v>-15481.77</v>
      </c>
      <c r="N518" s="603">
        <v>-9985.19</v>
      </c>
      <c r="O518" s="603">
        <v>-7048.96</v>
      </c>
      <c r="P518" s="603">
        <v>-5439.41</v>
      </c>
      <c r="Q518" s="603">
        <v>-3751.38</v>
      </c>
      <c r="R518" s="603">
        <v>-2164.79</v>
      </c>
      <c r="S518" s="484">
        <f t="shared" si="95"/>
        <v>-20767.660416666662</v>
      </c>
      <c r="T518" s="604"/>
      <c r="U518" s="642"/>
      <c r="V518" s="679">
        <f t="shared" si="98"/>
        <v>-20767.660416666662</v>
      </c>
      <c r="W518" s="679"/>
      <c r="X518" s="702"/>
      <c r="Y518" s="679"/>
      <c r="Z518" s="679"/>
      <c r="AA518" s="642"/>
      <c r="AB518" s="679"/>
      <c r="AC518" s="643"/>
      <c r="AD518" s="644">
        <f t="shared" si="99"/>
        <v>-20767.660416666662</v>
      </c>
      <c r="AE518" s="643"/>
      <c r="AF518" s="677">
        <f t="shared" si="100"/>
        <v>0</v>
      </c>
    </row>
    <row r="519" spans="1:32">
      <c r="A519" s="604">
        <v>508</v>
      </c>
      <c r="B519" s="316" t="s">
        <v>984</v>
      </c>
      <c r="C519" s="316" t="s">
        <v>607</v>
      </c>
      <c r="D519" s="604" t="s">
        <v>481</v>
      </c>
      <c r="E519" s="589" t="s">
        <v>1694</v>
      </c>
      <c r="F519" s="603">
        <v>473546.58</v>
      </c>
      <c r="G519" s="603">
        <v>473546.58</v>
      </c>
      <c r="H519" s="603">
        <v>473546.58</v>
      </c>
      <c r="I519" s="603">
        <v>477618.35</v>
      </c>
      <c r="J519" s="603">
        <v>484868.35</v>
      </c>
      <c r="K519" s="603">
        <v>484868.35</v>
      </c>
      <c r="L519" s="603">
        <v>490971.99</v>
      </c>
      <c r="M519" s="603">
        <v>490971.99</v>
      </c>
      <c r="N519" s="603">
        <v>490971.99</v>
      </c>
      <c r="O519" s="603">
        <v>490971.99</v>
      </c>
      <c r="P519" s="603">
        <v>490971.99</v>
      </c>
      <c r="Q519" s="603">
        <v>490971.99</v>
      </c>
      <c r="R519" s="603">
        <v>490971.99</v>
      </c>
      <c r="S519" s="484">
        <f t="shared" si="95"/>
        <v>485211.61958333344</v>
      </c>
      <c r="T519" s="604"/>
      <c r="U519" s="642"/>
      <c r="V519" s="679">
        <f t="shared" si="98"/>
        <v>485211.61958333344</v>
      </c>
      <c r="W519" s="679"/>
      <c r="X519" s="702"/>
      <c r="Y519" s="679"/>
      <c r="Z519" s="679"/>
      <c r="AA519" s="642"/>
      <c r="AB519" s="679"/>
      <c r="AC519" s="643"/>
      <c r="AD519" s="644">
        <f t="shared" si="99"/>
        <v>485211.61958333344</v>
      </c>
      <c r="AE519" s="643"/>
      <c r="AF519" s="677">
        <f t="shared" si="100"/>
        <v>0</v>
      </c>
    </row>
    <row r="520" spans="1:32">
      <c r="A520" s="604">
        <v>509</v>
      </c>
      <c r="B520" s="316" t="s">
        <v>959</v>
      </c>
      <c r="C520" s="316" t="s">
        <v>607</v>
      </c>
      <c r="D520" s="604" t="s">
        <v>437</v>
      </c>
      <c r="E520" s="589" t="s">
        <v>1693</v>
      </c>
      <c r="F520" s="603">
        <v>-525935.19999999995</v>
      </c>
      <c r="G520" s="603">
        <v>-535814.96</v>
      </c>
      <c r="H520" s="603">
        <v>-589535.4</v>
      </c>
      <c r="I520" s="603">
        <v>-596096.14</v>
      </c>
      <c r="J520" s="603">
        <v>-543837.22</v>
      </c>
      <c r="K520" s="603">
        <v>-520139.56</v>
      </c>
      <c r="L520" s="603">
        <v>-517620.87</v>
      </c>
      <c r="M520" s="603">
        <v>-514170.53</v>
      </c>
      <c r="N520" s="603">
        <v>-561139.03</v>
      </c>
      <c r="O520" s="603">
        <v>-589802.21</v>
      </c>
      <c r="P520" s="603">
        <v>-588925.17000000004</v>
      </c>
      <c r="Q520" s="603">
        <v>-581862.54</v>
      </c>
      <c r="R520" s="603">
        <v>-617037.13</v>
      </c>
      <c r="S520" s="484">
        <f t="shared" si="95"/>
        <v>-559202.48291666666</v>
      </c>
      <c r="T520" s="604"/>
      <c r="U520" s="642"/>
      <c r="V520" s="679">
        <f t="shared" si="98"/>
        <v>-559202.48291666666</v>
      </c>
      <c r="W520" s="679"/>
      <c r="X520" s="702"/>
      <c r="Y520" s="679"/>
      <c r="Z520" s="679"/>
      <c r="AA520" s="642"/>
      <c r="AB520" s="679"/>
      <c r="AC520" s="643"/>
      <c r="AD520" s="644">
        <f t="shared" si="99"/>
        <v>-559202.48291666666</v>
      </c>
      <c r="AE520" s="643"/>
      <c r="AF520" s="677">
        <f t="shared" si="100"/>
        <v>0</v>
      </c>
    </row>
    <row r="521" spans="1:32">
      <c r="A521" s="604">
        <v>510</v>
      </c>
      <c r="B521" s="316" t="s">
        <v>956</v>
      </c>
      <c r="C521" s="316" t="s">
        <v>607</v>
      </c>
      <c r="D521" s="604" t="s">
        <v>1203</v>
      </c>
      <c r="E521" s="589" t="s">
        <v>1685</v>
      </c>
      <c r="F521" s="603">
        <v>-57073.15</v>
      </c>
      <c r="G521" s="603">
        <v>-50323.48</v>
      </c>
      <c r="H521" s="603">
        <v>-50387.77</v>
      </c>
      <c r="I521" s="603">
        <v>-52451.839999999997</v>
      </c>
      <c r="J521" s="603">
        <v>-58475.21</v>
      </c>
      <c r="K521" s="603">
        <v>-39554.39</v>
      </c>
      <c r="L521" s="603">
        <v>-40185.800000000003</v>
      </c>
      <c r="M521" s="603">
        <v>-76952.320000000007</v>
      </c>
      <c r="N521" s="603">
        <v>-54697.34</v>
      </c>
      <c r="O521" s="603">
        <v>-56604.83</v>
      </c>
      <c r="P521" s="603">
        <v>-63644.05</v>
      </c>
      <c r="Q521" s="603">
        <v>195.16999999999101</v>
      </c>
      <c r="R521" s="603">
        <v>-20872.259999999998</v>
      </c>
      <c r="S521" s="484">
        <f t="shared" si="95"/>
        <v>-48504.547083333331</v>
      </c>
      <c r="T521" s="604"/>
      <c r="U521" s="642"/>
      <c r="V521" s="679">
        <f t="shared" si="98"/>
        <v>-48504.547083333331</v>
      </c>
      <c r="W521" s="679"/>
      <c r="X521" s="702"/>
      <c r="Y521" s="679"/>
      <c r="Z521" s="679"/>
      <c r="AA521" s="642"/>
      <c r="AB521" s="679"/>
      <c r="AC521" s="643"/>
      <c r="AD521" s="644">
        <f t="shared" si="99"/>
        <v>-48504.547083333331</v>
      </c>
      <c r="AE521" s="643"/>
      <c r="AF521" s="677">
        <f t="shared" si="100"/>
        <v>0</v>
      </c>
    </row>
    <row r="522" spans="1:32">
      <c r="A522" s="604">
        <v>511</v>
      </c>
      <c r="B522" s="316" t="s">
        <v>956</v>
      </c>
      <c r="C522" s="316" t="s">
        <v>607</v>
      </c>
      <c r="D522" s="604" t="s">
        <v>1204</v>
      </c>
      <c r="E522" s="589" t="s">
        <v>1686</v>
      </c>
      <c r="F522" s="603">
        <v>-1208196.57</v>
      </c>
      <c r="G522" s="603">
        <v>-1375811</v>
      </c>
      <c r="H522" s="603">
        <v>-432011.05</v>
      </c>
      <c r="I522" s="603">
        <v>-585900.9</v>
      </c>
      <c r="J522" s="603">
        <v>-747596.28</v>
      </c>
      <c r="K522" s="603">
        <v>-914694.95</v>
      </c>
      <c r="L522" s="603">
        <v>-1063745.57</v>
      </c>
      <c r="M522" s="603">
        <v>-1232722.99</v>
      </c>
      <c r="N522" s="603">
        <v>-592221.98</v>
      </c>
      <c r="O522" s="603">
        <v>-744924.25</v>
      </c>
      <c r="P522" s="603">
        <v>-936452.18</v>
      </c>
      <c r="Q522" s="603">
        <v>-1087294.27</v>
      </c>
      <c r="R522" s="603">
        <v>-1244918.45</v>
      </c>
      <c r="S522" s="484">
        <f t="shared" si="95"/>
        <v>-911661.07750000001</v>
      </c>
      <c r="T522" s="604"/>
      <c r="U522" s="642"/>
      <c r="V522" s="679">
        <f t="shared" si="98"/>
        <v>-911661.07750000001</v>
      </c>
      <c r="W522" s="679"/>
      <c r="X522" s="702"/>
      <c r="Y522" s="679"/>
      <c r="Z522" s="679"/>
      <c r="AA522" s="642"/>
      <c r="AB522" s="679"/>
      <c r="AC522" s="643"/>
      <c r="AD522" s="644">
        <f t="shared" si="99"/>
        <v>-911661.07750000001</v>
      </c>
      <c r="AE522" s="643"/>
      <c r="AF522" s="677">
        <f t="shared" si="100"/>
        <v>0</v>
      </c>
    </row>
    <row r="523" spans="1:32">
      <c r="A523" s="604">
        <v>512</v>
      </c>
      <c r="B523" s="316" t="s">
        <v>956</v>
      </c>
      <c r="C523" s="316" t="s">
        <v>607</v>
      </c>
      <c r="D523" s="604" t="s">
        <v>1407</v>
      </c>
      <c r="E523" s="589" t="s">
        <v>1687</v>
      </c>
      <c r="F523" s="603">
        <v>628.39</v>
      </c>
      <c r="G523" s="603">
        <v>628.39</v>
      </c>
      <c r="H523" s="603">
        <v>628.39</v>
      </c>
      <c r="I523" s="603">
        <v>628.39</v>
      </c>
      <c r="J523" s="603">
        <v>628.39</v>
      </c>
      <c r="K523" s="603">
        <v>628.39</v>
      </c>
      <c r="L523" s="603">
        <v>628.39</v>
      </c>
      <c r="M523" s="603">
        <v>628.39</v>
      </c>
      <c r="N523" s="603">
        <v>628.39</v>
      </c>
      <c r="O523" s="603">
        <v>628.39</v>
      </c>
      <c r="P523" s="603">
        <v>628.39</v>
      </c>
      <c r="Q523" s="603">
        <v>628.39</v>
      </c>
      <c r="R523" s="603">
        <v>628.39</v>
      </c>
      <c r="S523" s="484">
        <f t="shared" si="95"/>
        <v>628.3900000000001</v>
      </c>
      <c r="T523" s="604"/>
      <c r="U523" s="642"/>
      <c r="V523" s="679">
        <f t="shared" si="98"/>
        <v>628.3900000000001</v>
      </c>
      <c r="W523" s="679"/>
      <c r="X523" s="702"/>
      <c r="Y523" s="679"/>
      <c r="Z523" s="679"/>
      <c r="AA523" s="642"/>
      <c r="AB523" s="679"/>
      <c r="AC523" s="643"/>
      <c r="AD523" s="644">
        <f t="shared" si="99"/>
        <v>628.3900000000001</v>
      </c>
      <c r="AE523" s="643"/>
      <c r="AF523" s="677">
        <f t="shared" si="100"/>
        <v>0</v>
      </c>
    </row>
    <row r="524" spans="1:32">
      <c r="A524" s="604">
        <v>513</v>
      </c>
      <c r="B524" s="316" t="s">
        <v>984</v>
      </c>
      <c r="C524" s="316" t="s">
        <v>597</v>
      </c>
      <c r="D524" s="604" t="s">
        <v>1198</v>
      </c>
      <c r="E524" s="589" t="s">
        <v>1704</v>
      </c>
      <c r="F524" s="603">
        <v>0</v>
      </c>
      <c r="G524" s="603">
        <v>-16075.52</v>
      </c>
      <c r="H524" s="603">
        <v>-32151.040000000001</v>
      </c>
      <c r="I524" s="603">
        <v>0</v>
      </c>
      <c r="J524" s="603">
        <v>0</v>
      </c>
      <c r="K524" s="603">
        <v>0</v>
      </c>
      <c r="L524" s="603">
        <v>0</v>
      </c>
      <c r="M524" s="603">
        <v>0</v>
      </c>
      <c r="N524" s="603">
        <v>0</v>
      </c>
      <c r="O524" s="603">
        <v>0</v>
      </c>
      <c r="P524" s="603">
        <v>0</v>
      </c>
      <c r="Q524" s="603">
        <v>0</v>
      </c>
      <c r="R524" s="603">
        <v>0</v>
      </c>
      <c r="S524" s="484">
        <f t="shared" si="95"/>
        <v>-4018.8799999999997</v>
      </c>
      <c r="T524" s="604"/>
      <c r="U524" s="642"/>
      <c r="V524" s="679">
        <f>+S524</f>
        <v>-4018.8799999999997</v>
      </c>
      <c r="W524" s="679"/>
      <c r="X524" s="702"/>
      <c r="Y524" s="679"/>
      <c r="Z524" s="679"/>
      <c r="AA524" s="642"/>
      <c r="AB524" s="679"/>
      <c r="AC524" s="643"/>
      <c r="AD524" s="644">
        <f t="shared" si="99"/>
        <v>-4018.8799999999997</v>
      </c>
      <c r="AE524" s="643"/>
      <c r="AF524" s="677">
        <f t="shared" si="100"/>
        <v>0</v>
      </c>
    </row>
    <row r="525" spans="1:32">
      <c r="A525" s="604">
        <v>514</v>
      </c>
      <c r="B525" s="316" t="s">
        <v>984</v>
      </c>
      <c r="C525" s="316" t="s">
        <v>597</v>
      </c>
      <c r="D525" s="604" t="s">
        <v>1891</v>
      </c>
      <c r="E525" s="589" t="s">
        <v>1905</v>
      </c>
      <c r="F525" s="603">
        <v>0</v>
      </c>
      <c r="G525" s="603">
        <v>0</v>
      </c>
      <c r="H525" s="603">
        <v>0</v>
      </c>
      <c r="I525" s="603">
        <v>0</v>
      </c>
      <c r="J525" s="603">
        <v>0</v>
      </c>
      <c r="K525" s="603">
        <v>0</v>
      </c>
      <c r="L525" s="603">
        <v>-6897.58</v>
      </c>
      <c r="M525" s="603">
        <v>-13795.16</v>
      </c>
      <c r="N525" s="603">
        <v>-19872.939999999999</v>
      </c>
      <c r="O525" s="603">
        <v>0</v>
      </c>
      <c r="P525" s="603">
        <v>0</v>
      </c>
      <c r="Q525" s="603">
        <v>0</v>
      </c>
      <c r="R525" s="603">
        <v>0</v>
      </c>
      <c r="S525" s="484">
        <f t="shared" si="95"/>
        <v>-3380.4733333333329</v>
      </c>
      <c r="T525" s="604"/>
      <c r="U525" s="642"/>
      <c r="V525" s="679">
        <f>+S525</f>
        <v>-3380.4733333333329</v>
      </c>
      <c r="W525" s="679"/>
      <c r="X525" s="702"/>
      <c r="Y525" s="679"/>
      <c r="Z525" s="679"/>
      <c r="AA525" s="642"/>
      <c r="AB525" s="679"/>
      <c r="AC525" s="643"/>
      <c r="AD525" s="644">
        <f t="shared" si="99"/>
        <v>-3380.4733333333329</v>
      </c>
      <c r="AE525" s="643"/>
      <c r="AF525" s="677"/>
    </row>
    <row r="526" spans="1:32">
      <c r="A526" s="604">
        <v>515</v>
      </c>
      <c r="B526" s="316" t="s">
        <v>1844</v>
      </c>
      <c r="C526" s="316" t="s">
        <v>612</v>
      </c>
      <c r="D526" s="604" t="s">
        <v>1851</v>
      </c>
      <c r="E526" s="589" t="s">
        <v>1909</v>
      </c>
      <c r="F526" s="603">
        <v>0</v>
      </c>
      <c r="G526" s="603">
        <v>0</v>
      </c>
      <c r="H526" s="603">
        <v>-2342139.6</v>
      </c>
      <c r="I526" s="603">
        <v>-3399048.29</v>
      </c>
      <c r="J526" s="603">
        <v>-4027988.3</v>
      </c>
      <c r="K526" s="603">
        <v>-4380204.8499999996</v>
      </c>
      <c r="L526" s="603">
        <v>-4728970.04</v>
      </c>
      <c r="M526" s="603">
        <v>-5196910.95</v>
      </c>
      <c r="N526" s="603">
        <v>-6194887.6500000004</v>
      </c>
      <c r="O526" s="603">
        <v>-4675781.1500000004</v>
      </c>
      <c r="P526" s="603">
        <v>-5056612.16</v>
      </c>
      <c r="Q526" s="603">
        <v>-4649236.16</v>
      </c>
      <c r="R526" s="603">
        <v>-5008566.5</v>
      </c>
      <c r="S526" s="484">
        <f t="shared" si="95"/>
        <v>-3929671.8666666658</v>
      </c>
      <c r="T526" s="604"/>
      <c r="U526" s="642"/>
      <c r="V526" s="679">
        <f t="shared" si="98"/>
        <v>-3929671.8666666658</v>
      </c>
      <c r="W526" s="679"/>
      <c r="X526" s="702"/>
      <c r="Y526" s="679"/>
      <c r="Z526" s="679"/>
      <c r="AA526" s="642"/>
      <c r="AB526" s="679"/>
      <c r="AC526" s="643"/>
      <c r="AD526" s="644">
        <f t="shared" si="99"/>
        <v>-3929671.8666666658</v>
      </c>
      <c r="AE526" s="643"/>
      <c r="AF526" s="677">
        <f t="shared" si="100"/>
        <v>0</v>
      </c>
    </row>
    <row r="527" spans="1:32">
      <c r="A527" s="604">
        <v>516</v>
      </c>
      <c r="B527" s="316" t="s">
        <v>1844</v>
      </c>
      <c r="C527" s="316" t="s">
        <v>612</v>
      </c>
      <c r="D527" s="604" t="s">
        <v>1853</v>
      </c>
      <c r="E527" s="589" t="s">
        <v>1909</v>
      </c>
      <c r="F527" s="603">
        <v>0</v>
      </c>
      <c r="G527" s="603">
        <v>-47946602.299999997</v>
      </c>
      <c r="H527" s="603">
        <v>-67505586.75</v>
      </c>
      <c r="I527" s="603">
        <v>-88051807.390000001</v>
      </c>
      <c r="J527" s="603">
        <v>-87171112.069999993</v>
      </c>
      <c r="K527" s="603">
        <v>-88013372.25</v>
      </c>
      <c r="L527" s="603">
        <v>-89814171.189999998</v>
      </c>
      <c r="M527" s="603">
        <v>-91693584.269999996</v>
      </c>
      <c r="N527" s="603">
        <v>-94471180.239999995</v>
      </c>
      <c r="O527" s="603">
        <v>-88325640.670000002</v>
      </c>
      <c r="P527" s="603">
        <v>-87907480.109999999</v>
      </c>
      <c r="Q527" s="603">
        <v>-84508849.859999999</v>
      </c>
      <c r="R527" s="603">
        <v>-84195663.5</v>
      </c>
      <c r="S527" s="484">
        <f t="shared" si="95"/>
        <v>-79792268.237499997</v>
      </c>
      <c r="T527" s="604"/>
      <c r="U527" s="642"/>
      <c r="V527" s="679">
        <f t="shared" si="98"/>
        <v>-79792268.237499997</v>
      </c>
      <c r="W527" s="679"/>
      <c r="X527" s="702"/>
      <c r="Y527" s="679"/>
      <c r="Z527" s="679"/>
      <c r="AA527" s="642"/>
      <c r="AB527" s="679"/>
      <c r="AC527" s="643"/>
      <c r="AD527" s="644">
        <f t="shared" si="99"/>
        <v>-79792268.237499997</v>
      </c>
      <c r="AE527" s="643"/>
      <c r="AF527" s="677">
        <f t="shared" si="100"/>
        <v>0</v>
      </c>
    </row>
    <row r="528" spans="1:32">
      <c r="A528" s="604">
        <v>517</v>
      </c>
      <c r="B528" s="316" t="s">
        <v>1844</v>
      </c>
      <c r="C528" s="316" t="s">
        <v>1910</v>
      </c>
      <c r="D528" s="316" t="s">
        <v>1891</v>
      </c>
      <c r="E528" s="589" t="s">
        <v>1911</v>
      </c>
      <c r="F528" s="603">
        <v>0</v>
      </c>
      <c r="G528" s="603">
        <v>0</v>
      </c>
      <c r="H528" s="603">
        <v>-83666</v>
      </c>
      <c r="I528" s="603">
        <v>-83993.95</v>
      </c>
      <c r="J528" s="603">
        <v>-84322.71</v>
      </c>
      <c r="K528" s="603">
        <v>-84652.28</v>
      </c>
      <c r="L528" s="603">
        <v>-82827.460000000006</v>
      </c>
      <c r="M528" s="603">
        <v>-80997.8</v>
      </c>
      <c r="N528" s="603">
        <v>-79160.53</v>
      </c>
      <c r="O528" s="603">
        <v>-77318.61</v>
      </c>
      <c r="P528" s="603">
        <v>-74998.490000000005</v>
      </c>
      <c r="Q528" s="603">
        <v>-72672.2</v>
      </c>
      <c r="R528" s="603">
        <v>-70339.81</v>
      </c>
      <c r="S528" s="484">
        <f t="shared" si="95"/>
        <v>-69981.661250000005</v>
      </c>
      <c r="T528" s="604"/>
      <c r="U528" s="642"/>
      <c r="V528" s="679">
        <f t="shared" si="98"/>
        <v>-69981.661250000005</v>
      </c>
      <c r="W528" s="679"/>
      <c r="X528" s="702"/>
      <c r="Y528" s="679"/>
      <c r="Z528" s="679"/>
      <c r="AA528" s="642"/>
      <c r="AB528" s="679"/>
      <c r="AC528" s="643"/>
      <c r="AD528" s="644">
        <f t="shared" si="99"/>
        <v>-69981.661250000005</v>
      </c>
      <c r="AE528" s="643"/>
      <c r="AF528" s="677">
        <f t="shared" si="100"/>
        <v>0</v>
      </c>
    </row>
    <row r="529" spans="1:32">
      <c r="A529" s="604">
        <v>518</v>
      </c>
      <c r="B529" s="316" t="s">
        <v>956</v>
      </c>
      <c r="C529" s="316" t="s">
        <v>615</v>
      </c>
      <c r="D529" s="316" t="s">
        <v>515</v>
      </c>
      <c r="E529" s="589" t="s">
        <v>451</v>
      </c>
      <c r="F529" s="603">
        <v>0</v>
      </c>
      <c r="G529" s="603">
        <v>0</v>
      </c>
      <c r="H529" s="603">
        <v>0</v>
      </c>
      <c r="I529" s="603">
        <v>0</v>
      </c>
      <c r="J529" s="603">
        <v>0</v>
      </c>
      <c r="K529" s="603">
        <v>0</v>
      </c>
      <c r="L529" s="603">
        <v>0</v>
      </c>
      <c r="M529" s="603">
        <v>0</v>
      </c>
      <c r="N529" s="603">
        <v>0</v>
      </c>
      <c r="O529" s="603">
        <v>0</v>
      </c>
      <c r="P529" s="603">
        <v>0</v>
      </c>
      <c r="Q529" s="603">
        <v>-830</v>
      </c>
      <c r="R529" s="603">
        <v>0</v>
      </c>
      <c r="S529" s="484">
        <f t="shared" si="95"/>
        <v>-69.166666666666671</v>
      </c>
      <c r="T529" s="604"/>
      <c r="U529" s="642"/>
      <c r="V529" s="679">
        <f t="shared" si="98"/>
        <v>-69.166666666666671</v>
      </c>
      <c r="W529" s="679"/>
      <c r="X529" s="702"/>
      <c r="Y529" s="679"/>
      <c r="Z529" s="679"/>
      <c r="AA529" s="642"/>
      <c r="AB529" s="679"/>
      <c r="AC529" s="643"/>
      <c r="AD529" s="644">
        <f t="shared" si="99"/>
        <v>-69.166666666666671</v>
      </c>
      <c r="AE529" s="643"/>
      <c r="AF529" s="677">
        <f t="shared" si="100"/>
        <v>0</v>
      </c>
    </row>
    <row r="530" spans="1:32">
      <c r="A530" s="604">
        <v>519</v>
      </c>
      <c r="B530" s="316" t="s">
        <v>984</v>
      </c>
      <c r="C530" s="316" t="s">
        <v>611</v>
      </c>
      <c r="D530" s="316" t="s">
        <v>369</v>
      </c>
      <c r="E530" s="589" t="s">
        <v>1689</v>
      </c>
      <c r="F530" s="603">
        <v>-1558019.97</v>
      </c>
      <c r="G530" s="603">
        <v>-1807036.27</v>
      </c>
      <c r="H530" s="603">
        <v>-2008969.8</v>
      </c>
      <c r="I530" s="603">
        <v>-2179655.12</v>
      </c>
      <c r="J530" s="603">
        <v>-1427485.33</v>
      </c>
      <c r="K530" s="603">
        <v>-1427485.33</v>
      </c>
      <c r="L530" s="603">
        <v>-1427485.33</v>
      </c>
      <c r="M530" s="603">
        <v>-1427485.33</v>
      </c>
      <c r="N530" s="603">
        <v>-1427485.33</v>
      </c>
      <c r="O530" s="603">
        <v>-1400000</v>
      </c>
      <c r="P530" s="603">
        <v>-1400000</v>
      </c>
      <c r="Q530" s="603">
        <v>0</v>
      </c>
      <c r="R530" s="603">
        <v>0</v>
      </c>
      <c r="S530" s="484">
        <f t="shared" si="95"/>
        <v>-1392674.8187500001</v>
      </c>
      <c r="T530" s="604"/>
      <c r="U530" s="642"/>
      <c r="V530" s="679">
        <f t="shared" si="98"/>
        <v>-1392674.8187500001</v>
      </c>
      <c r="W530" s="679"/>
      <c r="X530" s="702"/>
      <c r="Y530" s="679"/>
      <c r="Z530" s="679"/>
      <c r="AA530" s="642"/>
      <c r="AB530" s="679"/>
      <c r="AC530" s="643"/>
      <c r="AD530" s="644">
        <f t="shared" si="99"/>
        <v>-1392674.8187500001</v>
      </c>
      <c r="AE530" s="643"/>
      <c r="AF530" s="677">
        <f t="shared" si="100"/>
        <v>0</v>
      </c>
    </row>
    <row r="531" spans="1:32">
      <c r="A531" s="604">
        <v>520</v>
      </c>
      <c r="B531" s="316" t="s">
        <v>959</v>
      </c>
      <c r="C531" s="316" t="s">
        <v>611</v>
      </c>
      <c r="D531" s="316" t="s">
        <v>369</v>
      </c>
      <c r="E531" s="589" t="s">
        <v>1689</v>
      </c>
      <c r="F531" s="603">
        <v>0</v>
      </c>
      <c r="G531" s="603">
        <v>0</v>
      </c>
      <c r="H531" s="603">
        <v>0</v>
      </c>
      <c r="I531" s="603">
        <v>0</v>
      </c>
      <c r="J531" s="603">
        <v>0</v>
      </c>
      <c r="K531" s="603">
        <v>0</v>
      </c>
      <c r="L531" s="603">
        <v>0</v>
      </c>
      <c r="M531" s="603">
        <v>0</v>
      </c>
      <c r="N531" s="603">
        <v>0</v>
      </c>
      <c r="O531" s="603">
        <v>0</v>
      </c>
      <c r="P531" s="603">
        <v>0</v>
      </c>
      <c r="Q531" s="603">
        <v>0</v>
      </c>
      <c r="R531" s="603">
        <v>0</v>
      </c>
      <c r="S531" s="484">
        <f t="shared" si="95"/>
        <v>0</v>
      </c>
      <c r="T531" s="604"/>
      <c r="U531" s="642"/>
      <c r="V531" s="679">
        <f t="shared" si="98"/>
        <v>0</v>
      </c>
      <c r="W531" s="679"/>
      <c r="X531" s="702"/>
      <c r="Y531" s="679"/>
      <c r="Z531" s="679"/>
      <c r="AA531" s="642"/>
      <c r="AB531" s="679"/>
      <c r="AC531" s="643"/>
      <c r="AD531" s="644">
        <f t="shared" si="99"/>
        <v>0</v>
      </c>
      <c r="AE531" s="643"/>
      <c r="AF531" s="677">
        <f t="shared" si="100"/>
        <v>0</v>
      </c>
    </row>
    <row r="532" spans="1:32">
      <c r="A532" s="604">
        <v>521</v>
      </c>
      <c r="B532" s="316" t="s">
        <v>984</v>
      </c>
      <c r="C532" s="316" t="s">
        <v>612</v>
      </c>
      <c r="D532" s="604" t="s">
        <v>1205</v>
      </c>
      <c r="E532" s="589" t="s">
        <v>1695</v>
      </c>
      <c r="F532" s="603">
        <v>3704804.32</v>
      </c>
      <c r="G532" s="603">
        <v>3645229.88</v>
      </c>
      <c r="H532" s="603">
        <v>6655527.54</v>
      </c>
      <c r="I532" s="603">
        <v>7948816.1799999997</v>
      </c>
      <c r="J532" s="603">
        <v>8418704.3900000006</v>
      </c>
      <c r="K532" s="603">
        <v>8498491.9399999995</v>
      </c>
      <c r="L532" s="603">
        <v>8600713.7200000007</v>
      </c>
      <c r="M532" s="603">
        <v>8714543.7899999991</v>
      </c>
      <c r="N532" s="603">
        <v>8943481.4000000004</v>
      </c>
      <c r="O532" s="603">
        <v>9110444.2400000002</v>
      </c>
      <c r="P532" s="603">
        <v>9809801.8300000001</v>
      </c>
      <c r="Q532" s="603">
        <v>1631609.22</v>
      </c>
      <c r="R532" s="603">
        <v>3387386.16</v>
      </c>
      <c r="S532" s="484">
        <f t="shared" si="95"/>
        <v>7126954.9474999988</v>
      </c>
      <c r="T532" s="604"/>
      <c r="U532" s="642"/>
      <c r="V532" s="650"/>
      <c r="W532" s="679"/>
      <c r="X532" s="679">
        <f>+S532</f>
        <v>7126954.9474999988</v>
      </c>
      <c r="Y532" s="679"/>
      <c r="Z532" s="679"/>
      <c r="AA532" s="642"/>
      <c r="AB532" s="644">
        <f t="shared" ref="AB532:AB537" si="101">+X532</f>
        <v>7126954.9474999988</v>
      </c>
      <c r="AC532" s="643"/>
      <c r="AD532" s="649"/>
      <c r="AE532" s="643"/>
      <c r="AF532" s="677">
        <f t="shared" si="100"/>
        <v>0</v>
      </c>
    </row>
    <row r="533" spans="1:32">
      <c r="A533" s="604">
        <v>522</v>
      </c>
      <c r="B533" s="316" t="s">
        <v>984</v>
      </c>
      <c r="C533" s="316" t="s">
        <v>612</v>
      </c>
      <c r="D533" s="316" t="s">
        <v>1206</v>
      </c>
      <c r="E533" s="589" t="s">
        <v>1696</v>
      </c>
      <c r="F533" s="603">
        <v>-1108593.69</v>
      </c>
      <c r="G533" s="603">
        <v>-2156297.1</v>
      </c>
      <c r="H533" s="603">
        <v>-3288565.62</v>
      </c>
      <c r="I533" s="603">
        <v>-3918743.38</v>
      </c>
      <c r="J533" s="603">
        <v>-4023173.21</v>
      </c>
      <c r="K533" s="603">
        <v>-3859207.89</v>
      </c>
      <c r="L533" s="603">
        <v>-3724670.44</v>
      </c>
      <c r="M533" s="603">
        <v>-3457335.89</v>
      </c>
      <c r="N533" s="603">
        <v>-2746085.82</v>
      </c>
      <c r="O533" s="603">
        <v>-4553630.62</v>
      </c>
      <c r="P533" s="603">
        <v>-5199110.82</v>
      </c>
      <c r="Q533" s="603">
        <v>-1735827.07</v>
      </c>
      <c r="R533" s="603">
        <v>-2322389.21</v>
      </c>
      <c r="S533" s="484">
        <f t="shared" si="95"/>
        <v>-3364844.9425000008</v>
      </c>
      <c r="T533" s="604"/>
      <c r="U533" s="642"/>
      <c r="V533" s="679"/>
      <c r="W533" s="679"/>
      <c r="X533" s="702">
        <f>+S533</f>
        <v>-3364844.9425000008</v>
      </c>
      <c r="Y533" s="679"/>
      <c r="Z533" s="679"/>
      <c r="AA533" s="642"/>
      <c r="AB533" s="679">
        <f t="shared" si="101"/>
        <v>-3364844.9425000008</v>
      </c>
      <c r="AC533" s="643"/>
      <c r="AD533" s="644">
        <f t="shared" si="99"/>
        <v>0</v>
      </c>
      <c r="AE533" s="643"/>
      <c r="AF533" s="677">
        <f t="shared" si="100"/>
        <v>0</v>
      </c>
    </row>
    <row r="534" spans="1:32">
      <c r="A534" s="604">
        <v>523</v>
      </c>
      <c r="B534" s="316" t="s">
        <v>984</v>
      </c>
      <c r="C534" s="316" t="s">
        <v>612</v>
      </c>
      <c r="D534" s="316" t="s">
        <v>1207</v>
      </c>
      <c r="E534" s="589" t="s">
        <v>613</v>
      </c>
      <c r="F534" s="603">
        <v>-593186.79</v>
      </c>
      <c r="G534" s="603">
        <v>0</v>
      </c>
      <c r="H534" s="603">
        <v>0</v>
      </c>
      <c r="I534" s="603">
        <v>0</v>
      </c>
      <c r="J534" s="603">
        <v>0</v>
      </c>
      <c r="K534" s="603">
        <v>0</v>
      </c>
      <c r="L534" s="603">
        <v>0</v>
      </c>
      <c r="M534" s="603">
        <v>0</v>
      </c>
      <c r="N534" s="603">
        <v>0</v>
      </c>
      <c r="O534" s="603">
        <v>0</v>
      </c>
      <c r="P534" s="603">
        <v>0</v>
      </c>
      <c r="Q534" s="603">
        <v>0</v>
      </c>
      <c r="R534" s="603">
        <v>0</v>
      </c>
      <c r="S534" s="484">
        <f t="shared" si="95"/>
        <v>-24716.116250000003</v>
      </c>
      <c r="T534" s="604"/>
      <c r="U534" s="642"/>
      <c r="V534" s="679"/>
      <c r="W534" s="679"/>
      <c r="X534" s="702">
        <f t="shared" ref="X534:X543" si="102">+S534</f>
        <v>-24716.116250000003</v>
      </c>
      <c r="Y534" s="679"/>
      <c r="Z534" s="679"/>
      <c r="AA534" s="642"/>
      <c r="AB534" s="679">
        <f t="shared" si="101"/>
        <v>-24716.116250000003</v>
      </c>
      <c r="AC534" s="643"/>
      <c r="AD534" s="644">
        <f t="shared" si="99"/>
        <v>0</v>
      </c>
      <c r="AE534" s="643"/>
      <c r="AF534" s="677">
        <f t="shared" si="100"/>
        <v>0</v>
      </c>
    </row>
    <row r="535" spans="1:32">
      <c r="A535" s="604">
        <v>524</v>
      </c>
      <c r="B535" s="316" t="s">
        <v>984</v>
      </c>
      <c r="C535" s="316" t="s">
        <v>612</v>
      </c>
      <c r="D535" s="316" t="s">
        <v>1208</v>
      </c>
      <c r="E535" s="589" t="s">
        <v>1697</v>
      </c>
      <c r="F535" s="603">
        <v>-2335027.88</v>
      </c>
      <c r="G535" s="603">
        <v>-1849878.03</v>
      </c>
      <c r="H535" s="603">
        <v>-1392031.55</v>
      </c>
      <c r="I535" s="603">
        <v>-876283.67</v>
      </c>
      <c r="J535" s="603">
        <v>-525555.71</v>
      </c>
      <c r="K535" s="603">
        <v>-338236.72</v>
      </c>
      <c r="L535" s="603">
        <v>-208753.22</v>
      </c>
      <c r="M535" s="603">
        <v>-111957.73</v>
      </c>
      <c r="N535" s="603">
        <v>-29672.6899999997</v>
      </c>
      <c r="O535" s="603">
        <v>52499.2600000003</v>
      </c>
      <c r="P535" s="603">
        <v>253772.23</v>
      </c>
      <c r="Q535" s="603">
        <v>5234050.04</v>
      </c>
      <c r="R535" s="603">
        <v>4487237.01</v>
      </c>
      <c r="S535" s="484">
        <f t="shared" si="95"/>
        <v>107004.73125000014</v>
      </c>
      <c r="T535" s="604"/>
      <c r="U535" s="642"/>
      <c r="V535" s="679"/>
      <c r="W535" s="679"/>
      <c r="X535" s="702">
        <f t="shared" si="102"/>
        <v>107004.73125000014</v>
      </c>
      <c r="Y535" s="679"/>
      <c r="Z535" s="679"/>
      <c r="AA535" s="642"/>
      <c r="AB535" s="679">
        <f t="shared" si="101"/>
        <v>107004.73125000014</v>
      </c>
      <c r="AC535" s="643"/>
      <c r="AD535" s="644">
        <f t="shared" si="99"/>
        <v>0</v>
      </c>
      <c r="AE535" s="643"/>
      <c r="AF535" s="677">
        <f t="shared" si="100"/>
        <v>0</v>
      </c>
    </row>
    <row r="536" spans="1:32">
      <c r="A536" s="604">
        <v>525</v>
      </c>
      <c r="B536" s="316" t="s">
        <v>984</v>
      </c>
      <c r="C536" s="316" t="s">
        <v>612</v>
      </c>
      <c r="D536" s="316" t="s">
        <v>1209</v>
      </c>
      <c r="E536" s="589" t="s">
        <v>1698</v>
      </c>
      <c r="F536" s="603">
        <v>332004.03999999998</v>
      </c>
      <c r="G536" s="603">
        <v>333767.61</v>
      </c>
      <c r="H536" s="603">
        <v>367209.23</v>
      </c>
      <c r="I536" s="603">
        <v>245259.16</v>
      </c>
      <c r="J536" s="603">
        <v>158012.82999999999</v>
      </c>
      <c r="K536" s="603">
        <v>79157.52</v>
      </c>
      <c r="L536" s="603">
        <v>61679.98</v>
      </c>
      <c r="M536" s="603">
        <v>51660.78</v>
      </c>
      <c r="N536" s="603">
        <v>27164.76</v>
      </c>
      <c r="O536" s="603">
        <v>66468.27</v>
      </c>
      <c r="P536" s="603">
        <v>192148.92</v>
      </c>
      <c r="Q536" s="603">
        <v>-480596.03</v>
      </c>
      <c r="R536" s="603">
        <v>-543667.46</v>
      </c>
      <c r="S536" s="484">
        <f t="shared" si="95"/>
        <v>83008.443333333344</v>
      </c>
      <c r="T536" s="604"/>
      <c r="U536" s="642"/>
      <c r="V536" s="679"/>
      <c r="W536" s="679"/>
      <c r="X536" s="702">
        <f t="shared" si="102"/>
        <v>83008.443333333344</v>
      </c>
      <c r="Y536" s="679"/>
      <c r="Z536" s="679"/>
      <c r="AA536" s="642"/>
      <c r="AB536" s="679">
        <f t="shared" si="101"/>
        <v>83008.443333333344</v>
      </c>
      <c r="AC536" s="643"/>
      <c r="AD536" s="644">
        <f t="shared" si="99"/>
        <v>0</v>
      </c>
      <c r="AE536" s="643"/>
      <c r="AF536" s="677">
        <f t="shared" si="100"/>
        <v>0</v>
      </c>
    </row>
    <row r="537" spans="1:32">
      <c r="A537" s="604">
        <v>526</v>
      </c>
      <c r="B537" s="316" t="s">
        <v>959</v>
      </c>
      <c r="C537" s="316" t="s">
        <v>612</v>
      </c>
      <c r="D537" s="316" t="s">
        <v>450</v>
      </c>
      <c r="E537" s="589" t="s">
        <v>1706</v>
      </c>
      <c r="F537" s="603">
        <v>-40887966.869999997</v>
      </c>
      <c r="G537" s="603">
        <v>0</v>
      </c>
      <c r="H537" s="603">
        <v>0</v>
      </c>
      <c r="I537" s="603">
        <v>0</v>
      </c>
      <c r="J537" s="603">
        <v>0</v>
      </c>
      <c r="K537" s="603">
        <v>0</v>
      </c>
      <c r="L537" s="603">
        <v>0</v>
      </c>
      <c r="M537" s="603">
        <v>0</v>
      </c>
      <c r="N537" s="603">
        <v>0</v>
      </c>
      <c r="O537" s="603">
        <v>0</v>
      </c>
      <c r="P537" s="603">
        <v>0</v>
      </c>
      <c r="Q537" s="603">
        <v>0</v>
      </c>
      <c r="R537" s="603">
        <v>0</v>
      </c>
      <c r="S537" s="484">
        <f t="shared" si="95"/>
        <v>-1703665.2862499999</v>
      </c>
      <c r="T537" s="604"/>
      <c r="U537" s="642"/>
      <c r="V537" s="679"/>
      <c r="W537" s="679"/>
      <c r="X537" s="702">
        <f t="shared" si="102"/>
        <v>-1703665.2862499999</v>
      </c>
      <c r="Y537" s="679"/>
      <c r="Z537" s="679"/>
      <c r="AA537" s="642"/>
      <c r="AB537" s="679">
        <f t="shared" si="101"/>
        <v>-1703665.2862499999</v>
      </c>
      <c r="AC537" s="643"/>
      <c r="AD537" s="644">
        <f t="shared" si="99"/>
        <v>0</v>
      </c>
      <c r="AE537" s="643"/>
      <c r="AF537" s="677">
        <f t="shared" si="100"/>
        <v>0</v>
      </c>
    </row>
    <row r="538" spans="1:32">
      <c r="A538" s="604">
        <v>527</v>
      </c>
      <c r="B538" s="316" t="s">
        <v>959</v>
      </c>
      <c r="C538" s="316" t="s">
        <v>612</v>
      </c>
      <c r="D538" s="316" t="s">
        <v>1210</v>
      </c>
      <c r="E538" s="589" t="s">
        <v>1695</v>
      </c>
      <c r="F538" s="603">
        <v>38253031.32</v>
      </c>
      <c r="G538" s="603">
        <v>48162013.890000001</v>
      </c>
      <c r="H538" s="603">
        <v>72468980.939999998</v>
      </c>
      <c r="I538" s="603">
        <v>95192961.480000004</v>
      </c>
      <c r="J538" s="603">
        <v>46106698.380000003</v>
      </c>
      <c r="K538" s="603">
        <v>45847438.399999999</v>
      </c>
      <c r="L538" s="603">
        <v>45944483.780000001</v>
      </c>
      <c r="M538" s="603">
        <v>46085248.100000001</v>
      </c>
      <c r="N538" s="603">
        <v>46772054.539999999</v>
      </c>
      <c r="O538" s="603">
        <v>46706432.990000002</v>
      </c>
      <c r="P538" s="603">
        <v>48679295.020000003</v>
      </c>
      <c r="Q538" s="603">
        <v>4384409.1900000004</v>
      </c>
      <c r="R538" s="603">
        <v>11456753.52</v>
      </c>
      <c r="S538" s="484">
        <f t="shared" si="95"/>
        <v>47600409.094166674</v>
      </c>
      <c r="T538" s="604"/>
      <c r="U538" s="642"/>
      <c r="V538" s="679"/>
      <c r="W538" s="679"/>
      <c r="X538" s="702">
        <f t="shared" si="102"/>
        <v>47600409.094166674</v>
      </c>
      <c r="Y538" s="679"/>
      <c r="Z538" s="679"/>
      <c r="AA538" s="642"/>
      <c r="AB538" s="679">
        <f t="shared" ref="AB538:AB543" si="103">+X538</f>
        <v>47600409.094166674</v>
      </c>
      <c r="AC538" s="643"/>
      <c r="AD538" s="644">
        <f t="shared" si="99"/>
        <v>0</v>
      </c>
      <c r="AE538" s="643"/>
      <c r="AF538" s="677">
        <f t="shared" si="100"/>
        <v>0</v>
      </c>
    </row>
    <row r="539" spans="1:32">
      <c r="A539" s="604">
        <v>528</v>
      </c>
      <c r="B539" s="316" t="s">
        <v>959</v>
      </c>
      <c r="C539" s="316" t="s">
        <v>612</v>
      </c>
      <c r="D539" s="316" t="s">
        <v>1211</v>
      </c>
      <c r="E539" s="589" t="s">
        <v>1696</v>
      </c>
      <c r="F539" s="603">
        <v>1569192.42</v>
      </c>
      <c r="G539" s="603">
        <v>-1020148.36</v>
      </c>
      <c r="H539" s="603">
        <v>-5442810.3399999999</v>
      </c>
      <c r="I539" s="603">
        <v>-7385013.0099999998</v>
      </c>
      <c r="J539" s="603">
        <v>-6549067.3300000001</v>
      </c>
      <c r="K539" s="603">
        <v>-4922617.32</v>
      </c>
      <c r="L539" s="603">
        <v>-2853429.87</v>
      </c>
      <c r="M539" s="603">
        <v>-724893.84</v>
      </c>
      <c r="N539" s="603">
        <v>1555000.36</v>
      </c>
      <c r="O539" s="603">
        <v>-3923421.62</v>
      </c>
      <c r="P539" s="603">
        <v>-4657972.0999999996</v>
      </c>
      <c r="Q539" s="603">
        <v>946819.65999999898</v>
      </c>
      <c r="R539" s="603">
        <v>-1901460.25</v>
      </c>
      <c r="S539" s="484">
        <f t="shared" si="95"/>
        <v>-2928640.6404166669</v>
      </c>
      <c r="T539" s="604"/>
      <c r="U539" s="642"/>
      <c r="V539" s="679"/>
      <c r="W539" s="679"/>
      <c r="X539" s="702">
        <f t="shared" si="102"/>
        <v>-2928640.6404166669</v>
      </c>
      <c r="Y539" s="679"/>
      <c r="Z539" s="679"/>
      <c r="AA539" s="642"/>
      <c r="AB539" s="679">
        <f t="shared" si="103"/>
        <v>-2928640.6404166669</v>
      </c>
      <c r="AC539" s="643"/>
      <c r="AD539" s="644">
        <f t="shared" si="99"/>
        <v>0</v>
      </c>
      <c r="AE539" s="643"/>
      <c r="AF539" s="677">
        <f t="shared" si="100"/>
        <v>0</v>
      </c>
    </row>
    <row r="540" spans="1:32">
      <c r="A540" s="604">
        <v>529</v>
      </c>
      <c r="B540" s="316" t="s">
        <v>959</v>
      </c>
      <c r="C540" s="316" t="s">
        <v>612</v>
      </c>
      <c r="D540" s="316" t="s">
        <v>1212</v>
      </c>
      <c r="E540" s="589" t="s">
        <v>1697</v>
      </c>
      <c r="F540" s="603">
        <v>1242631.18</v>
      </c>
      <c r="G540" s="603">
        <v>981333.26</v>
      </c>
      <c r="H540" s="603">
        <v>699888.78</v>
      </c>
      <c r="I540" s="603">
        <v>389285.93</v>
      </c>
      <c r="J540" s="603">
        <v>211478.86</v>
      </c>
      <c r="K540" s="603">
        <v>103965.13</v>
      </c>
      <c r="L540" s="603">
        <v>38144.839999999902</v>
      </c>
      <c r="M540" s="603">
        <v>-18293.3500000001</v>
      </c>
      <c r="N540" s="603">
        <v>-70006.930000000095</v>
      </c>
      <c r="O540" s="603">
        <v>-120543.07</v>
      </c>
      <c r="P540" s="603">
        <v>-233366.03</v>
      </c>
      <c r="Q540" s="603">
        <v>-8.7311491370201098E-11</v>
      </c>
      <c r="R540" s="603">
        <v>-8.7311491370201098E-11</v>
      </c>
      <c r="S540" s="484">
        <f t="shared" si="95"/>
        <v>216933.58416666664</v>
      </c>
      <c r="T540" s="604"/>
      <c r="U540" s="642"/>
      <c r="V540" s="679"/>
      <c r="W540" s="679"/>
      <c r="X540" s="702">
        <f t="shared" si="102"/>
        <v>216933.58416666664</v>
      </c>
      <c r="Y540" s="679"/>
      <c r="Z540" s="679"/>
      <c r="AA540" s="642"/>
      <c r="AB540" s="679">
        <f t="shared" si="103"/>
        <v>216933.58416666664</v>
      </c>
      <c r="AC540" s="643"/>
      <c r="AD540" s="644">
        <f t="shared" si="99"/>
        <v>0</v>
      </c>
      <c r="AE540" s="643"/>
      <c r="AF540" s="677">
        <f t="shared" si="100"/>
        <v>0</v>
      </c>
    </row>
    <row r="541" spans="1:32">
      <c r="A541" s="604">
        <v>530</v>
      </c>
      <c r="B541" s="316" t="s">
        <v>959</v>
      </c>
      <c r="C541" s="316" t="s">
        <v>612</v>
      </c>
      <c r="D541" s="316" t="s">
        <v>1906</v>
      </c>
      <c r="E541" s="589" t="s">
        <v>1907</v>
      </c>
      <c r="F541" s="603">
        <v>0</v>
      </c>
      <c r="G541" s="603">
        <v>0</v>
      </c>
      <c r="H541" s="603">
        <v>0</v>
      </c>
      <c r="I541" s="603">
        <v>0</v>
      </c>
      <c r="J541" s="603">
        <v>48238516.170000002</v>
      </c>
      <c r="K541" s="603">
        <v>47467721.75</v>
      </c>
      <c r="L541" s="603">
        <v>47028598.560000002</v>
      </c>
      <c r="M541" s="603">
        <v>46691603.600000001</v>
      </c>
      <c r="N541" s="603">
        <v>46402080.859999999</v>
      </c>
      <c r="O541" s="603">
        <v>46118062.170000002</v>
      </c>
      <c r="P541" s="603">
        <v>45226488.729999997</v>
      </c>
      <c r="Q541" s="603">
        <v>43685242.840000004</v>
      </c>
      <c r="R541" s="603">
        <v>41366186.759999998</v>
      </c>
      <c r="S541" s="484">
        <f t="shared" si="95"/>
        <v>32628450.671666671</v>
      </c>
      <c r="T541" s="604"/>
      <c r="U541" s="642"/>
      <c r="V541" s="679"/>
      <c r="W541" s="679"/>
      <c r="X541" s="702">
        <f>+S541</f>
        <v>32628450.671666671</v>
      </c>
      <c r="Y541" s="679"/>
      <c r="Z541" s="679"/>
      <c r="AA541" s="642"/>
      <c r="AB541" s="679">
        <f t="shared" si="103"/>
        <v>32628450.671666671</v>
      </c>
      <c r="AC541" s="643"/>
      <c r="AD541" s="644"/>
      <c r="AE541" s="643"/>
      <c r="AF541" s="677"/>
    </row>
    <row r="542" spans="1:32">
      <c r="A542" s="604">
        <v>531</v>
      </c>
      <c r="B542" s="316" t="s">
        <v>959</v>
      </c>
      <c r="C542" s="316" t="s">
        <v>612</v>
      </c>
      <c r="D542" s="316" t="s">
        <v>1908</v>
      </c>
      <c r="E542" s="589" t="s">
        <v>1907</v>
      </c>
      <c r="F542" s="603">
        <v>0</v>
      </c>
      <c r="G542" s="603">
        <v>0</v>
      </c>
      <c r="H542" s="603">
        <v>0</v>
      </c>
      <c r="I542" s="603">
        <v>0</v>
      </c>
      <c r="J542" s="603">
        <v>0</v>
      </c>
      <c r="K542" s="603">
        <v>0</v>
      </c>
      <c r="L542" s="603">
        <v>0</v>
      </c>
      <c r="M542" s="603">
        <v>0</v>
      </c>
      <c r="N542" s="603">
        <v>0</v>
      </c>
      <c r="O542" s="603">
        <v>0</v>
      </c>
      <c r="P542" s="603">
        <v>0</v>
      </c>
      <c r="Q542" s="603">
        <v>38342676.920000002</v>
      </c>
      <c r="R542" s="603">
        <v>36554943.310000002</v>
      </c>
      <c r="S542" s="484">
        <f t="shared" si="95"/>
        <v>4718345.7145833336</v>
      </c>
      <c r="T542" s="604"/>
      <c r="U542" s="642"/>
      <c r="V542" s="679"/>
      <c r="W542" s="679"/>
      <c r="X542" s="702">
        <f>+S542</f>
        <v>4718345.7145833336</v>
      </c>
      <c r="Y542" s="679"/>
      <c r="Z542" s="679"/>
      <c r="AA542" s="642"/>
      <c r="AB542" s="679">
        <f t="shared" si="103"/>
        <v>4718345.7145833336</v>
      </c>
      <c r="AC542" s="643"/>
      <c r="AD542" s="644"/>
      <c r="AE542" s="643"/>
      <c r="AF542" s="677"/>
    </row>
    <row r="543" spans="1:32">
      <c r="A543" s="604">
        <v>532</v>
      </c>
      <c r="B543" s="316" t="s">
        <v>959</v>
      </c>
      <c r="C543" s="316" t="s">
        <v>612</v>
      </c>
      <c r="D543" s="316" t="s">
        <v>1209</v>
      </c>
      <c r="E543" s="589" t="s">
        <v>1698</v>
      </c>
      <c r="F543" s="603">
        <v>-176888.05</v>
      </c>
      <c r="G543" s="603">
        <v>-176596.49</v>
      </c>
      <c r="H543" s="603">
        <v>-220472.63</v>
      </c>
      <c r="I543" s="603">
        <v>-145427.01</v>
      </c>
      <c r="J543" s="603">
        <v>-836514.01</v>
      </c>
      <c r="K543" s="603">
        <v>-483135.71</v>
      </c>
      <c r="L543" s="603">
        <v>-343626.12</v>
      </c>
      <c r="M543" s="603">
        <v>-340080.24</v>
      </c>
      <c r="N543" s="603">
        <v>-187948.59</v>
      </c>
      <c r="O543" s="603">
        <v>-454889.8</v>
      </c>
      <c r="P543" s="603">
        <v>-1106965.51</v>
      </c>
      <c r="Q543" s="603">
        <v>-2850298.75</v>
      </c>
      <c r="R543" s="603">
        <v>-3280759.84</v>
      </c>
      <c r="S543" s="484">
        <f t="shared" si="95"/>
        <v>-739564.90041666664</v>
      </c>
      <c r="T543" s="604"/>
      <c r="U543" s="642"/>
      <c r="V543" s="679"/>
      <c r="W543" s="679"/>
      <c r="X543" s="702">
        <f t="shared" si="102"/>
        <v>-739564.90041666664</v>
      </c>
      <c r="Y543" s="679"/>
      <c r="Z543" s="679"/>
      <c r="AA543" s="642"/>
      <c r="AB543" s="679">
        <f t="shared" si="103"/>
        <v>-739564.90041666664</v>
      </c>
      <c r="AC543" s="643"/>
      <c r="AD543" s="644">
        <f t="shared" si="99"/>
        <v>0</v>
      </c>
      <c r="AE543" s="645"/>
      <c r="AF543" s="677">
        <f t="shared" si="100"/>
        <v>0</v>
      </c>
    </row>
    <row r="544" spans="1:32">
      <c r="A544" s="604">
        <v>533</v>
      </c>
      <c r="B544" s="316" t="s">
        <v>984</v>
      </c>
      <c r="C544" s="316" t="s">
        <v>612</v>
      </c>
      <c r="D544" s="316" t="s">
        <v>1213</v>
      </c>
      <c r="E544" s="589" t="s">
        <v>614</v>
      </c>
      <c r="F544" s="603">
        <v>0</v>
      </c>
      <c r="G544" s="603">
        <v>0</v>
      </c>
      <c r="H544" s="603">
        <v>0</v>
      </c>
      <c r="I544" s="603">
        <v>0</v>
      </c>
      <c r="J544" s="603">
        <v>0</v>
      </c>
      <c r="K544" s="603">
        <v>0</v>
      </c>
      <c r="L544" s="603">
        <v>0</v>
      </c>
      <c r="M544" s="603">
        <v>0</v>
      </c>
      <c r="N544" s="603">
        <v>0</v>
      </c>
      <c r="O544" s="603">
        <v>0</v>
      </c>
      <c r="P544" s="603">
        <v>-224.3</v>
      </c>
      <c r="Q544" s="603">
        <v>0</v>
      </c>
      <c r="R544" s="603">
        <v>-29908.85</v>
      </c>
      <c r="S544" s="484">
        <f t="shared" si="95"/>
        <v>-1264.89375</v>
      </c>
      <c r="T544" s="604"/>
      <c r="U544" s="642"/>
      <c r="V544" s="679">
        <f>+S544</f>
        <v>-1264.89375</v>
      </c>
      <c r="W544" s="679"/>
      <c r="X544" s="702"/>
      <c r="Y544" s="679"/>
      <c r="Z544" s="679"/>
      <c r="AA544" s="642"/>
      <c r="AB544" s="679"/>
      <c r="AC544" s="643"/>
      <c r="AD544" s="644">
        <f t="shared" si="99"/>
        <v>-1264.89375</v>
      </c>
      <c r="AE544" s="651"/>
      <c r="AF544" s="677">
        <f t="shared" si="100"/>
        <v>0</v>
      </c>
    </row>
    <row r="545" spans="1:32">
      <c r="A545" s="604">
        <v>534</v>
      </c>
      <c r="B545" s="316" t="s">
        <v>959</v>
      </c>
      <c r="C545" s="316" t="s">
        <v>612</v>
      </c>
      <c r="D545" s="316" t="s">
        <v>1214</v>
      </c>
      <c r="E545" s="589" t="s">
        <v>614</v>
      </c>
      <c r="F545" s="603">
        <v>0</v>
      </c>
      <c r="G545" s="603">
        <v>0</v>
      </c>
      <c r="H545" s="603">
        <v>0</v>
      </c>
      <c r="I545" s="603">
        <v>0</v>
      </c>
      <c r="J545" s="603">
        <v>0</v>
      </c>
      <c r="K545" s="603">
        <v>0</v>
      </c>
      <c r="L545" s="603">
        <v>0</v>
      </c>
      <c r="M545" s="603">
        <v>0</v>
      </c>
      <c r="N545" s="603">
        <v>0</v>
      </c>
      <c r="O545" s="603">
        <v>0</v>
      </c>
      <c r="P545" s="603">
        <v>-745.7</v>
      </c>
      <c r="Q545" s="603">
        <v>0</v>
      </c>
      <c r="R545" s="603">
        <v>-108189.15</v>
      </c>
      <c r="S545" s="484">
        <f t="shared" si="95"/>
        <v>-4570.0229166666659</v>
      </c>
      <c r="T545" s="604"/>
      <c r="U545" s="642"/>
      <c r="V545" s="679">
        <f>+S545</f>
        <v>-4570.0229166666659</v>
      </c>
      <c r="W545" s="679"/>
      <c r="X545" s="702"/>
      <c r="Y545" s="679"/>
      <c r="Z545" s="679"/>
      <c r="AA545" s="642"/>
      <c r="AB545" s="679"/>
      <c r="AC545" s="643"/>
      <c r="AD545" s="644">
        <f t="shared" si="99"/>
        <v>-4570.0229166666659</v>
      </c>
      <c r="AE545" s="644"/>
      <c r="AF545" s="677">
        <f t="shared" si="100"/>
        <v>0</v>
      </c>
    </row>
    <row r="546" spans="1:32">
      <c r="A546" s="604">
        <v>536</v>
      </c>
      <c r="B546" s="604"/>
      <c r="C546" s="604"/>
      <c r="D546" s="604"/>
      <c r="E546" s="589" t="s">
        <v>616</v>
      </c>
      <c r="F546" s="295">
        <f t="shared" ref="F546:S546" si="104">SUM(F462:F545)</f>
        <v>-32063005.899999995</v>
      </c>
      <c r="G546" s="295">
        <f t="shared" si="104"/>
        <v>-34451350.739999995</v>
      </c>
      <c r="H546" s="295">
        <f t="shared" si="104"/>
        <v>-33219999.679999996</v>
      </c>
      <c r="I546" s="295">
        <f t="shared" si="104"/>
        <v>-36492609.619999997</v>
      </c>
      <c r="J546" s="295">
        <f t="shared" si="104"/>
        <v>-28684516.499999966</v>
      </c>
      <c r="K546" s="295">
        <f t="shared" si="104"/>
        <v>-31630282.010000013</v>
      </c>
      <c r="L546" s="295">
        <f t="shared" si="104"/>
        <v>-33481269.949999969</v>
      </c>
      <c r="M546" s="295">
        <f t="shared" si="104"/>
        <v>-33183083.010000002</v>
      </c>
      <c r="N546" s="295">
        <f t="shared" si="104"/>
        <v>-34166519.859999985</v>
      </c>
      <c r="O546" s="295">
        <f t="shared" si="104"/>
        <v>-35545662.090000004</v>
      </c>
      <c r="P546" s="295">
        <f t="shared" si="104"/>
        <v>-36503371.73999998</v>
      </c>
      <c r="Q546" s="295">
        <f t="shared" si="104"/>
        <v>-40736828.329999983</v>
      </c>
      <c r="R546" s="295">
        <f t="shared" si="104"/>
        <v>-39990550.930000007</v>
      </c>
      <c r="S546" s="295">
        <f t="shared" si="104"/>
        <v>-34510189.32874994</v>
      </c>
      <c r="T546" s="604"/>
      <c r="U546" s="642"/>
      <c r="V546" s="679"/>
      <c r="W546" s="679"/>
      <c r="X546" s="702"/>
      <c r="Y546" s="679"/>
      <c r="Z546" s="679"/>
      <c r="AA546" s="642"/>
      <c r="AB546" s="679"/>
      <c r="AC546" s="643"/>
      <c r="AD546" s="643"/>
      <c r="AE546" s="643"/>
      <c r="AF546" s="677">
        <f t="shared" si="100"/>
        <v>0</v>
      </c>
    </row>
    <row r="547" spans="1:32">
      <c r="A547" s="604">
        <v>537</v>
      </c>
      <c r="B547" s="604"/>
      <c r="C547" s="604"/>
      <c r="D547" s="604"/>
      <c r="E547" s="589"/>
      <c r="F547" s="603"/>
      <c r="G547" s="314"/>
      <c r="H547" s="305"/>
      <c r="I547" s="305"/>
      <c r="J547" s="306"/>
      <c r="K547" s="307"/>
      <c r="L547" s="308"/>
      <c r="M547" s="309"/>
      <c r="N547" s="310"/>
      <c r="O547" s="590"/>
      <c r="P547" s="311"/>
      <c r="Q547" s="315"/>
      <c r="R547" s="603"/>
      <c r="S547" s="294"/>
      <c r="T547" s="604"/>
      <c r="U547" s="642"/>
      <c r="V547" s="679"/>
      <c r="W547" s="679"/>
      <c r="X547" s="702"/>
      <c r="Y547" s="679"/>
      <c r="Z547" s="679"/>
      <c r="AA547" s="642"/>
      <c r="AB547" s="679"/>
      <c r="AC547" s="643"/>
      <c r="AD547" s="643"/>
      <c r="AE547" s="643"/>
      <c r="AF547" s="677">
        <f t="shared" si="100"/>
        <v>0</v>
      </c>
    </row>
    <row r="548" spans="1:32">
      <c r="A548" s="604">
        <v>538</v>
      </c>
      <c r="B548" s="316" t="s">
        <v>959</v>
      </c>
      <c r="C548" s="316" t="s">
        <v>608</v>
      </c>
      <c r="D548" s="316" t="s">
        <v>437</v>
      </c>
      <c r="E548" s="589" t="s">
        <v>1722</v>
      </c>
      <c r="F548" s="603">
        <v>-10840395.23</v>
      </c>
      <c r="G548" s="603">
        <v>-10826655.050000001</v>
      </c>
      <c r="H548" s="603">
        <v>-10758174.800000001</v>
      </c>
      <c r="I548" s="603">
        <v>-10644347.890000001</v>
      </c>
      <c r="J548" s="603">
        <v>-10485572.74</v>
      </c>
      <c r="K548" s="603">
        <v>-10425552.9</v>
      </c>
      <c r="L548" s="603">
        <v>-10371495.15</v>
      </c>
      <c r="M548" s="603">
        <v>-10311475.369999999</v>
      </c>
      <c r="N548" s="603">
        <v>-10226825.369999999</v>
      </c>
      <c r="O548" s="603">
        <v>-10149476.9</v>
      </c>
      <c r="P548" s="603">
        <v>-9941631.1199999992</v>
      </c>
      <c r="Q548" s="603">
        <v>-9869455.4700000007</v>
      </c>
      <c r="R548" s="603">
        <v>-9591418.1799999997</v>
      </c>
      <c r="S548" s="484">
        <f t="shared" si="95"/>
        <v>-10352214.122083334</v>
      </c>
      <c r="T548" s="604"/>
      <c r="U548" s="642"/>
      <c r="V548" s="679">
        <f>+S548</f>
        <v>-10352214.122083334</v>
      </c>
      <c r="W548" s="679"/>
      <c r="X548" s="702"/>
      <c r="Y548" s="679"/>
      <c r="Z548" s="679"/>
      <c r="AA548" s="642"/>
      <c r="AB548" s="679"/>
      <c r="AC548" s="643"/>
      <c r="AD548" s="644">
        <f>+V548</f>
        <v>-10352214.122083334</v>
      </c>
      <c r="AE548" s="643"/>
      <c r="AF548" s="677">
        <f t="shared" si="100"/>
        <v>0</v>
      </c>
    </row>
    <row r="549" spans="1:32">
      <c r="A549" s="604">
        <v>539</v>
      </c>
      <c r="B549" s="316" t="s">
        <v>959</v>
      </c>
      <c r="C549" s="316" t="s">
        <v>608</v>
      </c>
      <c r="D549" s="316" t="s">
        <v>481</v>
      </c>
      <c r="E549" s="589" t="s">
        <v>1723</v>
      </c>
      <c r="F549" s="603">
        <v>-466500</v>
      </c>
      <c r="G549" s="603">
        <v>-466500</v>
      </c>
      <c r="H549" s="603">
        <v>-466500</v>
      </c>
      <c r="I549" s="603">
        <v>-466500</v>
      </c>
      <c r="J549" s="603">
        <v>-466500</v>
      </c>
      <c r="K549" s="603">
        <v>-466500</v>
      </c>
      <c r="L549" s="603">
        <v>-466500</v>
      </c>
      <c r="M549" s="603">
        <v>-466500</v>
      </c>
      <c r="N549" s="603">
        <v>-466500</v>
      </c>
      <c r="O549" s="603">
        <v>-466500</v>
      </c>
      <c r="P549" s="603">
        <v>-466500</v>
      </c>
      <c r="Q549" s="603">
        <v>-466500</v>
      </c>
      <c r="R549" s="603">
        <v>-466500</v>
      </c>
      <c r="S549" s="484">
        <f t="shared" si="95"/>
        <v>-466500</v>
      </c>
      <c r="T549" s="604"/>
      <c r="U549" s="642"/>
      <c r="V549" s="679">
        <f>+S549</f>
        <v>-466500</v>
      </c>
      <c r="W549" s="679"/>
      <c r="X549" s="702"/>
      <c r="Y549" s="679"/>
      <c r="Z549" s="679"/>
      <c r="AA549" s="642"/>
      <c r="AB549" s="679"/>
      <c r="AC549" s="643"/>
      <c r="AD549" s="644">
        <f>+V549</f>
        <v>-466500</v>
      </c>
      <c r="AE549" s="643"/>
      <c r="AF549" s="677">
        <f t="shared" si="100"/>
        <v>0</v>
      </c>
    </row>
    <row r="550" spans="1:32">
      <c r="A550" s="604">
        <v>540</v>
      </c>
      <c r="B550" s="316" t="s">
        <v>984</v>
      </c>
      <c r="C550" s="316" t="s">
        <v>608</v>
      </c>
      <c r="D550" s="316" t="s">
        <v>481</v>
      </c>
      <c r="E550" s="589" t="s">
        <v>1720</v>
      </c>
      <c r="F550" s="603">
        <v>-1545967.84</v>
      </c>
      <c r="G550" s="603">
        <v>-1545967.84</v>
      </c>
      <c r="H550" s="603">
        <v>-1545967.84</v>
      </c>
      <c r="I550" s="603">
        <v>-1545967.84</v>
      </c>
      <c r="J550" s="603">
        <v>-1545967.84</v>
      </c>
      <c r="K550" s="603">
        <v>-1545967.84</v>
      </c>
      <c r="L550" s="603">
        <v>-1000000</v>
      </c>
      <c r="M550" s="603">
        <v>-1000000</v>
      </c>
      <c r="N550" s="603">
        <v>-976315.87</v>
      </c>
      <c r="O550" s="603">
        <v>-976315.87</v>
      </c>
      <c r="P550" s="603">
        <v>-976315.87</v>
      </c>
      <c r="Q550" s="603">
        <v>-976315.87</v>
      </c>
      <c r="R550" s="603">
        <v>-46000.000000000102</v>
      </c>
      <c r="S550" s="484">
        <f t="shared" si="95"/>
        <v>-1202590.5499999996</v>
      </c>
      <c r="T550" s="604"/>
      <c r="U550" s="642"/>
      <c r="V550" s="679">
        <f>+S550</f>
        <v>-1202590.5499999996</v>
      </c>
      <c r="W550" s="679"/>
      <c r="X550" s="702"/>
      <c r="Y550" s="679"/>
      <c r="Z550" s="679"/>
      <c r="AA550" s="642"/>
      <c r="AB550" s="679"/>
      <c r="AC550" s="643"/>
      <c r="AD550" s="644">
        <f>+V550</f>
        <v>-1202590.5499999996</v>
      </c>
      <c r="AE550" s="643"/>
      <c r="AF550" s="677">
        <f t="shared" si="100"/>
        <v>0</v>
      </c>
    </row>
    <row r="551" spans="1:32">
      <c r="A551" s="604">
        <v>541</v>
      </c>
      <c r="B551" s="316" t="s">
        <v>956</v>
      </c>
      <c r="C551" s="316" t="s">
        <v>617</v>
      </c>
      <c r="D551" s="316" t="s">
        <v>437</v>
      </c>
      <c r="E551" s="589" t="s">
        <v>1707</v>
      </c>
      <c r="F551" s="603">
        <v>-5590044.1200000001</v>
      </c>
      <c r="G551" s="603">
        <v>-5646294.1200000001</v>
      </c>
      <c r="H551" s="603">
        <v>-5702544.1200000001</v>
      </c>
      <c r="I551" s="603">
        <v>-5613707.8499999996</v>
      </c>
      <c r="J551" s="603">
        <v>-5669957.8499999996</v>
      </c>
      <c r="K551" s="603">
        <v>-5716844.5199999996</v>
      </c>
      <c r="L551" s="603">
        <v>-5771221.8499999996</v>
      </c>
      <c r="M551" s="603">
        <v>-5632150.8200000003</v>
      </c>
      <c r="N551" s="603">
        <v>-5638166.0599999996</v>
      </c>
      <c r="O551" s="603">
        <v>-5644181.2999999998</v>
      </c>
      <c r="P551" s="603">
        <v>-5650196.54</v>
      </c>
      <c r="Q551" s="603">
        <v>-5656211.7800000003</v>
      </c>
      <c r="R551" s="603">
        <v>-5552400.04</v>
      </c>
      <c r="S551" s="484">
        <f t="shared" si="95"/>
        <v>-5659391.5741666667</v>
      </c>
      <c r="T551" s="604"/>
      <c r="U551" s="642"/>
      <c r="W551" s="679"/>
      <c r="X551" s="679">
        <f>+S551</f>
        <v>-5659391.5741666667</v>
      </c>
      <c r="Y551" s="679"/>
      <c r="Z551" s="679"/>
      <c r="AA551" s="642"/>
      <c r="AB551" s="644">
        <f>+X551</f>
        <v>-5659391.5741666667</v>
      </c>
      <c r="AC551" s="643"/>
      <c r="AE551" s="643"/>
      <c r="AF551" s="677">
        <f>+U551+X551-AB551</f>
        <v>0</v>
      </c>
    </row>
    <row r="552" spans="1:32">
      <c r="A552" s="604">
        <v>542</v>
      </c>
      <c r="B552" s="316" t="s">
        <v>956</v>
      </c>
      <c r="C552" s="316" t="s">
        <v>617</v>
      </c>
      <c r="D552" s="316" t="s">
        <v>567</v>
      </c>
      <c r="E552" s="589" t="s">
        <v>1708</v>
      </c>
      <c r="F552" s="603">
        <v>-112904.15</v>
      </c>
      <c r="G552" s="603">
        <v>0</v>
      </c>
      <c r="H552" s="603">
        <v>0</v>
      </c>
      <c r="I552" s="603">
        <v>0</v>
      </c>
      <c r="J552" s="603">
        <v>0</v>
      </c>
      <c r="K552" s="603">
        <v>0</v>
      </c>
      <c r="L552" s="603">
        <v>0</v>
      </c>
      <c r="M552" s="603">
        <v>0</v>
      </c>
      <c r="N552" s="603">
        <v>0</v>
      </c>
      <c r="O552" s="603">
        <v>0</v>
      </c>
      <c r="P552" s="603">
        <v>0</v>
      </c>
      <c r="Q552" s="603">
        <v>0</v>
      </c>
      <c r="R552" s="603">
        <v>0</v>
      </c>
      <c r="S552" s="484">
        <f t="shared" si="95"/>
        <v>-4704.3395833333334</v>
      </c>
      <c r="T552" s="604"/>
      <c r="U552" s="642"/>
      <c r="W552" s="679"/>
      <c r="X552" s="679">
        <f>+S552</f>
        <v>-4704.3395833333334</v>
      </c>
      <c r="Y552" s="679"/>
      <c r="Z552" s="679"/>
      <c r="AA552" s="642"/>
      <c r="AB552" s="644">
        <f>+X552</f>
        <v>-4704.3395833333334</v>
      </c>
      <c r="AC552" s="643"/>
      <c r="AE552" s="643"/>
      <c r="AF552" s="677">
        <f>+U552+X552-AB552</f>
        <v>0</v>
      </c>
    </row>
    <row r="553" spans="1:32">
      <c r="A553" s="604">
        <v>543</v>
      </c>
      <c r="B553" s="316" t="s">
        <v>956</v>
      </c>
      <c r="C553" s="316" t="s">
        <v>617</v>
      </c>
      <c r="D553" s="316" t="s">
        <v>568</v>
      </c>
      <c r="E553" s="589" t="s">
        <v>1709</v>
      </c>
      <c r="F553" s="603">
        <v>-108832</v>
      </c>
      <c r="G553" s="603">
        <v>-108832</v>
      </c>
      <c r="H553" s="603">
        <v>-108832</v>
      </c>
      <c r="I553" s="603">
        <v>-108832</v>
      </c>
      <c r="J553" s="603">
        <v>-108832</v>
      </c>
      <c r="K553" s="603">
        <v>-108832</v>
      </c>
      <c r="L553" s="603">
        <v>-108832</v>
      </c>
      <c r="M553" s="603">
        <v>-108832</v>
      </c>
      <c r="N553" s="603">
        <v>-108832</v>
      </c>
      <c r="O553" s="603">
        <v>-108832</v>
      </c>
      <c r="P553" s="603">
        <v>-108832</v>
      </c>
      <c r="Q553" s="603">
        <v>-108832</v>
      </c>
      <c r="R553" s="603">
        <v>-555072</v>
      </c>
      <c r="S553" s="484">
        <f t="shared" si="95"/>
        <v>-127425.33333333333</v>
      </c>
      <c r="T553" s="604"/>
      <c r="U553" s="642"/>
      <c r="W553" s="679"/>
      <c r="X553" s="679">
        <f>+S553</f>
        <v>-127425.33333333333</v>
      </c>
      <c r="Y553" s="679"/>
      <c r="Z553" s="679"/>
      <c r="AA553" s="642"/>
      <c r="AB553" s="644">
        <f>+X553</f>
        <v>-127425.33333333333</v>
      </c>
      <c r="AC553" s="643"/>
      <c r="AE553" s="643"/>
      <c r="AF553" s="677">
        <f>+U553+X553-AB553</f>
        <v>0</v>
      </c>
    </row>
    <row r="554" spans="1:32">
      <c r="A554" s="604">
        <v>544</v>
      </c>
      <c r="B554" s="316" t="s">
        <v>956</v>
      </c>
      <c r="C554" s="316" t="s">
        <v>618</v>
      </c>
      <c r="D554" s="316" t="s">
        <v>1215</v>
      </c>
      <c r="E554" s="589" t="s">
        <v>1710</v>
      </c>
      <c r="F554" s="603">
        <v>-66788045.990000002</v>
      </c>
      <c r="G554" s="603">
        <v>-67092875.520000003</v>
      </c>
      <c r="H554" s="603">
        <v>-67399102.519999996</v>
      </c>
      <c r="I554" s="603">
        <v>-67706733.280000001</v>
      </c>
      <c r="J554" s="603">
        <v>-68015774.299999997</v>
      </c>
      <c r="K554" s="603">
        <v>-68326232.219999999</v>
      </c>
      <c r="L554" s="603">
        <v>-68638113.450000003</v>
      </c>
      <c r="M554" s="603">
        <v>-68951424.409999996</v>
      </c>
      <c r="N554" s="603">
        <v>-69266171.700000003</v>
      </c>
      <c r="O554" s="603">
        <v>-69582362.049999997</v>
      </c>
      <c r="P554" s="603">
        <v>-69900002.090000004</v>
      </c>
      <c r="Q554" s="603">
        <v>-70219098.450000003</v>
      </c>
      <c r="R554" s="603">
        <v>-74293816.879999995</v>
      </c>
      <c r="S554" s="484">
        <f t="shared" si="95"/>
        <v>-68803235.118750021</v>
      </c>
      <c r="T554" s="604"/>
      <c r="U554" s="642"/>
      <c r="V554" s="679"/>
      <c r="W554" s="679"/>
      <c r="X554" s="702">
        <f>+S554</f>
        <v>-68803235.118750021</v>
      </c>
      <c r="Y554" s="679">
        <f>+X554*Z7</f>
        <v>-51719391.838764392</v>
      </c>
      <c r="Z554" s="679">
        <f>+X554*Z8</f>
        <v>-17083843.279985629</v>
      </c>
      <c r="AA554" s="642"/>
      <c r="AB554" s="679"/>
      <c r="AC554" s="643"/>
      <c r="AD554" s="644"/>
      <c r="AE554" s="643"/>
      <c r="AF554" s="677">
        <f t="shared" si="100"/>
        <v>0</v>
      </c>
    </row>
    <row r="555" spans="1:32">
      <c r="A555" s="604">
        <v>545</v>
      </c>
      <c r="B555" s="316" t="s">
        <v>956</v>
      </c>
      <c r="C555" s="316" t="s">
        <v>608</v>
      </c>
      <c r="D555" s="316" t="s">
        <v>437</v>
      </c>
      <c r="E555" s="589" t="s">
        <v>1912</v>
      </c>
      <c r="F555" s="603">
        <v>0</v>
      </c>
      <c r="G555" s="603">
        <v>0</v>
      </c>
      <c r="H555" s="603">
        <v>0</v>
      </c>
      <c r="I555" s="603">
        <v>0</v>
      </c>
      <c r="J555" s="603">
        <v>0</v>
      </c>
      <c r="K555" s="603">
        <v>0</v>
      </c>
      <c r="L555" s="603">
        <v>0</v>
      </c>
      <c r="M555" s="603">
        <v>0</v>
      </c>
      <c r="N555" s="603">
        <v>0</v>
      </c>
      <c r="O555" s="603">
        <v>-324000</v>
      </c>
      <c r="P555" s="603">
        <v>-324000</v>
      </c>
      <c r="Q555" s="603">
        <v>-324000</v>
      </c>
      <c r="R555" s="603">
        <v>-320100</v>
      </c>
      <c r="S555" s="484">
        <f t="shared" si="95"/>
        <v>-94337.5</v>
      </c>
      <c r="T555" s="604"/>
      <c r="U555" s="642"/>
      <c r="V555" s="679">
        <f>+S555</f>
        <v>-94337.5</v>
      </c>
      <c r="W555" s="679"/>
      <c r="X555" s="702"/>
      <c r="Y555" s="679"/>
      <c r="Z555" s="679"/>
      <c r="AA555" s="642"/>
      <c r="AB555" s="679"/>
      <c r="AC555" s="643"/>
      <c r="AD555" s="644">
        <f>+S555</f>
        <v>-94337.5</v>
      </c>
      <c r="AE555" s="643"/>
      <c r="AF555" s="677"/>
    </row>
    <row r="556" spans="1:32">
      <c r="A556" s="604">
        <v>546</v>
      </c>
      <c r="B556" s="316" t="s">
        <v>956</v>
      </c>
      <c r="C556" s="316" t="s">
        <v>615</v>
      </c>
      <c r="D556" s="316" t="s">
        <v>549</v>
      </c>
      <c r="E556" s="589" t="s">
        <v>484</v>
      </c>
      <c r="F556" s="603">
        <v>0</v>
      </c>
      <c r="G556" s="603">
        <v>0</v>
      </c>
      <c r="H556" s="603">
        <v>0</v>
      </c>
      <c r="I556" s="603">
        <v>0</v>
      </c>
      <c r="J556" s="603">
        <v>0</v>
      </c>
      <c r="K556" s="603">
        <v>0</v>
      </c>
      <c r="L556" s="603">
        <v>0</v>
      </c>
      <c r="M556" s="603">
        <v>0</v>
      </c>
      <c r="N556" s="603">
        <v>0</v>
      </c>
      <c r="O556" s="603">
        <v>0</v>
      </c>
      <c r="P556" s="603">
        <v>0</v>
      </c>
      <c r="Q556" s="603">
        <v>0</v>
      </c>
      <c r="R556" s="603">
        <v>0</v>
      </c>
      <c r="S556" s="484">
        <f t="shared" si="95"/>
        <v>0</v>
      </c>
      <c r="T556" s="604"/>
      <c r="U556" s="642"/>
      <c r="V556" s="679"/>
      <c r="W556" s="679"/>
      <c r="X556" s="702"/>
      <c r="Y556" s="679"/>
      <c r="Z556" s="679"/>
      <c r="AA556" s="642"/>
      <c r="AB556" s="679"/>
      <c r="AC556" s="643"/>
      <c r="AD556" s="644"/>
      <c r="AE556" s="643"/>
      <c r="AF556" s="677">
        <f t="shared" si="100"/>
        <v>0</v>
      </c>
    </row>
    <row r="557" spans="1:32">
      <c r="A557" s="604">
        <v>547</v>
      </c>
      <c r="B557" s="316" t="s">
        <v>956</v>
      </c>
      <c r="C557" s="316" t="s">
        <v>619</v>
      </c>
      <c r="D557" s="316" t="s">
        <v>718</v>
      </c>
      <c r="E557" s="589" t="s">
        <v>1711</v>
      </c>
      <c r="F557" s="603">
        <v>-3373786.93</v>
      </c>
      <c r="G557" s="603">
        <v>-3301647.39</v>
      </c>
      <c r="H557" s="603">
        <v>-3301647.39</v>
      </c>
      <c r="I557" s="603">
        <v>-3301647.39</v>
      </c>
      <c r="J557" s="603">
        <v>-3301647.39</v>
      </c>
      <c r="K557" s="603">
        <v>-3301647.39</v>
      </c>
      <c r="L557" s="603">
        <v>-3301647.39</v>
      </c>
      <c r="M557" s="603">
        <v>-3301647.39</v>
      </c>
      <c r="N557" s="603">
        <v>-3301647.39</v>
      </c>
      <c r="O557" s="603">
        <v>-3301647.39</v>
      </c>
      <c r="P557" s="603">
        <v>-3301647.39</v>
      </c>
      <c r="Q557" s="603">
        <v>-3301647.39</v>
      </c>
      <c r="R557" s="603">
        <v>-3301647.39</v>
      </c>
      <c r="S557" s="484">
        <f t="shared" si="95"/>
        <v>-3304653.2041666671</v>
      </c>
      <c r="T557" s="604"/>
      <c r="U557" s="642"/>
      <c r="V557" s="679"/>
      <c r="W557" s="679"/>
      <c r="X557" s="702">
        <f>+S557</f>
        <v>-3304653.2041666671</v>
      </c>
      <c r="Y557" s="679">
        <f>+X557*Z7</f>
        <v>-2484107.8135720836</v>
      </c>
      <c r="Z557" s="679">
        <f>+X557*Z8</f>
        <v>-820545.39059458335</v>
      </c>
      <c r="AA557" s="642"/>
      <c r="AB557" s="679"/>
      <c r="AC557" s="643"/>
      <c r="AD557" s="644"/>
      <c r="AE557" s="643" t="s">
        <v>1421</v>
      </c>
      <c r="AF557" s="677">
        <f t="shared" si="100"/>
        <v>0</v>
      </c>
    </row>
    <row r="558" spans="1:32">
      <c r="A558" s="604">
        <v>548</v>
      </c>
      <c r="B558" s="316" t="s">
        <v>956</v>
      </c>
      <c r="C558" s="316" t="s">
        <v>619</v>
      </c>
      <c r="D558" s="316" t="s">
        <v>1113</v>
      </c>
      <c r="E558" s="589" t="s">
        <v>1712</v>
      </c>
      <c r="F558" s="603">
        <v>-48360.090000000098</v>
      </c>
      <c r="G558" s="603">
        <v>-1101.4100000000001</v>
      </c>
      <c r="H558" s="603">
        <v>-9536.17</v>
      </c>
      <c r="I558" s="603">
        <v>-35531.65</v>
      </c>
      <c r="J558" s="603">
        <v>-35531.65</v>
      </c>
      <c r="K558" s="603">
        <v>-41190.03</v>
      </c>
      <c r="L558" s="603">
        <v>-41190.03</v>
      </c>
      <c r="M558" s="603">
        <v>-41220.18</v>
      </c>
      <c r="N558" s="603">
        <v>-45069.26</v>
      </c>
      <c r="O558" s="603">
        <v>-45465.53</v>
      </c>
      <c r="P558" s="603">
        <v>-48880.44</v>
      </c>
      <c r="Q558" s="603">
        <v>-55161.33</v>
      </c>
      <c r="R558" s="603">
        <v>-55161.33</v>
      </c>
      <c r="S558" s="484">
        <f t="shared" si="95"/>
        <v>-37636.532500000008</v>
      </c>
      <c r="T558" s="604"/>
      <c r="U558" s="642"/>
      <c r="V558" s="679"/>
      <c r="W558" s="679"/>
      <c r="X558" s="702">
        <f>+S558</f>
        <v>-37636.532500000008</v>
      </c>
      <c r="Y558" s="679">
        <f>+X558*Z7</f>
        <v>-28291.381480250009</v>
      </c>
      <c r="Z558" s="679">
        <f>+X558*Z8</f>
        <v>-9345.1510197500011</v>
      </c>
      <c r="AA558" s="642"/>
      <c r="AB558" s="679"/>
      <c r="AC558" s="643"/>
      <c r="AD558" s="644"/>
      <c r="AE558" s="643"/>
      <c r="AF558" s="677">
        <f t="shared" si="100"/>
        <v>0</v>
      </c>
    </row>
    <row r="559" spans="1:32">
      <c r="A559" s="604">
        <v>549</v>
      </c>
      <c r="B559" s="316" t="s">
        <v>956</v>
      </c>
      <c r="C559" s="316" t="s">
        <v>619</v>
      </c>
      <c r="D559" s="316" t="s">
        <v>1216</v>
      </c>
      <c r="E559" s="589" t="s">
        <v>1713</v>
      </c>
      <c r="F559" s="603">
        <v>3199.78</v>
      </c>
      <c r="G559" s="603">
        <v>0</v>
      </c>
      <c r="H559" s="603">
        <v>0</v>
      </c>
      <c r="I559" s="603">
        <v>0</v>
      </c>
      <c r="J559" s="603">
        <v>4021.48</v>
      </c>
      <c r="K559" s="603">
        <v>4021.48</v>
      </c>
      <c r="L559" s="603">
        <v>4021.48</v>
      </c>
      <c r="M559" s="603">
        <v>6854.11</v>
      </c>
      <c r="N559" s="603">
        <v>6854.11</v>
      </c>
      <c r="O559" s="603">
        <v>6854.11</v>
      </c>
      <c r="P559" s="603">
        <v>6854.11</v>
      </c>
      <c r="Q559" s="603">
        <v>6854.11</v>
      </c>
      <c r="R559" s="603">
        <v>6854.11</v>
      </c>
      <c r="S559" s="484">
        <f t="shared" si="95"/>
        <v>4280.1612500000001</v>
      </c>
      <c r="T559" s="604"/>
      <c r="U559" s="642"/>
      <c r="V559" s="679"/>
      <c r="W559" s="679"/>
      <c r="X559" s="702">
        <f>+S559</f>
        <v>4280.1612500000001</v>
      </c>
      <c r="Y559" s="679">
        <f>+X559*Z7</f>
        <v>3217.3972116250002</v>
      </c>
      <c r="Z559" s="679">
        <f>+X559*Z8</f>
        <v>1062.7640383749999</v>
      </c>
      <c r="AA559" s="642"/>
      <c r="AB559" s="679"/>
      <c r="AC559" s="643"/>
      <c r="AD559" s="644"/>
      <c r="AE559" s="643"/>
      <c r="AF559" s="677">
        <f t="shared" si="100"/>
        <v>0</v>
      </c>
    </row>
    <row r="560" spans="1:32">
      <c r="A560" s="604">
        <v>550</v>
      </c>
      <c r="B560" s="316" t="s">
        <v>956</v>
      </c>
      <c r="C560" s="316" t="s">
        <v>619</v>
      </c>
      <c r="D560" s="316" t="s">
        <v>964</v>
      </c>
      <c r="E560" s="589" t="s">
        <v>1715</v>
      </c>
      <c r="F560" s="603">
        <v>117299.85</v>
      </c>
      <c r="G560" s="603">
        <v>0</v>
      </c>
      <c r="H560" s="603">
        <v>0</v>
      </c>
      <c r="I560" s="603">
        <v>77103.62</v>
      </c>
      <c r="J560" s="603">
        <v>77103.62</v>
      </c>
      <c r="K560" s="603">
        <v>77103.62</v>
      </c>
      <c r="L560" s="603">
        <v>77103.62</v>
      </c>
      <c r="M560" s="603">
        <v>77103.62</v>
      </c>
      <c r="N560" s="603">
        <v>77103.62</v>
      </c>
      <c r="O560" s="603">
        <v>140365.51999999999</v>
      </c>
      <c r="P560" s="603">
        <v>140365.51999999999</v>
      </c>
      <c r="Q560" s="603">
        <v>140365.51999999999</v>
      </c>
      <c r="R560" s="603">
        <v>140365.51999999999</v>
      </c>
      <c r="S560" s="484">
        <f t="shared" si="95"/>
        <v>84379.247083333335</v>
      </c>
      <c r="T560" s="604"/>
      <c r="U560" s="642"/>
      <c r="V560" s="679"/>
      <c r="W560" s="679"/>
      <c r="X560" s="702">
        <f>+S560</f>
        <v>84379.247083333335</v>
      </c>
      <c r="Y560" s="679">
        <f>+X560*Z7</f>
        <v>63427.880032541674</v>
      </c>
      <c r="Z560" s="679">
        <f>+X560*Z8</f>
        <v>20951.367050791665</v>
      </c>
      <c r="AA560" s="642"/>
      <c r="AB560" s="679"/>
      <c r="AC560" s="643"/>
      <c r="AD560" s="644"/>
      <c r="AE560" s="643" t="s">
        <v>1422</v>
      </c>
      <c r="AF560" s="677">
        <f t="shared" si="100"/>
        <v>0</v>
      </c>
    </row>
    <row r="561" spans="1:32">
      <c r="A561" s="604">
        <v>551</v>
      </c>
      <c r="B561" s="316" t="s">
        <v>956</v>
      </c>
      <c r="C561" s="316" t="s">
        <v>619</v>
      </c>
      <c r="D561" s="316" t="s">
        <v>968</v>
      </c>
      <c r="E561" s="589" t="s">
        <v>1714</v>
      </c>
      <c r="F561" s="603">
        <v>-1014253.48</v>
      </c>
      <c r="G561" s="603">
        <v>-1014253.48</v>
      </c>
      <c r="H561" s="603">
        <v>-1014253.48</v>
      </c>
      <c r="I561" s="603">
        <v>-998215.14</v>
      </c>
      <c r="J561" s="603">
        <v>-961008.7</v>
      </c>
      <c r="K561" s="603">
        <v>-961008.7</v>
      </c>
      <c r="L561" s="603">
        <v>-961008.7</v>
      </c>
      <c r="M561" s="603">
        <v>-961008.7</v>
      </c>
      <c r="N561" s="603">
        <v>-961008.7</v>
      </c>
      <c r="O561" s="603">
        <v>-940392.65</v>
      </c>
      <c r="P561" s="603">
        <v>-947948.91</v>
      </c>
      <c r="Q561" s="603">
        <v>-956826.3</v>
      </c>
      <c r="R561" s="603">
        <v>-985998.22</v>
      </c>
      <c r="S561" s="484">
        <f t="shared" si="95"/>
        <v>-973088.27583333338</v>
      </c>
      <c r="T561" s="604"/>
      <c r="U561" s="642"/>
      <c r="V561" s="679"/>
      <c r="W561" s="679"/>
      <c r="X561" s="702">
        <f>+S561</f>
        <v>-973088.27583333338</v>
      </c>
      <c r="Y561" s="679">
        <f>+X561*Z7</f>
        <v>-731470.45694391674</v>
      </c>
      <c r="Z561" s="679">
        <f>+X561*Z8</f>
        <v>-241617.81888941667</v>
      </c>
      <c r="AA561" s="642"/>
      <c r="AB561" s="679"/>
      <c r="AC561" s="643"/>
      <c r="AD561" s="644"/>
      <c r="AE561" s="643" t="s">
        <v>1423</v>
      </c>
      <c r="AF561" s="677">
        <f t="shared" si="100"/>
        <v>0</v>
      </c>
    </row>
    <row r="562" spans="1:32">
      <c r="A562" s="604">
        <v>552</v>
      </c>
      <c r="B562" s="316" t="s">
        <v>956</v>
      </c>
      <c r="C562" s="316" t="s">
        <v>620</v>
      </c>
      <c r="D562" s="316" t="s">
        <v>1217</v>
      </c>
      <c r="E562" s="589" t="s">
        <v>1716</v>
      </c>
      <c r="F562" s="603">
        <v>121.7</v>
      </c>
      <c r="G562" s="603">
        <v>116.27</v>
      </c>
      <c r="H562" s="603">
        <v>111.09</v>
      </c>
      <c r="I562" s="603">
        <v>105.87</v>
      </c>
      <c r="J562" s="603">
        <v>97.49</v>
      </c>
      <c r="K562" s="603">
        <v>-116.12</v>
      </c>
      <c r="L562" s="603">
        <v>79.25</v>
      </c>
      <c r="M562" s="603">
        <v>85.32</v>
      </c>
      <c r="N562" s="603">
        <v>70.510000000000005</v>
      </c>
      <c r="O562" s="603">
        <v>56.91</v>
      </c>
      <c r="P562" s="603">
        <v>49.5</v>
      </c>
      <c r="Q562" s="603">
        <v>47.11</v>
      </c>
      <c r="R562" s="603">
        <v>100684.96</v>
      </c>
      <c r="S562" s="484">
        <f t="shared" si="95"/>
        <v>4258.8774999999996</v>
      </c>
      <c r="T562" s="604"/>
      <c r="U562" s="642"/>
      <c r="V562" s="679">
        <f>+S562</f>
        <v>4258.8774999999996</v>
      </c>
      <c r="W562" s="679"/>
      <c r="X562" s="702"/>
      <c r="Y562" s="679"/>
      <c r="Z562" s="679"/>
      <c r="AA562" s="642"/>
      <c r="AB562" s="679"/>
      <c r="AC562" s="643"/>
      <c r="AD562" s="644">
        <f>+V562</f>
        <v>4258.8774999999996</v>
      </c>
      <c r="AE562" s="643"/>
      <c r="AF562" s="677">
        <f t="shared" si="100"/>
        <v>0</v>
      </c>
    </row>
    <row r="563" spans="1:32">
      <c r="A563" s="604">
        <v>553</v>
      </c>
      <c r="B563" s="316" t="s">
        <v>956</v>
      </c>
      <c r="C563" s="316" t="s">
        <v>620</v>
      </c>
      <c r="D563" s="316" t="s">
        <v>1218</v>
      </c>
      <c r="E563" s="589" t="s">
        <v>1718</v>
      </c>
      <c r="F563" s="603">
        <v>-48270</v>
      </c>
      <c r="G563" s="603">
        <v>-48270</v>
      </c>
      <c r="H563" s="603">
        <v>-48270</v>
      </c>
      <c r="I563" s="603">
        <v>-48270</v>
      </c>
      <c r="J563" s="603">
        <v>-48270</v>
      </c>
      <c r="K563" s="603">
        <v>-48270</v>
      </c>
      <c r="L563" s="603">
        <v>-48270</v>
      </c>
      <c r="M563" s="603">
        <v>-48270</v>
      </c>
      <c r="N563" s="603">
        <v>-48270</v>
      </c>
      <c r="O563" s="603">
        <v>-48270</v>
      </c>
      <c r="P563" s="603">
        <v>-24135</v>
      </c>
      <c r="Q563" s="603">
        <v>-24135</v>
      </c>
      <c r="R563" s="603">
        <v>-24135</v>
      </c>
      <c r="S563" s="484">
        <f t="shared" si="95"/>
        <v>-43241.875</v>
      </c>
      <c r="T563" s="604"/>
      <c r="U563" s="642"/>
      <c r="V563" s="679">
        <f>+S563</f>
        <v>-43241.875</v>
      </c>
      <c r="W563" s="679"/>
      <c r="X563" s="702"/>
      <c r="Y563" s="679"/>
      <c r="Z563" s="679"/>
      <c r="AA563" s="642"/>
      <c r="AB563" s="679"/>
      <c r="AC563" s="643"/>
      <c r="AD563" s="644">
        <f>+V563</f>
        <v>-43241.875</v>
      </c>
      <c r="AE563" s="643"/>
      <c r="AF563" s="677">
        <f t="shared" si="100"/>
        <v>0</v>
      </c>
    </row>
    <row r="564" spans="1:32">
      <c r="A564" s="604">
        <v>554</v>
      </c>
      <c r="B564" s="316" t="s">
        <v>956</v>
      </c>
      <c r="C564" s="316" t="s">
        <v>620</v>
      </c>
      <c r="D564" s="316" t="s">
        <v>1219</v>
      </c>
      <c r="E564" s="589" t="s">
        <v>1717</v>
      </c>
      <c r="F564" s="603">
        <v>-9444729.6899999995</v>
      </c>
      <c r="G564" s="603">
        <v>-9386229.6899999995</v>
      </c>
      <c r="H564" s="603">
        <v>-9327729.6899999995</v>
      </c>
      <c r="I564" s="603">
        <v>-9269229.6899999995</v>
      </c>
      <c r="J564" s="603">
        <v>-9210729.6899999995</v>
      </c>
      <c r="K564" s="603">
        <v>-9495724.6899999995</v>
      </c>
      <c r="L564" s="603">
        <v>-9505923.6899999995</v>
      </c>
      <c r="M564" s="603">
        <v>-9516122.6899999995</v>
      </c>
      <c r="N564" s="603">
        <v>-9526321.6899999995</v>
      </c>
      <c r="O564" s="603">
        <v>-9536520.6899999995</v>
      </c>
      <c r="P564" s="603">
        <v>-9546719.6899999995</v>
      </c>
      <c r="Q564" s="603">
        <v>-9556918.6899999995</v>
      </c>
      <c r="R564" s="603">
        <v>-6699766.6900000004</v>
      </c>
      <c r="S564" s="484">
        <f t="shared" si="95"/>
        <v>-9329201.5649999995</v>
      </c>
      <c r="T564" s="604"/>
      <c r="U564" s="642"/>
      <c r="V564" s="679">
        <f>+S564</f>
        <v>-9329201.5649999995</v>
      </c>
      <c r="W564" s="679"/>
      <c r="X564" s="702"/>
      <c r="Y564" s="679"/>
      <c r="Z564" s="679"/>
      <c r="AA564" s="642"/>
      <c r="AB564" s="679"/>
      <c r="AC564" s="643"/>
      <c r="AD564" s="644">
        <f>+V564</f>
        <v>-9329201.5649999995</v>
      </c>
      <c r="AE564" s="643"/>
      <c r="AF564" s="677">
        <f t="shared" si="100"/>
        <v>0</v>
      </c>
    </row>
    <row r="565" spans="1:32">
      <c r="A565" s="604">
        <v>555</v>
      </c>
      <c r="B565" s="316" t="s">
        <v>956</v>
      </c>
      <c r="C565" s="316" t="s">
        <v>620</v>
      </c>
      <c r="D565" s="316" t="s">
        <v>1220</v>
      </c>
      <c r="E565" s="589" t="s">
        <v>1913</v>
      </c>
      <c r="F565" s="603">
        <v>-974030</v>
      </c>
      <c r="G565" s="603">
        <v>-974030</v>
      </c>
      <c r="H565" s="603">
        <v>-974030</v>
      </c>
      <c r="I565" s="603">
        <v>-974030</v>
      </c>
      <c r="J565" s="603">
        <v>-974030</v>
      </c>
      <c r="K565" s="603">
        <v>-1088889</v>
      </c>
      <c r="L565" s="603">
        <v>-1088889</v>
      </c>
      <c r="M565" s="603">
        <v>-1088889</v>
      </c>
      <c r="N565" s="603">
        <v>-1088889</v>
      </c>
      <c r="O565" s="603">
        <v>-1088889</v>
      </c>
      <c r="P565" s="603">
        <v>-1088889</v>
      </c>
      <c r="Q565" s="603">
        <v>-1088889</v>
      </c>
      <c r="R565" s="603">
        <v>-1045610</v>
      </c>
      <c r="S565" s="484">
        <f t="shared" si="95"/>
        <v>-1044013.5833333334</v>
      </c>
      <c r="T565" s="604"/>
      <c r="U565" s="642"/>
      <c r="V565" s="679">
        <f>+S565</f>
        <v>-1044013.5833333334</v>
      </c>
      <c r="W565" s="679"/>
      <c r="X565" s="702"/>
      <c r="Y565" s="679"/>
      <c r="Z565" s="679"/>
      <c r="AA565" s="642"/>
      <c r="AB565" s="679"/>
      <c r="AC565" s="643"/>
      <c r="AD565" s="644">
        <f t="shared" ref="AD565:AD570" si="105">+V565</f>
        <v>-1044013.5833333334</v>
      </c>
      <c r="AE565" s="649"/>
      <c r="AF565" s="677">
        <f t="shared" si="100"/>
        <v>0</v>
      </c>
    </row>
    <row r="566" spans="1:32">
      <c r="A566" s="604">
        <v>556</v>
      </c>
      <c r="B566" s="316" t="s">
        <v>956</v>
      </c>
      <c r="C566" s="316" t="s">
        <v>620</v>
      </c>
      <c r="D566" s="316" t="s">
        <v>1914</v>
      </c>
      <c r="E566" s="589" t="s">
        <v>1915</v>
      </c>
      <c r="F566" s="603">
        <v>0</v>
      </c>
      <c r="G566" s="603">
        <v>0</v>
      </c>
      <c r="H566" s="603">
        <v>0</v>
      </c>
      <c r="I566" s="603">
        <v>0</v>
      </c>
      <c r="J566" s="603">
        <v>0</v>
      </c>
      <c r="K566" s="603">
        <v>114859</v>
      </c>
      <c r="L566" s="603">
        <v>114859</v>
      </c>
      <c r="M566" s="603">
        <v>114859</v>
      </c>
      <c r="N566" s="603">
        <v>114859</v>
      </c>
      <c r="O566" s="603">
        <v>114859</v>
      </c>
      <c r="P566" s="603">
        <v>114859</v>
      </c>
      <c r="Q566" s="603">
        <v>114859</v>
      </c>
      <c r="R566" s="603">
        <v>197919</v>
      </c>
      <c r="S566" s="484">
        <f t="shared" si="95"/>
        <v>75247.708333333328</v>
      </c>
      <c r="T566" s="604"/>
      <c r="U566" s="642"/>
      <c r="V566" s="679">
        <f>+S566</f>
        <v>75247.708333333328</v>
      </c>
      <c r="W566" s="679"/>
      <c r="X566" s="702"/>
      <c r="Y566" s="679"/>
      <c r="Z566" s="679"/>
      <c r="AA566" s="642"/>
      <c r="AB566" s="679"/>
      <c r="AC566" s="643"/>
      <c r="AD566" s="644">
        <f t="shared" si="105"/>
        <v>75247.708333333328</v>
      </c>
      <c r="AE566" s="643"/>
      <c r="AF566" s="677">
        <f t="shared" si="100"/>
        <v>0</v>
      </c>
    </row>
    <row r="567" spans="1:32">
      <c r="A567" s="604">
        <v>557</v>
      </c>
      <c r="B567" s="316" t="s">
        <v>959</v>
      </c>
      <c r="C567" s="316" t="s">
        <v>621</v>
      </c>
      <c r="D567" s="316" t="s">
        <v>1221</v>
      </c>
      <c r="E567" s="589" t="s">
        <v>624</v>
      </c>
      <c r="F567" s="603">
        <v>-49624464.960000001</v>
      </c>
      <c r="G567" s="603">
        <v>-49425126.969999999</v>
      </c>
      <c r="H567" s="603">
        <v>-49225788.950000003</v>
      </c>
      <c r="I567" s="603">
        <v>-49026450.969999999</v>
      </c>
      <c r="J567" s="603">
        <v>-48827112.979999997</v>
      </c>
      <c r="K567" s="603">
        <v>-48627775.049999997</v>
      </c>
      <c r="L567" s="603">
        <v>-48428437.009999998</v>
      </c>
      <c r="M567" s="603">
        <v>-48229103.939999998</v>
      </c>
      <c r="N567" s="603">
        <v>-48029765.960000001</v>
      </c>
      <c r="O567" s="603">
        <v>-47830427.950000003</v>
      </c>
      <c r="P567" s="603">
        <v>-47631089.960000001</v>
      </c>
      <c r="Q567" s="603">
        <v>-47408313.049999997</v>
      </c>
      <c r="R567" s="603">
        <v>-47103890.740000002</v>
      </c>
      <c r="S567" s="484">
        <f t="shared" si="95"/>
        <v>-48421130.886666656</v>
      </c>
      <c r="T567" s="604"/>
      <c r="U567" s="642"/>
      <c r="V567" s="679"/>
      <c r="W567" s="679"/>
      <c r="X567" s="702">
        <f>+S567</f>
        <v>-48421130.886666656</v>
      </c>
      <c r="Y567" s="679"/>
      <c r="Z567" s="679"/>
      <c r="AA567" s="642"/>
      <c r="AB567" s="679">
        <f>+S567</f>
        <v>-48421130.886666656</v>
      </c>
      <c r="AC567" s="643"/>
      <c r="AD567" s="644">
        <f t="shared" si="105"/>
        <v>0</v>
      </c>
      <c r="AE567" s="643"/>
      <c r="AF567" s="677">
        <f t="shared" si="100"/>
        <v>0</v>
      </c>
    </row>
    <row r="568" spans="1:32">
      <c r="A568" s="604">
        <v>558</v>
      </c>
      <c r="B568" s="316" t="s">
        <v>956</v>
      </c>
      <c r="C568" s="316" t="s">
        <v>621</v>
      </c>
      <c r="D568" s="316" t="s">
        <v>1222</v>
      </c>
      <c r="E568" s="589" t="s">
        <v>1719</v>
      </c>
      <c r="F568" s="603">
        <v>-9124558.2599999998</v>
      </c>
      <c r="G568" s="603">
        <v>-9027793.8900000006</v>
      </c>
      <c r="H568" s="603">
        <v>-8931029.4600000009</v>
      </c>
      <c r="I568" s="603">
        <v>-8834265.1099999994</v>
      </c>
      <c r="J568" s="603">
        <v>-8737500.7599999998</v>
      </c>
      <c r="K568" s="603">
        <v>-8640736.4199999999</v>
      </c>
      <c r="L568" s="603">
        <v>-8543971.9700000007</v>
      </c>
      <c r="M568" s="603">
        <v>-8447207.6099999994</v>
      </c>
      <c r="N568" s="603">
        <v>-8350443.2300000004</v>
      </c>
      <c r="O568" s="603">
        <v>-8253678.8300000001</v>
      </c>
      <c r="P568" s="603">
        <v>-8156914.3399999999</v>
      </c>
      <c r="Q568" s="603">
        <v>-8060150.0099999998</v>
      </c>
      <c r="R568" s="603">
        <v>-7963385.4400000004</v>
      </c>
      <c r="S568" s="484">
        <f t="shared" si="95"/>
        <v>-8543971.956666667</v>
      </c>
      <c r="T568" s="604"/>
      <c r="U568" s="642"/>
      <c r="V568" s="679"/>
      <c r="W568" s="679"/>
      <c r="X568" s="702">
        <f>+S568</f>
        <v>-8543971.956666667</v>
      </c>
      <c r="Y568" s="679"/>
      <c r="Z568" s="679"/>
      <c r="AA568" s="642"/>
      <c r="AB568" s="679">
        <f>+S568</f>
        <v>-8543971.956666667</v>
      </c>
      <c r="AC568" s="643"/>
      <c r="AD568" s="644">
        <f t="shared" si="105"/>
        <v>0</v>
      </c>
      <c r="AE568" s="649"/>
      <c r="AF568" s="677">
        <f t="shared" si="100"/>
        <v>0</v>
      </c>
    </row>
    <row r="569" spans="1:32">
      <c r="A569" s="604">
        <v>559</v>
      </c>
      <c r="B569" s="316" t="s">
        <v>1844</v>
      </c>
      <c r="C569" s="316" t="s">
        <v>621</v>
      </c>
      <c r="D569" s="316" t="s">
        <v>1851</v>
      </c>
      <c r="E569" s="589" t="s">
        <v>1909</v>
      </c>
      <c r="F569" s="603">
        <v>0</v>
      </c>
      <c r="G569" s="603">
        <v>0</v>
      </c>
      <c r="H569" s="603">
        <v>-1111122.68</v>
      </c>
      <c r="I569" s="603">
        <v>0</v>
      </c>
      <c r="J569" s="603">
        <v>619044.54</v>
      </c>
      <c r="K569" s="603">
        <v>698790.37</v>
      </c>
      <c r="L569" s="603">
        <v>736498.52</v>
      </c>
      <c r="M569" s="603">
        <v>775109.42</v>
      </c>
      <c r="N569" s="603">
        <v>814640.66</v>
      </c>
      <c r="O569" s="603">
        <v>852120.08</v>
      </c>
      <c r="P569" s="603">
        <v>848983.99</v>
      </c>
      <c r="Q569" s="603">
        <v>2064910.95</v>
      </c>
      <c r="R569" s="603">
        <v>1834765.01</v>
      </c>
      <c r="S569" s="484">
        <f t="shared" si="95"/>
        <v>601363.19625000004</v>
      </c>
      <c r="T569" s="604"/>
      <c r="U569" s="642"/>
      <c r="V569" s="679">
        <f>+S569</f>
        <v>601363.19625000004</v>
      </c>
      <c r="W569" s="679"/>
      <c r="X569" s="702"/>
      <c r="Y569" s="679"/>
      <c r="Z569" s="679"/>
      <c r="AA569" s="642"/>
      <c r="AB569" s="679"/>
      <c r="AC569" s="643"/>
      <c r="AD569" s="644">
        <f t="shared" si="105"/>
        <v>601363.19625000004</v>
      </c>
      <c r="AE569" s="649"/>
      <c r="AF569" s="677">
        <f t="shared" si="100"/>
        <v>0</v>
      </c>
    </row>
    <row r="570" spans="1:32">
      <c r="A570" s="604">
        <v>560</v>
      </c>
      <c r="B570" s="316" t="s">
        <v>1844</v>
      </c>
      <c r="C570" s="316" t="s">
        <v>621</v>
      </c>
      <c r="D570" s="316" t="s">
        <v>1853</v>
      </c>
      <c r="E570" s="589" t="s">
        <v>1909</v>
      </c>
      <c r="F570" s="603">
        <v>0</v>
      </c>
      <c r="G570" s="603">
        <v>1973760.03</v>
      </c>
      <c r="H570" s="603">
        <v>-4137153.52</v>
      </c>
      <c r="I570" s="603">
        <v>1207778.26</v>
      </c>
      <c r="J570" s="603">
        <v>1149487.81</v>
      </c>
      <c r="K570" s="603">
        <v>1174986.7</v>
      </c>
      <c r="L570" s="603">
        <v>1244328.33</v>
      </c>
      <c r="M570" s="603">
        <v>1289161.8799999999</v>
      </c>
      <c r="N570" s="603">
        <v>1350429.02</v>
      </c>
      <c r="O570" s="603">
        <v>1254856.2</v>
      </c>
      <c r="P570" s="603">
        <v>1132432.3400000001</v>
      </c>
      <c r="Q570" s="603">
        <v>1023920.7</v>
      </c>
      <c r="R570" s="603">
        <v>1603848.95</v>
      </c>
      <c r="S570" s="484">
        <f t="shared" si="95"/>
        <v>788826.01874999993</v>
      </c>
      <c r="T570" s="604"/>
      <c r="U570" s="642"/>
      <c r="V570" s="679">
        <f>+S570</f>
        <v>788826.01874999993</v>
      </c>
      <c r="W570" s="679"/>
      <c r="X570" s="702"/>
      <c r="Y570" s="679"/>
      <c r="Z570" s="679"/>
      <c r="AA570" s="642"/>
      <c r="AB570" s="679"/>
      <c r="AC570" s="643"/>
      <c r="AD570" s="644">
        <f t="shared" si="105"/>
        <v>788826.01874999993</v>
      </c>
      <c r="AE570" s="643"/>
      <c r="AF570" s="677">
        <f t="shared" si="100"/>
        <v>0</v>
      </c>
    </row>
    <row r="571" spans="1:32">
      <c r="A571" s="604">
        <v>561</v>
      </c>
      <c r="B571" s="316" t="s">
        <v>959</v>
      </c>
      <c r="C571" s="316" t="s">
        <v>621</v>
      </c>
      <c r="D571" s="316" t="s">
        <v>1393</v>
      </c>
      <c r="E571" s="602" t="s">
        <v>1725</v>
      </c>
      <c r="F571" s="603">
        <v>-1000748.3</v>
      </c>
      <c r="G571" s="603">
        <v>-935174.44</v>
      </c>
      <c r="H571" s="603">
        <v>-860934.91</v>
      </c>
      <c r="I571" s="603">
        <v>-769924.97</v>
      </c>
      <c r="J571" s="603">
        <v>-766991.69</v>
      </c>
      <c r="K571" s="603">
        <v>-809207.04</v>
      </c>
      <c r="L571" s="603">
        <v>-875218.56</v>
      </c>
      <c r="M571" s="603">
        <v>-939453.43999999994</v>
      </c>
      <c r="N571" s="603">
        <v>-1002397.3</v>
      </c>
      <c r="O571" s="603">
        <v>-1067697.32</v>
      </c>
      <c r="P571" s="603">
        <v>-1107757.76</v>
      </c>
      <c r="Q571" s="603">
        <v>-1097259.6100000001</v>
      </c>
      <c r="R571" s="603">
        <v>-1014491.1</v>
      </c>
      <c r="S571" s="484">
        <f t="shared" si="95"/>
        <v>-936636.39500000002</v>
      </c>
      <c r="T571" s="604"/>
      <c r="U571" s="642"/>
      <c r="V571" s="679"/>
      <c r="W571" s="679"/>
      <c r="X571" s="702">
        <f t="shared" ref="X571:X577" si="106">+S571</f>
        <v>-936636.39500000002</v>
      </c>
      <c r="Y571" s="679"/>
      <c r="Z571" s="679"/>
      <c r="AA571" s="642"/>
      <c r="AB571" s="679">
        <f t="shared" ref="AB571:AB577" si="107">+S571</f>
        <v>-936636.39500000002</v>
      </c>
      <c r="AC571" s="643"/>
      <c r="AD571" s="644"/>
      <c r="AE571" s="643"/>
      <c r="AF571" s="677">
        <f t="shared" si="100"/>
        <v>0</v>
      </c>
    </row>
    <row r="572" spans="1:32">
      <c r="A572" s="604">
        <v>562</v>
      </c>
      <c r="B572" s="316" t="s">
        <v>959</v>
      </c>
      <c r="C572" s="316" t="s">
        <v>621</v>
      </c>
      <c r="D572" s="316" t="s">
        <v>1408</v>
      </c>
      <c r="E572" s="589" t="s">
        <v>1726</v>
      </c>
      <c r="F572" s="603">
        <v>-274816.11</v>
      </c>
      <c r="G572" s="603">
        <v>-249265.99</v>
      </c>
      <c r="H572" s="603">
        <v>-220858.9</v>
      </c>
      <c r="I572" s="603">
        <v>-186993.76</v>
      </c>
      <c r="J572" s="603">
        <v>-181732.56</v>
      </c>
      <c r="K572" s="603">
        <v>-191134.66</v>
      </c>
      <c r="L572" s="603">
        <v>-208315.13</v>
      </c>
      <c r="M572" s="603">
        <v>-225020.79999999999</v>
      </c>
      <c r="N572" s="603">
        <v>-241365.35</v>
      </c>
      <c r="O572" s="603">
        <v>-258456.72</v>
      </c>
      <c r="P572" s="603">
        <v>-267227.15000000002</v>
      </c>
      <c r="Q572" s="603">
        <v>-259574.65</v>
      </c>
      <c r="R572" s="603">
        <v>-228610.16</v>
      </c>
      <c r="S572" s="484">
        <f t="shared" si="95"/>
        <v>-228471.5670833333</v>
      </c>
      <c r="T572" s="604"/>
      <c r="U572" s="642"/>
      <c r="V572" s="679"/>
      <c r="W572" s="679"/>
      <c r="X572" s="702">
        <f t="shared" si="106"/>
        <v>-228471.5670833333</v>
      </c>
      <c r="Y572" s="679"/>
      <c r="Z572" s="679"/>
      <c r="AA572" s="642"/>
      <c r="AB572" s="679">
        <f t="shared" si="107"/>
        <v>-228471.5670833333</v>
      </c>
      <c r="AC572" s="643"/>
      <c r="AD572" s="644"/>
      <c r="AE572" s="643"/>
      <c r="AF572" s="677">
        <f t="shared" si="100"/>
        <v>0</v>
      </c>
    </row>
    <row r="573" spans="1:32">
      <c r="A573" s="604">
        <v>563</v>
      </c>
      <c r="B573" s="316" t="s">
        <v>959</v>
      </c>
      <c r="C573" s="316" t="s">
        <v>621</v>
      </c>
      <c r="D573" s="316" t="s">
        <v>1409</v>
      </c>
      <c r="E573" s="589" t="s">
        <v>1727</v>
      </c>
      <c r="F573" s="603">
        <v>-463561.43</v>
      </c>
      <c r="G573" s="603">
        <v>-429335.22</v>
      </c>
      <c r="H573" s="603">
        <v>-391057.16</v>
      </c>
      <c r="I573" s="603">
        <v>-344979.34</v>
      </c>
      <c r="J573" s="603">
        <v>-339852.94</v>
      </c>
      <c r="K573" s="603">
        <v>-355714.93</v>
      </c>
      <c r="L573" s="603">
        <v>-382669.07</v>
      </c>
      <c r="M573" s="603">
        <v>-408852.96</v>
      </c>
      <c r="N573" s="603">
        <v>-434468.51</v>
      </c>
      <c r="O573" s="603">
        <v>-461169.74</v>
      </c>
      <c r="P573" s="603">
        <v>-476076.04</v>
      </c>
      <c r="Q573" s="603">
        <v>-473758.23</v>
      </c>
      <c r="R573" s="603">
        <v>-450758.74</v>
      </c>
      <c r="S573" s="484">
        <f t="shared" si="95"/>
        <v>-412924.51875000005</v>
      </c>
      <c r="T573" s="604"/>
      <c r="U573" s="642"/>
      <c r="V573" s="679"/>
      <c r="W573" s="679"/>
      <c r="X573" s="702">
        <f t="shared" si="106"/>
        <v>-412924.51875000005</v>
      </c>
      <c r="Y573" s="679"/>
      <c r="Z573" s="679"/>
      <c r="AA573" s="642"/>
      <c r="AB573" s="679">
        <f t="shared" si="107"/>
        <v>-412924.51875000005</v>
      </c>
      <c r="AC573" s="643"/>
      <c r="AD573" s="644"/>
      <c r="AE573" s="643"/>
      <c r="AF573" s="677">
        <f t="shared" si="100"/>
        <v>0</v>
      </c>
    </row>
    <row r="574" spans="1:32">
      <c r="A574" s="604">
        <v>564</v>
      </c>
      <c r="B574" s="316" t="s">
        <v>959</v>
      </c>
      <c r="C574" s="316" t="s">
        <v>621</v>
      </c>
      <c r="D574" s="316" t="s">
        <v>1410</v>
      </c>
      <c r="E574" s="589" t="s">
        <v>1728</v>
      </c>
      <c r="F574" s="603">
        <v>-126336.78</v>
      </c>
      <c r="G574" s="603">
        <v>-113252.81</v>
      </c>
      <c r="H574" s="603">
        <v>-98837.58</v>
      </c>
      <c r="I574" s="603">
        <v>-81877.09</v>
      </c>
      <c r="J574" s="603">
        <v>-78252.990000000005</v>
      </c>
      <c r="K574" s="603">
        <v>-81465.86</v>
      </c>
      <c r="L574" s="603">
        <v>-88304.51</v>
      </c>
      <c r="M574" s="603">
        <v>-94920.55</v>
      </c>
      <c r="N574" s="603">
        <v>-101367.35</v>
      </c>
      <c r="O574" s="603">
        <v>-108163.05</v>
      </c>
      <c r="P574" s="603">
        <v>-111075.57</v>
      </c>
      <c r="Q574" s="603">
        <v>-108527.96</v>
      </c>
      <c r="R574" s="603">
        <v>-99392.62</v>
      </c>
      <c r="S574" s="484">
        <f t="shared" si="95"/>
        <v>-98242.501666666663</v>
      </c>
      <c r="T574" s="604"/>
      <c r="U574" s="642"/>
      <c r="V574" s="679"/>
      <c r="W574" s="679"/>
      <c r="X574" s="702">
        <f t="shared" si="106"/>
        <v>-98242.501666666663</v>
      </c>
      <c r="Y574" s="679"/>
      <c r="Z574" s="679"/>
      <c r="AA574" s="642"/>
      <c r="AB574" s="679">
        <f t="shared" si="107"/>
        <v>-98242.501666666663</v>
      </c>
      <c r="AC574" s="643"/>
      <c r="AD574" s="644"/>
      <c r="AE574" s="643"/>
      <c r="AF574" s="677">
        <f t="shared" si="100"/>
        <v>0</v>
      </c>
    </row>
    <row r="575" spans="1:32">
      <c r="A575" s="604">
        <v>565</v>
      </c>
      <c r="B575" s="316" t="s">
        <v>959</v>
      </c>
      <c r="C575" s="316" t="s">
        <v>621</v>
      </c>
      <c r="D575" s="316" t="s">
        <v>1411</v>
      </c>
      <c r="E575" s="589" t="s">
        <v>1729</v>
      </c>
      <c r="F575" s="603">
        <v>-863199.97</v>
      </c>
      <c r="G575" s="603">
        <v>-699908.41</v>
      </c>
      <c r="H575" s="603">
        <v>-529243.91</v>
      </c>
      <c r="I575" s="603">
        <v>-344301.35</v>
      </c>
      <c r="J575" s="603">
        <v>-234375.07</v>
      </c>
      <c r="K575" s="603">
        <v>-162900.16</v>
      </c>
      <c r="L575" s="603">
        <v>-111684.07</v>
      </c>
      <c r="M575" s="603">
        <v>-58935.039999999899</v>
      </c>
      <c r="N575" s="603">
        <v>-5075.4299999999203</v>
      </c>
      <c r="O575" s="603">
        <v>46774.890000000101</v>
      </c>
      <c r="P575" s="603">
        <v>120083.18</v>
      </c>
      <c r="Q575" s="603">
        <v>177539.49</v>
      </c>
      <c r="R575" s="603">
        <v>8.7311491370201098E-11</v>
      </c>
      <c r="S575" s="484">
        <f t="shared" si="95"/>
        <v>-186135.48874999993</v>
      </c>
      <c r="T575" s="604"/>
      <c r="U575" s="642"/>
      <c r="V575" s="679"/>
      <c r="W575" s="679"/>
      <c r="X575" s="702">
        <f t="shared" si="106"/>
        <v>-186135.48874999993</v>
      </c>
      <c r="Y575" s="679"/>
      <c r="Z575" s="679"/>
      <c r="AA575" s="642"/>
      <c r="AB575" s="679">
        <f t="shared" si="107"/>
        <v>-186135.48874999993</v>
      </c>
      <c r="AC575" s="643"/>
      <c r="AD575" s="644"/>
      <c r="AE575" s="643"/>
      <c r="AF575" s="677">
        <f t="shared" si="100"/>
        <v>0</v>
      </c>
    </row>
    <row r="576" spans="1:32">
      <c r="A576" s="604">
        <v>566</v>
      </c>
      <c r="B576" s="316" t="s">
        <v>959</v>
      </c>
      <c r="C576" s="316" t="s">
        <v>621</v>
      </c>
      <c r="D576" s="316" t="s">
        <v>1412</v>
      </c>
      <c r="E576" s="589" t="s">
        <v>1730</v>
      </c>
      <c r="F576" s="603">
        <v>-236935.84</v>
      </c>
      <c r="G576" s="603">
        <v>-183989.76000000001</v>
      </c>
      <c r="H576" s="603">
        <v>-128623.71</v>
      </c>
      <c r="I576" s="603">
        <v>-68609.960000000006</v>
      </c>
      <c r="J576" s="603">
        <v>-32980.78</v>
      </c>
      <c r="K576" s="603">
        <v>-9851.0400000000009</v>
      </c>
      <c r="L576" s="603">
        <v>6665.54</v>
      </c>
      <c r="M576" s="603">
        <v>23623.64</v>
      </c>
      <c r="N576" s="603">
        <v>40910.720000000001</v>
      </c>
      <c r="O576" s="603">
        <v>57554.2</v>
      </c>
      <c r="P576" s="603">
        <v>81250.36</v>
      </c>
      <c r="Q576" s="603">
        <v>99940.78</v>
      </c>
      <c r="R576" s="603">
        <v>0</v>
      </c>
      <c r="S576" s="484">
        <f t="shared" si="95"/>
        <v>-19381.494166666675</v>
      </c>
      <c r="T576" s="604"/>
      <c r="U576" s="642"/>
      <c r="V576" s="679"/>
      <c r="W576" s="679"/>
      <c r="X576" s="702">
        <f t="shared" si="106"/>
        <v>-19381.494166666675</v>
      </c>
      <c r="Y576" s="679"/>
      <c r="Z576" s="679"/>
      <c r="AA576" s="642"/>
      <c r="AB576" s="679">
        <f t="shared" si="107"/>
        <v>-19381.494166666675</v>
      </c>
      <c r="AC576" s="643"/>
      <c r="AD576" s="644"/>
      <c r="AE576" s="643"/>
      <c r="AF576" s="677">
        <f t="shared" si="100"/>
        <v>0</v>
      </c>
    </row>
    <row r="577" spans="1:32">
      <c r="A577" s="604">
        <v>567</v>
      </c>
      <c r="B577" s="316" t="s">
        <v>959</v>
      </c>
      <c r="C577" s="316" t="s">
        <v>621</v>
      </c>
      <c r="D577" s="316" t="s">
        <v>1413</v>
      </c>
      <c r="E577" s="595" t="s">
        <v>1731</v>
      </c>
      <c r="F577" s="603">
        <v>367551.32</v>
      </c>
      <c r="G577" s="603">
        <v>367551.32</v>
      </c>
      <c r="H577" s="603">
        <v>367551.32</v>
      </c>
      <c r="I577" s="603">
        <v>367551.32</v>
      </c>
      <c r="J577" s="603">
        <v>367551.32</v>
      </c>
      <c r="K577" s="603">
        <v>367551.32</v>
      </c>
      <c r="L577" s="603">
        <v>367551.32</v>
      </c>
      <c r="M577" s="603">
        <v>367551.32</v>
      </c>
      <c r="N577" s="603">
        <v>367551.32</v>
      </c>
      <c r="O577" s="603">
        <v>473806.37</v>
      </c>
      <c r="P577" s="603">
        <v>473806.37</v>
      </c>
      <c r="Q577" s="603">
        <v>473806.37</v>
      </c>
      <c r="R577" s="603">
        <v>0</v>
      </c>
      <c r="S577" s="484">
        <f t="shared" si="95"/>
        <v>378800.44416666665</v>
      </c>
      <c r="T577" s="604"/>
      <c r="U577" s="642"/>
      <c r="V577" s="679"/>
      <c r="W577" s="679"/>
      <c r="X577" s="702">
        <f t="shared" si="106"/>
        <v>378800.44416666665</v>
      </c>
      <c r="Y577" s="679"/>
      <c r="Z577" s="679"/>
      <c r="AA577" s="642"/>
      <c r="AB577" s="679">
        <f t="shared" si="107"/>
        <v>378800.44416666665</v>
      </c>
      <c r="AC577" s="643"/>
      <c r="AD577" s="644"/>
      <c r="AE577" s="643"/>
      <c r="AF577" s="677">
        <f t="shared" si="100"/>
        <v>0</v>
      </c>
    </row>
    <row r="578" spans="1:32">
      <c r="A578" s="604">
        <v>568</v>
      </c>
      <c r="B578" s="316" t="s">
        <v>984</v>
      </c>
      <c r="C578" s="316" t="s">
        <v>621</v>
      </c>
      <c r="D578" s="316" t="s">
        <v>1209</v>
      </c>
      <c r="E578" s="589" t="s">
        <v>1724</v>
      </c>
      <c r="F578" s="603">
        <v>151304.69</v>
      </c>
      <c r="G578" s="603">
        <v>0</v>
      </c>
      <c r="H578" s="603">
        <v>0</v>
      </c>
      <c r="I578" s="603">
        <v>0</v>
      </c>
      <c r="J578" s="603">
        <v>5267.35</v>
      </c>
      <c r="K578" s="603">
        <v>2626.02</v>
      </c>
      <c r="L578" s="603">
        <v>2032.81</v>
      </c>
      <c r="M578" s="603">
        <v>1667.79</v>
      </c>
      <c r="N578" s="603">
        <v>870.6</v>
      </c>
      <c r="O578" s="603">
        <v>2138.62</v>
      </c>
      <c r="P578" s="603">
        <v>31782.5</v>
      </c>
      <c r="Q578" s="603">
        <v>157413.66</v>
      </c>
      <c r="R578" s="603">
        <v>179237.64</v>
      </c>
      <c r="S578" s="484">
        <f t="shared" si="95"/>
        <v>30755.876250000001</v>
      </c>
      <c r="T578" s="604"/>
      <c r="U578" s="642"/>
      <c r="V578" s="679">
        <f>+S578</f>
        <v>30755.876250000001</v>
      </c>
      <c r="W578" s="679"/>
      <c r="X578" s="702"/>
      <c r="Y578" s="679"/>
      <c r="Z578" s="679"/>
      <c r="AA578" s="642"/>
      <c r="AB578" s="679"/>
      <c r="AC578" s="643"/>
      <c r="AD578" s="644">
        <f>+V578</f>
        <v>30755.876250000001</v>
      </c>
      <c r="AE578" s="643"/>
      <c r="AF578" s="677">
        <f t="shared" si="100"/>
        <v>0</v>
      </c>
    </row>
    <row r="579" spans="1:32">
      <c r="A579" s="604">
        <v>569</v>
      </c>
      <c r="B579" s="316" t="s">
        <v>959</v>
      </c>
      <c r="C579" s="316" t="s">
        <v>621</v>
      </c>
      <c r="D579" s="316" t="s">
        <v>1209</v>
      </c>
      <c r="E579" s="595" t="s">
        <v>1724</v>
      </c>
      <c r="F579" s="603">
        <v>934952.23</v>
      </c>
      <c r="G579" s="603">
        <v>269615.28000000003</v>
      </c>
      <c r="H579" s="603">
        <v>336752.89</v>
      </c>
      <c r="I579" s="603">
        <v>221356.89</v>
      </c>
      <c r="J579" s="603">
        <v>117146.9</v>
      </c>
      <c r="K579" s="603">
        <v>67735.67</v>
      </c>
      <c r="L579" s="603">
        <v>47646.15</v>
      </c>
      <c r="M579" s="603">
        <v>46845.95</v>
      </c>
      <c r="N579" s="603">
        <v>25782.880000000001</v>
      </c>
      <c r="O579" s="603">
        <v>62495.17</v>
      </c>
      <c r="P579" s="603">
        <v>154564.26999999999</v>
      </c>
      <c r="Q579" s="603">
        <v>163913.10999999999</v>
      </c>
      <c r="R579" s="603">
        <v>189403.67</v>
      </c>
      <c r="S579" s="484">
        <f t="shared" si="95"/>
        <v>173002.75916666663</v>
      </c>
      <c r="T579" s="604"/>
      <c r="U579" s="642"/>
      <c r="V579" s="679">
        <f>+S579</f>
        <v>173002.75916666663</v>
      </c>
      <c r="W579" s="679"/>
      <c r="X579" s="702"/>
      <c r="Y579" s="679"/>
      <c r="Z579" s="679"/>
      <c r="AA579" s="642"/>
      <c r="AB579" s="679"/>
      <c r="AC579" s="643"/>
      <c r="AD579" s="644">
        <f>+V579</f>
        <v>173002.75916666663</v>
      </c>
      <c r="AE579" s="643"/>
      <c r="AF579" s="677">
        <f t="shared" si="100"/>
        <v>0</v>
      </c>
    </row>
    <row r="580" spans="1:32">
      <c r="A580" s="604">
        <v>570</v>
      </c>
      <c r="B580" s="316" t="s">
        <v>956</v>
      </c>
      <c r="C580" s="316" t="s">
        <v>446</v>
      </c>
      <c r="D580" s="316" t="s">
        <v>719</v>
      </c>
      <c r="E580" s="602" t="s">
        <v>720</v>
      </c>
      <c r="F580" s="603">
        <v>49007788.119999997</v>
      </c>
      <c r="G580" s="603">
        <v>49338211.450000003</v>
      </c>
      <c r="H580" s="603">
        <v>49670032.240000002</v>
      </c>
      <c r="I580" s="603">
        <v>50003256.799999997</v>
      </c>
      <c r="J580" s="603">
        <v>50337891.619999997</v>
      </c>
      <c r="K580" s="603">
        <v>50673943.340000004</v>
      </c>
      <c r="L580" s="603">
        <v>51011418.359999999</v>
      </c>
      <c r="M580" s="603">
        <v>51350323.100000001</v>
      </c>
      <c r="N580" s="603">
        <v>51690664.189999998</v>
      </c>
      <c r="O580" s="603">
        <v>52032448.350000001</v>
      </c>
      <c r="P580" s="603">
        <v>52375682.159999996</v>
      </c>
      <c r="Q580" s="603">
        <v>52720372.310000002</v>
      </c>
      <c r="R580" s="603">
        <v>52645191.759999998</v>
      </c>
      <c r="S580" s="484">
        <f t="shared" si="95"/>
        <v>51002561.155000009</v>
      </c>
      <c r="T580" s="604"/>
      <c r="U580" s="642"/>
      <c r="V580" s="650"/>
      <c r="W580" s="679"/>
      <c r="X580" s="679">
        <f>+S580</f>
        <v>51002561.155000009</v>
      </c>
      <c r="Y580" s="707">
        <f>+X580*Z7</f>
        <v>38338625.22021351</v>
      </c>
      <c r="Z580" s="679">
        <f>+X580*Z8</f>
        <v>12663935.934786502</v>
      </c>
      <c r="AA580" s="642"/>
      <c r="AB580" s="679"/>
      <c r="AC580" s="643"/>
      <c r="AD580" s="644"/>
      <c r="AE580" s="643"/>
      <c r="AF580" s="677">
        <f t="shared" ref="AF580:AF656" si="108">+U580+V580-AD580</f>
        <v>0</v>
      </c>
    </row>
    <row r="581" spans="1:32">
      <c r="A581" s="604">
        <v>571</v>
      </c>
      <c r="B581" s="316" t="s">
        <v>956</v>
      </c>
      <c r="C581" s="316" t="s">
        <v>621</v>
      </c>
      <c r="D581" s="316" t="s">
        <v>622</v>
      </c>
      <c r="E581" s="602" t="s">
        <v>623</v>
      </c>
      <c r="F581" s="603">
        <v>-2706980</v>
      </c>
      <c r="G581" s="603">
        <v>-2706980</v>
      </c>
      <c r="H581" s="603">
        <v>-2706980</v>
      </c>
      <c r="I581" s="603">
        <v>-2706980</v>
      </c>
      <c r="J581" s="603">
        <v>-2706980</v>
      </c>
      <c r="K581" s="603">
        <v>-2706980</v>
      </c>
      <c r="L581" s="603">
        <v>-2706980</v>
      </c>
      <c r="M581" s="603">
        <v>-2706980</v>
      </c>
      <c r="N581" s="603">
        <v>-2706980</v>
      </c>
      <c r="O581" s="603">
        <v>-2706980</v>
      </c>
      <c r="P581" s="603">
        <v>-2706980</v>
      </c>
      <c r="Q581" s="603">
        <v>0</v>
      </c>
      <c r="R581" s="603">
        <v>0</v>
      </c>
      <c r="S581" s="484">
        <f t="shared" si="95"/>
        <v>-2368607.5</v>
      </c>
      <c r="T581" s="604"/>
      <c r="U581" s="642"/>
      <c r="V581" s="650">
        <f>+S581</f>
        <v>-2368607.5</v>
      </c>
      <c r="W581" s="679"/>
      <c r="X581" s="679"/>
      <c r="Y581" s="679"/>
      <c r="Z581" s="679"/>
      <c r="AA581" s="642"/>
      <c r="AB581" s="679"/>
      <c r="AC581" s="643"/>
      <c r="AD581" s="644">
        <f>+S581</f>
        <v>-2368607.5</v>
      </c>
      <c r="AE581" s="643"/>
      <c r="AF581" s="677"/>
    </row>
    <row r="582" spans="1:32">
      <c r="A582" s="604">
        <v>572</v>
      </c>
      <c r="B582" s="316" t="s">
        <v>984</v>
      </c>
      <c r="C582" s="316" t="s">
        <v>612</v>
      </c>
      <c r="D582" s="316" t="s">
        <v>1916</v>
      </c>
      <c r="E582" s="602" t="s">
        <v>1917</v>
      </c>
      <c r="F582" s="603">
        <v>0</v>
      </c>
      <c r="G582" s="603">
        <v>0</v>
      </c>
      <c r="H582" s="603">
        <v>0</v>
      </c>
      <c r="I582" s="603">
        <v>0</v>
      </c>
      <c r="J582" s="603">
        <v>0</v>
      </c>
      <c r="K582" s="603">
        <v>0</v>
      </c>
      <c r="L582" s="603">
        <v>0</v>
      </c>
      <c r="M582" s="603">
        <v>0</v>
      </c>
      <c r="N582" s="603">
        <v>0</v>
      </c>
      <c r="O582" s="603">
        <v>0</v>
      </c>
      <c r="P582" s="603">
        <v>-2751</v>
      </c>
      <c r="Q582" s="603">
        <v>0</v>
      </c>
      <c r="R582" s="603">
        <v>0</v>
      </c>
      <c r="S582" s="484">
        <f t="shared" si="95"/>
        <v>-229.25</v>
      </c>
      <c r="T582" s="604"/>
      <c r="U582" s="642"/>
      <c r="V582" s="650">
        <f>+S582</f>
        <v>-229.25</v>
      </c>
      <c r="W582" s="679"/>
      <c r="X582" s="679"/>
      <c r="Y582" s="679"/>
      <c r="Z582" s="679"/>
      <c r="AA582" s="642"/>
      <c r="AB582" s="679"/>
      <c r="AC582" s="643"/>
      <c r="AD582" s="644">
        <f>+S582</f>
        <v>-229.25</v>
      </c>
      <c r="AE582" s="643"/>
      <c r="AF582" s="677"/>
    </row>
    <row r="583" spans="1:32">
      <c r="A583" s="604">
        <v>573</v>
      </c>
      <c r="B583" s="316" t="s">
        <v>984</v>
      </c>
      <c r="C583" s="316" t="s">
        <v>621</v>
      </c>
      <c r="D583" s="316" t="s">
        <v>1172</v>
      </c>
      <c r="E583" s="602" t="s">
        <v>1721</v>
      </c>
      <c r="F583" s="603">
        <v>-444461.68</v>
      </c>
      <c r="G583" s="603">
        <v>0</v>
      </c>
      <c r="H583" s="603">
        <v>0</v>
      </c>
      <c r="I583" s="603">
        <v>0</v>
      </c>
      <c r="J583" s="603">
        <v>0</v>
      </c>
      <c r="K583" s="603">
        <v>0</v>
      </c>
      <c r="L583" s="603">
        <v>0</v>
      </c>
      <c r="M583" s="603">
        <v>0</v>
      </c>
      <c r="N583" s="603">
        <v>0</v>
      </c>
      <c r="O583" s="603">
        <v>0</v>
      </c>
      <c r="P583" s="603">
        <v>0</v>
      </c>
      <c r="Q583" s="603">
        <v>0</v>
      </c>
      <c r="R583" s="603">
        <v>0</v>
      </c>
      <c r="S583" s="484">
        <f t="shared" si="95"/>
        <v>-18519.236666666668</v>
      </c>
      <c r="T583" s="604"/>
      <c r="U583" s="642"/>
      <c r="V583" s="650">
        <f>+S583</f>
        <v>-18519.236666666668</v>
      </c>
      <c r="W583" s="679"/>
      <c r="X583" s="679"/>
      <c r="Y583" s="679"/>
      <c r="Z583" s="679"/>
      <c r="AA583" s="642"/>
      <c r="AB583" s="679"/>
      <c r="AC583" s="643"/>
      <c r="AD583" s="644">
        <f>+S583</f>
        <v>-18519.236666666668</v>
      </c>
      <c r="AE583" s="643"/>
      <c r="AF583" s="677"/>
    </row>
    <row r="584" spans="1:32">
      <c r="A584" s="604">
        <v>574</v>
      </c>
      <c r="B584" s="316" t="s">
        <v>984</v>
      </c>
      <c r="C584" s="316" t="s">
        <v>621</v>
      </c>
      <c r="D584" s="316" t="s">
        <v>1918</v>
      </c>
      <c r="E584" s="602" t="s">
        <v>1727</v>
      </c>
      <c r="F584" s="603">
        <v>0</v>
      </c>
      <c r="G584" s="603">
        <v>0</v>
      </c>
      <c r="H584" s="603">
        <v>0</v>
      </c>
      <c r="I584" s="603">
        <v>0</v>
      </c>
      <c r="J584" s="603">
        <v>-624311.89</v>
      </c>
      <c r="K584" s="603">
        <v>-701416.39</v>
      </c>
      <c r="L584" s="603">
        <v>-738531.33</v>
      </c>
      <c r="M584" s="603">
        <v>-776777.21</v>
      </c>
      <c r="N584" s="603">
        <v>-815511.26</v>
      </c>
      <c r="O584" s="603">
        <v>-854258.7</v>
      </c>
      <c r="P584" s="603">
        <v>-880766.49</v>
      </c>
      <c r="Q584" s="603">
        <v>-872379.15</v>
      </c>
      <c r="R584" s="603">
        <v>-842630.59</v>
      </c>
      <c r="S584" s="484">
        <f t="shared" si="95"/>
        <v>-557105.64291666669</v>
      </c>
      <c r="T584" s="604"/>
      <c r="U584" s="642"/>
      <c r="V584" s="650"/>
      <c r="W584" s="679"/>
      <c r="X584" s="679">
        <f>+S584</f>
        <v>-557105.64291666669</v>
      </c>
      <c r="Y584" s="679"/>
      <c r="Z584" s="679"/>
      <c r="AA584" s="642"/>
      <c r="AB584" s="679">
        <f>+S584</f>
        <v>-557105.64291666669</v>
      </c>
      <c r="AC584" s="643"/>
      <c r="AD584" s="644"/>
      <c r="AE584" s="643"/>
      <c r="AF584" s="677"/>
    </row>
    <row r="585" spans="1:32">
      <c r="A585" s="604">
        <v>575</v>
      </c>
      <c r="B585" s="316" t="s">
        <v>984</v>
      </c>
      <c r="C585" s="316" t="s">
        <v>621</v>
      </c>
      <c r="D585" s="316" t="s">
        <v>1919</v>
      </c>
      <c r="E585" s="602" t="s">
        <v>1920</v>
      </c>
      <c r="F585" s="603">
        <v>0</v>
      </c>
      <c r="G585" s="603">
        <v>0</v>
      </c>
      <c r="H585" s="603">
        <v>0</v>
      </c>
      <c r="I585" s="603">
        <v>0</v>
      </c>
      <c r="J585" s="603">
        <v>0</v>
      </c>
      <c r="K585" s="603">
        <v>0</v>
      </c>
      <c r="L585" s="603">
        <v>0</v>
      </c>
      <c r="M585" s="603">
        <v>0</v>
      </c>
      <c r="N585" s="603">
        <v>0</v>
      </c>
      <c r="O585" s="603">
        <v>0</v>
      </c>
      <c r="P585" s="603">
        <v>0</v>
      </c>
      <c r="Q585" s="603">
        <v>-1349945.46</v>
      </c>
      <c r="R585" s="603">
        <v>-1171372.06</v>
      </c>
      <c r="S585" s="484">
        <f t="shared" si="95"/>
        <v>-161302.62416666668</v>
      </c>
      <c r="T585" s="604"/>
      <c r="U585" s="642"/>
      <c r="V585" s="650"/>
      <c r="W585" s="679"/>
      <c r="X585" s="679">
        <f>+S585</f>
        <v>-161302.62416666668</v>
      </c>
      <c r="Y585" s="679"/>
      <c r="Z585" s="679"/>
      <c r="AA585" s="642"/>
      <c r="AB585" s="679">
        <f>+S585</f>
        <v>-161302.62416666668</v>
      </c>
      <c r="AC585" s="643"/>
      <c r="AD585" s="644"/>
      <c r="AE585" s="643"/>
      <c r="AF585" s="677"/>
    </row>
    <row r="586" spans="1:32">
      <c r="A586" s="604">
        <v>576</v>
      </c>
      <c r="B586" s="316" t="s">
        <v>959</v>
      </c>
      <c r="C586" s="316" t="s">
        <v>612</v>
      </c>
      <c r="D586" s="316" t="s">
        <v>1921</v>
      </c>
      <c r="E586" s="602" t="s">
        <v>1917</v>
      </c>
      <c r="F586" s="603">
        <v>0</v>
      </c>
      <c r="G586" s="603">
        <v>0</v>
      </c>
      <c r="H586" s="603">
        <v>0</v>
      </c>
      <c r="I586" s="603">
        <v>0</v>
      </c>
      <c r="J586" s="603">
        <v>0</v>
      </c>
      <c r="K586" s="603">
        <v>0</v>
      </c>
      <c r="L586" s="603">
        <v>0</v>
      </c>
      <c r="M586" s="603">
        <v>0</v>
      </c>
      <c r="N586" s="603">
        <v>0</v>
      </c>
      <c r="O586" s="603">
        <v>0</v>
      </c>
      <c r="P586" s="603">
        <v>-9146</v>
      </c>
      <c r="Q586" s="603">
        <v>0</v>
      </c>
      <c r="R586" s="603">
        <v>0</v>
      </c>
      <c r="S586" s="484">
        <f t="shared" si="95"/>
        <v>-762.16666666666663</v>
      </c>
      <c r="T586" s="604"/>
      <c r="U586" s="642"/>
      <c r="V586" s="650">
        <f>+S586</f>
        <v>-762.16666666666663</v>
      </c>
      <c r="W586" s="679"/>
      <c r="X586" s="679"/>
      <c r="Y586" s="679"/>
      <c r="Z586" s="679"/>
      <c r="AA586" s="642"/>
      <c r="AB586" s="679"/>
      <c r="AC586" s="643"/>
      <c r="AD586" s="644">
        <f>+S586</f>
        <v>-762.16666666666663</v>
      </c>
      <c r="AE586" s="643"/>
      <c r="AF586" s="677"/>
    </row>
    <row r="587" spans="1:32">
      <c r="A587" s="604">
        <v>577</v>
      </c>
      <c r="B587" s="316" t="s">
        <v>959</v>
      </c>
      <c r="C587" s="316" t="s">
        <v>621</v>
      </c>
      <c r="D587" s="316" t="s">
        <v>1394</v>
      </c>
      <c r="E587" s="602" t="s">
        <v>1721</v>
      </c>
      <c r="F587" s="603">
        <v>-4075395.82</v>
      </c>
      <c r="G587" s="603">
        <v>0</v>
      </c>
      <c r="H587" s="603">
        <v>0</v>
      </c>
      <c r="I587" s="603">
        <v>0</v>
      </c>
      <c r="J587" s="603">
        <v>0</v>
      </c>
      <c r="K587" s="603">
        <v>0</v>
      </c>
      <c r="L587" s="603">
        <v>0</v>
      </c>
      <c r="M587" s="603">
        <v>0</v>
      </c>
      <c r="N587" s="603">
        <v>0</v>
      </c>
      <c r="O587" s="603">
        <v>0</v>
      </c>
      <c r="P587" s="603">
        <v>0</v>
      </c>
      <c r="Q587" s="603">
        <v>0</v>
      </c>
      <c r="R587" s="603">
        <v>0</v>
      </c>
      <c r="S587" s="484">
        <f t="shared" si="95"/>
        <v>-169808.15916666665</v>
      </c>
      <c r="T587" s="604"/>
      <c r="U587" s="642"/>
      <c r="V587" s="650">
        <f>+S587</f>
        <v>-169808.15916666665</v>
      </c>
      <c r="W587" s="679"/>
      <c r="X587" s="679"/>
      <c r="Y587" s="679"/>
      <c r="Z587" s="679"/>
      <c r="AA587" s="642"/>
      <c r="AB587" s="679"/>
      <c r="AC587" s="643"/>
      <c r="AD587" s="644">
        <f>+S587</f>
        <v>-169808.15916666665</v>
      </c>
      <c r="AE587" s="643"/>
      <c r="AF587" s="677"/>
    </row>
    <row r="588" spans="1:32">
      <c r="A588" s="604">
        <v>578</v>
      </c>
      <c r="B588" s="604"/>
      <c r="C588" s="604"/>
      <c r="D588" s="604"/>
      <c r="E588" s="594" t="s">
        <v>625</v>
      </c>
      <c r="F588" s="295">
        <f>SUM(F548:F587)</f>
        <v>-118715360.98000005</v>
      </c>
      <c r="G588" s="295">
        <f t="shared" ref="G588:R588" si="109">SUM(G548:G587)</f>
        <v>-112234229.63999997</v>
      </c>
      <c r="H588" s="295">
        <f t="shared" si="109"/>
        <v>-118623771.25000006</v>
      </c>
      <c r="I588" s="295">
        <f t="shared" si="109"/>
        <v>-111200242.52000003</v>
      </c>
      <c r="J588" s="295">
        <f t="shared" si="109"/>
        <v>-110676301.68999998</v>
      </c>
      <c r="K588" s="295">
        <f t="shared" si="109"/>
        <v>-110632339.43999998</v>
      </c>
      <c r="L588" s="295">
        <f t="shared" si="109"/>
        <v>-109774998.52999994</v>
      </c>
      <c r="M588" s="295">
        <f t="shared" si="109"/>
        <v>-109261606.96000008</v>
      </c>
      <c r="N588" s="295">
        <f t="shared" si="109"/>
        <v>-108851654.8</v>
      </c>
      <c r="O588" s="295">
        <f t="shared" si="109"/>
        <v>-108709356.27000009</v>
      </c>
      <c r="P588" s="295">
        <f t="shared" si="109"/>
        <v>-108194769.05999993</v>
      </c>
      <c r="Q588" s="295">
        <f t="shared" si="109"/>
        <v>-105089956.29000001</v>
      </c>
      <c r="R588" s="295">
        <f t="shared" si="109"/>
        <v>-104913886.56000006</v>
      </c>
      <c r="S588" s="295">
        <f>SUM(S548:S587)</f>
        <v>-110421987.51833339</v>
      </c>
      <c r="T588" s="604"/>
      <c r="U588" s="642"/>
      <c r="V588" s="679"/>
      <c r="W588" s="679"/>
      <c r="X588" s="702"/>
      <c r="Y588" s="679"/>
      <c r="Z588" s="679"/>
      <c r="AA588" s="642"/>
      <c r="AB588" s="679"/>
      <c r="AC588" s="643"/>
      <c r="AD588" s="643"/>
      <c r="AE588" s="643"/>
      <c r="AF588" s="677">
        <f t="shared" si="108"/>
        <v>0</v>
      </c>
    </row>
    <row r="589" spans="1:32">
      <c r="A589" s="604">
        <v>579</v>
      </c>
      <c r="B589" s="604"/>
      <c r="C589" s="604"/>
      <c r="D589" s="604"/>
      <c r="E589" s="589"/>
      <c r="F589" s="603"/>
      <c r="G589" s="314"/>
      <c r="H589" s="305"/>
      <c r="I589" s="305"/>
      <c r="J589" s="306"/>
      <c r="K589" s="307"/>
      <c r="L589" s="308"/>
      <c r="M589" s="309"/>
      <c r="N589" s="310"/>
      <c r="O589" s="590"/>
      <c r="P589" s="311"/>
      <c r="Q589" s="315"/>
      <c r="R589" s="603"/>
      <c r="S589" s="294"/>
      <c r="T589" s="604"/>
      <c r="U589" s="642"/>
      <c r="V589" s="679"/>
      <c r="W589" s="679"/>
      <c r="X589" s="702"/>
      <c r="Y589" s="679"/>
      <c r="Z589" s="679"/>
      <c r="AA589" s="642"/>
      <c r="AB589" s="679"/>
      <c r="AC589" s="643"/>
      <c r="AD589" s="643"/>
      <c r="AE589" s="643"/>
      <c r="AF589" s="677">
        <f t="shared" si="108"/>
        <v>0</v>
      </c>
    </row>
    <row r="590" spans="1:32">
      <c r="A590" s="604">
        <v>580</v>
      </c>
      <c r="B590" s="316" t="s">
        <v>956</v>
      </c>
      <c r="C590" s="316" t="s">
        <v>626</v>
      </c>
      <c r="D590" s="316" t="s">
        <v>515</v>
      </c>
      <c r="E590" s="589" t="s">
        <v>627</v>
      </c>
      <c r="F590" s="603">
        <v>-243929</v>
      </c>
      <c r="G590" s="603">
        <v>-240427.42</v>
      </c>
      <c r="H590" s="603">
        <v>-236925.83</v>
      </c>
      <c r="I590" s="603">
        <v>-233424.05</v>
      </c>
      <c r="J590" s="603">
        <v>-229922.67</v>
      </c>
      <c r="K590" s="603">
        <v>-226421.1</v>
      </c>
      <c r="L590" s="603">
        <v>-222919.52</v>
      </c>
      <c r="M590" s="603">
        <v>-219417.94</v>
      </c>
      <c r="N590" s="603">
        <v>-215916.36</v>
      </c>
      <c r="O590" s="603">
        <v>-212414.78</v>
      </c>
      <c r="P590" s="603">
        <v>-208913.2</v>
      </c>
      <c r="Q590" s="603">
        <v>-205411.62</v>
      </c>
      <c r="R590" s="603">
        <v>-201910.04</v>
      </c>
      <c r="S590" s="484">
        <f t="shared" si="95"/>
        <v>-222919.50083333335</v>
      </c>
      <c r="T590" s="604"/>
      <c r="U590" s="642"/>
      <c r="V590" s="679"/>
      <c r="W590" s="679"/>
      <c r="X590" s="702">
        <f>+S590</f>
        <v>-222919.50083333335</v>
      </c>
      <c r="Y590" s="679"/>
      <c r="Z590" s="679"/>
      <c r="AA590" s="642"/>
      <c r="AB590" s="679">
        <f>+X590</f>
        <v>-222919.50083333335</v>
      </c>
      <c r="AC590" s="643"/>
      <c r="AD590" s="643"/>
      <c r="AE590" s="643"/>
      <c r="AF590" s="677">
        <f t="shared" si="108"/>
        <v>0</v>
      </c>
    </row>
    <row r="591" spans="1:32">
      <c r="A591" s="604">
        <v>581</v>
      </c>
      <c r="B591" s="316" t="s">
        <v>956</v>
      </c>
      <c r="C591" s="316" t="s">
        <v>628</v>
      </c>
      <c r="D591" s="316" t="s">
        <v>988</v>
      </c>
      <c r="E591" s="589" t="s">
        <v>1732</v>
      </c>
      <c r="F591" s="603">
        <v>10230519.77</v>
      </c>
      <c r="G591" s="603">
        <v>10189450.65</v>
      </c>
      <c r="H591" s="603">
        <v>10148381.529999999</v>
      </c>
      <c r="I591" s="603">
        <v>10107312.4</v>
      </c>
      <c r="J591" s="603">
        <v>10066243.27</v>
      </c>
      <c r="K591" s="603">
        <v>10025174.17</v>
      </c>
      <c r="L591" s="603">
        <v>9984105.0199999996</v>
      </c>
      <c r="M591" s="603">
        <v>9943036.9100000001</v>
      </c>
      <c r="N591" s="603">
        <v>9901967.7899999991</v>
      </c>
      <c r="O591" s="603">
        <v>9860898.6600000001</v>
      </c>
      <c r="P591" s="603">
        <v>9819829.5399999991</v>
      </c>
      <c r="Q591" s="603">
        <v>9774270.3900000006</v>
      </c>
      <c r="R591" s="603">
        <v>9711531.8900000006</v>
      </c>
      <c r="S591" s="484">
        <f t="shared" si="95"/>
        <v>9982641.3466666639</v>
      </c>
      <c r="T591" s="604"/>
      <c r="U591" s="642"/>
      <c r="V591" s="679"/>
      <c r="W591" s="679"/>
      <c r="X591" s="702">
        <f t="shared" ref="X591:X600" si="110">+S591</f>
        <v>9982641.3466666639</v>
      </c>
      <c r="Y591" s="679"/>
      <c r="Z591" s="679"/>
      <c r="AA591" s="642"/>
      <c r="AB591" s="679">
        <f>+S591</f>
        <v>9982641.3466666639</v>
      </c>
      <c r="AC591" s="643"/>
      <c r="AD591" s="643"/>
      <c r="AE591" s="643"/>
      <c r="AF591" s="677">
        <f t="shared" si="108"/>
        <v>0</v>
      </c>
    </row>
    <row r="592" spans="1:32">
      <c r="A592" s="604">
        <v>582</v>
      </c>
      <c r="B592" s="316" t="s">
        <v>956</v>
      </c>
      <c r="C592" s="316" t="s">
        <v>628</v>
      </c>
      <c r="D592" s="316" t="s">
        <v>989</v>
      </c>
      <c r="E592" s="589" t="s">
        <v>1733</v>
      </c>
      <c r="F592" s="603">
        <v>39297042.920000002</v>
      </c>
      <c r="G592" s="603">
        <v>39137349.799999997</v>
      </c>
      <c r="H592" s="603">
        <v>38977656.649999999</v>
      </c>
      <c r="I592" s="603">
        <v>38817963.509999998</v>
      </c>
      <c r="J592" s="603">
        <v>38658270.439999998</v>
      </c>
      <c r="K592" s="603">
        <v>38498577.340000004</v>
      </c>
      <c r="L592" s="603">
        <v>38338884.200000003</v>
      </c>
      <c r="M592" s="603">
        <v>38179194.590000004</v>
      </c>
      <c r="N592" s="603">
        <v>38019501.460000001</v>
      </c>
      <c r="O592" s="603">
        <v>37859808.329999998</v>
      </c>
      <c r="P592" s="603">
        <v>37700115.229999997</v>
      </c>
      <c r="Q592" s="603">
        <v>37530125.719999999</v>
      </c>
      <c r="R592" s="603">
        <v>37290719.920000002</v>
      </c>
      <c r="S592" s="484">
        <f t="shared" si="95"/>
        <v>38334277.390833333</v>
      </c>
      <c r="T592" s="604"/>
      <c r="U592" s="642"/>
      <c r="V592" s="679"/>
      <c r="W592" s="679"/>
      <c r="X592" s="702">
        <f t="shared" si="110"/>
        <v>38334277.390833333</v>
      </c>
      <c r="Y592" s="679"/>
      <c r="Z592" s="679"/>
      <c r="AA592" s="642"/>
      <c r="AB592" s="679">
        <f>+S592</f>
        <v>38334277.390833333</v>
      </c>
      <c r="AC592" s="643"/>
      <c r="AD592" s="643"/>
      <c r="AE592" s="643"/>
      <c r="AF592" s="677">
        <f t="shared" si="108"/>
        <v>0</v>
      </c>
    </row>
    <row r="593" spans="1:32">
      <c r="A593" s="604">
        <v>583</v>
      </c>
      <c r="B593" s="316" t="s">
        <v>956</v>
      </c>
      <c r="C593" s="316" t="s">
        <v>628</v>
      </c>
      <c r="D593" s="316" t="s">
        <v>973</v>
      </c>
      <c r="E593" s="589" t="s">
        <v>1734</v>
      </c>
      <c r="F593" s="603">
        <v>-99638867.390000001</v>
      </c>
      <c r="G593" s="603">
        <v>-99562756.319999993</v>
      </c>
      <c r="H593" s="603">
        <v>-99486645.239999995</v>
      </c>
      <c r="I593" s="603">
        <v>-99410534.159999996</v>
      </c>
      <c r="J593" s="603">
        <v>-99334423.090000004</v>
      </c>
      <c r="K593" s="603">
        <v>-1.4901161193847699E-8</v>
      </c>
      <c r="L593" s="603">
        <v>-1.4901161193847699E-8</v>
      </c>
      <c r="M593" s="603">
        <v>-1.4901161193847699E-8</v>
      </c>
      <c r="N593" s="603">
        <v>-1.4901161193847699E-8</v>
      </c>
      <c r="O593" s="603">
        <v>-1.4901161193847699E-8</v>
      </c>
      <c r="P593" s="603">
        <v>-1.4901161193847699E-8</v>
      </c>
      <c r="Q593" s="603">
        <v>-1.4901161193847699E-8</v>
      </c>
      <c r="R593" s="603">
        <v>-1.4901161193847699E-8</v>
      </c>
      <c r="S593" s="484">
        <f t="shared" si="95"/>
        <v>-37301149.375416674</v>
      </c>
      <c r="T593" s="604"/>
      <c r="U593" s="642"/>
      <c r="V593" s="679"/>
      <c r="W593" s="679"/>
      <c r="X593" s="702">
        <f t="shared" si="110"/>
        <v>-37301149.375416674</v>
      </c>
      <c r="Y593" s="679">
        <f>+X593*Z7</f>
        <v>-28039273.985500716</v>
      </c>
      <c r="Z593" s="679">
        <f>+X593*Z8</f>
        <v>-9261875.3899159599</v>
      </c>
      <c r="AA593" s="642"/>
      <c r="AB593" s="679"/>
      <c r="AC593" s="643"/>
      <c r="AD593" s="643"/>
      <c r="AE593" s="643" t="s">
        <v>1424</v>
      </c>
      <c r="AF593" s="677">
        <f t="shared" si="108"/>
        <v>0</v>
      </c>
    </row>
    <row r="594" spans="1:32">
      <c r="A594" s="604">
        <v>584</v>
      </c>
      <c r="B594" s="316" t="s">
        <v>956</v>
      </c>
      <c r="C594" s="316" t="s">
        <v>628</v>
      </c>
      <c r="D594" s="316" t="s">
        <v>990</v>
      </c>
      <c r="E594" s="589" t="s">
        <v>1735</v>
      </c>
      <c r="F594" s="603">
        <v>347877.73</v>
      </c>
      <c r="G594" s="603">
        <v>328898.68</v>
      </c>
      <c r="H594" s="603">
        <v>330302.68</v>
      </c>
      <c r="I594" s="603">
        <v>372396.35</v>
      </c>
      <c r="J594" s="603">
        <v>377559.63</v>
      </c>
      <c r="K594" s="603">
        <v>372596.72</v>
      </c>
      <c r="L594" s="603">
        <v>367161.58</v>
      </c>
      <c r="M594" s="603">
        <v>362934.5</v>
      </c>
      <c r="N594" s="603">
        <v>420633.06</v>
      </c>
      <c r="O594" s="603">
        <v>440461.47</v>
      </c>
      <c r="P594" s="603">
        <v>445104.75</v>
      </c>
      <c r="Q594" s="603">
        <v>-389294.49</v>
      </c>
      <c r="R594" s="603">
        <v>496455.14</v>
      </c>
      <c r="S594" s="484">
        <f t="shared" si="95"/>
        <v>320910.11374999996</v>
      </c>
      <c r="T594" s="604"/>
      <c r="U594" s="642"/>
      <c r="V594" s="679"/>
      <c r="W594" s="679"/>
      <c r="X594" s="702">
        <f t="shared" si="110"/>
        <v>320910.11374999996</v>
      </c>
      <c r="Y594" s="679"/>
      <c r="Z594" s="679"/>
      <c r="AA594" s="642"/>
      <c r="AB594" s="679">
        <f>+S594</f>
        <v>320910.11374999996</v>
      </c>
      <c r="AC594" s="643"/>
      <c r="AD594" s="643"/>
      <c r="AE594" s="643"/>
      <c r="AF594" s="677">
        <f t="shared" si="108"/>
        <v>0</v>
      </c>
    </row>
    <row r="595" spans="1:32">
      <c r="A595" s="604">
        <v>585</v>
      </c>
      <c r="B595" s="316" t="s">
        <v>959</v>
      </c>
      <c r="C595" s="316" t="s">
        <v>628</v>
      </c>
      <c r="D595" s="316" t="s">
        <v>1312</v>
      </c>
      <c r="E595" s="589" t="s">
        <v>1743</v>
      </c>
      <c r="F595" s="603">
        <v>0</v>
      </c>
      <c r="G595" s="603">
        <v>0</v>
      </c>
      <c r="H595" s="603">
        <v>0</v>
      </c>
      <c r="I595" s="603">
        <v>0</v>
      </c>
      <c r="J595" s="603">
        <v>0</v>
      </c>
      <c r="K595" s="603">
        <v>0</v>
      </c>
      <c r="L595" s="603">
        <v>0</v>
      </c>
      <c r="M595" s="603">
        <v>0</v>
      </c>
      <c r="N595" s="603">
        <v>0</v>
      </c>
      <c r="O595" s="603">
        <v>0</v>
      </c>
      <c r="P595" s="603">
        <v>0</v>
      </c>
      <c r="Q595" s="603">
        <v>0</v>
      </c>
      <c r="R595" s="603">
        <v>0</v>
      </c>
      <c r="S595" s="484">
        <f t="shared" si="95"/>
        <v>0</v>
      </c>
      <c r="T595" s="604"/>
      <c r="U595" s="642"/>
      <c r="V595" s="679"/>
      <c r="W595" s="679"/>
      <c r="X595" s="702">
        <f t="shared" si="110"/>
        <v>0</v>
      </c>
      <c r="Y595" s="679"/>
      <c r="Z595" s="679"/>
      <c r="AA595" s="642"/>
      <c r="AB595" s="679"/>
      <c r="AC595" s="643"/>
      <c r="AD595" s="643"/>
      <c r="AE595" s="643" t="s">
        <v>1425</v>
      </c>
      <c r="AF595" s="677">
        <f t="shared" si="108"/>
        <v>0</v>
      </c>
    </row>
    <row r="596" spans="1:32">
      <c r="A596" s="604">
        <v>586</v>
      </c>
      <c r="B596" s="316" t="s">
        <v>984</v>
      </c>
      <c r="C596" s="316" t="s">
        <v>628</v>
      </c>
      <c r="D596" s="316" t="s">
        <v>985</v>
      </c>
      <c r="E596" s="589" t="s">
        <v>1739</v>
      </c>
      <c r="F596" s="603">
        <v>895436.16</v>
      </c>
      <c r="G596" s="603">
        <v>891841.56</v>
      </c>
      <c r="H596" s="603">
        <v>888246.94</v>
      </c>
      <c r="I596" s="603">
        <v>884652.33</v>
      </c>
      <c r="J596" s="603">
        <v>881057.7</v>
      </c>
      <c r="K596" s="603">
        <v>877463.1</v>
      </c>
      <c r="L596" s="603">
        <v>873868.48</v>
      </c>
      <c r="M596" s="603">
        <v>870273.95</v>
      </c>
      <c r="N596" s="603">
        <v>866679.33</v>
      </c>
      <c r="O596" s="603">
        <v>863084.72</v>
      </c>
      <c r="P596" s="603">
        <v>859490.1</v>
      </c>
      <c r="Q596" s="603">
        <v>855502.51</v>
      </c>
      <c r="R596" s="603">
        <v>850011.25</v>
      </c>
      <c r="S596" s="484">
        <f t="shared" si="95"/>
        <v>873740.36874999991</v>
      </c>
      <c r="T596" s="604"/>
      <c r="U596" s="642"/>
      <c r="V596" s="679"/>
      <c r="W596" s="679"/>
      <c r="X596" s="702">
        <f t="shared" si="110"/>
        <v>873740.36874999991</v>
      </c>
      <c r="Y596" s="679"/>
      <c r="Z596" s="679"/>
      <c r="AA596" s="642"/>
      <c r="AB596" s="679">
        <f>+S596</f>
        <v>873740.36874999991</v>
      </c>
      <c r="AC596" s="643"/>
      <c r="AD596" s="643"/>
      <c r="AE596" s="643"/>
      <c r="AF596" s="677">
        <f t="shared" si="108"/>
        <v>0</v>
      </c>
    </row>
    <row r="597" spans="1:32">
      <c r="A597" s="604">
        <v>587</v>
      </c>
      <c r="B597" s="316" t="s">
        <v>984</v>
      </c>
      <c r="C597" s="316" t="s">
        <v>628</v>
      </c>
      <c r="D597" s="316" t="s">
        <v>986</v>
      </c>
      <c r="E597" s="589" t="s">
        <v>1740</v>
      </c>
      <c r="F597" s="603">
        <v>-798533.89</v>
      </c>
      <c r="G597" s="603">
        <v>-793515.04</v>
      </c>
      <c r="H597" s="603">
        <v>-788496.17</v>
      </c>
      <c r="I597" s="603">
        <v>-783477.27</v>
      </c>
      <c r="J597" s="603">
        <v>-778458.43</v>
      </c>
      <c r="K597" s="603">
        <v>-773439.56</v>
      </c>
      <c r="L597" s="603">
        <v>-768420.69</v>
      </c>
      <c r="M597" s="603">
        <v>-763401.51</v>
      </c>
      <c r="N597" s="603">
        <v>-758382.62</v>
      </c>
      <c r="O597" s="603">
        <v>-753363.76</v>
      </c>
      <c r="P597" s="603">
        <v>-748344.91</v>
      </c>
      <c r="Q597" s="603">
        <v>-751585.57</v>
      </c>
      <c r="R597" s="603">
        <v>-748372.32</v>
      </c>
      <c r="S597" s="484">
        <f t="shared" si="95"/>
        <v>-769528.21958333335</v>
      </c>
      <c r="T597" s="604"/>
      <c r="U597" s="642"/>
      <c r="V597" s="679"/>
      <c r="W597" s="679"/>
      <c r="X597" s="702">
        <f t="shared" si="110"/>
        <v>-769528.21958333335</v>
      </c>
      <c r="Y597" s="679"/>
      <c r="Z597" s="679"/>
      <c r="AA597" s="642"/>
      <c r="AB597" s="679">
        <f>+S597</f>
        <v>-769528.21958333335</v>
      </c>
      <c r="AC597" s="643"/>
      <c r="AD597" s="643"/>
      <c r="AE597" s="643"/>
      <c r="AF597" s="677">
        <f t="shared" si="108"/>
        <v>0</v>
      </c>
    </row>
    <row r="598" spans="1:32">
      <c r="A598" s="604">
        <v>588</v>
      </c>
      <c r="B598" s="316" t="s">
        <v>984</v>
      </c>
      <c r="C598" s="316" t="s">
        <v>628</v>
      </c>
      <c r="D598" s="316" t="s">
        <v>977</v>
      </c>
      <c r="E598" s="589" t="s">
        <v>1741</v>
      </c>
      <c r="F598" s="603">
        <v>-4420542.34</v>
      </c>
      <c r="G598" s="603">
        <v>-4433550.5599999996</v>
      </c>
      <c r="H598" s="603">
        <v>-4446558.79</v>
      </c>
      <c r="I598" s="603">
        <v>-4459567.03</v>
      </c>
      <c r="J598" s="603">
        <v>-4472575.25</v>
      </c>
      <c r="K598" s="603">
        <v>-4485583.4800000004</v>
      </c>
      <c r="L598" s="603">
        <v>-4498591.7</v>
      </c>
      <c r="M598" s="603">
        <v>-4511599.92</v>
      </c>
      <c r="N598" s="603">
        <v>-4524608.1500000004</v>
      </c>
      <c r="O598" s="603">
        <v>-4537616.3899999997</v>
      </c>
      <c r="P598" s="603">
        <v>-4550624.6100000003</v>
      </c>
      <c r="Q598" s="603">
        <v>-4641330.5999999996</v>
      </c>
      <c r="R598" s="603">
        <v>-4791249.5199999996</v>
      </c>
      <c r="S598" s="484">
        <f t="shared" si="95"/>
        <v>-4514008.5341666667</v>
      </c>
      <c r="T598" s="604"/>
      <c r="U598" s="642"/>
      <c r="V598" s="679"/>
      <c r="W598" s="679"/>
      <c r="X598" s="702">
        <f t="shared" si="110"/>
        <v>-4514008.5341666667</v>
      </c>
      <c r="Y598" s="679"/>
      <c r="Z598" s="679">
        <f>+X598</f>
        <v>-4514008.5341666667</v>
      </c>
      <c r="AA598" s="642"/>
      <c r="AB598" s="679"/>
      <c r="AC598" s="643"/>
      <c r="AD598" s="643"/>
      <c r="AE598" s="643" t="s">
        <v>1426</v>
      </c>
      <c r="AF598" s="677">
        <f t="shared" si="108"/>
        <v>0</v>
      </c>
    </row>
    <row r="599" spans="1:32">
      <c r="A599" s="604">
        <v>589</v>
      </c>
      <c r="B599" s="316" t="s">
        <v>984</v>
      </c>
      <c r="C599" s="316" t="s">
        <v>628</v>
      </c>
      <c r="D599" s="316" t="s">
        <v>987</v>
      </c>
      <c r="E599" s="589" t="s">
        <v>1742</v>
      </c>
      <c r="F599" s="603">
        <v>492728.47</v>
      </c>
      <c r="G599" s="603">
        <v>491067.3</v>
      </c>
      <c r="H599" s="603">
        <v>491190.19</v>
      </c>
      <c r="I599" s="603">
        <v>494874.48</v>
      </c>
      <c r="J599" s="603">
        <v>495326.42</v>
      </c>
      <c r="K599" s="603">
        <v>494892.02</v>
      </c>
      <c r="L599" s="603">
        <v>494416.3</v>
      </c>
      <c r="M599" s="603">
        <v>494046.33</v>
      </c>
      <c r="N599" s="603">
        <v>499096.44</v>
      </c>
      <c r="O599" s="603">
        <v>500831.95</v>
      </c>
      <c r="P599" s="603">
        <v>501238.35</v>
      </c>
      <c r="Q599" s="603">
        <v>428206.76</v>
      </c>
      <c r="R599" s="603">
        <v>505732.86</v>
      </c>
      <c r="S599" s="484">
        <f t="shared" si="95"/>
        <v>490368.1004166666</v>
      </c>
      <c r="T599" s="604"/>
      <c r="U599" s="642"/>
      <c r="V599" s="679"/>
      <c r="W599" s="679"/>
      <c r="X599" s="702">
        <f t="shared" si="110"/>
        <v>490368.1004166666</v>
      </c>
      <c r="Y599" s="679"/>
      <c r="Z599" s="679"/>
      <c r="AA599" s="642"/>
      <c r="AB599" s="679">
        <f>+S599</f>
        <v>490368.1004166666</v>
      </c>
      <c r="AC599" s="643"/>
      <c r="AD599" s="643"/>
      <c r="AE599" s="643"/>
      <c r="AF599" s="677">
        <f t="shared" si="108"/>
        <v>0</v>
      </c>
    </row>
    <row r="600" spans="1:32">
      <c r="A600" s="604">
        <v>590</v>
      </c>
      <c r="B600" s="316" t="s">
        <v>984</v>
      </c>
      <c r="C600" s="316" t="s">
        <v>628</v>
      </c>
      <c r="D600" s="316" t="s">
        <v>1312</v>
      </c>
      <c r="E600" s="589" t="s">
        <v>1743</v>
      </c>
      <c r="F600" s="603">
        <v>0</v>
      </c>
      <c r="G600" s="603">
        <v>0</v>
      </c>
      <c r="H600" s="603">
        <v>0</v>
      </c>
      <c r="I600" s="603">
        <v>0</v>
      </c>
      <c r="J600" s="603">
        <v>0</v>
      </c>
      <c r="K600" s="603">
        <v>0</v>
      </c>
      <c r="L600" s="603">
        <v>0</v>
      </c>
      <c r="M600" s="603">
        <v>0</v>
      </c>
      <c r="N600" s="603">
        <v>0</v>
      </c>
      <c r="O600" s="603">
        <v>0</v>
      </c>
      <c r="P600" s="603">
        <v>0</v>
      </c>
      <c r="Q600" s="603">
        <v>0</v>
      </c>
      <c r="R600" s="603">
        <v>0</v>
      </c>
      <c r="S600" s="484">
        <f t="shared" si="95"/>
        <v>0</v>
      </c>
      <c r="T600" s="604"/>
      <c r="U600" s="642"/>
      <c r="V600" s="679"/>
      <c r="W600" s="679"/>
      <c r="X600" s="702">
        <f t="shared" si="110"/>
        <v>0</v>
      </c>
      <c r="Y600" s="679"/>
      <c r="Z600" s="679"/>
      <c r="AA600" s="642"/>
      <c r="AB600" s="679"/>
      <c r="AC600" s="643"/>
      <c r="AD600" s="643"/>
      <c r="AE600" s="643" t="s">
        <v>1427</v>
      </c>
      <c r="AF600" s="677">
        <f t="shared" si="108"/>
        <v>0</v>
      </c>
    </row>
    <row r="601" spans="1:32">
      <c r="A601" s="604">
        <v>591</v>
      </c>
      <c r="B601" s="316" t="s">
        <v>956</v>
      </c>
      <c r="C601" s="316" t="s">
        <v>629</v>
      </c>
      <c r="D601" s="316" t="s">
        <v>988</v>
      </c>
      <c r="E601" s="589" t="s">
        <v>1732</v>
      </c>
      <c r="F601" s="603">
        <v>1913970.3</v>
      </c>
      <c r="G601" s="603">
        <v>1893054.62</v>
      </c>
      <c r="H601" s="603">
        <v>1872138.94</v>
      </c>
      <c r="I601" s="603">
        <v>1851223.29</v>
      </c>
      <c r="J601" s="603">
        <v>1830307.64</v>
      </c>
      <c r="K601" s="603">
        <v>1809391.99</v>
      </c>
      <c r="L601" s="603">
        <v>1788476.31</v>
      </c>
      <c r="M601" s="603">
        <v>1767560.66</v>
      </c>
      <c r="N601" s="603">
        <v>1746645</v>
      </c>
      <c r="O601" s="603">
        <v>1725729.32</v>
      </c>
      <c r="P601" s="603">
        <v>1704813.64</v>
      </c>
      <c r="Q601" s="603">
        <v>1683897.97</v>
      </c>
      <c r="R601" s="603">
        <v>1662982.3</v>
      </c>
      <c r="S601" s="484">
        <f t="shared" si="95"/>
        <v>1788476.3066666666</v>
      </c>
      <c r="T601" s="604"/>
      <c r="U601" s="642"/>
      <c r="V601" s="679"/>
      <c r="W601" s="679"/>
      <c r="X601" s="702">
        <f>+S601</f>
        <v>1788476.3066666666</v>
      </c>
      <c r="Y601" s="679"/>
      <c r="Z601" s="679"/>
      <c r="AA601" s="642"/>
      <c r="AB601" s="679">
        <f>+S601</f>
        <v>1788476.3066666666</v>
      </c>
      <c r="AC601" s="643"/>
      <c r="AD601" s="644"/>
      <c r="AE601" s="643"/>
      <c r="AF601" s="677">
        <f t="shared" si="108"/>
        <v>0</v>
      </c>
    </row>
    <row r="602" spans="1:32">
      <c r="A602" s="604">
        <v>592</v>
      </c>
      <c r="B602" s="316" t="s">
        <v>956</v>
      </c>
      <c r="C602" s="316" t="s">
        <v>629</v>
      </c>
      <c r="D602" s="316" t="s">
        <v>989</v>
      </c>
      <c r="E602" s="589" t="s">
        <v>1733</v>
      </c>
      <c r="F602" s="603">
        <v>7294680.6500000004</v>
      </c>
      <c r="G602" s="603">
        <v>7214029.0300000003</v>
      </c>
      <c r="H602" s="603">
        <v>7133377.3700000001</v>
      </c>
      <c r="I602" s="603">
        <v>7052725.7300000004</v>
      </c>
      <c r="J602" s="603">
        <v>6972074.0999999996</v>
      </c>
      <c r="K602" s="603">
        <v>6891422.5099999998</v>
      </c>
      <c r="L602" s="603">
        <v>6810770.9199999999</v>
      </c>
      <c r="M602" s="603">
        <v>6730119.3099999996</v>
      </c>
      <c r="N602" s="603">
        <v>6649467.6600000001</v>
      </c>
      <c r="O602" s="603">
        <v>6568816.04</v>
      </c>
      <c r="P602" s="603">
        <v>6488164.3399999999</v>
      </c>
      <c r="Q602" s="603">
        <v>6407512.7000000002</v>
      </c>
      <c r="R602" s="603">
        <v>6326861.0300000003</v>
      </c>
      <c r="S602" s="484">
        <f t="shared" si="95"/>
        <v>6810770.8791666673</v>
      </c>
      <c r="T602" s="604"/>
      <c r="U602" s="642"/>
      <c r="V602" s="679"/>
      <c r="W602" s="679"/>
      <c r="X602" s="702">
        <f>+S602</f>
        <v>6810770.8791666673</v>
      </c>
      <c r="Y602" s="679"/>
      <c r="Z602" s="679"/>
      <c r="AA602" s="642"/>
      <c r="AB602" s="679">
        <f>+S602</f>
        <v>6810770.8791666673</v>
      </c>
      <c r="AC602" s="643"/>
      <c r="AD602" s="644"/>
      <c r="AE602" s="643"/>
      <c r="AF602" s="677">
        <f t="shared" si="108"/>
        <v>0</v>
      </c>
    </row>
    <row r="603" spans="1:32">
      <c r="A603" s="604">
        <v>593</v>
      </c>
      <c r="B603" s="316" t="s">
        <v>956</v>
      </c>
      <c r="C603" s="316" t="s">
        <v>629</v>
      </c>
      <c r="D603" s="316" t="s">
        <v>975</v>
      </c>
      <c r="E603" s="589" t="s">
        <v>1736</v>
      </c>
      <c r="F603" s="603">
        <v>-153482.01</v>
      </c>
      <c r="G603" s="603">
        <v>-152777.97</v>
      </c>
      <c r="H603" s="603">
        <v>-152073.93</v>
      </c>
      <c r="I603" s="603">
        <v>-151369.9</v>
      </c>
      <c r="J603" s="603">
        <v>-150665.85999999999</v>
      </c>
      <c r="K603" s="603">
        <v>0</v>
      </c>
      <c r="L603" s="603">
        <v>0</v>
      </c>
      <c r="M603" s="603">
        <v>0</v>
      </c>
      <c r="N603" s="603">
        <v>0</v>
      </c>
      <c r="O603" s="603">
        <v>0</v>
      </c>
      <c r="P603" s="603">
        <v>0</v>
      </c>
      <c r="Q603" s="603">
        <v>0</v>
      </c>
      <c r="R603" s="603">
        <v>0</v>
      </c>
      <c r="S603" s="484">
        <f t="shared" si="95"/>
        <v>-56969.05541666667</v>
      </c>
      <c r="T603" s="604"/>
      <c r="U603" s="642"/>
      <c r="V603" s="650"/>
      <c r="W603" s="679"/>
      <c r="X603" s="679">
        <f>+S603</f>
        <v>-56969.05541666667</v>
      </c>
      <c r="Y603" s="679">
        <f>+X603*Z7</f>
        <v>-42823.638956708339</v>
      </c>
      <c r="Z603" s="679">
        <f>+X603*Z8</f>
        <v>-14145.416459958335</v>
      </c>
      <c r="AA603" s="642"/>
      <c r="AB603" s="679"/>
      <c r="AC603" s="643"/>
      <c r="AD603" s="643"/>
      <c r="AE603" s="643" t="s">
        <v>1428</v>
      </c>
      <c r="AF603" s="677">
        <f t="shared" si="108"/>
        <v>0</v>
      </c>
    </row>
    <row r="604" spans="1:32">
      <c r="A604" s="604">
        <v>594</v>
      </c>
      <c r="B604" s="316" t="s">
        <v>956</v>
      </c>
      <c r="C604" s="316" t="s">
        <v>629</v>
      </c>
      <c r="D604" s="316" t="s">
        <v>1373</v>
      </c>
      <c r="E604" s="589" t="s">
        <v>1737</v>
      </c>
      <c r="F604" s="603">
        <v>-638740.75</v>
      </c>
      <c r="G604" s="603">
        <v>-638740.75</v>
      </c>
      <c r="H604" s="603">
        <v>-638740.75</v>
      </c>
      <c r="I604" s="603">
        <v>-638740.75</v>
      </c>
      <c r="J604" s="603">
        <v>-638740.75</v>
      </c>
      <c r="K604" s="603">
        <v>-638740.75</v>
      </c>
      <c r="L604" s="603">
        <v>-638740.75</v>
      </c>
      <c r="M604" s="603">
        <v>-638740.75</v>
      </c>
      <c r="N604" s="603">
        <v>-638740.75</v>
      </c>
      <c r="O604" s="603">
        <v>-638740.75</v>
      </c>
      <c r="P604" s="603">
        <v>-638740.75</v>
      </c>
      <c r="Q604" s="603">
        <v>-638740.75</v>
      </c>
      <c r="R604" s="603">
        <v>-666160.88</v>
      </c>
      <c r="S604" s="484">
        <f t="shared" si="95"/>
        <v>-639883.25541666662</v>
      </c>
      <c r="T604" s="604"/>
      <c r="U604" s="642"/>
      <c r="W604" s="679"/>
      <c r="X604" s="679">
        <f>+S604</f>
        <v>-639883.25541666662</v>
      </c>
      <c r="Y604" s="679"/>
      <c r="Z604" s="679"/>
      <c r="AA604" s="642"/>
      <c r="AB604" s="679">
        <f>+S604</f>
        <v>-639883.25541666662</v>
      </c>
      <c r="AC604" s="643"/>
      <c r="AD604" s="644"/>
      <c r="AE604" s="643"/>
      <c r="AF604" s="677">
        <f>+U604+X604-AD604</f>
        <v>-639883.25541666662</v>
      </c>
    </row>
    <row r="605" spans="1:32">
      <c r="A605" s="604">
        <v>595</v>
      </c>
      <c r="B605" s="316" t="s">
        <v>956</v>
      </c>
      <c r="C605" s="316" t="s">
        <v>629</v>
      </c>
      <c r="D605" s="316" t="s">
        <v>990</v>
      </c>
      <c r="E605" s="589" t="s">
        <v>1738</v>
      </c>
      <c r="F605" s="603">
        <v>-40255923.640000001</v>
      </c>
      <c r="G605" s="603">
        <v>-41475441.259999998</v>
      </c>
      <c r="H605" s="603">
        <v>-45749804.460000001</v>
      </c>
      <c r="I605" s="603">
        <v>-50082768.520000003</v>
      </c>
      <c r="J605" s="603">
        <v>-49801847.409999996</v>
      </c>
      <c r="K605" s="603">
        <v>-42694512.810000002</v>
      </c>
      <c r="L605" s="603">
        <v>-43048310.259999998</v>
      </c>
      <c r="M605" s="603">
        <v>-43697144.140000001</v>
      </c>
      <c r="N605" s="603">
        <v>-44434469.880000003</v>
      </c>
      <c r="O605" s="603">
        <v>-42928561.740000002</v>
      </c>
      <c r="P605" s="603">
        <v>-42937621.810000002</v>
      </c>
      <c r="Q605" s="603">
        <v>-42032794.729999997</v>
      </c>
      <c r="R605" s="603">
        <v>-41379613.530000001</v>
      </c>
      <c r="S605" s="484">
        <f t="shared" si="95"/>
        <v>-44141753.800416671</v>
      </c>
      <c r="T605" s="604"/>
      <c r="U605" s="642"/>
      <c r="V605" s="679">
        <f>+S605</f>
        <v>-44141753.800416671</v>
      </c>
      <c r="W605" s="679"/>
      <c r="X605" s="702"/>
      <c r="Y605" s="679"/>
      <c r="Z605" s="679"/>
      <c r="AA605" s="642"/>
      <c r="AB605" s="679"/>
      <c r="AC605" s="643"/>
      <c r="AD605" s="644">
        <f>+V605</f>
        <v>-44141753.800416671</v>
      </c>
      <c r="AE605" s="643"/>
      <c r="AF605" s="677">
        <f t="shared" si="108"/>
        <v>0</v>
      </c>
    </row>
    <row r="606" spans="1:32">
      <c r="A606" s="604">
        <v>596</v>
      </c>
      <c r="B606" s="316" t="s">
        <v>984</v>
      </c>
      <c r="C606" s="316" t="s">
        <v>629</v>
      </c>
      <c r="D606" s="522" t="s">
        <v>985</v>
      </c>
      <c r="E606" s="589" t="s">
        <v>1739</v>
      </c>
      <c r="F606" s="603">
        <v>167522.1</v>
      </c>
      <c r="G606" s="603">
        <v>165691.44</v>
      </c>
      <c r="H606" s="603">
        <v>163860.78</v>
      </c>
      <c r="I606" s="603">
        <v>162030.10999999999</v>
      </c>
      <c r="J606" s="603">
        <v>160199.45000000001</v>
      </c>
      <c r="K606" s="603">
        <v>158368.76999999999</v>
      </c>
      <c r="L606" s="603">
        <v>156538.10999999999</v>
      </c>
      <c r="M606" s="603">
        <v>154707.46</v>
      </c>
      <c r="N606" s="603">
        <v>152876.79</v>
      </c>
      <c r="O606" s="603">
        <v>151046.13</v>
      </c>
      <c r="P606" s="603">
        <v>149215.47</v>
      </c>
      <c r="Q606" s="603">
        <v>147384.79999999999</v>
      </c>
      <c r="R606" s="603">
        <v>145554.14000000001</v>
      </c>
      <c r="S606" s="484">
        <f t="shared" si="95"/>
        <v>156538.11916666667</v>
      </c>
      <c r="T606" s="604"/>
      <c r="U606" s="642"/>
      <c r="W606" s="679"/>
      <c r="X606" s="679">
        <f>+S606</f>
        <v>156538.11916666667</v>
      </c>
      <c r="Y606" s="679"/>
      <c r="Z606" s="679"/>
      <c r="AA606" s="642"/>
      <c r="AB606" s="679">
        <f>+S606</f>
        <v>156538.11916666667</v>
      </c>
      <c r="AC606" s="643"/>
      <c r="AD606" s="644"/>
      <c r="AE606" s="643"/>
      <c r="AF606" s="677">
        <f>+U606+X606-AD606</f>
        <v>156538.11916666667</v>
      </c>
    </row>
    <row r="607" spans="1:32">
      <c r="A607" s="604">
        <v>597</v>
      </c>
      <c r="B607" s="316" t="s">
        <v>984</v>
      </c>
      <c r="C607" s="316" t="s">
        <v>629</v>
      </c>
      <c r="D607" s="316" t="s">
        <v>986</v>
      </c>
      <c r="E607" s="589" t="s">
        <v>1740</v>
      </c>
      <c r="F607" s="603">
        <v>-94506.66</v>
      </c>
      <c r="G607" s="603">
        <v>-92537.75</v>
      </c>
      <c r="H607" s="603">
        <v>-90568.86</v>
      </c>
      <c r="I607" s="603">
        <v>-88599.98</v>
      </c>
      <c r="J607" s="603">
        <v>-86631.06</v>
      </c>
      <c r="K607" s="603">
        <v>-84662.19</v>
      </c>
      <c r="L607" s="603">
        <v>-82693.31</v>
      </c>
      <c r="M607" s="603">
        <v>-80724.41</v>
      </c>
      <c r="N607" s="603">
        <v>-78755.520000000004</v>
      </c>
      <c r="O607" s="603">
        <v>-76786.63</v>
      </c>
      <c r="P607" s="603">
        <v>-74817.77</v>
      </c>
      <c r="Q607" s="603">
        <v>-72848.850000000006</v>
      </c>
      <c r="R607" s="603">
        <v>-70879.97</v>
      </c>
      <c r="S607" s="484">
        <f t="shared" si="95"/>
        <v>-82693.303750000006</v>
      </c>
      <c r="T607" s="604"/>
      <c r="U607" s="642"/>
      <c r="W607" s="679"/>
      <c r="X607" s="679">
        <f>+S607</f>
        <v>-82693.303750000006</v>
      </c>
      <c r="Y607" s="679"/>
      <c r="Z607" s="679"/>
      <c r="AA607" s="642"/>
      <c r="AB607" s="679">
        <f>+S607</f>
        <v>-82693.303750000006</v>
      </c>
      <c r="AC607" s="643"/>
      <c r="AD607" s="644"/>
      <c r="AE607" s="643"/>
      <c r="AF607" s="677">
        <f>+U607+X607-AD607</f>
        <v>-82693.303750000006</v>
      </c>
    </row>
    <row r="608" spans="1:32">
      <c r="A608" s="604">
        <v>598</v>
      </c>
      <c r="B608" s="316" t="s">
        <v>984</v>
      </c>
      <c r="C608" s="316" t="s">
        <v>629</v>
      </c>
      <c r="D608" s="316" t="s">
        <v>979</v>
      </c>
      <c r="E608" s="589" t="s">
        <v>1744</v>
      </c>
      <c r="F608" s="603">
        <v>-13433.67</v>
      </c>
      <c r="G608" s="603">
        <v>-13372.05</v>
      </c>
      <c r="H608" s="603">
        <v>-13310.43</v>
      </c>
      <c r="I608" s="603">
        <v>-13248.81</v>
      </c>
      <c r="J608" s="603">
        <v>-13187.19</v>
      </c>
      <c r="K608" s="603">
        <v>-13125.57</v>
      </c>
      <c r="L608" s="603">
        <v>-13063.95</v>
      </c>
      <c r="M608" s="603">
        <v>-13002.33</v>
      </c>
      <c r="N608" s="603">
        <v>-12940.71</v>
      </c>
      <c r="O608" s="603">
        <v>-12879.09</v>
      </c>
      <c r="P608" s="603">
        <v>-12817.47</v>
      </c>
      <c r="Q608" s="603">
        <v>-12755.85</v>
      </c>
      <c r="R608" s="603">
        <v>-12694.23</v>
      </c>
      <c r="S608" s="484">
        <f t="shared" si="95"/>
        <v>-13063.950000000003</v>
      </c>
      <c r="T608" s="604"/>
      <c r="U608" s="642"/>
      <c r="W608" s="679"/>
      <c r="X608" s="679">
        <f>+S608</f>
        <v>-13063.950000000003</v>
      </c>
      <c r="Y608" s="679"/>
      <c r="Z608" s="679">
        <f>+X608</f>
        <v>-13063.950000000003</v>
      </c>
      <c r="AA608" s="642"/>
      <c r="AB608" s="679"/>
      <c r="AC608" s="643"/>
      <c r="AD608" s="644"/>
      <c r="AE608" s="643"/>
      <c r="AF608" s="677">
        <f>+U608+X608-AD608</f>
        <v>-13063.950000000003</v>
      </c>
    </row>
    <row r="609" spans="1:32">
      <c r="A609" s="604">
        <v>599</v>
      </c>
      <c r="B609" s="316" t="s">
        <v>984</v>
      </c>
      <c r="C609" s="316" t="s">
        <v>629</v>
      </c>
      <c r="D609" s="316" t="s">
        <v>1372</v>
      </c>
      <c r="E609" s="589" t="s">
        <v>1745</v>
      </c>
      <c r="F609" s="603">
        <v>-55906.400000000001</v>
      </c>
      <c r="G609" s="603">
        <v>-55906.400000000001</v>
      </c>
      <c r="H609" s="603">
        <v>-55906.400000000001</v>
      </c>
      <c r="I609" s="603">
        <v>-55906.400000000001</v>
      </c>
      <c r="J609" s="603">
        <v>-55906.400000000001</v>
      </c>
      <c r="K609" s="603">
        <v>-55906.400000000001</v>
      </c>
      <c r="L609" s="603">
        <v>-55906.400000000001</v>
      </c>
      <c r="M609" s="603">
        <v>-55906.400000000001</v>
      </c>
      <c r="N609" s="603">
        <v>-55906.400000000001</v>
      </c>
      <c r="O609" s="603">
        <v>-55906.400000000001</v>
      </c>
      <c r="P609" s="603">
        <v>-55906.400000000001</v>
      </c>
      <c r="Q609" s="603">
        <v>-55906.400000000001</v>
      </c>
      <c r="R609" s="603">
        <v>-58306.37</v>
      </c>
      <c r="S609" s="484">
        <f t="shared" si="95"/>
        <v>-56006.398750000015</v>
      </c>
      <c r="T609" s="604"/>
      <c r="U609" s="642"/>
      <c r="W609" s="679"/>
      <c r="X609" s="679">
        <f>+S609</f>
        <v>-56006.398750000015</v>
      </c>
      <c r="Y609" s="679"/>
      <c r="Z609" s="679"/>
      <c r="AA609" s="642"/>
      <c r="AB609" s="679">
        <f>+S609</f>
        <v>-56006.398750000015</v>
      </c>
      <c r="AC609" s="643"/>
      <c r="AD609" s="644"/>
      <c r="AE609" s="643"/>
      <c r="AF609" s="677">
        <f>+U609+X609-AD609</f>
        <v>-56006.398750000015</v>
      </c>
    </row>
    <row r="610" spans="1:32">
      <c r="A610" s="604">
        <v>600</v>
      </c>
      <c r="B610" s="316" t="s">
        <v>984</v>
      </c>
      <c r="C610" s="316" t="s">
        <v>629</v>
      </c>
      <c r="D610" s="316" t="s">
        <v>987</v>
      </c>
      <c r="E610" s="589" t="s">
        <v>1746</v>
      </c>
      <c r="F610" s="603">
        <v>-3065780.91</v>
      </c>
      <c r="G610" s="603">
        <v>-3181548.37</v>
      </c>
      <c r="H610" s="603">
        <v>-3564694.16</v>
      </c>
      <c r="I610" s="603">
        <v>-3952969.04</v>
      </c>
      <c r="J610" s="603">
        <v>-3937409.17</v>
      </c>
      <c r="K610" s="603">
        <v>-3324360.74</v>
      </c>
      <c r="L610" s="603">
        <v>-3364355.18</v>
      </c>
      <c r="M610" s="603">
        <v>-3430173.01</v>
      </c>
      <c r="N610" s="603">
        <v>-3503736.18</v>
      </c>
      <c r="O610" s="603">
        <v>-3380958.09</v>
      </c>
      <c r="P610" s="603">
        <v>-3390779.09</v>
      </c>
      <c r="Q610" s="603">
        <v>-3320611.22</v>
      </c>
      <c r="R610" s="603">
        <v>-3272468.91</v>
      </c>
      <c r="S610" s="484">
        <f t="shared" si="95"/>
        <v>-3460059.9299999997</v>
      </c>
      <c r="T610" s="604"/>
      <c r="U610" s="642"/>
      <c r="V610" s="679">
        <f>+S610</f>
        <v>-3460059.9299999997</v>
      </c>
      <c r="W610" s="679"/>
      <c r="X610" s="702"/>
      <c r="Y610" s="679"/>
      <c r="Z610" s="679"/>
      <c r="AA610" s="642"/>
      <c r="AB610" s="679"/>
      <c r="AC610" s="643"/>
      <c r="AD610" s="644">
        <f>+S610</f>
        <v>-3460059.9299999997</v>
      </c>
      <c r="AE610" s="643"/>
      <c r="AF610" s="677">
        <f t="shared" si="108"/>
        <v>0</v>
      </c>
    </row>
    <row r="611" spans="1:32">
      <c r="A611" s="604">
        <v>601</v>
      </c>
      <c r="B611" s="316" t="s">
        <v>984</v>
      </c>
      <c r="C611" s="316" t="s">
        <v>628</v>
      </c>
      <c r="D611" s="316" t="s">
        <v>973</v>
      </c>
      <c r="E611" s="589" t="s">
        <v>1734</v>
      </c>
      <c r="F611" s="603">
        <v>0</v>
      </c>
      <c r="G611" s="603">
        <v>0</v>
      </c>
      <c r="H611" s="603">
        <v>0</v>
      </c>
      <c r="I611" s="603">
        <v>0</v>
      </c>
      <c r="J611" s="603">
        <v>0</v>
      </c>
      <c r="K611" s="603">
        <v>-22343046.039999999</v>
      </c>
      <c r="L611" s="603">
        <v>-22325913.43</v>
      </c>
      <c r="M611" s="603">
        <v>-22308780.829999998</v>
      </c>
      <c r="N611" s="603">
        <v>-22291648.23</v>
      </c>
      <c r="O611" s="603">
        <v>-22274515.629999999</v>
      </c>
      <c r="P611" s="603">
        <v>-22257383.030000001</v>
      </c>
      <c r="Q611" s="603">
        <v>-22454623.309999999</v>
      </c>
      <c r="R611" s="603">
        <v>-22776131.02</v>
      </c>
      <c r="S611" s="484">
        <f t="shared" si="95"/>
        <v>-13970331.334166666</v>
      </c>
      <c r="T611" s="604"/>
      <c r="U611" s="642"/>
      <c r="V611" s="679"/>
      <c r="W611" s="679"/>
      <c r="X611" s="702">
        <f>+S611</f>
        <v>-13970331.334166666</v>
      </c>
      <c r="Y611" s="679"/>
      <c r="Z611" s="679">
        <f>+X611</f>
        <v>-13970331.334166666</v>
      </c>
      <c r="AA611" s="642"/>
      <c r="AB611" s="679"/>
      <c r="AC611" s="643"/>
      <c r="AD611" s="644"/>
      <c r="AE611" s="643"/>
      <c r="AF611" s="677"/>
    </row>
    <row r="612" spans="1:32">
      <c r="A612" s="604">
        <v>602</v>
      </c>
      <c r="B612" s="316" t="s">
        <v>984</v>
      </c>
      <c r="C612" s="316" t="s">
        <v>629</v>
      </c>
      <c r="D612" s="316" t="s">
        <v>975</v>
      </c>
      <c r="E612" s="589" t="s">
        <v>1736</v>
      </c>
      <c r="F612" s="603">
        <v>0</v>
      </c>
      <c r="G612" s="603">
        <v>0</v>
      </c>
      <c r="H612" s="603">
        <v>0</v>
      </c>
      <c r="I612" s="603">
        <v>0</v>
      </c>
      <c r="J612" s="603">
        <v>0</v>
      </c>
      <c r="K612" s="603">
        <v>-36680.65</v>
      </c>
      <c r="L612" s="603">
        <v>-36508.44</v>
      </c>
      <c r="M612" s="603">
        <v>-36336.230000000003</v>
      </c>
      <c r="N612" s="603">
        <v>-36164.019999999997</v>
      </c>
      <c r="O612" s="603">
        <v>-35991.82</v>
      </c>
      <c r="P612" s="603">
        <v>-35819.61</v>
      </c>
      <c r="Q612" s="603">
        <v>-35647.4</v>
      </c>
      <c r="R612" s="603">
        <v>-35475.199999999997</v>
      </c>
      <c r="S612" s="484">
        <f t="shared" si="95"/>
        <v>-22573.814166666667</v>
      </c>
      <c r="T612" s="604"/>
      <c r="U612" s="642"/>
      <c r="V612" s="679"/>
      <c r="W612" s="679"/>
      <c r="X612" s="702">
        <f>+S612</f>
        <v>-22573.814166666667</v>
      </c>
      <c r="Y612" s="679"/>
      <c r="Z612" s="679">
        <f>+X612</f>
        <v>-22573.814166666667</v>
      </c>
      <c r="AA612" s="642"/>
      <c r="AB612" s="679"/>
      <c r="AC612" s="643"/>
      <c r="AD612" s="644"/>
      <c r="AE612" s="643"/>
      <c r="AF612" s="677"/>
    </row>
    <row r="613" spans="1:32">
      <c r="A613" s="604">
        <v>603</v>
      </c>
      <c r="B613" s="316" t="s">
        <v>959</v>
      </c>
      <c r="C613" s="316" t="s">
        <v>628</v>
      </c>
      <c r="D613" s="316" t="s">
        <v>973</v>
      </c>
      <c r="E613" s="589" t="s">
        <v>1734</v>
      </c>
      <c r="F613" s="603">
        <v>0</v>
      </c>
      <c r="G613" s="603">
        <v>0</v>
      </c>
      <c r="H613" s="603">
        <v>0</v>
      </c>
      <c r="I613" s="603">
        <v>0</v>
      </c>
      <c r="J613" s="603">
        <v>0</v>
      </c>
      <c r="K613" s="603">
        <v>-76915265.980000004</v>
      </c>
      <c r="L613" s="603">
        <v>-76856287.510000005</v>
      </c>
      <c r="M613" s="603">
        <v>-76797309.040000007</v>
      </c>
      <c r="N613" s="603">
        <v>-76738330.569999993</v>
      </c>
      <c r="O613" s="603">
        <v>-76679352.090000004</v>
      </c>
      <c r="P613" s="603">
        <v>-76620373.620000005</v>
      </c>
      <c r="Q613" s="603">
        <v>-77299367.390000001</v>
      </c>
      <c r="R613" s="603">
        <v>-78406148.049999997</v>
      </c>
      <c r="S613" s="484">
        <f t="shared" si="95"/>
        <v>-48092446.685416669</v>
      </c>
      <c r="T613" s="604"/>
      <c r="U613" s="642"/>
      <c r="V613" s="679"/>
      <c r="W613" s="679"/>
      <c r="X613" s="702">
        <f>+S613</f>
        <v>-48092446.685416669</v>
      </c>
      <c r="Y613" s="679">
        <f>+X613</f>
        <v>-48092446.685416669</v>
      </c>
      <c r="Z613" s="679"/>
      <c r="AA613" s="642"/>
      <c r="AB613" s="679"/>
      <c r="AC613" s="643"/>
      <c r="AD613" s="644"/>
      <c r="AE613" s="643"/>
      <c r="AF613" s="677"/>
    </row>
    <row r="614" spans="1:32">
      <c r="A614" s="604">
        <v>604</v>
      </c>
      <c r="B614" s="316" t="s">
        <v>959</v>
      </c>
      <c r="C614" s="316" t="s">
        <v>629</v>
      </c>
      <c r="D614" s="316" t="s">
        <v>975</v>
      </c>
      <c r="E614" s="589" t="s">
        <v>1736</v>
      </c>
      <c r="F614" s="603">
        <v>0</v>
      </c>
      <c r="G614" s="603">
        <v>0</v>
      </c>
      <c r="H614" s="603">
        <v>0</v>
      </c>
      <c r="I614" s="603">
        <v>0</v>
      </c>
      <c r="J614" s="603">
        <v>0</v>
      </c>
      <c r="K614" s="603">
        <v>-113281.17</v>
      </c>
      <c r="L614" s="603">
        <v>-112749.34</v>
      </c>
      <c r="M614" s="603">
        <v>-112217.51</v>
      </c>
      <c r="N614" s="603">
        <v>-111685.68</v>
      </c>
      <c r="O614" s="603">
        <v>-111153.85</v>
      </c>
      <c r="P614" s="603">
        <v>-110622.02</v>
      </c>
      <c r="Q614" s="603">
        <v>-110090.19</v>
      </c>
      <c r="R614" s="603">
        <v>-109558.36</v>
      </c>
      <c r="S614" s="484">
        <f t="shared" si="95"/>
        <v>-69714.911666666667</v>
      </c>
      <c r="T614" s="604"/>
      <c r="U614" s="642"/>
      <c r="V614" s="679"/>
      <c r="W614" s="679"/>
      <c r="X614" s="702">
        <f>+S614</f>
        <v>-69714.911666666667</v>
      </c>
      <c r="Y614" s="679">
        <f>+X614</f>
        <v>-69714.911666666667</v>
      </c>
      <c r="Z614" s="679"/>
      <c r="AA614" s="642"/>
      <c r="AB614" s="679"/>
      <c r="AC614" s="643"/>
      <c r="AD614" s="644"/>
      <c r="AE614" s="643"/>
      <c r="AF614" s="677"/>
    </row>
    <row r="615" spans="1:32">
      <c r="A615" s="604">
        <v>605</v>
      </c>
      <c r="B615" s="604"/>
      <c r="C615" s="604"/>
      <c r="D615" s="604"/>
      <c r="E615" s="589" t="s">
        <v>630</v>
      </c>
      <c r="F615" s="295">
        <f>SUM(F590:F614)</f>
        <v>-88739868.560000017</v>
      </c>
      <c r="G615" s="295">
        <f t="shared" ref="G615:P615" si="111">SUM(G590:G614)</f>
        <v>-90329190.810000002</v>
      </c>
      <c r="H615" s="295">
        <f t="shared" si="111"/>
        <v>-95218569.940000013</v>
      </c>
      <c r="I615" s="295">
        <f t="shared" si="111"/>
        <v>-100127427.71000002</v>
      </c>
      <c r="J615" s="295">
        <f t="shared" si="111"/>
        <v>-100058728.63</v>
      </c>
      <c r="K615" s="295">
        <f t="shared" si="111"/>
        <v>-92577139.820000023</v>
      </c>
      <c r="L615" s="295">
        <f t="shared" si="111"/>
        <v>-93210239.560000017</v>
      </c>
      <c r="M615" s="295">
        <f t="shared" si="111"/>
        <v>-94162880.310000017</v>
      </c>
      <c r="N615" s="295">
        <f t="shared" si="111"/>
        <v>-95144417.540000021</v>
      </c>
      <c r="O615" s="295">
        <f t="shared" si="111"/>
        <v>-93727564.400000006</v>
      </c>
      <c r="P615" s="295">
        <f t="shared" si="111"/>
        <v>-93974792.87000002</v>
      </c>
      <c r="Q615" s="295">
        <f>SUM(Q590:Q614)</f>
        <v>-95194107.520000011</v>
      </c>
      <c r="R615" s="295">
        <f>SUM(R590:R614)</f>
        <v>-95539119.870000005</v>
      </c>
      <c r="S615" s="486">
        <f>SUM(S590:S614)</f>
        <v>-94655379.443750009</v>
      </c>
      <c r="T615" s="604"/>
      <c r="U615" s="642"/>
      <c r="V615" s="679"/>
      <c r="W615" s="679"/>
      <c r="X615" s="702"/>
      <c r="Y615" s="679"/>
      <c r="Z615" s="679"/>
      <c r="AA615" s="642"/>
      <c r="AB615" s="679"/>
      <c r="AC615" s="643"/>
      <c r="AD615" s="643"/>
      <c r="AE615" s="643"/>
      <c r="AF615" s="677">
        <f t="shared" si="108"/>
        <v>0</v>
      </c>
    </row>
    <row r="616" spans="1:32">
      <c r="A616" s="604">
        <v>606</v>
      </c>
      <c r="B616" s="604"/>
      <c r="C616" s="604"/>
      <c r="D616" s="604"/>
      <c r="E616" s="589"/>
      <c r="F616" s="603"/>
      <c r="G616" s="314"/>
      <c r="H616" s="305"/>
      <c r="I616" s="305"/>
      <c r="J616" s="306"/>
      <c r="K616" s="307"/>
      <c r="L616" s="308"/>
      <c r="M616" s="309"/>
      <c r="N616" s="310"/>
      <c r="O616" s="590"/>
      <c r="P616" s="311"/>
      <c r="Q616" s="315"/>
      <c r="R616" s="603"/>
      <c r="S616" s="294"/>
      <c r="T616" s="604"/>
      <c r="U616" s="642"/>
      <c r="V616" s="679"/>
      <c r="W616" s="679"/>
      <c r="X616" s="702"/>
      <c r="Y616" s="679"/>
      <c r="Z616" s="679"/>
      <c r="AA616" s="642"/>
      <c r="AB616" s="679"/>
      <c r="AC616" s="643"/>
      <c r="AD616" s="643"/>
      <c r="AE616" s="643"/>
      <c r="AF616" s="677">
        <f t="shared" si="108"/>
        <v>0</v>
      </c>
    </row>
    <row r="617" spans="1:32">
      <c r="A617" s="604">
        <v>607</v>
      </c>
      <c r="B617" s="316" t="s">
        <v>984</v>
      </c>
      <c r="C617" s="316" t="s">
        <v>631</v>
      </c>
      <c r="D617" s="316" t="s">
        <v>1223</v>
      </c>
      <c r="E617" s="589" t="s">
        <v>1748</v>
      </c>
      <c r="F617" s="601">
        <v>-36899838.780000001</v>
      </c>
      <c r="G617" s="601">
        <v>-5659206.4100000001</v>
      </c>
      <c r="H617" s="601">
        <v>-10923602.24</v>
      </c>
      <c r="I617" s="601">
        <v>-16838345.66</v>
      </c>
      <c r="J617" s="601">
        <v>-20972373.75</v>
      </c>
      <c r="K617" s="601">
        <v>-23288857.010000002</v>
      </c>
      <c r="L617" s="601">
        <v>-24957907.989999998</v>
      </c>
      <c r="M617" s="601">
        <v>-26193515.859999999</v>
      </c>
      <c r="N617" s="601">
        <v>-27265717.48</v>
      </c>
      <c r="O617" s="601">
        <v>-28342685.350000001</v>
      </c>
      <c r="P617" s="601">
        <v>-30687397.800000001</v>
      </c>
      <c r="Q617" s="601">
        <v>-34292176</v>
      </c>
      <c r="R617" s="601">
        <v>-39768724.710000001</v>
      </c>
      <c r="S617" s="484">
        <f t="shared" si="95"/>
        <v>-23979672.274583336</v>
      </c>
      <c r="T617" s="604"/>
      <c r="U617" s="642"/>
      <c r="V617" s="679"/>
      <c r="W617" s="679">
        <f t="shared" ref="W617:W684" si="112">+S617</f>
        <v>-23979672.274583336</v>
      </c>
      <c r="X617" s="702"/>
      <c r="Y617" s="679"/>
      <c r="Z617" s="679"/>
      <c r="AA617" s="642"/>
      <c r="AB617" s="679"/>
      <c r="AC617" s="644">
        <f>+S617</f>
        <v>-23979672.274583336</v>
      </c>
      <c r="AD617" s="643"/>
      <c r="AE617" s="643"/>
      <c r="AF617" s="677">
        <f t="shared" si="108"/>
        <v>0</v>
      </c>
    </row>
    <row r="618" spans="1:32">
      <c r="A618" s="604">
        <v>608</v>
      </c>
      <c r="B618" s="316" t="s">
        <v>984</v>
      </c>
      <c r="C618" s="316" t="s">
        <v>631</v>
      </c>
      <c r="D618" s="316" t="s">
        <v>1224</v>
      </c>
      <c r="E618" s="589" t="s">
        <v>1749</v>
      </c>
      <c r="F618" s="601">
        <v>164849.44</v>
      </c>
      <c r="G618" s="601">
        <v>412580.73</v>
      </c>
      <c r="H618" s="601">
        <v>816333.62</v>
      </c>
      <c r="I618" s="601">
        <v>1518764.99</v>
      </c>
      <c r="J618" s="601">
        <v>1730785.4</v>
      </c>
      <c r="K618" s="601">
        <v>1440073.66</v>
      </c>
      <c r="L618" s="601">
        <v>1514908.04</v>
      </c>
      <c r="M618" s="601">
        <v>1515377.82</v>
      </c>
      <c r="N618" s="601">
        <v>1372102.68</v>
      </c>
      <c r="O618" s="601">
        <v>1448349.36</v>
      </c>
      <c r="P618" s="601">
        <v>2147306.23</v>
      </c>
      <c r="Q618" s="601">
        <v>2207433.56</v>
      </c>
      <c r="R618" s="601">
        <v>2056561.28</v>
      </c>
      <c r="S618" s="484">
        <f t="shared" si="95"/>
        <v>1436226.7874999999</v>
      </c>
      <c r="T618" s="604"/>
      <c r="U618" s="642"/>
      <c r="V618" s="679"/>
      <c r="W618" s="679">
        <f t="shared" si="112"/>
        <v>1436226.7874999999</v>
      </c>
      <c r="X618" s="702"/>
      <c r="Y618" s="679"/>
      <c r="Z618" s="679"/>
      <c r="AA618" s="642"/>
      <c r="AB618" s="679"/>
      <c r="AC618" s="644">
        <f t="shared" ref="AC618:AC683" si="113">+S618</f>
        <v>1436226.7874999999</v>
      </c>
      <c r="AD618" s="643"/>
      <c r="AE618" s="643"/>
      <c r="AF618" s="677">
        <f t="shared" si="108"/>
        <v>0</v>
      </c>
    </row>
    <row r="619" spans="1:32">
      <c r="A619" s="604">
        <v>609</v>
      </c>
      <c r="B619" s="316" t="s">
        <v>984</v>
      </c>
      <c r="C619" s="316" t="s">
        <v>631</v>
      </c>
      <c r="D619" s="316" t="s">
        <v>1225</v>
      </c>
      <c r="E619" s="589" t="s">
        <v>1750</v>
      </c>
      <c r="F619" s="601">
        <v>-2767726.57</v>
      </c>
      <c r="G619" s="601">
        <v>-303761.21999999997</v>
      </c>
      <c r="H619" s="601">
        <v>-616155.87</v>
      </c>
      <c r="I619" s="601">
        <v>-950886.07</v>
      </c>
      <c r="J619" s="601">
        <v>-1218988.5900000001</v>
      </c>
      <c r="K619" s="601">
        <v>-1396905.06</v>
      </c>
      <c r="L619" s="601">
        <v>-1520877.32</v>
      </c>
      <c r="M619" s="601">
        <v>-1639729.28</v>
      </c>
      <c r="N619" s="601">
        <v>-1743892.29</v>
      </c>
      <c r="O619" s="601">
        <v>-1853754.59</v>
      </c>
      <c r="P619" s="601">
        <v>-2084650.21</v>
      </c>
      <c r="Q619" s="601">
        <v>-2386646.41</v>
      </c>
      <c r="R619" s="601">
        <v>-2759274.39</v>
      </c>
      <c r="S619" s="484">
        <f t="shared" si="95"/>
        <v>-1539978.9491666667</v>
      </c>
      <c r="T619" s="604"/>
      <c r="U619" s="642"/>
      <c r="V619" s="679"/>
      <c r="W619" s="679">
        <f t="shared" si="112"/>
        <v>-1539978.9491666667</v>
      </c>
      <c r="X619" s="702"/>
      <c r="Y619" s="679"/>
      <c r="Z619" s="679"/>
      <c r="AA619" s="642"/>
      <c r="AB619" s="679"/>
      <c r="AC619" s="644">
        <f t="shared" si="113"/>
        <v>-1539978.9491666667</v>
      </c>
      <c r="AD619" s="643"/>
      <c r="AE619" s="643"/>
      <c r="AF619" s="677">
        <f t="shared" si="108"/>
        <v>0</v>
      </c>
    </row>
    <row r="620" spans="1:32">
      <c r="A620" s="604">
        <v>610</v>
      </c>
      <c r="B620" s="316" t="s">
        <v>984</v>
      </c>
      <c r="C620" s="316" t="s">
        <v>631</v>
      </c>
      <c r="D620" s="316" t="s">
        <v>1226</v>
      </c>
      <c r="E620" s="589" t="s">
        <v>1751</v>
      </c>
      <c r="F620" s="601">
        <v>-49982.23</v>
      </c>
      <c r="G620" s="601">
        <v>0</v>
      </c>
      <c r="H620" s="601">
        <v>0</v>
      </c>
      <c r="I620" s="601">
        <v>0</v>
      </c>
      <c r="J620" s="601">
        <v>0</v>
      </c>
      <c r="K620" s="601">
        <v>0</v>
      </c>
      <c r="L620" s="601">
        <v>0</v>
      </c>
      <c r="M620" s="601">
        <v>0</v>
      </c>
      <c r="N620" s="601">
        <v>0</v>
      </c>
      <c r="O620" s="601">
        <v>0</v>
      </c>
      <c r="P620" s="601">
        <v>0</v>
      </c>
      <c r="Q620" s="601">
        <v>0</v>
      </c>
      <c r="R620" s="601">
        <v>0</v>
      </c>
      <c r="S620" s="484">
        <f t="shared" si="95"/>
        <v>-2082.592916666667</v>
      </c>
      <c r="T620" s="604"/>
      <c r="U620" s="642"/>
      <c r="V620" s="679"/>
      <c r="W620" s="679">
        <f t="shared" si="112"/>
        <v>-2082.592916666667</v>
      </c>
      <c r="X620" s="702"/>
      <c r="Y620" s="679"/>
      <c r="Z620" s="679"/>
      <c r="AA620" s="642"/>
      <c r="AB620" s="679"/>
      <c r="AC620" s="644">
        <f t="shared" si="113"/>
        <v>-2082.592916666667</v>
      </c>
      <c r="AD620" s="643"/>
      <c r="AE620" s="643"/>
      <c r="AF620" s="677">
        <f t="shared" si="108"/>
        <v>0</v>
      </c>
    </row>
    <row r="621" spans="1:32">
      <c r="A621" s="604">
        <v>611</v>
      </c>
      <c r="B621" s="316" t="s">
        <v>984</v>
      </c>
      <c r="C621" s="316" t="s">
        <v>631</v>
      </c>
      <c r="D621" s="316" t="s">
        <v>1227</v>
      </c>
      <c r="E621" s="589" t="s">
        <v>1752</v>
      </c>
      <c r="F621" s="601">
        <v>-20625012.760000002</v>
      </c>
      <c r="G621" s="601">
        <v>-2998108.82</v>
      </c>
      <c r="H621" s="601">
        <v>-5844376.1500000004</v>
      </c>
      <c r="I621" s="601">
        <v>-9078513.3800000008</v>
      </c>
      <c r="J621" s="601">
        <v>-11278517.199999999</v>
      </c>
      <c r="K621" s="601">
        <v>-12520643.09</v>
      </c>
      <c r="L621" s="601">
        <v>-13428303.67</v>
      </c>
      <c r="M621" s="601">
        <v>-14181182.210000001</v>
      </c>
      <c r="N621" s="601">
        <v>-14852822.18</v>
      </c>
      <c r="O621" s="601">
        <v>-15499886.27</v>
      </c>
      <c r="P621" s="601">
        <v>-16707611.380000001</v>
      </c>
      <c r="Q621" s="601">
        <v>-18721945.16</v>
      </c>
      <c r="R621" s="601">
        <v>-21730220.710000001</v>
      </c>
      <c r="S621" s="484">
        <f t="shared" si="95"/>
        <v>-13024127.187083334</v>
      </c>
      <c r="T621" s="604"/>
      <c r="U621" s="642"/>
      <c r="V621" s="679"/>
      <c r="W621" s="679">
        <f t="shared" si="112"/>
        <v>-13024127.187083334</v>
      </c>
      <c r="X621" s="702"/>
      <c r="Y621" s="679"/>
      <c r="Z621" s="679"/>
      <c r="AA621" s="642"/>
      <c r="AB621" s="679"/>
      <c r="AC621" s="644">
        <f t="shared" si="113"/>
        <v>-13024127.187083334</v>
      </c>
      <c r="AD621" s="643"/>
      <c r="AE621" s="643"/>
      <c r="AF621" s="677">
        <f t="shared" si="108"/>
        <v>0</v>
      </c>
    </row>
    <row r="622" spans="1:32">
      <c r="A622" s="604">
        <v>612</v>
      </c>
      <c r="B622" s="316" t="s">
        <v>984</v>
      </c>
      <c r="C622" s="316" t="s">
        <v>631</v>
      </c>
      <c r="D622" s="316" t="s">
        <v>1228</v>
      </c>
      <c r="E622" s="589" t="s">
        <v>1753</v>
      </c>
      <c r="F622" s="601">
        <v>340736.39</v>
      </c>
      <c r="G622" s="601">
        <v>150575.98000000001</v>
      </c>
      <c r="H622" s="601">
        <v>428972.95</v>
      </c>
      <c r="I622" s="601">
        <v>794648.35</v>
      </c>
      <c r="J622" s="601">
        <v>911301.65</v>
      </c>
      <c r="K622" s="601">
        <v>788275.79</v>
      </c>
      <c r="L622" s="601">
        <v>795241.41</v>
      </c>
      <c r="M622" s="601">
        <v>813275.91</v>
      </c>
      <c r="N622" s="601">
        <v>716590.19</v>
      </c>
      <c r="O622" s="601">
        <v>764857.29</v>
      </c>
      <c r="P622" s="601">
        <v>1000563.16</v>
      </c>
      <c r="Q622" s="601">
        <v>974203.11</v>
      </c>
      <c r="R622" s="601">
        <v>870919.73</v>
      </c>
      <c r="S622" s="484">
        <f t="shared" si="95"/>
        <v>728694.48750000016</v>
      </c>
      <c r="T622" s="604"/>
      <c r="U622" s="642"/>
      <c r="V622" s="679"/>
      <c r="W622" s="679">
        <f t="shared" si="112"/>
        <v>728694.48750000016</v>
      </c>
      <c r="X622" s="702"/>
      <c r="Y622" s="679"/>
      <c r="Z622" s="679"/>
      <c r="AA622" s="642"/>
      <c r="AB622" s="679"/>
      <c r="AC622" s="644">
        <f t="shared" si="113"/>
        <v>728694.48750000016</v>
      </c>
      <c r="AD622" s="643"/>
      <c r="AE622" s="643"/>
      <c r="AF622" s="677">
        <f t="shared" si="108"/>
        <v>0</v>
      </c>
    </row>
    <row r="623" spans="1:32">
      <c r="A623" s="604">
        <v>613</v>
      </c>
      <c r="B623" s="316" t="s">
        <v>984</v>
      </c>
      <c r="C623" s="316" t="s">
        <v>631</v>
      </c>
      <c r="D623" s="316" t="s">
        <v>1229</v>
      </c>
      <c r="E623" s="589" t="s">
        <v>1754</v>
      </c>
      <c r="F623" s="601">
        <v>-1216.5999999999999</v>
      </c>
      <c r="G623" s="601">
        <v>0</v>
      </c>
      <c r="H623" s="601">
        <v>0</v>
      </c>
      <c r="I623" s="601">
        <v>0</v>
      </c>
      <c r="J623" s="601">
        <v>0</v>
      </c>
      <c r="K623" s="601">
        <v>-36017.35</v>
      </c>
      <c r="L623" s="601">
        <v>-36017.35</v>
      </c>
      <c r="M623" s="601">
        <v>-36017.35</v>
      </c>
      <c r="N623" s="601">
        <v>-36017.35</v>
      </c>
      <c r="O623" s="601">
        <v>-36017.35</v>
      </c>
      <c r="P623" s="601">
        <v>-36017.35</v>
      </c>
      <c r="Q623" s="601">
        <v>-36017.35</v>
      </c>
      <c r="R623" s="601">
        <v>-36017.35</v>
      </c>
      <c r="S623" s="484">
        <f t="shared" si="95"/>
        <v>-22561.535416666666</v>
      </c>
      <c r="T623" s="604"/>
      <c r="U623" s="642"/>
      <c r="V623" s="679"/>
      <c r="W623" s="679">
        <f t="shared" si="112"/>
        <v>-22561.535416666666</v>
      </c>
      <c r="X623" s="702"/>
      <c r="Y623" s="679"/>
      <c r="Z623" s="679"/>
      <c r="AA623" s="642"/>
      <c r="AB623" s="679"/>
      <c r="AC623" s="644">
        <f t="shared" si="113"/>
        <v>-22561.535416666666</v>
      </c>
      <c r="AD623" s="643"/>
      <c r="AE623" s="643"/>
      <c r="AF623" s="677">
        <f t="shared" si="108"/>
        <v>0</v>
      </c>
    </row>
    <row r="624" spans="1:32">
      <c r="A624" s="604">
        <v>614</v>
      </c>
      <c r="B624" s="316" t="s">
        <v>984</v>
      </c>
      <c r="C624" s="316" t="s">
        <v>631</v>
      </c>
      <c r="D624" s="316" t="s">
        <v>1230</v>
      </c>
      <c r="E624" s="589" t="s">
        <v>1755</v>
      </c>
      <c r="F624" s="601">
        <v>-1293851.8600000001</v>
      </c>
      <c r="G624" s="601">
        <v>-152819.1</v>
      </c>
      <c r="H624" s="601">
        <v>-307199.43</v>
      </c>
      <c r="I624" s="601">
        <v>-462008.56</v>
      </c>
      <c r="J624" s="601">
        <v>-596551.94999999995</v>
      </c>
      <c r="K624" s="601">
        <v>-681399.05</v>
      </c>
      <c r="L624" s="601">
        <v>-747637.59</v>
      </c>
      <c r="M624" s="601">
        <v>-801380.03</v>
      </c>
      <c r="N624" s="601">
        <v>-853914.22</v>
      </c>
      <c r="O624" s="601">
        <v>-904037.6</v>
      </c>
      <c r="P624" s="601">
        <v>-959221.54</v>
      </c>
      <c r="Q624" s="601">
        <v>-1063583.5</v>
      </c>
      <c r="R624" s="601">
        <v>-1216974.53</v>
      </c>
      <c r="S624" s="484">
        <f t="shared" si="95"/>
        <v>-732097.14708333323</v>
      </c>
      <c r="T624" s="604"/>
      <c r="U624" s="642"/>
      <c r="V624" s="679"/>
      <c r="W624" s="679">
        <f t="shared" si="112"/>
        <v>-732097.14708333323</v>
      </c>
      <c r="X624" s="702"/>
      <c r="Y624" s="679"/>
      <c r="Z624" s="679"/>
      <c r="AA624" s="642"/>
      <c r="AB624" s="679"/>
      <c r="AC624" s="644">
        <f t="shared" si="113"/>
        <v>-732097.14708333323</v>
      </c>
      <c r="AD624" s="643"/>
      <c r="AE624" s="643"/>
      <c r="AF624" s="677">
        <f t="shared" si="108"/>
        <v>0</v>
      </c>
    </row>
    <row r="625" spans="1:32">
      <c r="A625" s="604">
        <v>615</v>
      </c>
      <c r="B625" s="316" t="s">
        <v>959</v>
      </c>
      <c r="C625" s="316" t="s">
        <v>631</v>
      </c>
      <c r="D625" s="316" t="s">
        <v>1223</v>
      </c>
      <c r="E625" s="589" t="s">
        <v>1748</v>
      </c>
      <c r="F625" s="601">
        <v>-112178476.55</v>
      </c>
      <c r="G625" s="601">
        <v>-15541486.24</v>
      </c>
      <c r="H625" s="601">
        <v>-32136970.350000001</v>
      </c>
      <c r="I625" s="601">
        <v>-49933517.75</v>
      </c>
      <c r="J625" s="601">
        <v>-60396406.18</v>
      </c>
      <c r="K625" s="601">
        <v>-67524724.519999996</v>
      </c>
      <c r="L625" s="601">
        <v>-71884740.939999998</v>
      </c>
      <c r="M625" s="601">
        <v>-75559977.310000002</v>
      </c>
      <c r="N625" s="601">
        <v>-78870238.109999999</v>
      </c>
      <c r="O625" s="601">
        <v>-82107883.25</v>
      </c>
      <c r="P625" s="601">
        <v>-88384702.230000004</v>
      </c>
      <c r="Q625" s="601">
        <v>-99293159.810000002</v>
      </c>
      <c r="R625" s="601">
        <v>-116095325.08</v>
      </c>
      <c r="S625" s="484">
        <f t="shared" si="95"/>
        <v>-69647558.95875001</v>
      </c>
      <c r="T625" s="604"/>
      <c r="U625" s="642"/>
      <c r="V625" s="679"/>
      <c r="W625" s="679">
        <f t="shared" si="112"/>
        <v>-69647558.95875001</v>
      </c>
      <c r="X625" s="702"/>
      <c r="Y625" s="679"/>
      <c r="Z625" s="679"/>
      <c r="AA625" s="642"/>
      <c r="AB625" s="679"/>
      <c r="AC625" s="644">
        <f t="shared" si="113"/>
        <v>-69647558.95875001</v>
      </c>
      <c r="AD625" s="643"/>
      <c r="AE625" s="643"/>
      <c r="AF625" s="677">
        <f t="shared" si="108"/>
        <v>0</v>
      </c>
    </row>
    <row r="626" spans="1:32">
      <c r="A626" s="604">
        <v>616</v>
      </c>
      <c r="B626" s="316" t="s">
        <v>959</v>
      </c>
      <c r="C626" s="316" t="s">
        <v>631</v>
      </c>
      <c r="D626" s="316" t="s">
        <v>1224</v>
      </c>
      <c r="E626" s="589" t="s">
        <v>1769</v>
      </c>
      <c r="F626" s="601">
        <v>-1439586.55</v>
      </c>
      <c r="G626" s="601">
        <v>-506033.06</v>
      </c>
      <c r="H626" s="601">
        <v>1835042.22</v>
      </c>
      <c r="I626" s="601">
        <v>2369542.04</v>
      </c>
      <c r="J626" s="601">
        <v>1868319.35</v>
      </c>
      <c r="K626" s="601">
        <v>1872488.19</v>
      </c>
      <c r="L626" s="601">
        <v>1767546.44</v>
      </c>
      <c r="M626" s="601">
        <v>1807230.59</v>
      </c>
      <c r="N626" s="601">
        <v>1634330.51</v>
      </c>
      <c r="O626" s="601">
        <v>1811732.36</v>
      </c>
      <c r="P626" s="601">
        <v>2334200.54</v>
      </c>
      <c r="Q626" s="601">
        <v>2010314.74</v>
      </c>
      <c r="R626" s="601">
        <v>1197917.97</v>
      </c>
      <c r="S626" s="484">
        <f t="shared" si="95"/>
        <v>1556989.9691666665</v>
      </c>
      <c r="T626" s="604"/>
      <c r="U626" s="642"/>
      <c r="V626" s="679"/>
      <c r="W626" s="679">
        <f t="shared" si="112"/>
        <v>1556989.9691666665</v>
      </c>
      <c r="X626" s="702"/>
      <c r="Y626" s="679"/>
      <c r="Z626" s="679"/>
      <c r="AA626" s="642"/>
      <c r="AB626" s="679"/>
      <c r="AC626" s="644">
        <f t="shared" si="113"/>
        <v>1556989.9691666665</v>
      </c>
      <c r="AD626" s="643"/>
      <c r="AE626" s="643"/>
      <c r="AF626" s="677">
        <f t="shared" si="108"/>
        <v>0</v>
      </c>
    </row>
    <row r="627" spans="1:32">
      <c r="A627" s="604">
        <v>617</v>
      </c>
      <c r="B627" s="316" t="s">
        <v>959</v>
      </c>
      <c r="C627" s="316" t="s">
        <v>631</v>
      </c>
      <c r="D627" s="316" t="s">
        <v>1414</v>
      </c>
      <c r="E627" s="589" t="s">
        <v>1770</v>
      </c>
      <c r="F627" s="601">
        <v>-2144806.7000000002</v>
      </c>
      <c r="G627" s="601">
        <v>-534993.67000000004</v>
      </c>
      <c r="H627" s="601">
        <v>-1108567.76</v>
      </c>
      <c r="I627" s="601">
        <v>-1725655.1</v>
      </c>
      <c r="J627" s="601">
        <v>-2063499.86</v>
      </c>
      <c r="K627" s="601">
        <v>-2267619.12</v>
      </c>
      <c r="L627" s="601">
        <v>-2379157.91</v>
      </c>
      <c r="M627" s="601">
        <v>-2467884.13</v>
      </c>
      <c r="N627" s="601">
        <v>-2544422.75</v>
      </c>
      <c r="O627" s="601">
        <v>-2618677.42</v>
      </c>
      <c r="P627" s="601">
        <v>-2794060.89</v>
      </c>
      <c r="Q627" s="601">
        <v>-3109450.8</v>
      </c>
      <c r="R627" s="601">
        <v>-3574036.83</v>
      </c>
      <c r="S627" s="484">
        <f t="shared" si="95"/>
        <v>-2206117.5979166669</v>
      </c>
      <c r="T627" s="604"/>
      <c r="U627" s="642"/>
      <c r="V627" s="679"/>
      <c r="W627" s="679">
        <f t="shared" si="112"/>
        <v>-2206117.5979166669</v>
      </c>
      <c r="X627" s="702"/>
      <c r="Y627" s="679"/>
      <c r="Z627" s="679"/>
      <c r="AA627" s="642"/>
      <c r="AB627" s="679"/>
      <c r="AC627" s="644">
        <f t="shared" si="113"/>
        <v>-2206117.5979166669</v>
      </c>
      <c r="AD627" s="643"/>
      <c r="AE627" s="643"/>
      <c r="AF627" s="677">
        <f t="shared" si="108"/>
        <v>0</v>
      </c>
    </row>
    <row r="628" spans="1:32">
      <c r="A628" s="604">
        <v>618</v>
      </c>
      <c r="B628" s="316" t="s">
        <v>959</v>
      </c>
      <c r="C628" s="316" t="s">
        <v>631</v>
      </c>
      <c r="D628" s="316" t="s">
        <v>1225</v>
      </c>
      <c r="E628" s="589" t="s">
        <v>1750</v>
      </c>
      <c r="F628" s="601">
        <v>-10628565.26</v>
      </c>
      <c r="G628" s="601">
        <v>-1081894.3999999999</v>
      </c>
      <c r="H628" s="601">
        <v>-2267572.48</v>
      </c>
      <c r="I628" s="601">
        <v>-3572928.08</v>
      </c>
      <c r="J628" s="601">
        <v>-4628405.24</v>
      </c>
      <c r="K628" s="601">
        <v>-5366548.62</v>
      </c>
      <c r="L628" s="601">
        <v>-5964647.4900000002</v>
      </c>
      <c r="M628" s="601">
        <v>-6555623.9800000004</v>
      </c>
      <c r="N628" s="601">
        <v>-7188459.2300000004</v>
      </c>
      <c r="O628" s="601">
        <v>-7853023.2599999998</v>
      </c>
      <c r="P628" s="601">
        <v>-8992963.1699999999</v>
      </c>
      <c r="Q628" s="601">
        <v>-10154584.33</v>
      </c>
      <c r="R628" s="601">
        <v>-11495619.82</v>
      </c>
      <c r="S628" s="484">
        <f t="shared" si="95"/>
        <v>-6224061.9016666664</v>
      </c>
      <c r="T628" s="604"/>
      <c r="U628" s="642"/>
      <c r="V628" s="679"/>
      <c r="W628" s="679">
        <f t="shared" si="112"/>
        <v>-6224061.9016666664</v>
      </c>
      <c r="X628" s="702"/>
      <c r="Y628" s="679"/>
      <c r="Z628" s="679"/>
      <c r="AA628" s="642"/>
      <c r="AB628" s="679"/>
      <c r="AC628" s="644">
        <f t="shared" si="113"/>
        <v>-6224061.9016666664</v>
      </c>
      <c r="AD628" s="643"/>
      <c r="AE628" s="643"/>
      <c r="AF628" s="677">
        <f t="shared" si="108"/>
        <v>0</v>
      </c>
    </row>
    <row r="629" spans="1:32">
      <c r="A629" s="604">
        <v>619</v>
      </c>
      <c r="B629" s="316" t="s">
        <v>959</v>
      </c>
      <c r="C629" s="316" t="s">
        <v>631</v>
      </c>
      <c r="D629" s="316" t="s">
        <v>1231</v>
      </c>
      <c r="E629" s="589" t="s">
        <v>1771</v>
      </c>
      <c r="F629" s="601">
        <v>247687.63</v>
      </c>
      <c r="G629" s="601">
        <v>-11142.35</v>
      </c>
      <c r="H629" s="601">
        <v>42139.87</v>
      </c>
      <c r="I629" s="601">
        <v>130678.66</v>
      </c>
      <c r="J629" s="601">
        <v>213184</v>
      </c>
      <c r="K629" s="601">
        <v>254248.99</v>
      </c>
      <c r="L629" s="601">
        <v>271105.64</v>
      </c>
      <c r="M629" s="601">
        <v>304993.3</v>
      </c>
      <c r="N629" s="601">
        <v>338004.12</v>
      </c>
      <c r="O629" s="601">
        <v>359234.39</v>
      </c>
      <c r="P629" s="601">
        <v>410269.92</v>
      </c>
      <c r="Q629" s="601">
        <v>469226.13</v>
      </c>
      <c r="R629" s="601">
        <v>489197.46</v>
      </c>
      <c r="S629" s="484">
        <f t="shared" si="95"/>
        <v>262532.10125000001</v>
      </c>
      <c r="T629" s="604"/>
      <c r="U629" s="642"/>
      <c r="V629" s="679"/>
      <c r="W629" s="679">
        <f t="shared" si="112"/>
        <v>262532.10125000001</v>
      </c>
      <c r="X629" s="702"/>
      <c r="Y629" s="679"/>
      <c r="Z629" s="679"/>
      <c r="AA629" s="642"/>
      <c r="AB629" s="679"/>
      <c r="AC629" s="644">
        <f t="shared" si="113"/>
        <v>262532.10125000001</v>
      </c>
      <c r="AD629" s="643"/>
      <c r="AE629" s="643"/>
      <c r="AF629" s="677">
        <f t="shared" si="108"/>
        <v>0</v>
      </c>
    </row>
    <row r="630" spans="1:32">
      <c r="A630" s="604">
        <v>620</v>
      </c>
      <c r="B630" s="316" t="s">
        <v>959</v>
      </c>
      <c r="C630" s="316" t="s">
        <v>631</v>
      </c>
      <c r="D630" s="316" t="s">
        <v>1415</v>
      </c>
      <c r="E630" s="589" t="s">
        <v>1772</v>
      </c>
      <c r="F630" s="601">
        <v>-241595.26</v>
      </c>
      <c r="G630" s="601">
        <v>-48598.97</v>
      </c>
      <c r="H630" s="601">
        <v>-102084.88</v>
      </c>
      <c r="I630" s="601">
        <v>-160996.44</v>
      </c>
      <c r="J630" s="601">
        <v>-206998.02</v>
      </c>
      <c r="K630" s="601">
        <v>-236122.8</v>
      </c>
      <c r="L630" s="601">
        <v>-259644.24</v>
      </c>
      <c r="M630" s="601">
        <v>-283118.45</v>
      </c>
      <c r="N630" s="601">
        <v>-308323.61</v>
      </c>
      <c r="O630" s="601">
        <v>-334833.71999999997</v>
      </c>
      <c r="P630" s="601">
        <v>-381311.17</v>
      </c>
      <c r="Q630" s="601">
        <v>-425847.36</v>
      </c>
      <c r="R630" s="601">
        <v>-473018.25</v>
      </c>
      <c r="S630" s="484">
        <f t="shared" si="95"/>
        <v>-258765.53458333333</v>
      </c>
      <c r="T630" s="604"/>
      <c r="U630" s="642"/>
      <c r="V630" s="679"/>
      <c r="W630" s="679">
        <f t="shared" si="112"/>
        <v>-258765.53458333333</v>
      </c>
      <c r="X630" s="702"/>
      <c r="Y630" s="679"/>
      <c r="Z630" s="679"/>
      <c r="AA630" s="642"/>
      <c r="AB630" s="679"/>
      <c r="AC630" s="644">
        <f t="shared" si="113"/>
        <v>-258765.53458333333</v>
      </c>
      <c r="AD630" s="643"/>
      <c r="AE630" s="643"/>
      <c r="AF630" s="677">
        <f t="shared" si="108"/>
        <v>0</v>
      </c>
    </row>
    <row r="631" spans="1:32">
      <c r="A631" s="604">
        <v>621</v>
      </c>
      <c r="B631" s="316" t="s">
        <v>959</v>
      </c>
      <c r="C631" s="316" t="s">
        <v>631</v>
      </c>
      <c r="D631" s="316" t="s">
        <v>1226</v>
      </c>
      <c r="E631" s="589" t="s">
        <v>1751</v>
      </c>
      <c r="F631" s="601">
        <v>-29548.43</v>
      </c>
      <c r="G631" s="601">
        <v>0</v>
      </c>
      <c r="H631" s="601">
        <v>0</v>
      </c>
      <c r="I631" s="601">
        <v>0</v>
      </c>
      <c r="J631" s="601">
        <v>0</v>
      </c>
      <c r="K631" s="601">
        <v>0</v>
      </c>
      <c r="L631" s="601">
        <v>0</v>
      </c>
      <c r="M631" s="601">
        <v>0</v>
      </c>
      <c r="N631" s="601">
        <v>0</v>
      </c>
      <c r="O631" s="601">
        <v>0</v>
      </c>
      <c r="P631" s="601">
        <v>0</v>
      </c>
      <c r="Q631" s="601">
        <v>0</v>
      </c>
      <c r="R631" s="601">
        <v>0</v>
      </c>
      <c r="S631" s="484">
        <f t="shared" si="95"/>
        <v>-1231.1845833333334</v>
      </c>
      <c r="T631" s="604"/>
      <c r="U631" s="642"/>
      <c r="V631" s="679"/>
      <c r="W631" s="679">
        <f t="shared" si="112"/>
        <v>-1231.1845833333334</v>
      </c>
      <c r="X631" s="702"/>
      <c r="Y631" s="679"/>
      <c r="Z631" s="679"/>
      <c r="AA631" s="642"/>
      <c r="AB631" s="679"/>
      <c r="AC631" s="644">
        <f t="shared" si="113"/>
        <v>-1231.1845833333334</v>
      </c>
      <c r="AD631" s="643"/>
      <c r="AE631" s="643"/>
      <c r="AF631" s="677">
        <f t="shared" si="108"/>
        <v>0</v>
      </c>
    </row>
    <row r="632" spans="1:32">
      <c r="A632" s="604">
        <v>622</v>
      </c>
      <c r="B632" s="316" t="s">
        <v>959</v>
      </c>
      <c r="C632" s="316" t="s">
        <v>631</v>
      </c>
      <c r="D632" s="316" t="s">
        <v>1227</v>
      </c>
      <c r="E632" s="589" t="s">
        <v>1752</v>
      </c>
      <c r="F632" s="601">
        <v>-79180712.310000002</v>
      </c>
      <c r="G632" s="601">
        <v>-10499037.24</v>
      </c>
      <c r="H632" s="601">
        <v>-21640694.600000001</v>
      </c>
      <c r="I632" s="601">
        <v>-34241316.68</v>
      </c>
      <c r="J632" s="601">
        <v>-41849021.350000001</v>
      </c>
      <c r="K632" s="601">
        <v>-46892253.909999996</v>
      </c>
      <c r="L632" s="601">
        <v>-50312050.200000003</v>
      </c>
      <c r="M632" s="601">
        <v>-53358566.310000002</v>
      </c>
      <c r="N632" s="601">
        <v>-56188948</v>
      </c>
      <c r="O632" s="601">
        <v>-58893899.530000001</v>
      </c>
      <c r="P632" s="601">
        <v>-63590306.25</v>
      </c>
      <c r="Q632" s="601">
        <v>-71795380.379999995</v>
      </c>
      <c r="R632" s="601">
        <v>-84231132.900000006</v>
      </c>
      <c r="S632" s="484">
        <f t="shared" si="95"/>
        <v>-49247283.087916672</v>
      </c>
      <c r="T632" s="604"/>
      <c r="U632" s="642"/>
      <c r="V632" s="679"/>
      <c r="W632" s="679">
        <f t="shared" si="112"/>
        <v>-49247283.087916672</v>
      </c>
      <c r="X632" s="702"/>
      <c r="Y632" s="679"/>
      <c r="Z632" s="679"/>
      <c r="AA632" s="642"/>
      <c r="AB632" s="679"/>
      <c r="AC632" s="644">
        <f t="shared" si="113"/>
        <v>-49247283.087916672</v>
      </c>
      <c r="AD632" s="643"/>
      <c r="AE632" s="643"/>
      <c r="AF632" s="677">
        <f t="shared" si="108"/>
        <v>0</v>
      </c>
    </row>
    <row r="633" spans="1:32">
      <c r="A633" s="604">
        <v>623</v>
      </c>
      <c r="B633" s="316" t="s">
        <v>959</v>
      </c>
      <c r="C633" s="316" t="s">
        <v>631</v>
      </c>
      <c r="D633" s="316" t="s">
        <v>1228</v>
      </c>
      <c r="E633" s="589" t="s">
        <v>1773</v>
      </c>
      <c r="F633" s="601">
        <v>188923.97</v>
      </c>
      <c r="G633" s="601">
        <v>-320152.02</v>
      </c>
      <c r="H633" s="601">
        <v>1037055.3</v>
      </c>
      <c r="I633" s="601">
        <v>1816330.28</v>
      </c>
      <c r="J633" s="601">
        <v>1826263.37</v>
      </c>
      <c r="K633" s="601">
        <v>1837282.8</v>
      </c>
      <c r="L633" s="601">
        <v>1883799.34</v>
      </c>
      <c r="M633" s="601">
        <v>1981656.98</v>
      </c>
      <c r="N633" s="601">
        <v>1850432.57</v>
      </c>
      <c r="O633" s="601">
        <v>1996705.13</v>
      </c>
      <c r="P633" s="601">
        <v>2378792.92</v>
      </c>
      <c r="Q633" s="601">
        <v>2798208.6</v>
      </c>
      <c r="R633" s="601">
        <v>2558275.73</v>
      </c>
      <c r="S633" s="484">
        <f t="shared" si="95"/>
        <v>1704997.9266666668</v>
      </c>
      <c r="T633" s="604"/>
      <c r="U633" s="642"/>
      <c r="V633" s="679"/>
      <c r="W633" s="679">
        <f t="shared" si="112"/>
        <v>1704997.9266666668</v>
      </c>
      <c r="X633" s="702"/>
      <c r="Y633" s="679"/>
      <c r="Z633" s="679"/>
      <c r="AA633" s="642"/>
      <c r="AB633" s="679"/>
      <c r="AC633" s="644">
        <f t="shared" si="113"/>
        <v>1704997.9266666668</v>
      </c>
      <c r="AD633" s="643"/>
      <c r="AE633" s="643"/>
      <c r="AF633" s="677">
        <f t="shared" si="108"/>
        <v>0</v>
      </c>
    </row>
    <row r="634" spans="1:32">
      <c r="A634" s="604">
        <v>624</v>
      </c>
      <c r="B634" s="316" t="s">
        <v>959</v>
      </c>
      <c r="C634" s="316" t="s">
        <v>631</v>
      </c>
      <c r="D634" s="316" t="s">
        <v>1416</v>
      </c>
      <c r="E634" s="589" t="s">
        <v>1774</v>
      </c>
      <c r="F634" s="601">
        <v>-1689706.2</v>
      </c>
      <c r="G634" s="601">
        <v>-402091.06</v>
      </c>
      <c r="H634" s="601">
        <v>-829567.37</v>
      </c>
      <c r="I634" s="601">
        <v>-1314201.75</v>
      </c>
      <c r="J634" s="601">
        <v>-1593120.94</v>
      </c>
      <c r="K634" s="601">
        <v>-1760151.94</v>
      </c>
      <c r="L634" s="601">
        <v>-1868839.88</v>
      </c>
      <c r="M634" s="601">
        <v>-1964165.18</v>
      </c>
      <c r="N634" s="601">
        <v>-2052119.74</v>
      </c>
      <c r="O634" s="601">
        <v>-2135304.36</v>
      </c>
      <c r="P634" s="601">
        <v>-2287736.65</v>
      </c>
      <c r="Q634" s="601">
        <v>-2567636.0299999998</v>
      </c>
      <c r="R634" s="601">
        <v>-2955922.48</v>
      </c>
      <c r="S634" s="484">
        <f t="shared" si="95"/>
        <v>-1758145.7699999998</v>
      </c>
      <c r="T634" s="604"/>
      <c r="U634" s="642"/>
      <c r="V634" s="679"/>
      <c r="W634" s="679">
        <f t="shared" si="112"/>
        <v>-1758145.7699999998</v>
      </c>
      <c r="X634" s="702"/>
      <c r="Y634" s="679"/>
      <c r="Z634" s="679"/>
      <c r="AA634" s="642"/>
      <c r="AB634" s="679"/>
      <c r="AC634" s="644">
        <f t="shared" si="113"/>
        <v>-1758145.7699999998</v>
      </c>
      <c r="AD634" s="643"/>
      <c r="AE634" s="643"/>
      <c r="AF634" s="677">
        <f t="shared" si="108"/>
        <v>0</v>
      </c>
    </row>
    <row r="635" spans="1:32">
      <c r="A635" s="604">
        <v>625</v>
      </c>
      <c r="B635" s="316" t="s">
        <v>959</v>
      </c>
      <c r="C635" s="316" t="s">
        <v>631</v>
      </c>
      <c r="D635" s="316" t="s">
        <v>1229</v>
      </c>
      <c r="E635" s="589" t="s">
        <v>1754</v>
      </c>
      <c r="F635" s="601">
        <v>-54452.09</v>
      </c>
      <c r="G635" s="601">
        <v>-3344.32</v>
      </c>
      <c r="H635" s="601">
        <v>-7503.29</v>
      </c>
      <c r="I635" s="601">
        <v>-10068.129999999999</v>
      </c>
      <c r="J635" s="601">
        <v>-10068.129999999999</v>
      </c>
      <c r="K635" s="601">
        <v>-10068.129999999999</v>
      </c>
      <c r="L635" s="601">
        <v>-12828.35</v>
      </c>
      <c r="M635" s="601">
        <v>-12828.35</v>
      </c>
      <c r="N635" s="601">
        <v>-18661.25</v>
      </c>
      <c r="O635" s="601">
        <v>-18661.25</v>
      </c>
      <c r="P635" s="601">
        <v>-47642.78</v>
      </c>
      <c r="Q635" s="601">
        <v>-47642.78</v>
      </c>
      <c r="R635" s="601">
        <v>-51429.03</v>
      </c>
      <c r="S635" s="484">
        <f t="shared" si="95"/>
        <v>-21021.443333333333</v>
      </c>
      <c r="T635" s="604"/>
      <c r="U635" s="642"/>
      <c r="V635" s="679"/>
      <c r="W635" s="679">
        <f t="shared" si="112"/>
        <v>-21021.443333333333</v>
      </c>
      <c r="X635" s="702"/>
      <c r="Y635" s="679"/>
      <c r="Z635" s="679"/>
      <c r="AA635" s="642"/>
      <c r="AB635" s="679"/>
      <c r="AC635" s="644">
        <f t="shared" si="113"/>
        <v>-21021.443333333333</v>
      </c>
      <c r="AD635" s="643"/>
      <c r="AE635" s="643"/>
      <c r="AF635" s="677">
        <f t="shared" si="108"/>
        <v>0</v>
      </c>
    </row>
    <row r="636" spans="1:32">
      <c r="A636" s="604">
        <v>626</v>
      </c>
      <c r="B636" s="316" t="s">
        <v>959</v>
      </c>
      <c r="C636" s="316" t="s">
        <v>631</v>
      </c>
      <c r="D636" s="316" t="s">
        <v>1232</v>
      </c>
      <c r="E636" s="589" t="s">
        <v>1775</v>
      </c>
      <c r="F636" s="601">
        <v>-2345.14</v>
      </c>
      <c r="G636" s="601">
        <v>-107.98</v>
      </c>
      <c r="H636" s="601">
        <v>-172.24</v>
      </c>
      <c r="I636" s="601">
        <v>-232.24</v>
      </c>
      <c r="J636" s="601">
        <v>-291.83</v>
      </c>
      <c r="K636" s="601">
        <v>-438.9</v>
      </c>
      <c r="L636" s="601">
        <v>-602.17999999999995</v>
      </c>
      <c r="M636" s="601">
        <v>-661.66</v>
      </c>
      <c r="N636" s="601">
        <v>-833.15</v>
      </c>
      <c r="O636" s="601">
        <v>-891.83</v>
      </c>
      <c r="P636" s="601">
        <v>-1231.9100000000001</v>
      </c>
      <c r="Q636" s="601">
        <v>-1511.6</v>
      </c>
      <c r="R636" s="601">
        <v>-1933.11</v>
      </c>
      <c r="S636" s="484">
        <f t="shared" si="95"/>
        <v>-759.55375000000004</v>
      </c>
      <c r="T636" s="604"/>
      <c r="U636" s="642"/>
      <c r="V636" s="679"/>
      <c r="W636" s="679">
        <f t="shared" si="112"/>
        <v>-759.55375000000004</v>
      </c>
      <c r="X636" s="702"/>
      <c r="Y636" s="679"/>
      <c r="Z636" s="679"/>
      <c r="AA636" s="642"/>
      <c r="AB636" s="679"/>
      <c r="AC636" s="644">
        <f t="shared" si="113"/>
        <v>-759.55375000000004</v>
      </c>
      <c r="AD636" s="643"/>
      <c r="AE636" s="643"/>
      <c r="AF636" s="677">
        <f t="shared" si="108"/>
        <v>0</v>
      </c>
    </row>
    <row r="637" spans="1:32">
      <c r="A637" s="604">
        <v>627</v>
      </c>
      <c r="B637" s="316" t="s">
        <v>959</v>
      </c>
      <c r="C637" s="316" t="s">
        <v>631</v>
      </c>
      <c r="D637" s="316" t="s">
        <v>1233</v>
      </c>
      <c r="E637" s="589" t="s">
        <v>1776</v>
      </c>
      <c r="F637" s="601">
        <v>-3467.93</v>
      </c>
      <c r="G637" s="601">
        <v>-496.98</v>
      </c>
      <c r="H637" s="601">
        <v>-920.1</v>
      </c>
      <c r="I637" s="601">
        <v>-1318</v>
      </c>
      <c r="J637" s="601">
        <v>-1584.26</v>
      </c>
      <c r="K637" s="601">
        <v>-1767.52</v>
      </c>
      <c r="L637" s="601">
        <v>-1957.05</v>
      </c>
      <c r="M637" s="601">
        <v>-2080.4499999999998</v>
      </c>
      <c r="N637" s="601">
        <v>-2241.88</v>
      </c>
      <c r="O637" s="601">
        <v>-2378.21</v>
      </c>
      <c r="P637" s="601">
        <v>-2752.26</v>
      </c>
      <c r="Q637" s="601">
        <v>-2972.64</v>
      </c>
      <c r="R637" s="601">
        <v>-3356.48</v>
      </c>
      <c r="S637" s="484">
        <f t="shared" si="95"/>
        <v>-1990.1295833333334</v>
      </c>
      <c r="T637" s="604"/>
      <c r="U637" s="642"/>
      <c r="V637" s="679"/>
      <c r="W637" s="679">
        <f t="shared" si="112"/>
        <v>-1990.1295833333334</v>
      </c>
      <c r="X637" s="702"/>
      <c r="Y637" s="679"/>
      <c r="Z637" s="679"/>
      <c r="AA637" s="642"/>
      <c r="AB637" s="679"/>
      <c r="AC637" s="644">
        <f t="shared" si="113"/>
        <v>-1990.1295833333334</v>
      </c>
      <c r="AD637" s="643"/>
      <c r="AE637" s="643"/>
      <c r="AF637" s="677">
        <f t="shared" si="108"/>
        <v>0</v>
      </c>
    </row>
    <row r="638" spans="1:32">
      <c r="A638" s="604">
        <v>628</v>
      </c>
      <c r="B638" s="604" t="s">
        <v>959</v>
      </c>
      <c r="C638" s="316" t="s">
        <v>631</v>
      </c>
      <c r="D638" s="316" t="s">
        <v>1417</v>
      </c>
      <c r="E638" s="589" t="s">
        <v>1777</v>
      </c>
      <c r="F638" s="601">
        <v>-35.46</v>
      </c>
      <c r="G638" s="601">
        <v>-2.1800000000000002</v>
      </c>
      <c r="H638" s="601">
        <v>-2.37</v>
      </c>
      <c r="I638" s="601">
        <v>-2.37</v>
      </c>
      <c r="J638" s="601">
        <v>-2.37</v>
      </c>
      <c r="K638" s="601">
        <v>-5.9</v>
      </c>
      <c r="L638" s="601">
        <v>-10.06</v>
      </c>
      <c r="M638" s="601">
        <v>-10.06</v>
      </c>
      <c r="N638" s="601">
        <v>-14.55</v>
      </c>
      <c r="O638" s="601">
        <v>-14.55</v>
      </c>
      <c r="P638" s="601">
        <v>-25.87</v>
      </c>
      <c r="Q638" s="601">
        <v>-34.6</v>
      </c>
      <c r="R638" s="601">
        <v>-47.51</v>
      </c>
      <c r="S638" s="484">
        <f t="shared" si="95"/>
        <v>-13.863750000000001</v>
      </c>
      <c r="T638" s="604"/>
      <c r="U638" s="642"/>
      <c r="V638" s="679"/>
      <c r="W638" s="679">
        <f t="shared" si="112"/>
        <v>-13.863750000000001</v>
      </c>
      <c r="X638" s="702"/>
      <c r="Y638" s="679"/>
      <c r="Z638" s="679"/>
      <c r="AA638" s="642"/>
      <c r="AB638" s="679"/>
      <c r="AC638" s="644">
        <f t="shared" si="113"/>
        <v>-13.863750000000001</v>
      </c>
      <c r="AD638" s="643"/>
      <c r="AE638" s="643"/>
      <c r="AF638" s="677">
        <f t="shared" si="108"/>
        <v>0</v>
      </c>
    </row>
    <row r="639" spans="1:32">
      <c r="A639" s="604">
        <v>629</v>
      </c>
      <c r="B639" s="604" t="s">
        <v>959</v>
      </c>
      <c r="C639" s="316" t="s">
        <v>631</v>
      </c>
      <c r="D639" s="316" t="s">
        <v>1234</v>
      </c>
      <c r="E639" s="589" t="s">
        <v>1778</v>
      </c>
      <c r="F639" s="601">
        <v>-3266.14</v>
      </c>
      <c r="G639" s="601">
        <v>0</v>
      </c>
      <c r="H639" s="601">
        <v>0</v>
      </c>
      <c r="I639" s="601">
        <v>0</v>
      </c>
      <c r="J639" s="601">
        <v>0</v>
      </c>
      <c r="K639" s="601">
        <v>0</v>
      </c>
      <c r="L639" s="601">
        <v>0</v>
      </c>
      <c r="M639" s="601">
        <v>0</v>
      </c>
      <c r="N639" s="601">
        <v>0</v>
      </c>
      <c r="O639" s="601">
        <v>0</v>
      </c>
      <c r="P639" s="601">
        <v>0</v>
      </c>
      <c r="Q639" s="601">
        <v>0</v>
      </c>
      <c r="R639" s="601">
        <v>0</v>
      </c>
      <c r="S639" s="484">
        <f t="shared" si="95"/>
        <v>-136.08916666666667</v>
      </c>
      <c r="T639" s="604"/>
      <c r="U639" s="642"/>
      <c r="V639" s="679"/>
      <c r="W639" s="679">
        <f t="shared" si="112"/>
        <v>-136.08916666666667</v>
      </c>
      <c r="X639" s="702"/>
      <c r="Y639" s="679"/>
      <c r="Z639" s="679"/>
      <c r="AA639" s="642"/>
      <c r="AB639" s="679"/>
      <c r="AC639" s="644">
        <f t="shared" si="113"/>
        <v>-136.08916666666667</v>
      </c>
      <c r="AD639" s="643"/>
      <c r="AE639" s="643"/>
      <c r="AF639" s="677">
        <f t="shared" si="108"/>
        <v>0</v>
      </c>
    </row>
    <row r="640" spans="1:32">
      <c r="A640" s="604">
        <v>630</v>
      </c>
      <c r="B640" s="604" t="s">
        <v>959</v>
      </c>
      <c r="C640" s="316" t="s">
        <v>631</v>
      </c>
      <c r="D640" s="316" t="s">
        <v>1230</v>
      </c>
      <c r="E640" s="589" t="s">
        <v>1755</v>
      </c>
      <c r="F640" s="601">
        <v>-1213225.9099999999</v>
      </c>
      <c r="G640" s="601">
        <v>-124207.65</v>
      </c>
      <c r="H640" s="601">
        <v>-247565.82</v>
      </c>
      <c r="I640" s="601">
        <v>-376285.15</v>
      </c>
      <c r="J640" s="601">
        <v>-495128.44</v>
      </c>
      <c r="K640" s="601">
        <v>-602311.25</v>
      </c>
      <c r="L640" s="601">
        <v>-682926.34</v>
      </c>
      <c r="M640" s="601">
        <v>-746372.73</v>
      </c>
      <c r="N640" s="601">
        <v>-816340.67</v>
      </c>
      <c r="O640" s="601">
        <v>-870684.71</v>
      </c>
      <c r="P640" s="601">
        <v>-933734.32</v>
      </c>
      <c r="Q640" s="601">
        <v>-1061766.92</v>
      </c>
      <c r="R640" s="601">
        <v>-1202440.45</v>
      </c>
      <c r="S640" s="484">
        <f t="shared" si="95"/>
        <v>-680429.76500000001</v>
      </c>
      <c r="T640" s="604"/>
      <c r="U640" s="642"/>
      <c r="V640" s="679"/>
      <c r="W640" s="679">
        <f t="shared" si="112"/>
        <v>-680429.76500000001</v>
      </c>
      <c r="X640" s="702"/>
      <c r="Y640" s="679"/>
      <c r="Z640" s="679"/>
      <c r="AA640" s="642"/>
      <c r="AB640" s="679"/>
      <c r="AC640" s="644">
        <f t="shared" si="113"/>
        <v>-680429.76500000001</v>
      </c>
      <c r="AD640" s="643"/>
      <c r="AE640" s="643"/>
      <c r="AF640" s="677">
        <f t="shared" si="108"/>
        <v>0</v>
      </c>
    </row>
    <row r="641" spans="1:32">
      <c r="A641" s="604">
        <v>631</v>
      </c>
      <c r="B641" s="316" t="s">
        <v>959</v>
      </c>
      <c r="C641" s="316" t="s">
        <v>631</v>
      </c>
      <c r="D641" s="316" t="s">
        <v>1235</v>
      </c>
      <c r="E641" s="589" t="s">
        <v>1779</v>
      </c>
      <c r="F641" s="601">
        <v>-37768.239999999998</v>
      </c>
      <c r="G641" s="601">
        <v>-6134.82</v>
      </c>
      <c r="H641" s="601">
        <v>-12012.5</v>
      </c>
      <c r="I641" s="601">
        <v>-13324.49</v>
      </c>
      <c r="J641" s="601">
        <v>-16701.689999999999</v>
      </c>
      <c r="K641" s="601">
        <v>-18129.04</v>
      </c>
      <c r="L641" s="601">
        <v>-19178.830000000002</v>
      </c>
      <c r="M641" s="601">
        <v>-18400.28</v>
      </c>
      <c r="N641" s="601">
        <v>-20825.009999999998</v>
      </c>
      <c r="O641" s="601">
        <v>-19444.53</v>
      </c>
      <c r="P641" s="601">
        <v>-36753.32</v>
      </c>
      <c r="Q641" s="601">
        <v>-18014.23</v>
      </c>
      <c r="R641" s="601">
        <v>-20059.57</v>
      </c>
      <c r="S641" s="484">
        <f t="shared" si="95"/>
        <v>-18986.053750000003</v>
      </c>
      <c r="T641" s="604"/>
      <c r="U641" s="642"/>
      <c r="V641" s="679"/>
      <c r="W641" s="679">
        <f t="shared" si="112"/>
        <v>-18986.053750000003</v>
      </c>
      <c r="X641" s="702"/>
      <c r="Y641" s="679"/>
      <c r="Z641" s="679"/>
      <c r="AA641" s="642"/>
      <c r="AB641" s="679"/>
      <c r="AC641" s="644">
        <f t="shared" si="113"/>
        <v>-18986.053750000003</v>
      </c>
      <c r="AD641" s="643"/>
      <c r="AE641" s="643"/>
      <c r="AF641" s="677">
        <f t="shared" si="108"/>
        <v>0</v>
      </c>
    </row>
    <row r="642" spans="1:32">
      <c r="A642" s="604">
        <v>632</v>
      </c>
      <c r="B642" s="316" t="s">
        <v>959</v>
      </c>
      <c r="C642" s="316" t="s">
        <v>631</v>
      </c>
      <c r="D642" s="316" t="s">
        <v>1418</v>
      </c>
      <c r="E642" s="589" t="s">
        <v>1780</v>
      </c>
      <c r="F642" s="601">
        <v>-33021.06</v>
      </c>
      <c r="G642" s="601">
        <v>-7173.67</v>
      </c>
      <c r="H642" s="601">
        <v>-14301.33</v>
      </c>
      <c r="I642" s="601">
        <v>-21742.2</v>
      </c>
      <c r="J642" s="601">
        <v>-28576.12</v>
      </c>
      <c r="K642" s="601">
        <v>-33849.120000000003</v>
      </c>
      <c r="L642" s="601">
        <v>-37766.85</v>
      </c>
      <c r="M642" s="601">
        <v>-40823.43</v>
      </c>
      <c r="N642" s="601">
        <v>-44129.01</v>
      </c>
      <c r="O642" s="601">
        <v>-46707.47</v>
      </c>
      <c r="P642" s="601">
        <v>-49776.58</v>
      </c>
      <c r="Q642" s="601">
        <v>-56188.43</v>
      </c>
      <c r="R642" s="601">
        <v>-62243.55</v>
      </c>
      <c r="S642" s="484">
        <f t="shared" si="95"/>
        <v>-35722.209583333337</v>
      </c>
      <c r="T642" s="604"/>
      <c r="U642" s="642"/>
      <c r="V642" s="679"/>
      <c r="W642" s="679">
        <f t="shared" si="112"/>
        <v>-35722.209583333337</v>
      </c>
      <c r="X642" s="702"/>
      <c r="Y642" s="679"/>
      <c r="Z642" s="679"/>
      <c r="AA642" s="642"/>
      <c r="AB642" s="679"/>
      <c r="AC642" s="644">
        <f t="shared" si="113"/>
        <v>-35722.209583333337</v>
      </c>
      <c r="AD642" s="643"/>
      <c r="AE642" s="643"/>
      <c r="AF642" s="677">
        <f t="shared" si="108"/>
        <v>0</v>
      </c>
    </row>
    <row r="643" spans="1:32">
      <c r="A643" s="604">
        <v>633</v>
      </c>
      <c r="B643" s="316" t="s">
        <v>984</v>
      </c>
      <c r="C643" s="316" t="s">
        <v>632</v>
      </c>
      <c r="D643" s="316" t="s">
        <v>1223</v>
      </c>
      <c r="E643" s="589" t="s">
        <v>1756</v>
      </c>
      <c r="F643" s="601">
        <v>999034.86</v>
      </c>
      <c r="G643" s="601">
        <v>-62177.74</v>
      </c>
      <c r="H643" s="601">
        <v>-410981.96</v>
      </c>
      <c r="I643" s="601">
        <v>998030.61</v>
      </c>
      <c r="J643" s="601">
        <v>1978429.15</v>
      </c>
      <c r="K643" s="601">
        <v>2907179.96</v>
      </c>
      <c r="L643" s="601">
        <v>3123756.83</v>
      </c>
      <c r="M643" s="601">
        <v>3282263.93</v>
      </c>
      <c r="N643" s="601">
        <v>3538652.94</v>
      </c>
      <c r="O643" s="601">
        <v>3142494.99</v>
      </c>
      <c r="P643" s="601">
        <v>1649019.22</v>
      </c>
      <c r="Q643" s="601">
        <v>586257.81000000006</v>
      </c>
      <c r="R643" s="601">
        <v>64063.2600000003</v>
      </c>
      <c r="S643" s="484">
        <f t="shared" si="95"/>
        <v>1772039.5666666664</v>
      </c>
      <c r="T643" s="604"/>
      <c r="U643" s="642"/>
      <c r="V643" s="679"/>
      <c r="W643" s="679">
        <f t="shared" si="112"/>
        <v>1772039.5666666664</v>
      </c>
      <c r="X643" s="702"/>
      <c r="Y643" s="679"/>
      <c r="Z643" s="679"/>
      <c r="AA643" s="642"/>
      <c r="AB643" s="679"/>
      <c r="AC643" s="644">
        <f t="shared" si="113"/>
        <v>1772039.5666666664</v>
      </c>
      <c r="AD643" s="643"/>
      <c r="AE643" s="643"/>
      <c r="AF643" s="677">
        <f t="shared" si="108"/>
        <v>0</v>
      </c>
    </row>
    <row r="644" spans="1:32">
      <c r="A644" s="604">
        <v>634</v>
      </c>
      <c r="B644" s="316" t="s">
        <v>984</v>
      </c>
      <c r="C644" s="316" t="s">
        <v>632</v>
      </c>
      <c r="D644" s="316" t="s">
        <v>1227</v>
      </c>
      <c r="E644" s="589" t="s">
        <v>1757</v>
      </c>
      <c r="F644" s="601">
        <v>550202.9</v>
      </c>
      <c r="G644" s="601">
        <v>24382.080000000002</v>
      </c>
      <c r="H644" s="601">
        <v>-220380.4</v>
      </c>
      <c r="I644" s="601">
        <v>555464.92000000004</v>
      </c>
      <c r="J644" s="601">
        <v>1141879.06</v>
      </c>
      <c r="K644" s="601">
        <v>1624968</v>
      </c>
      <c r="L644" s="601">
        <v>1723115.26</v>
      </c>
      <c r="M644" s="601">
        <v>1750801.68</v>
      </c>
      <c r="N644" s="601">
        <v>1927594.36</v>
      </c>
      <c r="O644" s="601">
        <v>1631275.81</v>
      </c>
      <c r="P644" s="601">
        <v>761588.56</v>
      </c>
      <c r="Q644" s="601">
        <v>-1162.87000000023</v>
      </c>
      <c r="R644" s="601">
        <v>-116275.02</v>
      </c>
      <c r="S644" s="484">
        <f t="shared" si="95"/>
        <v>928040.86666666658</v>
      </c>
      <c r="T644" s="604"/>
      <c r="U644" s="642"/>
      <c r="V644" s="679"/>
      <c r="W644" s="679">
        <f t="shared" si="112"/>
        <v>928040.86666666658</v>
      </c>
      <c r="X644" s="702"/>
      <c r="Y644" s="679"/>
      <c r="Z644" s="679"/>
      <c r="AA644" s="642"/>
      <c r="AB644" s="679"/>
      <c r="AC644" s="644">
        <f t="shared" si="113"/>
        <v>928040.86666666658</v>
      </c>
      <c r="AD644" s="643"/>
      <c r="AE644" s="643"/>
      <c r="AF644" s="677">
        <f t="shared" si="108"/>
        <v>0</v>
      </c>
    </row>
    <row r="645" spans="1:32">
      <c r="A645" s="604">
        <v>635</v>
      </c>
      <c r="B645" s="604" t="s">
        <v>984</v>
      </c>
      <c r="C645" s="316" t="s">
        <v>632</v>
      </c>
      <c r="D645" s="316" t="s">
        <v>1230</v>
      </c>
      <c r="E645" s="589" t="s">
        <v>1758</v>
      </c>
      <c r="F645" s="601">
        <v>47343.45</v>
      </c>
      <c r="G645" s="601">
        <v>-1561.66</v>
      </c>
      <c r="H645" s="601">
        <v>-1964.01</v>
      </c>
      <c r="I645" s="601">
        <v>18406.63</v>
      </c>
      <c r="J645" s="601">
        <v>68118.36</v>
      </c>
      <c r="K645" s="601">
        <v>86737.25</v>
      </c>
      <c r="L645" s="601">
        <v>99234.39</v>
      </c>
      <c r="M645" s="601">
        <v>100444.61</v>
      </c>
      <c r="N645" s="601">
        <v>102851.18</v>
      </c>
      <c r="O645" s="601">
        <v>97749.4</v>
      </c>
      <c r="P645" s="601">
        <v>48261.72</v>
      </c>
      <c r="Q645" s="601">
        <v>-850.15999999998905</v>
      </c>
      <c r="R645" s="601">
        <v>-32783.61</v>
      </c>
      <c r="S645" s="484">
        <f t="shared" si="95"/>
        <v>52058.969166666669</v>
      </c>
      <c r="T645" s="604"/>
      <c r="U645" s="642"/>
      <c r="V645" s="679"/>
      <c r="W645" s="679">
        <f t="shared" si="112"/>
        <v>52058.969166666669</v>
      </c>
      <c r="X645" s="702"/>
      <c r="Y645" s="679"/>
      <c r="Z645" s="679"/>
      <c r="AA645" s="642"/>
      <c r="AB645" s="679"/>
      <c r="AC645" s="644">
        <f t="shared" si="113"/>
        <v>52058.969166666669</v>
      </c>
      <c r="AD645" s="643"/>
      <c r="AE645" s="643"/>
      <c r="AF645" s="677">
        <f t="shared" si="108"/>
        <v>0</v>
      </c>
    </row>
    <row r="646" spans="1:32">
      <c r="A646" s="604">
        <v>636</v>
      </c>
      <c r="B646" s="604" t="s">
        <v>959</v>
      </c>
      <c r="C646" s="316" t="s">
        <v>632</v>
      </c>
      <c r="D646" s="316" t="s">
        <v>1223</v>
      </c>
      <c r="E646" s="589" t="s">
        <v>1756</v>
      </c>
      <c r="F646" s="601">
        <v>3374622.68</v>
      </c>
      <c r="G646" s="601">
        <v>-1344.14</v>
      </c>
      <c r="H646" s="601">
        <v>-2463980.2999999998</v>
      </c>
      <c r="I646" s="601">
        <v>1886464.21</v>
      </c>
      <c r="J646" s="601">
        <v>5241236.08</v>
      </c>
      <c r="K646" s="601">
        <v>7130166.5199999996</v>
      </c>
      <c r="L646" s="601">
        <v>8034036.7699999996</v>
      </c>
      <c r="M646" s="601">
        <v>8135627.71</v>
      </c>
      <c r="N646" s="601">
        <v>8892139.3300000001</v>
      </c>
      <c r="O646" s="601">
        <v>7631615.7800000003</v>
      </c>
      <c r="P646" s="601">
        <v>3903787.65</v>
      </c>
      <c r="Q646" s="601">
        <v>-192516.25</v>
      </c>
      <c r="R646" s="601">
        <v>-2017201.21</v>
      </c>
      <c r="S646" s="484">
        <f t="shared" si="95"/>
        <v>4072995.3412500001</v>
      </c>
      <c r="T646" s="604"/>
      <c r="U646" s="642"/>
      <c r="V646" s="679"/>
      <c r="W646" s="679">
        <f t="shared" si="112"/>
        <v>4072995.3412500001</v>
      </c>
      <c r="X646" s="702"/>
      <c r="Y646" s="679"/>
      <c r="Z646" s="679"/>
      <c r="AA646" s="642"/>
      <c r="AB646" s="679"/>
      <c r="AC646" s="644">
        <f t="shared" si="113"/>
        <v>4072995.3412500001</v>
      </c>
      <c r="AD646" s="643"/>
      <c r="AE646" s="643"/>
      <c r="AF646" s="677">
        <f t="shared" si="108"/>
        <v>0</v>
      </c>
    </row>
    <row r="647" spans="1:32">
      <c r="A647" s="604">
        <v>637</v>
      </c>
      <c r="B647" s="316" t="s">
        <v>959</v>
      </c>
      <c r="C647" s="316" t="s">
        <v>632</v>
      </c>
      <c r="D647" s="316" t="s">
        <v>1227</v>
      </c>
      <c r="E647" s="589" t="s">
        <v>1757</v>
      </c>
      <c r="F647" s="601">
        <v>2090238.1</v>
      </c>
      <c r="G647" s="601">
        <v>16964.689999999999</v>
      </c>
      <c r="H647" s="601">
        <v>-1611473.73</v>
      </c>
      <c r="I647" s="601">
        <v>1033586.64</v>
      </c>
      <c r="J647" s="601">
        <v>3241911.49</v>
      </c>
      <c r="K647" s="601">
        <v>4721962.2</v>
      </c>
      <c r="L647" s="601">
        <v>5158958.49</v>
      </c>
      <c r="M647" s="601">
        <v>5096312.51</v>
      </c>
      <c r="N647" s="601">
        <v>5782423.8700000001</v>
      </c>
      <c r="O647" s="601">
        <v>4516556.3499999996</v>
      </c>
      <c r="P647" s="601">
        <v>1282667.2</v>
      </c>
      <c r="Q647" s="601">
        <v>-2415264.3199999998</v>
      </c>
      <c r="R647" s="601">
        <v>-3501522.79</v>
      </c>
      <c r="S647" s="484">
        <f t="shared" si="95"/>
        <v>2176580.2537499997</v>
      </c>
      <c r="T647" s="604"/>
      <c r="U647" s="642"/>
      <c r="V647" s="679"/>
      <c r="W647" s="679">
        <f t="shared" si="112"/>
        <v>2176580.2537499997</v>
      </c>
      <c r="X647" s="702"/>
      <c r="Y647" s="679"/>
      <c r="Z647" s="679"/>
      <c r="AA647" s="642"/>
      <c r="AB647" s="679"/>
      <c r="AC647" s="644">
        <f t="shared" si="113"/>
        <v>2176580.2537499997</v>
      </c>
      <c r="AD647" s="643"/>
      <c r="AE647" s="643"/>
      <c r="AF647" s="677">
        <f t="shared" si="108"/>
        <v>0</v>
      </c>
    </row>
    <row r="648" spans="1:32">
      <c r="A648" s="604">
        <v>638</v>
      </c>
      <c r="B648" s="316" t="s">
        <v>959</v>
      </c>
      <c r="C648" s="316" t="s">
        <v>632</v>
      </c>
      <c r="D648" s="316" t="s">
        <v>1232</v>
      </c>
      <c r="E648" s="589" t="s">
        <v>1781</v>
      </c>
      <c r="F648" s="601">
        <v>237.33</v>
      </c>
      <c r="G648" s="601">
        <v>45.73</v>
      </c>
      <c r="H648" s="601">
        <v>50.18</v>
      </c>
      <c r="I648" s="601">
        <v>50.18</v>
      </c>
      <c r="J648" s="601">
        <v>-40.89</v>
      </c>
      <c r="K648" s="601">
        <v>-57.24</v>
      </c>
      <c r="L648" s="601">
        <v>50.18</v>
      </c>
      <c r="M648" s="601">
        <v>-65.78</v>
      </c>
      <c r="N648" s="601">
        <v>50.18</v>
      </c>
      <c r="O648" s="601">
        <v>-242.21</v>
      </c>
      <c r="P648" s="601">
        <v>-175.34</v>
      </c>
      <c r="Q648" s="601">
        <v>-322.68</v>
      </c>
      <c r="R648" s="601">
        <v>-148.01</v>
      </c>
      <c r="S648" s="484">
        <f t="shared" si="95"/>
        <v>-51.085833333333341</v>
      </c>
      <c r="T648" s="604"/>
      <c r="U648" s="642"/>
      <c r="V648" s="679"/>
      <c r="W648" s="679">
        <f t="shared" si="112"/>
        <v>-51.085833333333341</v>
      </c>
      <c r="X648" s="702"/>
      <c r="Y648" s="679"/>
      <c r="Z648" s="679"/>
      <c r="AA648" s="642"/>
      <c r="AB648" s="679"/>
      <c r="AC648" s="644">
        <f t="shared" si="113"/>
        <v>-51.085833333333341</v>
      </c>
      <c r="AD648" s="643"/>
      <c r="AE648" s="643"/>
      <c r="AF648" s="677">
        <f t="shared" si="108"/>
        <v>0</v>
      </c>
    </row>
    <row r="649" spans="1:32">
      <c r="A649" s="604">
        <v>639</v>
      </c>
      <c r="B649" s="316" t="s">
        <v>959</v>
      </c>
      <c r="C649" s="316" t="s">
        <v>632</v>
      </c>
      <c r="D649" s="316" t="s">
        <v>1230</v>
      </c>
      <c r="E649" s="589" t="s">
        <v>1758</v>
      </c>
      <c r="F649" s="601">
        <v>13073.21</v>
      </c>
      <c r="G649" s="601">
        <v>810.06</v>
      </c>
      <c r="H649" s="601">
        <v>-4698.57</v>
      </c>
      <c r="I649" s="601">
        <v>6377.51</v>
      </c>
      <c r="J649" s="601">
        <v>19799.46</v>
      </c>
      <c r="K649" s="601">
        <v>47956.29</v>
      </c>
      <c r="L649" s="601">
        <v>65917.63</v>
      </c>
      <c r="M649" s="601">
        <v>59345.55</v>
      </c>
      <c r="N649" s="601">
        <v>75562.240000000005</v>
      </c>
      <c r="O649" s="601">
        <v>65454.82</v>
      </c>
      <c r="P649" s="601">
        <v>-5508.2399999999898</v>
      </c>
      <c r="Q649" s="601">
        <v>-18245.77</v>
      </c>
      <c r="R649" s="601">
        <v>-33675.279999999999</v>
      </c>
      <c r="S649" s="484">
        <f t="shared" si="95"/>
        <v>25205.828750000001</v>
      </c>
      <c r="T649" s="604"/>
      <c r="U649" s="642"/>
      <c r="V649" s="679"/>
      <c r="W649" s="679">
        <f t="shared" si="112"/>
        <v>25205.828750000001</v>
      </c>
      <c r="X649" s="702"/>
      <c r="Y649" s="679"/>
      <c r="Z649" s="679"/>
      <c r="AA649" s="642"/>
      <c r="AB649" s="679"/>
      <c r="AC649" s="644">
        <f t="shared" si="113"/>
        <v>25205.828750000001</v>
      </c>
      <c r="AD649" s="643"/>
      <c r="AE649" s="643"/>
      <c r="AF649" s="677">
        <f t="shared" si="108"/>
        <v>0</v>
      </c>
    </row>
    <row r="650" spans="1:32">
      <c r="A650" s="604">
        <v>640</v>
      </c>
      <c r="B650" s="316" t="s">
        <v>959</v>
      </c>
      <c r="C650" s="316" t="s">
        <v>632</v>
      </c>
      <c r="D650" s="316" t="s">
        <v>1414</v>
      </c>
      <c r="E650" s="589" t="s">
        <v>1926</v>
      </c>
      <c r="F650" s="601">
        <v>0</v>
      </c>
      <c r="G650" s="601">
        <v>0</v>
      </c>
      <c r="H650" s="601">
        <v>-90871.42</v>
      </c>
      <c r="I650" s="601">
        <v>69660.240000000005</v>
      </c>
      <c r="J650" s="601">
        <v>209531.44</v>
      </c>
      <c r="K650" s="601">
        <v>272514.12</v>
      </c>
      <c r="L650" s="601">
        <v>302651.90000000002</v>
      </c>
      <c r="M650" s="601">
        <v>306039.25</v>
      </c>
      <c r="N650" s="601">
        <v>331263.64</v>
      </c>
      <c r="O650" s="601">
        <v>289233.96000000002</v>
      </c>
      <c r="P650" s="601">
        <v>164936.84</v>
      </c>
      <c r="Q650" s="601">
        <v>66133.98</v>
      </c>
      <c r="R650" s="601">
        <v>12218.77</v>
      </c>
      <c r="S650" s="484">
        <f t="shared" si="95"/>
        <v>160600.27791666667</v>
      </c>
      <c r="T650" s="604"/>
      <c r="U650" s="642"/>
      <c r="V650" s="679"/>
      <c r="W650" s="679">
        <f t="shared" si="112"/>
        <v>160600.27791666667</v>
      </c>
      <c r="X650" s="702"/>
      <c r="Y650" s="679"/>
      <c r="Z650" s="679"/>
      <c r="AA650" s="642"/>
      <c r="AB650" s="679"/>
      <c r="AC650" s="644">
        <f t="shared" si="113"/>
        <v>160600.27791666667</v>
      </c>
      <c r="AD650" s="643"/>
      <c r="AE650" s="643"/>
      <c r="AF650" s="677"/>
    </row>
    <row r="651" spans="1:32">
      <c r="A651" s="604">
        <v>641</v>
      </c>
      <c r="B651" s="316" t="s">
        <v>959</v>
      </c>
      <c r="C651" s="316" t="s">
        <v>632</v>
      </c>
      <c r="D651" s="316" t="s">
        <v>1416</v>
      </c>
      <c r="E651" s="589" t="s">
        <v>1927</v>
      </c>
      <c r="F651" s="601">
        <v>0</v>
      </c>
      <c r="G651" s="601">
        <v>1085.6300000000001</v>
      </c>
      <c r="H651" s="601">
        <v>-64218.29</v>
      </c>
      <c r="I651" s="601">
        <v>42371.89</v>
      </c>
      <c r="J651" s="601">
        <v>145269.76000000001</v>
      </c>
      <c r="K651" s="601">
        <v>198404.65</v>
      </c>
      <c r="L651" s="601">
        <v>214108.72</v>
      </c>
      <c r="M651" s="601">
        <v>211886.52</v>
      </c>
      <c r="N651" s="601">
        <v>236651.49</v>
      </c>
      <c r="O651" s="601">
        <v>190966.21</v>
      </c>
      <c r="P651" s="601">
        <v>100995.93</v>
      </c>
      <c r="Q651" s="601">
        <v>9639.0699999999597</v>
      </c>
      <c r="R651" s="601">
        <v>-20097.54</v>
      </c>
      <c r="S651" s="484">
        <f t="shared" si="95"/>
        <v>106426.0675</v>
      </c>
      <c r="T651" s="604"/>
      <c r="U651" s="642"/>
      <c r="V651" s="679"/>
      <c r="W651" s="679">
        <f t="shared" si="112"/>
        <v>106426.0675</v>
      </c>
      <c r="X651" s="702"/>
      <c r="Y651" s="679"/>
      <c r="Z651" s="679"/>
      <c r="AA651" s="642"/>
      <c r="AB651" s="679"/>
      <c r="AC651" s="644">
        <f t="shared" si="113"/>
        <v>106426.0675</v>
      </c>
      <c r="AD651" s="643"/>
      <c r="AE651" s="643"/>
      <c r="AF651" s="677"/>
    </row>
    <row r="652" spans="1:32">
      <c r="A652" s="604">
        <v>642</v>
      </c>
      <c r="B652" s="316" t="s">
        <v>984</v>
      </c>
      <c r="C652" s="316" t="s">
        <v>633</v>
      </c>
      <c r="D652" s="316" t="s">
        <v>1236</v>
      </c>
      <c r="E652" s="589" t="s">
        <v>1759</v>
      </c>
      <c r="F652" s="601">
        <v>-140982.17000000001</v>
      </c>
      <c r="G652" s="601">
        <v>-12256.15</v>
      </c>
      <c r="H652" s="601">
        <v>-26549.47</v>
      </c>
      <c r="I652" s="601">
        <v>-44603.13</v>
      </c>
      <c r="J652" s="601">
        <v>-66606.009999999995</v>
      </c>
      <c r="K652" s="601">
        <v>-86272.63</v>
      </c>
      <c r="L652" s="601">
        <v>-100734.47</v>
      </c>
      <c r="M652" s="601">
        <v>-110497.17</v>
      </c>
      <c r="N652" s="601">
        <v>-119149.39</v>
      </c>
      <c r="O652" s="601">
        <v>-127065.43</v>
      </c>
      <c r="P652" s="601">
        <v>-137027.87</v>
      </c>
      <c r="Q652" s="601">
        <v>-145581.19</v>
      </c>
      <c r="R652" s="601">
        <v>-159699.38</v>
      </c>
      <c r="S652" s="484">
        <f t="shared" si="95"/>
        <v>-93890.307083333333</v>
      </c>
      <c r="T652" s="604"/>
      <c r="U652" s="642"/>
      <c r="V652" s="679"/>
      <c r="W652" s="679">
        <f t="shared" si="112"/>
        <v>-93890.307083333333</v>
      </c>
      <c r="X652" s="702"/>
      <c r="Y652" s="679"/>
      <c r="Z652" s="679"/>
      <c r="AA652" s="642"/>
      <c r="AB652" s="679"/>
      <c r="AC652" s="644">
        <f t="shared" si="113"/>
        <v>-93890.307083333333</v>
      </c>
      <c r="AD652" s="643"/>
      <c r="AE652" s="643"/>
      <c r="AF652" s="677">
        <f t="shared" si="108"/>
        <v>0</v>
      </c>
    </row>
    <row r="653" spans="1:32">
      <c r="A653" s="604">
        <v>643</v>
      </c>
      <c r="B653" s="604" t="s">
        <v>984</v>
      </c>
      <c r="C653" s="316" t="s">
        <v>633</v>
      </c>
      <c r="D653" s="316" t="s">
        <v>1237</v>
      </c>
      <c r="E653" s="589" t="s">
        <v>1760</v>
      </c>
      <c r="F653" s="601">
        <v>-5487.69</v>
      </c>
      <c r="G653" s="601">
        <v>0</v>
      </c>
      <c r="H653" s="601">
        <v>0</v>
      </c>
      <c r="I653" s="601">
        <v>0</v>
      </c>
      <c r="J653" s="601">
        <v>0</v>
      </c>
      <c r="K653" s="601">
        <v>0</v>
      </c>
      <c r="L653" s="601">
        <v>3080</v>
      </c>
      <c r="M653" s="601">
        <v>2286.1</v>
      </c>
      <c r="N653" s="601">
        <v>-456.34</v>
      </c>
      <c r="O653" s="601">
        <v>-3649.39</v>
      </c>
      <c r="P653" s="601">
        <v>-3649.39</v>
      </c>
      <c r="Q653" s="601">
        <v>-4734.2</v>
      </c>
      <c r="R653" s="601">
        <v>-10284.31</v>
      </c>
      <c r="S653" s="484">
        <f t="shared" si="95"/>
        <v>-1250.7683333333332</v>
      </c>
      <c r="T653" s="604"/>
      <c r="U653" s="642"/>
      <c r="V653" s="679"/>
      <c r="W653" s="679">
        <f t="shared" si="112"/>
        <v>-1250.7683333333332</v>
      </c>
      <c r="X653" s="702"/>
      <c r="Y653" s="679"/>
      <c r="Z653" s="679"/>
      <c r="AA653" s="642"/>
      <c r="AB653" s="679"/>
      <c r="AC653" s="644">
        <f t="shared" si="113"/>
        <v>-1250.7683333333332</v>
      </c>
      <c r="AD653" s="643"/>
      <c r="AE653" s="643"/>
      <c r="AF653" s="677">
        <f t="shared" si="108"/>
        <v>0</v>
      </c>
    </row>
    <row r="654" spans="1:32">
      <c r="A654" s="604">
        <v>644</v>
      </c>
      <c r="B654" s="604" t="s">
        <v>959</v>
      </c>
      <c r="C654" s="316" t="s">
        <v>633</v>
      </c>
      <c r="D654" s="316" t="s">
        <v>1242</v>
      </c>
      <c r="E654" s="589" t="s">
        <v>1782</v>
      </c>
      <c r="F654" s="601">
        <v>-11067.2</v>
      </c>
      <c r="G654" s="601">
        <v>0</v>
      </c>
      <c r="H654" s="601">
        <v>2041.34</v>
      </c>
      <c r="I654" s="601">
        <v>2041.34</v>
      </c>
      <c r="J654" s="601">
        <v>2041.34</v>
      </c>
      <c r="K654" s="601">
        <v>2041.34</v>
      </c>
      <c r="L654" s="601">
        <v>2041.34</v>
      </c>
      <c r="M654" s="601">
        <v>1388.54</v>
      </c>
      <c r="N654" s="601">
        <v>-1338.06</v>
      </c>
      <c r="O654" s="601">
        <v>-1338.06</v>
      </c>
      <c r="P654" s="601">
        <v>-5098.68</v>
      </c>
      <c r="Q654" s="601">
        <v>-5098.68</v>
      </c>
      <c r="R654" s="601">
        <v>-6738.68</v>
      </c>
      <c r="S654" s="484">
        <f t="shared" si="95"/>
        <v>-848.43166666666684</v>
      </c>
      <c r="T654" s="604"/>
      <c r="U654" s="642"/>
      <c r="V654" s="679"/>
      <c r="W654" s="679">
        <f t="shared" si="112"/>
        <v>-848.43166666666684</v>
      </c>
      <c r="X654" s="702"/>
      <c r="Y654" s="679"/>
      <c r="Z654" s="679"/>
      <c r="AA654" s="642"/>
      <c r="AB654" s="679"/>
      <c r="AC654" s="644">
        <f t="shared" si="113"/>
        <v>-848.43166666666684</v>
      </c>
      <c r="AD654" s="643"/>
      <c r="AE654" s="643"/>
      <c r="AF654" s="677">
        <f t="shared" si="108"/>
        <v>0</v>
      </c>
    </row>
    <row r="655" spans="1:32">
      <c r="A655" s="604">
        <v>645</v>
      </c>
      <c r="B655" s="316" t="s">
        <v>959</v>
      </c>
      <c r="C655" s="316" t="s">
        <v>633</v>
      </c>
      <c r="D655" s="316" t="s">
        <v>1238</v>
      </c>
      <c r="E655" s="589" t="s">
        <v>1783</v>
      </c>
      <c r="F655" s="601">
        <v>-658.89</v>
      </c>
      <c r="G655" s="601">
        <v>0</v>
      </c>
      <c r="H655" s="601">
        <v>0</v>
      </c>
      <c r="I655" s="601">
        <v>0</v>
      </c>
      <c r="J655" s="601">
        <v>0</v>
      </c>
      <c r="K655" s="601">
        <v>0</v>
      </c>
      <c r="L655" s="601">
        <v>0</v>
      </c>
      <c r="M655" s="601">
        <v>0</v>
      </c>
      <c r="N655" s="601">
        <v>0</v>
      </c>
      <c r="O655" s="601">
        <v>0</v>
      </c>
      <c r="P655" s="601">
        <v>0</v>
      </c>
      <c r="Q655" s="601">
        <v>0</v>
      </c>
      <c r="R655" s="601">
        <v>0</v>
      </c>
      <c r="S655" s="484">
        <f t="shared" si="95"/>
        <v>-27.453749999999999</v>
      </c>
      <c r="T655" s="604"/>
      <c r="U655" s="642"/>
      <c r="V655" s="679"/>
      <c r="W655" s="679">
        <f t="shared" si="112"/>
        <v>-27.453749999999999</v>
      </c>
      <c r="X655" s="702"/>
      <c r="Y655" s="679"/>
      <c r="Z655" s="679"/>
      <c r="AA655" s="642"/>
      <c r="AB655" s="679"/>
      <c r="AC655" s="644">
        <f t="shared" si="113"/>
        <v>-27.453749999999999</v>
      </c>
      <c r="AD655" s="643"/>
      <c r="AE655" s="643"/>
      <c r="AF655" s="677">
        <f t="shared" si="108"/>
        <v>0</v>
      </c>
    </row>
    <row r="656" spans="1:32">
      <c r="A656" s="604">
        <v>646</v>
      </c>
      <c r="B656" s="316" t="s">
        <v>959</v>
      </c>
      <c r="C656" s="316" t="s">
        <v>633</v>
      </c>
      <c r="D656" s="316" t="s">
        <v>1236</v>
      </c>
      <c r="E656" s="589" t="s">
        <v>1759</v>
      </c>
      <c r="F656" s="601">
        <v>-686266.72</v>
      </c>
      <c r="G656" s="601">
        <v>-66421.89</v>
      </c>
      <c r="H656" s="601">
        <v>-129116</v>
      </c>
      <c r="I656" s="601">
        <v>-199295.82</v>
      </c>
      <c r="J656" s="601">
        <v>-259174.85</v>
      </c>
      <c r="K656" s="601">
        <v>-305446.2</v>
      </c>
      <c r="L656" s="601">
        <v>-343104.03</v>
      </c>
      <c r="M656" s="601">
        <v>-371966.42</v>
      </c>
      <c r="N656" s="601">
        <v>-398405.15</v>
      </c>
      <c r="O656" s="601">
        <v>-421188.39</v>
      </c>
      <c r="P656" s="601">
        <v>-453639.51</v>
      </c>
      <c r="Q656" s="601">
        <v>-482862.39</v>
      </c>
      <c r="R656" s="601">
        <v>-521426.68</v>
      </c>
      <c r="S656" s="484">
        <f t="shared" si="95"/>
        <v>-336205.61249999999</v>
      </c>
      <c r="T656" s="604"/>
      <c r="U656" s="642"/>
      <c r="V656" s="679"/>
      <c r="W656" s="679">
        <f t="shared" si="112"/>
        <v>-336205.61249999999</v>
      </c>
      <c r="X656" s="702"/>
      <c r="Y656" s="679"/>
      <c r="Z656" s="679"/>
      <c r="AA656" s="642"/>
      <c r="AB656" s="679"/>
      <c r="AC656" s="644">
        <f t="shared" si="113"/>
        <v>-336205.61249999999</v>
      </c>
      <c r="AD656" s="643"/>
      <c r="AE656" s="643"/>
      <c r="AF656" s="677">
        <f t="shared" si="108"/>
        <v>0</v>
      </c>
    </row>
    <row r="657" spans="1:32">
      <c r="A657" s="604">
        <v>647</v>
      </c>
      <c r="B657" s="316" t="s">
        <v>959</v>
      </c>
      <c r="C657" s="316" t="s">
        <v>633</v>
      </c>
      <c r="D657" s="316" t="s">
        <v>1237</v>
      </c>
      <c r="E657" s="589" t="s">
        <v>1784</v>
      </c>
      <c r="F657" s="601">
        <v>-80723.89</v>
      </c>
      <c r="G657" s="601">
        <v>0</v>
      </c>
      <c r="H657" s="601">
        <v>46008.06</v>
      </c>
      <c r="I657" s="601">
        <v>46228.06</v>
      </c>
      <c r="J657" s="601">
        <v>37914.300000000003</v>
      </c>
      <c r="K657" s="601">
        <v>37914.300000000003</v>
      </c>
      <c r="L657" s="601">
        <v>35449.1</v>
      </c>
      <c r="M657" s="601">
        <v>31109.47</v>
      </c>
      <c r="N657" s="601">
        <v>26315.14</v>
      </c>
      <c r="O657" s="601">
        <v>19593.03</v>
      </c>
      <c r="P657" s="601">
        <v>18050.29</v>
      </c>
      <c r="Q657" s="601">
        <v>5211.08</v>
      </c>
      <c r="R657" s="601">
        <v>495.599999999999</v>
      </c>
      <c r="S657" s="484">
        <f t="shared" si="95"/>
        <v>21973.223749999994</v>
      </c>
      <c r="T657" s="604"/>
      <c r="U657" s="642"/>
      <c r="V657" s="679"/>
      <c r="W657" s="679">
        <f t="shared" si="112"/>
        <v>21973.223749999994</v>
      </c>
      <c r="X657" s="702"/>
      <c r="Y657" s="679"/>
      <c r="Z657" s="679"/>
      <c r="AA657" s="642"/>
      <c r="AB657" s="679"/>
      <c r="AC657" s="644">
        <f t="shared" si="113"/>
        <v>21973.223749999994</v>
      </c>
      <c r="AD657" s="643"/>
      <c r="AE657" s="643"/>
      <c r="AF657" s="677">
        <f t="shared" ref="AF657:AF697" si="114">+U657+V657-AD657</f>
        <v>0</v>
      </c>
    </row>
    <row r="658" spans="1:32">
      <c r="A658" s="604">
        <v>648</v>
      </c>
      <c r="B658" s="604" t="s">
        <v>984</v>
      </c>
      <c r="C658" s="316" t="s">
        <v>123</v>
      </c>
      <c r="D658" s="316" t="s">
        <v>1239</v>
      </c>
      <c r="E658" s="589" t="s">
        <v>1761</v>
      </c>
      <c r="F658" s="601">
        <v>-2711571.86</v>
      </c>
      <c r="G658" s="601">
        <v>-215774.49</v>
      </c>
      <c r="H658" s="601">
        <v>-452141.57</v>
      </c>
      <c r="I658" s="601">
        <v>-671307.46</v>
      </c>
      <c r="J658" s="601">
        <v>-910733.06</v>
      </c>
      <c r="K658" s="601">
        <v>-1144418.47</v>
      </c>
      <c r="L658" s="601">
        <v>-1403989.25</v>
      </c>
      <c r="M658" s="601">
        <v>-1659926.97</v>
      </c>
      <c r="N658" s="601">
        <v>-1907514.43</v>
      </c>
      <c r="O658" s="601">
        <v>-2158251.5699999998</v>
      </c>
      <c r="P658" s="601">
        <v>-2420963.89</v>
      </c>
      <c r="Q658" s="601">
        <v>-2698038.52</v>
      </c>
      <c r="R658" s="601">
        <v>-2947273.72</v>
      </c>
      <c r="S658" s="484">
        <f t="shared" si="95"/>
        <v>-1539373.5391666666</v>
      </c>
      <c r="T658" s="604"/>
      <c r="U658" s="642"/>
      <c r="V658" s="679"/>
      <c r="W658" s="679">
        <f t="shared" si="112"/>
        <v>-1539373.5391666666</v>
      </c>
      <c r="X658" s="702"/>
      <c r="Y658" s="679"/>
      <c r="Z658" s="679"/>
      <c r="AA658" s="642"/>
      <c r="AB658" s="679"/>
      <c r="AC658" s="644">
        <f t="shared" si="113"/>
        <v>-1539373.5391666666</v>
      </c>
      <c r="AD658" s="643"/>
      <c r="AE658" s="643"/>
      <c r="AF658" s="677">
        <f t="shared" si="114"/>
        <v>0</v>
      </c>
    </row>
    <row r="659" spans="1:32">
      <c r="A659" s="604">
        <v>649</v>
      </c>
      <c r="B659" s="316" t="s">
        <v>984</v>
      </c>
      <c r="C659" s="316" t="s">
        <v>123</v>
      </c>
      <c r="D659" s="316" t="s">
        <v>1240</v>
      </c>
      <c r="E659" s="589" t="s">
        <v>1762</v>
      </c>
      <c r="F659" s="601">
        <v>-1423332.79</v>
      </c>
      <c r="G659" s="601">
        <v>-131375.94</v>
      </c>
      <c r="H659" s="601">
        <v>-253228.69</v>
      </c>
      <c r="I659" s="601">
        <v>-380246.18</v>
      </c>
      <c r="J659" s="601">
        <v>-499898.83</v>
      </c>
      <c r="K659" s="601">
        <v>-605392.73</v>
      </c>
      <c r="L659" s="601">
        <v>-706020.67</v>
      </c>
      <c r="M659" s="601">
        <v>-815772.71</v>
      </c>
      <c r="N659" s="601">
        <v>-943469.65</v>
      </c>
      <c r="O659" s="601">
        <v>-1071780.99</v>
      </c>
      <c r="P659" s="601">
        <v>-1197426.67</v>
      </c>
      <c r="Q659" s="601">
        <v>-1326083.8</v>
      </c>
      <c r="R659" s="601">
        <v>-1453712.59</v>
      </c>
      <c r="S659" s="484">
        <f t="shared" si="95"/>
        <v>-780768.2958333334</v>
      </c>
      <c r="T659" s="604"/>
      <c r="U659" s="642"/>
      <c r="V659" s="679"/>
      <c r="W659" s="679">
        <f t="shared" si="112"/>
        <v>-780768.2958333334</v>
      </c>
      <c r="X659" s="702"/>
      <c r="Y659" s="679"/>
      <c r="Z659" s="679"/>
      <c r="AA659" s="642"/>
      <c r="AB659" s="679"/>
      <c r="AC659" s="644">
        <f t="shared" si="113"/>
        <v>-780768.2958333334</v>
      </c>
      <c r="AD659" s="643"/>
      <c r="AE659" s="643"/>
      <c r="AF659" s="677">
        <f t="shared" si="114"/>
        <v>0</v>
      </c>
    </row>
    <row r="660" spans="1:32">
      <c r="A660" s="604">
        <v>650</v>
      </c>
      <c r="B660" s="316" t="s">
        <v>959</v>
      </c>
      <c r="C660" s="316" t="s">
        <v>123</v>
      </c>
      <c r="D660" s="316" t="s">
        <v>1239</v>
      </c>
      <c r="E660" s="589" t="s">
        <v>1761</v>
      </c>
      <c r="F660" s="601">
        <v>-15401260.67</v>
      </c>
      <c r="G660" s="601">
        <v>-1278826.8999999999</v>
      </c>
      <c r="H660" s="601">
        <v>-2638578.7200000002</v>
      </c>
      <c r="I660" s="601">
        <v>-3976110.09</v>
      </c>
      <c r="J660" s="601">
        <v>-5294653.7300000004</v>
      </c>
      <c r="K660" s="601">
        <v>-6560503.7400000002</v>
      </c>
      <c r="L660" s="601">
        <v>-7808074.6100000003</v>
      </c>
      <c r="M660" s="601">
        <v>-9039951.9299999997</v>
      </c>
      <c r="N660" s="601">
        <v>-10249959.119999999</v>
      </c>
      <c r="O660" s="601">
        <v>-11486160.49</v>
      </c>
      <c r="P660" s="601">
        <v>-12814088.75</v>
      </c>
      <c r="Q660" s="601">
        <v>-14180347.17</v>
      </c>
      <c r="R660" s="601">
        <v>-15481019.82</v>
      </c>
      <c r="S660" s="484">
        <f t="shared" si="95"/>
        <v>-8397366.2912499998</v>
      </c>
      <c r="T660" s="604"/>
      <c r="U660" s="642"/>
      <c r="V660" s="679"/>
      <c r="W660" s="679">
        <f t="shared" si="112"/>
        <v>-8397366.2912499998</v>
      </c>
      <c r="X660" s="702"/>
      <c r="Y660" s="679"/>
      <c r="Z660" s="679"/>
      <c r="AA660" s="642"/>
      <c r="AB660" s="679"/>
      <c r="AC660" s="644">
        <f t="shared" si="113"/>
        <v>-8397366.2912499998</v>
      </c>
      <c r="AD660" s="643"/>
      <c r="AE660" s="643"/>
      <c r="AF660" s="677">
        <f t="shared" si="114"/>
        <v>0</v>
      </c>
    </row>
    <row r="661" spans="1:32">
      <c r="A661" s="604">
        <v>651</v>
      </c>
      <c r="B661" s="604" t="s">
        <v>959</v>
      </c>
      <c r="C661" s="316" t="s">
        <v>123</v>
      </c>
      <c r="D661" s="316" t="s">
        <v>1240</v>
      </c>
      <c r="E661" s="589" t="s">
        <v>1762</v>
      </c>
      <c r="F661" s="601">
        <v>-7759181.6299999999</v>
      </c>
      <c r="G661" s="601">
        <v>-673031.52</v>
      </c>
      <c r="H661" s="601">
        <v>-1339174.8500000001</v>
      </c>
      <c r="I661" s="601">
        <v>-2009186.07</v>
      </c>
      <c r="J661" s="601">
        <v>-2666870.58</v>
      </c>
      <c r="K661" s="601">
        <v>-3285795.58</v>
      </c>
      <c r="L661" s="601">
        <v>-3836276.72</v>
      </c>
      <c r="M661" s="601">
        <v>-4442681.8899999997</v>
      </c>
      <c r="N661" s="601">
        <v>-5299607.18</v>
      </c>
      <c r="O661" s="601">
        <v>-6212927.3399999999</v>
      </c>
      <c r="P661" s="601">
        <v>-7050671.2999999998</v>
      </c>
      <c r="Q661" s="601">
        <v>-7703424.7199999997</v>
      </c>
      <c r="R661" s="601">
        <v>-8374092.2400000002</v>
      </c>
      <c r="S661" s="484">
        <f t="shared" si="95"/>
        <v>-4382190.3904166669</v>
      </c>
      <c r="T661" s="604"/>
      <c r="U661" s="642"/>
      <c r="V661" s="679"/>
      <c r="W661" s="679">
        <f t="shared" si="112"/>
        <v>-4382190.3904166669</v>
      </c>
      <c r="X661" s="702"/>
      <c r="Y661" s="679"/>
      <c r="Z661" s="679"/>
      <c r="AA661" s="642"/>
      <c r="AB661" s="679"/>
      <c r="AC661" s="644">
        <f t="shared" si="113"/>
        <v>-4382190.3904166669</v>
      </c>
      <c r="AD661" s="643"/>
      <c r="AE661" s="643"/>
      <c r="AF661" s="677">
        <f t="shared" si="114"/>
        <v>0</v>
      </c>
    </row>
    <row r="662" spans="1:32">
      <c r="A662" s="604">
        <v>652</v>
      </c>
      <c r="B662" s="604" t="s">
        <v>959</v>
      </c>
      <c r="C662" s="316" t="s">
        <v>634</v>
      </c>
      <c r="D662" s="316" t="s">
        <v>1239</v>
      </c>
      <c r="E662" s="589" t="s">
        <v>1763</v>
      </c>
      <c r="F662" s="601">
        <v>110797.96</v>
      </c>
      <c r="G662" s="601">
        <v>-80907.600000000006</v>
      </c>
      <c r="H662" s="601">
        <v>-56293.74</v>
      </c>
      <c r="I662" s="601">
        <v>-40593.620000000003</v>
      </c>
      <c r="J662" s="601">
        <v>12962.06</v>
      </c>
      <c r="K662" s="601">
        <v>32621.7</v>
      </c>
      <c r="L662" s="601">
        <v>46926.77</v>
      </c>
      <c r="M662" s="601">
        <v>72798.12</v>
      </c>
      <c r="N662" s="601">
        <v>46553.53</v>
      </c>
      <c r="O662" s="601">
        <v>6715.47</v>
      </c>
      <c r="P662" s="601">
        <v>-87381.58</v>
      </c>
      <c r="Q662" s="601">
        <v>-19460.04</v>
      </c>
      <c r="R662" s="601">
        <v>-61336.62</v>
      </c>
      <c r="S662" s="484">
        <f t="shared" si="95"/>
        <v>-3444.0216666666661</v>
      </c>
      <c r="T662" s="604"/>
      <c r="U662" s="642"/>
      <c r="V662" s="679"/>
      <c r="W662" s="679">
        <f t="shared" si="112"/>
        <v>-3444.0216666666661</v>
      </c>
      <c r="X662" s="702"/>
      <c r="Y662" s="679"/>
      <c r="Z662" s="679"/>
      <c r="AA662" s="642"/>
      <c r="AB662" s="679"/>
      <c r="AC662" s="644">
        <f t="shared" si="113"/>
        <v>-3444.0216666666661</v>
      </c>
      <c r="AD662" s="643"/>
      <c r="AE662" s="643"/>
      <c r="AF662" s="677"/>
    </row>
    <row r="663" spans="1:32">
      <c r="A663" s="604">
        <v>653</v>
      </c>
      <c r="B663" s="604" t="s">
        <v>959</v>
      </c>
      <c r="C663" s="316" t="s">
        <v>634</v>
      </c>
      <c r="D663" s="316" t="s">
        <v>1240</v>
      </c>
      <c r="E663" s="589" t="s">
        <v>1764</v>
      </c>
      <c r="F663" s="601">
        <v>43315.199999999997</v>
      </c>
      <c r="G663" s="601">
        <v>6890.68</v>
      </c>
      <c r="H663" s="601">
        <v>2966.25</v>
      </c>
      <c r="I663" s="601">
        <v>15287.16</v>
      </c>
      <c r="J663" s="601">
        <v>54019.31</v>
      </c>
      <c r="K663" s="601">
        <v>122421.04</v>
      </c>
      <c r="L663" s="601">
        <v>66594.59</v>
      </c>
      <c r="M663" s="601">
        <v>-183745.92000000001</v>
      </c>
      <c r="N663" s="601">
        <v>-240064.83</v>
      </c>
      <c r="O663" s="601">
        <v>-164574.29999999999</v>
      </c>
      <c r="P663" s="601">
        <v>20215.52</v>
      </c>
      <c r="Q663" s="601">
        <v>2363.7599999999902</v>
      </c>
      <c r="R663" s="601">
        <v>-178179.26</v>
      </c>
      <c r="S663" s="484">
        <f t="shared" si="95"/>
        <v>-30421.56416666666</v>
      </c>
      <c r="T663" s="604"/>
      <c r="U663" s="642"/>
      <c r="V663" s="679"/>
      <c r="W663" s="679">
        <f t="shared" si="112"/>
        <v>-30421.56416666666</v>
      </c>
      <c r="X663" s="702"/>
      <c r="Y663" s="679"/>
      <c r="Z663" s="679"/>
      <c r="AA663" s="642"/>
      <c r="AB663" s="679"/>
      <c r="AC663" s="644">
        <f t="shared" si="113"/>
        <v>-30421.56416666666</v>
      </c>
      <c r="AD663" s="643"/>
      <c r="AE663" s="643"/>
      <c r="AF663" s="677"/>
    </row>
    <row r="664" spans="1:32">
      <c r="A664" s="604">
        <v>654</v>
      </c>
      <c r="B664" s="316" t="s">
        <v>984</v>
      </c>
      <c r="C664" s="316" t="s">
        <v>634</v>
      </c>
      <c r="D664" s="604" t="s">
        <v>1239</v>
      </c>
      <c r="E664" s="589" t="s">
        <v>1763</v>
      </c>
      <c r="F664" s="601">
        <v>14614.39</v>
      </c>
      <c r="G664" s="601">
        <v>-20425.59</v>
      </c>
      <c r="H664" s="601">
        <v>-3444.68</v>
      </c>
      <c r="I664" s="601">
        <v>-22974.99</v>
      </c>
      <c r="J664" s="601">
        <v>-17437.82</v>
      </c>
      <c r="K664" s="601">
        <v>-43341.43</v>
      </c>
      <c r="L664" s="601">
        <v>-39704.26</v>
      </c>
      <c r="M664" s="601">
        <v>-31335.63</v>
      </c>
      <c r="N664" s="601">
        <v>-34483.31</v>
      </c>
      <c r="O664" s="601">
        <v>-46595.040000000001</v>
      </c>
      <c r="P664" s="601">
        <v>-63727.839999999997</v>
      </c>
      <c r="Q664" s="601">
        <v>-35938.35</v>
      </c>
      <c r="R664" s="601">
        <v>-31143.1</v>
      </c>
      <c r="S664" s="484">
        <f t="shared" si="95"/>
        <v>-30639.44125</v>
      </c>
      <c r="T664" s="604"/>
      <c r="U664" s="642"/>
      <c r="V664" s="679"/>
      <c r="W664" s="679">
        <f t="shared" si="112"/>
        <v>-30639.44125</v>
      </c>
      <c r="X664" s="702"/>
      <c r="Y664" s="679"/>
      <c r="Z664" s="679"/>
      <c r="AA664" s="642"/>
      <c r="AB664" s="679"/>
      <c r="AC664" s="644">
        <f t="shared" si="113"/>
        <v>-30639.44125</v>
      </c>
      <c r="AD664" s="643"/>
      <c r="AE664" s="643"/>
      <c r="AF664" s="677">
        <f t="shared" si="114"/>
        <v>0</v>
      </c>
    </row>
    <row r="665" spans="1:32">
      <c r="A665" s="604">
        <v>655</v>
      </c>
      <c r="B665" s="522" t="s">
        <v>984</v>
      </c>
      <c r="C665" s="316" t="s">
        <v>634</v>
      </c>
      <c r="D665" s="604" t="s">
        <v>1240</v>
      </c>
      <c r="E665" s="595" t="s">
        <v>1764</v>
      </c>
      <c r="F665" s="601">
        <v>-5388.73</v>
      </c>
      <c r="G665" s="601">
        <v>9523.19</v>
      </c>
      <c r="H665" s="601">
        <v>4358.45</v>
      </c>
      <c r="I665" s="601">
        <v>11723.29</v>
      </c>
      <c r="J665" s="601">
        <v>25882.04</v>
      </c>
      <c r="K665" s="601">
        <v>30748</v>
      </c>
      <c r="L665" s="601">
        <v>21623.9</v>
      </c>
      <c r="M665" s="601">
        <v>3679</v>
      </c>
      <c r="N665" s="601">
        <v>3064.6</v>
      </c>
      <c r="O665" s="601">
        <v>5730.26</v>
      </c>
      <c r="P665" s="601">
        <v>2718.81</v>
      </c>
      <c r="Q665" s="601">
        <v>3747.15</v>
      </c>
      <c r="R665" s="601">
        <v>-146.91999999999999</v>
      </c>
      <c r="S665" s="484">
        <f t="shared" si="95"/>
        <v>10002.572083333333</v>
      </c>
      <c r="T665" s="604"/>
      <c r="U665" s="642"/>
      <c r="V665" s="679"/>
      <c r="W665" s="679">
        <f t="shared" si="112"/>
        <v>10002.572083333333</v>
      </c>
      <c r="X665" s="702"/>
      <c r="Y665" s="679"/>
      <c r="Z665" s="679"/>
      <c r="AA665" s="642"/>
      <c r="AB665" s="679"/>
      <c r="AC665" s="644">
        <f t="shared" si="113"/>
        <v>10002.572083333333</v>
      </c>
      <c r="AD665" s="643"/>
      <c r="AE665" s="643"/>
      <c r="AF665" s="677">
        <f t="shared" si="114"/>
        <v>0</v>
      </c>
    </row>
    <row r="666" spans="1:32">
      <c r="A666" s="604">
        <v>656</v>
      </c>
      <c r="B666" s="522" t="s">
        <v>984</v>
      </c>
      <c r="C666" s="316" t="s">
        <v>125</v>
      </c>
      <c r="D666" s="604"/>
      <c r="E666" s="595" t="s">
        <v>635</v>
      </c>
      <c r="F666" s="601">
        <v>-11000</v>
      </c>
      <c r="G666" s="601">
        <v>-1000</v>
      </c>
      <c r="H666" s="601">
        <v>-2000</v>
      </c>
      <c r="I666" s="601">
        <v>-4000</v>
      </c>
      <c r="J666" s="601">
        <v>-5000</v>
      </c>
      <c r="K666" s="601">
        <v>-6000</v>
      </c>
      <c r="L666" s="601">
        <v>-7000</v>
      </c>
      <c r="M666" s="601">
        <v>-7000</v>
      </c>
      <c r="N666" s="601">
        <v>-8000</v>
      </c>
      <c r="O666" s="601">
        <v>-9000</v>
      </c>
      <c r="P666" s="601">
        <v>-11000</v>
      </c>
      <c r="Q666" s="601">
        <v>-11000</v>
      </c>
      <c r="R666" s="601">
        <v>-12000</v>
      </c>
      <c r="S666" s="484">
        <f t="shared" si="95"/>
        <v>-6875</v>
      </c>
      <c r="T666" s="604"/>
      <c r="U666" s="642"/>
      <c r="V666" s="679"/>
      <c r="W666" s="679">
        <f t="shared" si="112"/>
        <v>-6875</v>
      </c>
      <c r="X666" s="702"/>
      <c r="Y666" s="679"/>
      <c r="Z666" s="679"/>
      <c r="AA666" s="642"/>
      <c r="AB666" s="679"/>
      <c r="AC666" s="644">
        <f t="shared" si="113"/>
        <v>-6875</v>
      </c>
      <c r="AD666" s="643"/>
      <c r="AE666" s="643"/>
      <c r="AF666" s="677">
        <f t="shared" si="114"/>
        <v>0</v>
      </c>
    </row>
    <row r="667" spans="1:32">
      <c r="A667" s="604">
        <v>657</v>
      </c>
      <c r="B667" s="522" t="s">
        <v>959</v>
      </c>
      <c r="C667" s="316" t="s">
        <v>125</v>
      </c>
      <c r="D667" s="604"/>
      <c r="E667" s="595" t="s">
        <v>635</v>
      </c>
      <c r="F667" s="601">
        <v>-100</v>
      </c>
      <c r="G667" s="601">
        <v>0</v>
      </c>
      <c r="H667" s="601">
        <v>0</v>
      </c>
      <c r="I667" s="601">
        <v>0</v>
      </c>
      <c r="J667" s="601">
        <v>0</v>
      </c>
      <c r="K667" s="601">
        <v>0</v>
      </c>
      <c r="L667" s="601">
        <v>0</v>
      </c>
      <c r="M667" s="601">
        <v>0</v>
      </c>
      <c r="N667" s="601">
        <v>0</v>
      </c>
      <c r="O667" s="601">
        <v>0</v>
      </c>
      <c r="P667" s="601">
        <v>0</v>
      </c>
      <c r="Q667" s="601">
        <v>0</v>
      </c>
      <c r="R667" s="601">
        <v>0</v>
      </c>
      <c r="S667" s="484">
        <f t="shared" si="95"/>
        <v>-4.166666666666667</v>
      </c>
      <c r="T667" s="604"/>
      <c r="U667" s="642"/>
      <c r="V667" s="679"/>
      <c r="W667" s="679">
        <f t="shared" si="112"/>
        <v>-4.166666666666667</v>
      </c>
      <c r="X667" s="702"/>
      <c r="Y667" s="679"/>
      <c r="Z667" s="679"/>
      <c r="AA667" s="642"/>
      <c r="AB667" s="679"/>
      <c r="AC667" s="644">
        <f t="shared" si="113"/>
        <v>-4.166666666666667</v>
      </c>
      <c r="AD667" s="643"/>
      <c r="AE667" s="643"/>
      <c r="AF667" s="677">
        <f t="shared" si="114"/>
        <v>0</v>
      </c>
    </row>
    <row r="668" spans="1:32">
      <c r="A668" s="604">
        <v>658</v>
      </c>
      <c r="B668" s="522" t="s">
        <v>956</v>
      </c>
      <c r="C668" s="316" t="s">
        <v>127</v>
      </c>
      <c r="D668" s="604"/>
      <c r="E668" s="595" t="s">
        <v>128</v>
      </c>
      <c r="F668" s="601">
        <v>-114312</v>
      </c>
      <c r="G668" s="601">
        <v>-14184</v>
      </c>
      <c r="H668" s="601">
        <v>-28368</v>
      </c>
      <c r="I668" s="601">
        <v>-42552</v>
      </c>
      <c r="J668" s="601">
        <v>-56736</v>
      </c>
      <c r="K668" s="601">
        <v>0</v>
      </c>
      <c r="L668" s="601">
        <v>0</v>
      </c>
      <c r="M668" s="601">
        <v>0</v>
      </c>
      <c r="N668" s="601">
        <v>0</v>
      </c>
      <c r="O668" s="601">
        <v>0</v>
      </c>
      <c r="P668" s="601">
        <v>0</v>
      </c>
      <c r="Q668" s="601">
        <v>0</v>
      </c>
      <c r="R668" s="601">
        <v>0</v>
      </c>
      <c r="S668" s="484">
        <f t="shared" si="95"/>
        <v>-16583</v>
      </c>
      <c r="T668" s="604"/>
      <c r="U668" s="642"/>
      <c r="V668" s="679"/>
      <c r="W668" s="679">
        <f t="shared" si="112"/>
        <v>-16583</v>
      </c>
      <c r="X668" s="702"/>
      <c r="Y668" s="679"/>
      <c r="Z668" s="679"/>
      <c r="AA668" s="642"/>
      <c r="AB668" s="679"/>
      <c r="AC668" s="644">
        <f t="shared" si="113"/>
        <v>-16583</v>
      </c>
      <c r="AD668" s="643"/>
      <c r="AE668" s="643"/>
      <c r="AF668" s="677">
        <f t="shared" si="114"/>
        <v>0</v>
      </c>
    </row>
    <row r="669" spans="1:32">
      <c r="A669" s="604">
        <v>659</v>
      </c>
      <c r="B669" s="522" t="s">
        <v>956</v>
      </c>
      <c r="C669" s="316" t="s">
        <v>127</v>
      </c>
      <c r="D669" s="604" t="s">
        <v>1922</v>
      </c>
      <c r="E669" s="595" t="s">
        <v>1923</v>
      </c>
      <c r="F669" s="601">
        <v>0</v>
      </c>
      <c r="G669" s="601">
        <v>0</v>
      </c>
      <c r="H669" s="601">
        <v>0</v>
      </c>
      <c r="I669" s="601">
        <v>0</v>
      </c>
      <c r="J669" s="601">
        <v>0</v>
      </c>
      <c r="K669" s="601">
        <v>-34175</v>
      </c>
      <c r="L669" s="601">
        <v>-41010</v>
      </c>
      <c r="M669" s="601">
        <v>-47845</v>
      </c>
      <c r="N669" s="601">
        <v>-54680</v>
      </c>
      <c r="O669" s="601">
        <v>-61515</v>
      </c>
      <c r="P669" s="601">
        <v>-68350</v>
      </c>
      <c r="Q669" s="601">
        <v>-75185</v>
      </c>
      <c r="R669" s="601">
        <v>-82020</v>
      </c>
      <c r="S669" s="484">
        <f t="shared" si="95"/>
        <v>-35314.166666666664</v>
      </c>
      <c r="T669" s="604"/>
      <c r="U669" s="642"/>
      <c r="V669" s="679"/>
      <c r="W669" s="679">
        <f t="shared" si="112"/>
        <v>-35314.166666666664</v>
      </c>
      <c r="X669" s="702"/>
      <c r="Y669" s="679"/>
      <c r="Z669" s="679"/>
      <c r="AA669" s="642"/>
      <c r="AB669" s="679"/>
      <c r="AC669" s="644">
        <f t="shared" si="113"/>
        <v>-35314.166666666664</v>
      </c>
      <c r="AD669" s="643"/>
      <c r="AE669" s="643"/>
      <c r="AF669" s="677"/>
    </row>
    <row r="670" spans="1:32">
      <c r="A670" s="604">
        <v>660</v>
      </c>
      <c r="B670" s="522" t="s">
        <v>956</v>
      </c>
      <c r="C670" s="316" t="s">
        <v>127</v>
      </c>
      <c r="D670" s="604" t="s">
        <v>1924</v>
      </c>
      <c r="E670" s="595" t="s">
        <v>1925</v>
      </c>
      <c r="F670" s="601">
        <v>0</v>
      </c>
      <c r="G670" s="601">
        <v>0</v>
      </c>
      <c r="H670" s="601">
        <v>0</v>
      </c>
      <c r="I670" s="601">
        <v>0</v>
      </c>
      <c r="J670" s="601">
        <v>0</v>
      </c>
      <c r="K670" s="601">
        <v>-36745</v>
      </c>
      <c r="L670" s="601">
        <v>-44094</v>
      </c>
      <c r="M670" s="601">
        <v>-51443</v>
      </c>
      <c r="N670" s="601">
        <v>-58792</v>
      </c>
      <c r="O670" s="601">
        <v>-66141</v>
      </c>
      <c r="P670" s="601">
        <v>-73490</v>
      </c>
      <c r="Q670" s="601">
        <v>-80839</v>
      </c>
      <c r="R670" s="601">
        <v>-88188</v>
      </c>
      <c r="S670" s="484">
        <f t="shared" si="95"/>
        <v>-37969.833333333336</v>
      </c>
      <c r="T670" s="604"/>
      <c r="U670" s="642"/>
      <c r="V670" s="679"/>
      <c r="W670" s="679">
        <f t="shared" si="112"/>
        <v>-37969.833333333336</v>
      </c>
      <c r="X670" s="702"/>
      <c r="Y670" s="679"/>
      <c r="Z670" s="679"/>
      <c r="AA670" s="642"/>
      <c r="AB670" s="679"/>
      <c r="AC670" s="644">
        <f t="shared" si="113"/>
        <v>-37969.833333333336</v>
      </c>
      <c r="AD670" s="643"/>
      <c r="AE670" s="643"/>
      <c r="AF670" s="677"/>
    </row>
    <row r="671" spans="1:32">
      <c r="A671" s="604">
        <v>661</v>
      </c>
      <c r="B671" s="316" t="s">
        <v>956</v>
      </c>
      <c r="C671" s="316" t="s">
        <v>129</v>
      </c>
      <c r="D671" s="316" t="s">
        <v>1241</v>
      </c>
      <c r="E671" s="589" t="s">
        <v>1747</v>
      </c>
      <c r="F671" s="601">
        <v>-56362.15</v>
      </c>
      <c r="G671" s="601">
        <v>-224.3</v>
      </c>
      <c r="H671" s="601">
        <v>-224.3</v>
      </c>
      <c r="I671" s="601">
        <v>-224.3</v>
      </c>
      <c r="J671" s="601">
        <v>-224.3</v>
      </c>
      <c r="K671" s="601">
        <v>-224.3</v>
      </c>
      <c r="L671" s="601">
        <v>-224.3</v>
      </c>
      <c r="M671" s="601">
        <v>-224.3</v>
      </c>
      <c r="N671" s="601">
        <v>-224.3</v>
      </c>
      <c r="O671" s="601">
        <v>-224.3</v>
      </c>
      <c r="P671" s="601">
        <v>-224.3</v>
      </c>
      <c r="Q671" s="601">
        <v>-224.3</v>
      </c>
      <c r="R671" s="601">
        <v>-224.3</v>
      </c>
      <c r="S671" s="484">
        <f t="shared" si="95"/>
        <v>-2563.3770833333333</v>
      </c>
      <c r="T671" s="604"/>
      <c r="U671" s="642"/>
      <c r="V671" s="679"/>
      <c r="W671" s="679">
        <f t="shared" si="112"/>
        <v>-2563.3770833333333</v>
      </c>
      <c r="X671" s="702"/>
      <c r="Y671" s="679"/>
      <c r="Z671" s="679"/>
      <c r="AA671" s="642"/>
      <c r="AB671" s="679"/>
      <c r="AC671" s="644">
        <f t="shared" si="113"/>
        <v>-2563.3770833333333</v>
      </c>
      <c r="AD671" s="643"/>
      <c r="AE671" s="643"/>
      <c r="AF671" s="677">
        <f t="shared" si="114"/>
        <v>0</v>
      </c>
    </row>
    <row r="672" spans="1:32">
      <c r="A672" s="604">
        <v>662</v>
      </c>
      <c r="B672" s="604" t="s">
        <v>984</v>
      </c>
      <c r="C672" s="316" t="s">
        <v>129</v>
      </c>
      <c r="D672" s="316" t="s">
        <v>1242</v>
      </c>
      <c r="E672" s="589" t="s">
        <v>1765</v>
      </c>
      <c r="F672" s="601">
        <v>0</v>
      </c>
      <c r="G672" s="601">
        <v>0</v>
      </c>
      <c r="H672" s="601">
        <v>0</v>
      </c>
      <c r="I672" s="601">
        <v>0</v>
      </c>
      <c r="J672" s="601">
        <v>0</v>
      </c>
      <c r="K672" s="601">
        <v>0</v>
      </c>
      <c r="L672" s="601">
        <v>0</v>
      </c>
      <c r="M672" s="601">
        <v>0</v>
      </c>
      <c r="N672" s="601">
        <v>0</v>
      </c>
      <c r="O672" s="601">
        <v>0</v>
      </c>
      <c r="P672" s="601">
        <v>0</v>
      </c>
      <c r="Q672" s="601">
        <v>0</v>
      </c>
      <c r="R672" s="601">
        <v>0</v>
      </c>
      <c r="S672" s="484">
        <f t="shared" si="95"/>
        <v>0</v>
      </c>
      <c r="T672" s="604"/>
      <c r="U672" s="642"/>
      <c r="V672" s="679"/>
      <c r="W672" s="679">
        <f t="shared" si="112"/>
        <v>0</v>
      </c>
      <c r="X672" s="702"/>
      <c r="Y672" s="679"/>
      <c r="Z672" s="679"/>
      <c r="AA672" s="642"/>
      <c r="AB672" s="679"/>
      <c r="AC672" s="644">
        <f t="shared" si="113"/>
        <v>0</v>
      </c>
      <c r="AD672" s="643"/>
      <c r="AE672" s="643"/>
      <c r="AF672" s="677">
        <f t="shared" si="114"/>
        <v>0</v>
      </c>
    </row>
    <row r="673" spans="1:32">
      <c r="A673" s="604">
        <v>663</v>
      </c>
      <c r="B673" s="604" t="s">
        <v>984</v>
      </c>
      <c r="C673" s="316" t="s">
        <v>129</v>
      </c>
      <c r="D673" s="316" t="s">
        <v>1241</v>
      </c>
      <c r="E673" s="589" t="s">
        <v>1747</v>
      </c>
      <c r="F673" s="601">
        <v>-973</v>
      </c>
      <c r="G673" s="601">
        <v>-76</v>
      </c>
      <c r="H673" s="601">
        <v>-76</v>
      </c>
      <c r="I673" s="601">
        <v>-76</v>
      </c>
      <c r="J673" s="601">
        <v>-615</v>
      </c>
      <c r="K673" s="601">
        <v>-615</v>
      </c>
      <c r="L673" s="601">
        <v>-615</v>
      </c>
      <c r="M673" s="601">
        <v>-615</v>
      </c>
      <c r="N673" s="601">
        <v>-615</v>
      </c>
      <c r="O673" s="601">
        <v>-615</v>
      </c>
      <c r="P673" s="601">
        <v>-615</v>
      </c>
      <c r="Q673" s="601">
        <v>-615</v>
      </c>
      <c r="R673" s="601">
        <v>-615</v>
      </c>
      <c r="S673" s="484">
        <f t="shared" si="95"/>
        <v>-495.16666666666669</v>
      </c>
      <c r="T673" s="604"/>
      <c r="U673" s="642"/>
      <c r="V673" s="679"/>
      <c r="W673" s="679">
        <f t="shared" si="112"/>
        <v>-495.16666666666669</v>
      </c>
      <c r="X673" s="702"/>
      <c r="Y673" s="679"/>
      <c r="Z673" s="679"/>
      <c r="AA673" s="642"/>
      <c r="AB673" s="679"/>
      <c r="AC673" s="644">
        <f t="shared" si="113"/>
        <v>-495.16666666666669</v>
      </c>
      <c r="AD673" s="643"/>
      <c r="AE673" s="643"/>
      <c r="AF673" s="677">
        <f t="shared" si="114"/>
        <v>0</v>
      </c>
    </row>
    <row r="674" spans="1:32">
      <c r="A674" s="604">
        <v>664</v>
      </c>
      <c r="B674" s="604" t="s">
        <v>984</v>
      </c>
      <c r="C674" s="316" t="s">
        <v>129</v>
      </c>
      <c r="D674" s="316" t="s">
        <v>1238</v>
      </c>
      <c r="E674" s="589" t="s">
        <v>1766</v>
      </c>
      <c r="F674" s="601">
        <v>-715.4</v>
      </c>
      <c r="G674" s="601">
        <v>0</v>
      </c>
      <c r="H674" s="601">
        <v>-27.02</v>
      </c>
      <c r="I674" s="601">
        <v>-27.02</v>
      </c>
      <c r="J674" s="601">
        <v>-250.22</v>
      </c>
      <c r="K674" s="601">
        <v>-250.22</v>
      </c>
      <c r="L674" s="601">
        <v>-250.22</v>
      </c>
      <c r="M674" s="601">
        <v>-371.32</v>
      </c>
      <c r="N674" s="601">
        <v>-459.07</v>
      </c>
      <c r="O674" s="601">
        <v>-459.07</v>
      </c>
      <c r="P674" s="601">
        <v>-459.07</v>
      </c>
      <c r="Q674" s="601">
        <v>-459.07</v>
      </c>
      <c r="R674" s="601">
        <v>-459.07</v>
      </c>
      <c r="S674" s="484">
        <f t="shared" si="95"/>
        <v>-299.96125000000001</v>
      </c>
      <c r="T674" s="604"/>
      <c r="U674" s="642"/>
      <c r="V674" s="679"/>
      <c r="W674" s="679">
        <f t="shared" si="112"/>
        <v>-299.96125000000001</v>
      </c>
      <c r="X674" s="702"/>
      <c r="Y674" s="679"/>
      <c r="Z674" s="679"/>
      <c r="AA674" s="642"/>
      <c r="AB674" s="679"/>
      <c r="AC674" s="644">
        <f t="shared" si="113"/>
        <v>-299.96125000000001</v>
      </c>
      <c r="AD674" s="643"/>
      <c r="AE674" s="643"/>
      <c r="AF674" s="677">
        <f t="shared" si="114"/>
        <v>0</v>
      </c>
    </row>
    <row r="675" spans="1:32">
      <c r="A675" s="604">
        <v>665</v>
      </c>
      <c r="B675" s="604" t="s">
        <v>984</v>
      </c>
      <c r="C675" s="316" t="s">
        <v>129</v>
      </c>
      <c r="D675" s="316" t="s">
        <v>1237</v>
      </c>
      <c r="E675" s="589" t="s">
        <v>1767</v>
      </c>
      <c r="F675" s="601">
        <v>-35828.370000000003</v>
      </c>
      <c r="G675" s="601">
        <v>0</v>
      </c>
      <c r="H675" s="601">
        <v>-5142.38</v>
      </c>
      <c r="I675" s="601">
        <v>-3526.64</v>
      </c>
      <c r="J675" s="601">
        <v>-4666.45</v>
      </c>
      <c r="K675" s="601">
        <v>-4666.45</v>
      </c>
      <c r="L675" s="601">
        <v>-11442.12</v>
      </c>
      <c r="M675" s="601">
        <v>-12362.01</v>
      </c>
      <c r="N675" s="601">
        <v>-12362.01</v>
      </c>
      <c r="O675" s="601">
        <v>-12362.01</v>
      </c>
      <c r="P675" s="601">
        <v>-12362.01</v>
      </c>
      <c r="Q675" s="601">
        <v>-12362.01</v>
      </c>
      <c r="R675" s="601">
        <v>-12362.01</v>
      </c>
      <c r="S675" s="484">
        <f t="shared" si="95"/>
        <v>-9612.44</v>
      </c>
      <c r="T675" s="604"/>
      <c r="U675" s="642"/>
      <c r="V675" s="679"/>
      <c r="W675" s="679">
        <f t="shared" si="112"/>
        <v>-9612.44</v>
      </c>
      <c r="X675" s="702"/>
      <c r="Y675" s="679"/>
      <c r="Z675" s="679"/>
      <c r="AA675" s="642"/>
      <c r="AB675" s="679"/>
      <c r="AC675" s="644">
        <f t="shared" si="113"/>
        <v>-9612.44</v>
      </c>
      <c r="AD675" s="643"/>
      <c r="AE675" s="643"/>
      <c r="AF675" s="677">
        <f t="shared" si="114"/>
        <v>0</v>
      </c>
    </row>
    <row r="676" spans="1:32">
      <c r="A676" s="604">
        <v>666</v>
      </c>
      <c r="B676" s="604" t="s">
        <v>959</v>
      </c>
      <c r="C676" s="316" t="s">
        <v>129</v>
      </c>
      <c r="D676" s="316" t="s">
        <v>1242</v>
      </c>
      <c r="E676" s="589" t="s">
        <v>1765</v>
      </c>
      <c r="F676" s="601">
        <v>-4831.1899999999996</v>
      </c>
      <c r="G676" s="601">
        <v>0</v>
      </c>
      <c r="H676" s="601">
        <v>2249.67</v>
      </c>
      <c r="I676" s="601">
        <v>2249.67</v>
      </c>
      <c r="J676" s="601">
        <v>2249.67</v>
      </c>
      <c r="K676" s="601">
        <v>-328.31</v>
      </c>
      <c r="L676" s="601">
        <v>-2548.41</v>
      </c>
      <c r="M676" s="601">
        <v>-7661.83</v>
      </c>
      <c r="N676" s="601">
        <v>-15556.23</v>
      </c>
      <c r="O676" s="601">
        <v>-15556.23</v>
      </c>
      <c r="P676" s="601">
        <v>-15556.23</v>
      </c>
      <c r="Q676" s="601">
        <v>-42033.75</v>
      </c>
      <c r="R676" s="601">
        <v>-44223.51</v>
      </c>
      <c r="S676" s="484">
        <f t="shared" si="95"/>
        <v>-9751.6108333333341</v>
      </c>
      <c r="T676" s="604"/>
      <c r="U676" s="642"/>
      <c r="V676" s="679"/>
      <c r="W676" s="679">
        <f t="shared" si="112"/>
        <v>-9751.6108333333341</v>
      </c>
      <c r="X676" s="702"/>
      <c r="Y676" s="679"/>
      <c r="Z676" s="679"/>
      <c r="AA676" s="642"/>
      <c r="AB676" s="679"/>
      <c r="AC676" s="644">
        <f t="shared" si="113"/>
        <v>-9751.6108333333341</v>
      </c>
      <c r="AD676" s="643"/>
      <c r="AE676" s="643"/>
      <c r="AF676" s="677">
        <f t="shared" si="114"/>
        <v>0</v>
      </c>
    </row>
    <row r="677" spans="1:32">
      <c r="A677" s="604">
        <v>667</v>
      </c>
      <c r="B677" s="604" t="s">
        <v>959</v>
      </c>
      <c r="C677" s="316" t="s">
        <v>129</v>
      </c>
      <c r="D677" s="316" t="s">
        <v>1241</v>
      </c>
      <c r="E677" s="589" t="s">
        <v>1747</v>
      </c>
      <c r="F677" s="601">
        <v>-4853.8900000000003</v>
      </c>
      <c r="G677" s="601">
        <v>-590</v>
      </c>
      <c r="H677" s="601">
        <v>-1180</v>
      </c>
      <c r="I677" s="601">
        <v>-1770</v>
      </c>
      <c r="J677" s="601">
        <v>-3683.08</v>
      </c>
      <c r="K677" s="601">
        <v>-10038.27</v>
      </c>
      <c r="L677" s="601">
        <v>-10678.27</v>
      </c>
      <c r="M677" s="601">
        <v>-11318.27</v>
      </c>
      <c r="N677" s="601">
        <v>-12463.11</v>
      </c>
      <c r="O677" s="601">
        <v>-14116.62</v>
      </c>
      <c r="P677" s="601">
        <v>-14756.62</v>
      </c>
      <c r="Q677" s="601">
        <v>-15396.62</v>
      </c>
      <c r="R677" s="601">
        <v>-15446.62</v>
      </c>
      <c r="S677" s="484">
        <f t="shared" si="95"/>
        <v>-8845.0929166666665</v>
      </c>
      <c r="T677" s="604"/>
      <c r="U677" s="642"/>
      <c r="V677" s="679"/>
      <c r="W677" s="679">
        <f t="shared" si="112"/>
        <v>-8845.0929166666665</v>
      </c>
      <c r="X677" s="702"/>
      <c r="Y677" s="679"/>
      <c r="Z677" s="679"/>
      <c r="AA677" s="642"/>
      <c r="AB677" s="679"/>
      <c r="AC677" s="644">
        <f t="shared" si="113"/>
        <v>-8845.0929166666665</v>
      </c>
      <c r="AD677" s="643"/>
      <c r="AE677" s="643"/>
      <c r="AF677" s="677">
        <f t="shared" si="114"/>
        <v>0</v>
      </c>
    </row>
    <row r="678" spans="1:32">
      <c r="A678" s="604">
        <v>668</v>
      </c>
      <c r="B678" s="604" t="s">
        <v>959</v>
      </c>
      <c r="C678" s="316" t="s">
        <v>129</v>
      </c>
      <c r="D678" s="316" t="s">
        <v>1238</v>
      </c>
      <c r="E678" s="589" t="s">
        <v>1766</v>
      </c>
      <c r="F678" s="601">
        <v>-2511.16</v>
      </c>
      <c r="G678" s="601">
        <v>0</v>
      </c>
      <c r="H678" s="601">
        <v>-245.39</v>
      </c>
      <c r="I678" s="601">
        <v>-245.39</v>
      </c>
      <c r="J678" s="601">
        <v>-245.39</v>
      </c>
      <c r="K678" s="601">
        <v>-1093.49</v>
      </c>
      <c r="L678" s="601">
        <v>-1737.34</v>
      </c>
      <c r="M678" s="601">
        <v>-1957.19</v>
      </c>
      <c r="N678" s="601">
        <v>-2489.61</v>
      </c>
      <c r="O678" s="601">
        <v>-2490.52</v>
      </c>
      <c r="P678" s="601">
        <v>-2626.9</v>
      </c>
      <c r="Q678" s="601">
        <v>-2626.9</v>
      </c>
      <c r="R678" s="601">
        <v>-2784.79</v>
      </c>
      <c r="S678" s="484">
        <f t="shared" si="95"/>
        <v>-1533.8412500000002</v>
      </c>
      <c r="T678" s="604"/>
      <c r="U678" s="642"/>
      <c r="V678" s="679"/>
      <c r="W678" s="679">
        <f t="shared" si="112"/>
        <v>-1533.8412500000002</v>
      </c>
      <c r="X678" s="702"/>
      <c r="Y678" s="679"/>
      <c r="Z678" s="679"/>
      <c r="AA678" s="642"/>
      <c r="AB678" s="679"/>
      <c r="AC678" s="644">
        <f t="shared" si="113"/>
        <v>-1533.8412500000002</v>
      </c>
      <c r="AD678" s="643"/>
      <c r="AE678" s="643"/>
      <c r="AF678" s="677">
        <f t="shared" si="114"/>
        <v>0</v>
      </c>
    </row>
    <row r="679" spans="1:32">
      <c r="A679" s="604">
        <v>669</v>
      </c>
      <c r="B679" s="604" t="s">
        <v>959</v>
      </c>
      <c r="C679" s="316" t="s">
        <v>129</v>
      </c>
      <c r="D679" s="316" t="s">
        <v>1237</v>
      </c>
      <c r="E679" s="589" t="s">
        <v>1767</v>
      </c>
      <c r="F679" s="601">
        <v>-18478</v>
      </c>
      <c r="G679" s="601">
        <v>0</v>
      </c>
      <c r="H679" s="601">
        <v>0</v>
      </c>
      <c r="I679" s="601">
        <v>0</v>
      </c>
      <c r="J679" s="601">
        <v>-1980.35</v>
      </c>
      <c r="K679" s="601">
        <v>-2110.35</v>
      </c>
      <c r="L679" s="601">
        <v>-7357.95</v>
      </c>
      <c r="M679" s="601">
        <v>-7940.26</v>
      </c>
      <c r="N679" s="601">
        <v>-9463.67</v>
      </c>
      <c r="O679" s="601">
        <v>-9463.67</v>
      </c>
      <c r="P679" s="601">
        <v>-12512.1</v>
      </c>
      <c r="Q679" s="601">
        <v>-16089.16</v>
      </c>
      <c r="R679" s="601">
        <v>-28833.91</v>
      </c>
      <c r="S679" s="484">
        <f t="shared" si="95"/>
        <v>-7547.7887499999997</v>
      </c>
      <c r="T679" s="604"/>
      <c r="U679" s="642"/>
      <c r="V679" s="679"/>
      <c r="W679" s="679">
        <f t="shared" si="112"/>
        <v>-7547.7887499999997</v>
      </c>
      <c r="X679" s="702"/>
      <c r="Y679" s="679"/>
      <c r="Z679" s="679"/>
      <c r="AA679" s="642"/>
      <c r="AB679" s="679"/>
      <c r="AC679" s="644">
        <f t="shared" si="113"/>
        <v>-7547.7887499999997</v>
      </c>
      <c r="AD679" s="643"/>
      <c r="AE679" s="643"/>
      <c r="AF679" s="677">
        <f t="shared" si="114"/>
        <v>0</v>
      </c>
    </row>
    <row r="680" spans="1:32">
      <c r="A680" s="604">
        <v>670</v>
      </c>
      <c r="B680" s="604" t="s">
        <v>959</v>
      </c>
      <c r="C680" s="316">
        <v>4962</v>
      </c>
      <c r="D680" s="316"/>
      <c r="E680" s="589" t="s">
        <v>1768</v>
      </c>
      <c r="F680" s="601">
        <v>2764815.37</v>
      </c>
      <c r="G680" s="601">
        <v>-280982.87</v>
      </c>
      <c r="H680" s="601">
        <v>-665675.09</v>
      </c>
      <c r="I680" s="601">
        <v>-921322.2</v>
      </c>
      <c r="J680" s="601">
        <v>-924164.05</v>
      </c>
      <c r="K680" s="601">
        <v>-846390.45</v>
      </c>
      <c r="L680" s="601">
        <v>-714598.13</v>
      </c>
      <c r="M680" s="601">
        <v>-582529.80000000005</v>
      </c>
      <c r="N680" s="601">
        <v>-419848.05</v>
      </c>
      <c r="O680" s="601">
        <v>-418430.1</v>
      </c>
      <c r="P680" s="601">
        <v>-472174.9</v>
      </c>
      <c r="Q680" s="601">
        <v>-533440.56000000006</v>
      </c>
      <c r="R680" s="601">
        <v>-171784.99</v>
      </c>
      <c r="S680" s="484">
        <f t="shared" si="95"/>
        <v>-456920.08416666667</v>
      </c>
      <c r="T680" s="604"/>
      <c r="U680" s="642"/>
      <c r="V680" s="679"/>
      <c r="W680" s="679">
        <f t="shared" si="112"/>
        <v>-456920.08416666667</v>
      </c>
      <c r="X680" s="702"/>
      <c r="Y680" s="679"/>
      <c r="Z680" s="679"/>
      <c r="AA680" s="642"/>
      <c r="AB680" s="679"/>
      <c r="AC680" s="644">
        <f t="shared" si="113"/>
        <v>-456920.08416666667</v>
      </c>
      <c r="AD680" s="643"/>
      <c r="AE680" s="643"/>
      <c r="AF680" s="677">
        <f t="shared" si="114"/>
        <v>0</v>
      </c>
    </row>
    <row r="681" spans="1:32">
      <c r="A681" s="604">
        <v>671</v>
      </c>
      <c r="B681" s="604" t="s">
        <v>959</v>
      </c>
      <c r="C681" s="316">
        <v>4962</v>
      </c>
      <c r="D681" s="316">
        <v>1</v>
      </c>
      <c r="E681" s="589" t="s">
        <v>1785</v>
      </c>
      <c r="F681" s="601">
        <v>-340090.29</v>
      </c>
      <c r="G681" s="601">
        <v>-73314.78</v>
      </c>
      <c r="H681" s="601">
        <v>-137130.63</v>
      </c>
      <c r="I681" s="601">
        <v>-198957.22</v>
      </c>
      <c r="J681" s="601">
        <v>-254405.82</v>
      </c>
      <c r="K681" s="601">
        <v>-306680.53000000003</v>
      </c>
      <c r="L681" s="601">
        <v>-369131.22</v>
      </c>
      <c r="M681" s="601">
        <v>-456366</v>
      </c>
      <c r="N681" s="601">
        <v>-557780.61</v>
      </c>
      <c r="O681" s="601">
        <v>-654771.38</v>
      </c>
      <c r="P681" s="601">
        <v>-723450.44</v>
      </c>
      <c r="Q681" s="601">
        <v>-770696.42</v>
      </c>
      <c r="R681" s="601">
        <v>-829904.01</v>
      </c>
      <c r="S681" s="484">
        <f t="shared" si="95"/>
        <v>-423973.51666666666</v>
      </c>
      <c r="T681" s="604"/>
      <c r="U681" s="642"/>
      <c r="V681" s="679"/>
      <c r="W681" s="679">
        <f t="shared" si="112"/>
        <v>-423973.51666666666</v>
      </c>
      <c r="X681" s="702"/>
      <c r="Y681" s="679"/>
      <c r="Z681" s="679"/>
      <c r="AA681" s="642"/>
      <c r="AB681" s="679"/>
      <c r="AC681" s="644">
        <f t="shared" si="113"/>
        <v>-423973.51666666666</v>
      </c>
      <c r="AD681" s="643"/>
      <c r="AE681" s="643"/>
      <c r="AF681" s="677">
        <f t="shared" si="114"/>
        <v>0</v>
      </c>
    </row>
    <row r="682" spans="1:32">
      <c r="A682" s="604">
        <v>672</v>
      </c>
      <c r="B682" s="604" t="s">
        <v>984</v>
      </c>
      <c r="C682" s="316" t="s">
        <v>1928</v>
      </c>
      <c r="D682" s="604"/>
      <c r="E682" s="589" t="s">
        <v>1768</v>
      </c>
      <c r="F682" s="601">
        <v>1558019.97</v>
      </c>
      <c r="G682" s="601">
        <v>249016.3</v>
      </c>
      <c r="H682" s="601">
        <v>450949.83</v>
      </c>
      <c r="I682" s="601">
        <v>621635.15</v>
      </c>
      <c r="J682" s="601">
        <v>489060.61</v>
      </c>
      <c r="K682" s="601">
        <v>569478.41</v>
      </c>
      <c r="L682" s="601">
        <v>607869.43000000005</v>
      </c>
      <c r="M682" s="601">
        <v>647160.75</v>
      </c>
      <c r="N682" s="601">
        <v>687361.43</v>
      </c>
      <c r="O682" s="601">
        <v>698023.77</v>
      </c>
      <c r="P682" s="601">
        <v>698636.72</v>
      </c>
      <c r="Q682" s="601">
        <v>522111.3</v>
      </c>
      <c r="R682" s="601">
        <v>299675.57</v>
      </c>
      <c r="S682" s="484">
        <f>((F682+R682)+((G682+H682+I682+J682+K682+L682+M682+N682+O682+P682+Q682)*2))/24</f>
        <v>597512.62249999994</v>
      </c>
      <c r="T682" s="604"/>
      <c r="U682" s="642"/>
      <c r="V682" s="679"/>
      <c r="W682" s="679">
        <f t="shared" si="112"/>
        <v>597512.62249999994</v>
      </c>
      <c r="X682" s="702"/>
      <c r="Y682" s="679"/>
      <c r="Z682" s="679"/>
      <c r="AA682" s="642"/>
      <c r="AB682" s="679"/>
      <c r="AC682" s="644">
        <f t="shared" si="113"/>
        <v>597512.62249999994</v>
      </c>
      <c r="AD682" s="643"/>
      <c r="AE682" s="643"/>
      <c r="AF682" s="677">
        <f t="shared" si="114"/>
        <v>0</v>
      </c>
    </row>
    <row r="683" spans="1:32">
      <c r="A683" s="604">
        <v>673</v>
      </c>
      <c r="B683" s="604" t="s">
        <v>984</v>
      </c>
      <c r="C683" s="316" t="s">
        <v>1928</v>
      </c>
      <c r="D683" s="604" t="s">
        <v>515</v>
      </c>
      <c r="E683" s="589" t="s">
        <v>1785</v>
      </c>
      <c r="F683" s="601">
        <v>0</v>
      </c>
      <c r="G683" s="601">
        <v>0</v>
      </c>
      <c r="H683" s="601">
        <v>0</v>
      </c>
      <c r="I683" s="601">
        <v>0</v>
      </c>
      <c r="J683" s="601">
        <v>-550.71</v>
      </c>
      <c r="K683" s="601">
        <v>-1222.68</v>
      </c>
      <c r="L683" s="601">
        <v>-1905.55</v>
      </c>
      <c r="M683" s="601">
        <v>-2585.9699999999998</v>
      </c>
      <c r="N683" s="601">
        <v>-3255.41</v>
      </c>
      <c r="O683" s="601">
        <v>-3923.66</v>
      </c>
      <c r="P683" s="601">
        <v>-7672.7</v>
      </c>
      <c r="Q683" s="601">
        <v>-19523.88</v>
      </c>
      <c r="R683" s="601">
        <v>-31522.11</v>
      </c>
      <c r="S683" s="484">
        <f>((F683+R683)+((G683+H683+I683+J683+K683+L683+M683+N683+O683+P683+Q683)*2))/24</f>
        <v>-4700.1345833333335</v>
      </c>
      <c r="T683" s="604"/>
      <c r="U683" s="642"/>
      <c r="V683" s="679"/>
      <c r="W683" s="679">
        <f t="shared" si="112"/>
        <v>-4700.1345833333335</v>
      </c>
      <c r="X683" s="702"/>
      <c r="Y683" s="679"/>
      <c r="Z683" s="679"/>
      <c r="AA683" s="642"/>
      <c r="AB683" s="679"/>
      <c r="AC683" s="644">
        <f t="shared" si="113"/>
        <v>-4700.1345833333335</v>
      </c>
      <c r="AD683" s="643"/>
      <c r="AE683" s="643"/>
      <c r="AF683" s="677"/>
    </row>
    <row r="684" spans="1:32">
      <c r="A684" s="604">
        <v>674</v>
      </c>
      <c r="B684" s="604" t="s">
        <v>369</v>
      </c>
      <c r="C684" s="316" t="s">
        <v>636</v>
      </c>
      <c r="D684" s="604" t="s">
        <v>369</v>
      </c>
      <c r="E684" s="589" t="s">
        <v>637</v>
      </c>
      <c r="F684" s="303">
        <v>0</v>
      </c>
      <c r="G684" s="303">
        <v>0</v>
      </c>
      <c r="H684" s="303">
        <v>0</v>
      </c>
      <c r="I684" s="303">
        <v>0</v>
      </c>
      <c r="J684" s="303">
        <v>0</v>
      </c>
      <c r="K684" s="303">
        <v>0</v>
      </c>
      <c r="L684" s="303">
        <v>0</v>
      </c>
      <c r="M684" s="303">
        <v>0</v>
      </c>
      <c r="N684" s="303">
        <v>0</v>
      </c>
      <c r="O684" s="303">
        <v>0</v>
      </c>
      <c r="P684" s="303">
        <v>0</v>
      </c>
      <c r="Q684" s="303">
        <v>0</v>
      </c>
      <c r="R684" s="303">
        <v>0</v>
      </c>
      <c r="S684" s="484">
        <f t="shared" si="95"/>
        <v>0</v>
      </c>
      <c r="T684" s="604"/>
      <c r="U684" s="642"/>
      <c r="V684" s="679"/>
      <c r="W684" s="679">
        <f t="shared" si="112"/>
        <v>0</v>
      </c>
      <c r="X684" s="702"/>
      <c r="Y684" s="679"/>
      <c r="Z684" s="679"/>
      <c r="AA684" s="642"/>
      <c r="AB684" s="679"/>
      <c r="AC684" s="644">
        <f>+S684</f>
        <v>0</v>
      </c>
      <c r="AD684" s="643"/>
      <c r="AE684" s="643"/>
      <c r="AF684" s="677">
        <f t="shared" si="114"/>
        <v>0</v>
      </c>
    </row>
    <row r="685" spans="1:32">
      <c r="A685" s="604">
        <v>675</v>
      </c>
      <c r="B685" s="604"/>
      <c r="C685" s="604"/>
      <c r="D685" s="604"/>
      <c r="E685" s="589" t="s">
        <v>638</v>
      </c>
      <c r="F685" s="295">
        <f>SUM(F617:F684)</f>
        <v>-286825672.86999995</v>
      </c>
      <c r="G685" s="295">
        <f t="shared" ref="G685:R685" si="115">SUM(G617:G684)</f>
        <v>-40243392.660000004</v>
      </c>
      <c r="H685" s="295">
        <f t="shared" si="115"/>
        <v>-81998266.249999955</v>
      </c>
      <c r="I685" s="295">
        <f t="shared" si="115"/>
        <v>-115278818.35999994</v>
      </c>
      <c r="J685" s="295">
        <f t="shared" si="115"/>
        <v>-137104015.16</v>
      </c>
      <c r="K685" s="295">
        <f t="shared" si="115"/>
        <v>-151942097.19000003</v>
      </c>
      <c r="L685" s="295">
        <f t="shared" si="115"/>
        <v>-163827574.58999997</v>
      </c>
      <c r="M685" s="295">
        <f t="shared" si="115"/>
        <v>-175584823.07999995</v>
      </c>
      <c r="N685" s="295">
        <f t="shared" si="115"/>
        <v>-185596413.00999999</v>
      </c>
      <c r="O685" s="295">
        <f t="shared" si="115"/>
        <v>-199825338.64000005</v>
      </c>
      <c r="P685" s="295">
        <f t="shared" si="115"/>
        <v>-226710493.77999997</v>
      </c>
      <c r="Q685" s="295">
        <f t="shared" si="115"/>
        <v>-266190130.81999996</v>
      </c>
      <c r="R685" s="295">
        <f t="shared" si="115"/>
        <v>-314395576.48000008</v>
      </c>
      <c r="S685" s="486">
        <f>SUM(S617:S684)</f>
        <v>-170409332.35125008</v>
      </c>
      <c r="T685" s="604"/>
      <c r="U685" s="642"/>
      <c r="V685" s="679"/>
      <c r="W685" s="679"/>
      <c r="X685" s="702"/>
      <c r="Y685" s="679"/>
      <c r="Z685" s="679"/>
      <c r="AA685" s="642"/>
      <c r="AB685" s="679"/>
      <c r="AC685" s="643"/>
      <c r="AD685" s="643"/>
      <c r="AE685" s="643"/>
      <c r="AF685" s="677">
        <f t="shared" si="114"/>
        <v>0</v>
      </c>
    </row>
    <row r="686" spans="1:32">
      <c r="A686" s="604">
        <v>676</v>
      </c>
      <c r="B686" s="604"/>
      <c r="C686" s="604"/>
      <c r="D686" s="604"/>
      <c r="E686" s="589"/>
      <c r="F686" s="603"/>
      <c r="G686" s="314"/>
      <c r="H686" s="305"/>
      <c r="I686" s="305"/>
      <c r="J686" s="306"/>
      <c r="K686" s="307"/>
      <c r="L686" s="308"/>
      <c r="M686" s="309"/>
      <c r="N686" s="310"/>
      <c r="O686" s="590"/>
      <c r="P686" s="311"/>
      <c r="Q686" s="315"/>
      <c r="R686" s="603"/>
      <c r="S686" s="294"/>
      <c r="T686" s="604"/>
      <c r="U686" s="642"/>
      <c r="V686" s="679"/>
      <c r="W686" s="679"/>
      <c r="X686" s="702"/>
      <c r="Y686" s="679"/>
      <c r="Z686" s="679"/>
      <c r="AA686" s="642"/>
      <c r="AB686" s="679"/>
      <c r="AC686" s="643"/>
      <c r="AD686" s="643"/>
      <c r="AE686" s="643"/>
      <c r="AF686" s="677">
        <f t="shared" si="114"/>
        <v>0</v>
      </c>
    </row>
    <row r="687" spans="1:32">
      <c r="A687" s="604">
        <v>677</v>
      </c>
      <c r="B687" s="604" t="s">
        <v>956</v>
      </c>
      <c r="C687" s="604" t="s">
        <v>643</v>
      </c>
      <c r="D687" s="604"/>
      <c r="E687" s="589" t="s">
        <v>644</v>
      </c>
      <c r="F687" s="603">
        <v>-8686.9500000000007</v>
      </c>
      <c r="G687" s="314">
        <v>-1902.08</v>
      </c>
      <c r="H687" s="305">
        <v>-2909.11</v>
      </c>
      <c r="I687" s="305">
        <v>-3701.7</v>
      </c>
      <c r="J687" s="306">
        <v>-5088.7700000000004</v>
      </c>
      <c r="K687" s="307">
        <v>-5413.93</v>
      </c>
      <c r="L687" s="308">
        <v>-5821.58</v>
      </c>
      <c r="M687" s="309">
        <v>-6604.72</v>
      </c>
      <c r="N687" s="310">
        <v>-6604.72</v>
      </c>
      <c r="O687" s="590">
        <v>-6604.72</v>
      </c>
      <c r="P687" s="311">
        <v>-6937.53</v>
      </c>
      <c r="Q687" s="315">
        <v>-7240.98</v>
      </c>
      <c r="R687" s="603">
        <v>-8173.8</v>
      </c>
      <c r="S687" s="484">
        <f t="shared" ref="S687:S697" si="116">((F687+R687)+((G687+H687+I687+J687+K687+L687+M687+N687+O687+P687+Q687)*2))/24</f>
        <v>-5605.0179166666667</v>
      </c>
      <c r="T687" s="604"/>
      <c r="U687" s="642"/>
      <c r="V687" s="679"/>
      <c r="W687" s="679">
        <f>+S687</f>
        <v>-5605.0179166666667</v>
      </c>
      <c r="X687" s="702"/>
      <c r="Y687" s="679"/>
      <c r="Z687" s="679"/>
      <c r="AA687" s="642"/>
      <c r="AB687" s="679"/>
      <c r="AC687" s="644">
        <f>+S687</f>
        <v>-5605.0179166666667</v>
      </c>
      <c r="AD687" s="643"/>
      <c r="AE687" s="643"/>
      <c r="AF687" s="677"/>
    </row>
    <row r="688" spans="1:32">
      <c r="A688" s="604">
        <v>678</v>
      </c>
      <c r="B688" s="316" t="s">
        <v>956</v>
      </c>
      <c r="C688" s="316" t="s">
        <v>639</v>
      </c>
      <c r="D688" s="316" t="s">
        <v>1243</v>
      </c>
      <c r="E688" s="595" t="s">
        <v>325</v>
      </c>
      <c r="F688" s="601">
        <v>-3011.09</v>
      </c>
      <c r="G688" s="601">
        <v>-2.21</v>
      </c>
      <c r="H688" s="601">
        <v>-5.3</v>
      </c>
      <c r="I688" s="601">
        <v>-7.29</v>
      </c>
      <c r="J688" s="601">
        <v>-10.130000000000001</v>
      </c>
      <c r="K688" s="601">
        <v>-12.8</v>
      </c>
      <c r="L688" s="601">
        <v>-15.56</v>
      </c>
      <c r="M688" s="601">
        <v>-31.15</v>
      </c>
      <c r="N688" s="601">
        <v>-33.909999999999997</v>
      </c>
      <c r="O688" s="601">
        <v>-36.67</v>
      </c>
      <c r="P688" s="601">
        <v>-39.340000000000003</v>
      </c>
      <c r="Q688" s="601">
        <v>-44.08</v>
      </c>
      <c r="R688" s="601">
        <v>-45.93</v>
      </c>
      <c r="S688" s="484">
        <f t="shared" si="116"/>
        <v>-147.24583333333334</v>
      </c>
      <c r="T688" s="604"/>
      <c r="U688" s="642"/>
      <c r="V688" s="679"/>
      <c r="W688" s="679">
        <f>+S688</f>
        <v>-147.24583333333334</v>
      </c>
      <c r="X688" s="702"/>
      <c r="Y688" s="679"/>
      <c r="Z688" s="679"/>
      <c r="AA688" s="642"/>
      <c r="AB688" s="679"/>
      <c r="AC688" s="644">
        <f>+S688</f>
        <v>-147.24583333333334</v>
      </c>
      <c r="AD688" s="643"/>
      <c r="AE688" s="643"/>
      <c r="AF688" s="677">
        <f t="shared" si="114"/>
        <v>0</v>
      </c>
    </row>
    <row r="689" spans="1:32">
      <c r="A689" s="604">
        <v>679</v>
      </c>
      <c r="B689" s="316" t="s">
        <v>956</v>
      </c>
      <c r="C689" s="316" t="s">
        <v>639</v>
      </c>
      <c r="D689" s="316" t="s">
        <v>276</v>
      </c>
      <c r="E689" s="595" t="s">
        <v>1786</v>
      </c>
      <c r="F689" s="601">
        <v>-859.68</v>
      </c>
      <c r="G689" s="601">
        <v>-3040.72</v>
      </c>
      <c r="H689" s="601">
        <v>-3568.82</v>
      </c>
      <c r="I689" s="601">
        <v>-8187.51</v>
      </c>
      <c r="J689" s="601">
        <v>-8889.35</v>
      </c>
      <c r="K689" s="601">
        <v>-17552.66</v>
      </c>
      <c r="L689" s="601">
        <v>-27829.040000000001</v>
      </c>
      <c r="M689" s="601">
        <v>-28285.03</v>
      </c>
      <c r="N689" s="601">
        <v>-36630.01</v>
      </c>
      <c r="O689" s="601">
        <v>-39414.699999999997</v>
      </c>
      <c r="P689" s="601">
        <v>-45606.73</v>
      </c>
      <c r="Q689" s="601">
        <v>-48047.77</v>
      </c>
      <c r="R689" s="601">
        <v>-50576.59</v>
      </c>
      <c r="S689" s="484">
        <f t="shared" si="116"/>
        <v>-24397.539583333335</v>
      </c>
      <c r="T689" s="604"/>
      <c r="U689" s="642"/>
      <c r="V689" s="679"/>
      <c r="W689" s="679">
        <f>+S689</f>
        <v>-24397.539583333335</v>
      </c>
      <c r="X689" s="702"/>
      <c r="Y689" s="679"/>
      <c r="Z689" s="679"/>
      <c r="AA689" s="642"/>
      <c r="AB689" s="679"/>
      <c r="AC689" s="644">
        <f t="shared" ref="AC689:AC697" si="117">+S689</f>
        <v>-24397.539583333335</v>
      </c>
      <c r="AD689" s="643"/>
      <c r="AE689" s="643"/>
      <c r="AF689" s="677">
        <f t="shared" si="114"/>
        <v>0</v>
      </c>
    </row>
    <row r="690" spans="1:32">
      <c r="A690" s="604">
        <v>680</v>
      </c>
      <c r="B690" s="316" t="s">
        <v>984</v>
      </c>
      <c r="C690" s="316" t="s">
        <v>639</v>
      </c>
      <c r="D690" s="316" t="s">
        <v>1113</v>
      </c>
      <c r="E690" s="595" t="s">
        <v>1789</v>
      </c>
      <c r="F690" s="601">
        <v>-36347.879999999997</v>
      </c>
      <c r="G690" s="601">
        <v>-455.26</v>
      </c>
      <c r="H690" s="601">
        <v>-842.9</v>
      </c>
      <c r="I690" s="601">
        <v>-24246.53</v>
      </c>
      <c r="J690" s="601">
        <v>-33614.74</v>
      </c>
      <c r="K690" s="601">
        <v>-34273.769999999997</v>
      </c>
      <c r="L690" s="601">
        <v>-40796.589999999997</v>
      </c>
      <c r="M690" s="601">
        <v>-42080.53</v>
      </c>
      <c r="N690" s="601">
        <v>-45378.37</v>
      </c>
      <c r="O690" s="601">
        <v>-48246.91</v>
      </c>
      <c r="P690" s="601">
        <v>-52939.5</v>
      </c>
      <c r="Q690" s="601">
        <v>-55862.38</v>
      </c>
      <c r="R690" s="601">
        <v>-57922.16</v>
      </c>
      <c r="S690" s="484">
        <f t="shared" si="116"/>
        <v>-35489.375</v>
      </c>
      <c r="T690" s="604"/>
      <c r="U690" s="642"/>
      <c r="V690" s="679"/>
      <c r="W690" s="679">
        <f t="shared" ref="W690:W697" si="118">+S690</f>
        <v>-35489.375</v>
      </c>
      <c r="X690" s="702"/>
      <c r="Y690" s="679"/>
      <c r="Z690" s="679"/>
      <c r="AA690" s="642"/>
      <c r="AB690" s="679"/>
      <c r="AC690" s="644">
        <f t="shared" si="117"/>
        <v>-35489.375</v>
      </c>
      <c r="AD690" s="643"/>
      <c r="AE690" s="643"/>
      <c r="AF690" s="677">
        <f t="shared" si="114"/>
        <v>0</v>
      </c>
    </row>
    <row r="691" spans="1:32">
      <c r="A691" s="604">
        <v>681</v>
      </c>
      <c r="B691" s="316" t="s">
        <v>984</v>
      </c>
      <c r="C691" s="316" t="s">
        <v>639</v>
      </c>
      <c r="D691" s="316" t="s">
        <v>1244</v>
      </c>
      <c r="E691" s="595" t="s">
        <v>1790</v>
      </c>
      <c r="F691" s="601">
        <v>-48958.11</v>
      </c>
      <c r="G691" s="601">
        <v>-15345.72</v>
      </c>
      <c r="H691" s="601">
        <v>-24031.27</v>
      </c>
      <c r="I691" s="601">
        <v>-41781.269999999997</v>
      </c>
      <c r="J691" s="601">
        <v>-63424.37</v>
      </c>
      <c r="K691" s="601">
        <v>-89261.28</v>
      </c>
      <c r="L691" s="601">
        <v>-116170.82</v>
      </c>
      <c r="M691" s="601">
        <v>-145760.34</v>
      </c>
      <c r="N691" s="601">
        <v>-177943.42</v>
      </c>
      <c r="O691" s="601">
        <v>-214903.77</v>
      </c>
      <c r="P691" s="601">
        <v>-243170.11</v>
      </c>
      <c r="Q691" s="601">
        <v>-257003.67</v>
      </c>
      <c r="R691" s="601">
        <v>-272944.33</v>
      </c>
      <c r="S691" s="484">
        <f t="shared" si="116"/>
        <v>-129145.605</v>
      </c>
      <c r="T691" s="604"/>
      <c r="U691" s="642"/>
      <c r="V691" s="679"/>
      <c r="W691" s="679">
        <f t="shared" si="118"/>
        <v>-129145.605</v>
      </c>
      <c r="X691" s="702"/>
      <c r="Y691" s="679"/>
      <c r="Z691" s="679"/>
      <c r="AA691" s="642"/>
      <c r="AB691" s="679"/>
      <c r="AC691" s="644">
        <f t="shared" si="117"/>
        <v>-129145.605</v>
      </c>
      <c r="AD691" s="643"/>
      <c r="AE691" s="643"/>
      <c r="AF691" s="677">
        <f t="shared" si="114"/>
        <v>0</v>
      </c>
    </row>
    <row r="692" spans="1:32">
      <c r="A692" s="604">
        <v>682</v>
      </c>
      <c r="B692" s="316" t="s">
        <v>959</v>
      </c>
      <c r="C692" s="316" t="s">
        <v>639</v>
      </c>
      <c r="D692" s="316" t="s">
        <v>1113</v>
      </c>
      <c r="E692" s="595" t="s">
        <v>1789</v>
      </c>
      <c r="F692" s="601">
        <v>-91231.87</v>
      </c>
      <c r="G692" s="601">
        <v>-280.89999999999998</v>
      </c>
      <c r="H692" s="601">
        <v>-2902.45</v>
      </c>
      <c r="I692" s="601">
        <v>-24331.4</v>
      </c>
      <c r="J692" s="601">
        <v>-27446.55</v>
      </c>
      <c r="K692" s="601">
        <v>-32005.73</v>
      </c>
      <c r="L692" s="601">
        <v>-32880.769999999997</v>
      </c>
      <c r="M692" s="601">
        <v>-39606.519999999997</v>
      </c>
      <c r="N692" s="601">
        <v>-75710.539999999994</v>
      </c>
      <c r="O692" s="601">
        <v>-99548.37</v>
      </c>
      <c r="P692" s="601">
        <v>-101812.08</v>
      </c>
      <c r="Q692" s="601">
        <v>-117810.33</v>
      </c>
      <c r="R692" s="601">
        <v>-127456.02</v>
      </c>
      <c r="S692" s="484">
        <f t="shared" si="116"/>
        <v>-55306.63208333333</v>
      </c>
      <c r="T692" s="604"/>
      <c r="U692" s="642"/>
      <c r="V692" s="679"/>
      <c r="W692" s="679">
        <f t="shared" si="118"/>
        <v>-55306.63208333333</v>
      </c>
      <c r="X692" s="702"/>
      <c r="Y692" s="679"/>
      <c r="Z692" s="679"/>
      <c r="AA692" s="642"/>
      <c r="AB692" s="679"/>
      <c r="AC692" s="644">
        <f t="shared" si="117"/>
        <v>-55306.63208333333</v>
      </c>
      <c r="AD692" s="643"/>
      <c r="AE692" s="643"/>
      <c r="AF692" s="677">
        <f t="shared" si="114"/>
        <v>0</v>
      </c>
    </row>
    <row r="693" spans="1:32">
      <c r="A693" s="604">
        <v>683</v>
      </c>
      <c r="B693" s="316" t="s">
        <v>959</v>
      </c>
      <c r="C693" s="316" t="s">
        <v>639</v>
      </c>
      <c r="D693" s="316" t="s">
        <v>1244</v>
      </c>
      <c r="E693" s="595" t="s">
        <v>1790</v>
      </c>
      <c r="F693" s="601">
        <v>-333259.12</v>
      </c>
      <c r="G693" s="601">
        <v>-193561.47</v>
      </c>
      <c r="H693" s="601">
        <v>-401513.57</v>
      </c>
      <c r="I693" s="601">
        <v>-702540.04</v>
      </c>
      <c r="J693" s="601">
        <v>-1025192.68</v>
      </c>
      <c r="K693" s="601">
        <v>-1512761.49</v>
      </c>
      <c r="L693" s="601">
        <v>-1918089.91</v>
      </c>
      <c r="M693" s="601">
        <v>-2352378.36</v>
      </c>
      <c r="N693" s="601">
        <v>-2797749.95</v>
      </c>
      <c r="O693" s="601">
        <v>-3244603.12</v>
      </c>
      <c r="P693" s="601">
        <v>-3673229.92</v>
      </c>
      <c r="Q693" s="601">
        <v>-4086669.6</v>
      </c>
      <c r="R693" s="601">
        <v>-4504936.62</v>
      </c>
      <c r="S693" s="484">
        <f t="shared" si="116"/>
        <v>-2027282.3316666668</v>
      </c>
      <c r="T693" s="604"/>
      <c r="U693" s="642"/>
      <c r="V693" s="679"/>
      <c r="W693" s="679">
        <f t="shared" si="118"/>
        <v>-2027282.3316666668</v>
      </c>
      <c r="X693" s="702"/>
      <c r="Y693" s="679"/>
      <c r="Z693" s="679"/>
      <c r="AA693" s="642"/>
      <c r="AB693" s="679"/>
      <c r="AC693" s="644">
        <f t="shared" si="117"/>
        <v>-2027282.3316666668</v>
      </c>
      <c r="AD693" s="643"/>
      <c r="AE693" s="643"/>
      <c r="AF693" s="677">
        <f t="shared" si="114"/>
        <v>0</v>
      </c>
    </row>
    <row r="694" spans="1:32">
      <c r="A694" s="604">
        <v>684</v>
      </c>
      <c r="B694" s="316" t="s">
        <v>956</v>
      </c>
      <c r="C694" s="316" t="s">
        <v>640</v>
      </c>
      <c r="D694" s="604"/>
      <c r="E694" s="589" t="s">
        <v>641</v>
      </c>
      <c r="F694" s="601">
        <v>-555.79999999999995</v>
      </c>
      <c r="G694" s="601">
        <v>-418.9</v>
      </c>
      <c r="H694" s="601">
        <v>-458.49</v>
      </c>
      <c r="I694" s="601">
        <v>-579.49</v>
      </c>
      <c r="J694" s="601">
        <v>-900.44</v>
      </c>
      <c r="K694" s="601">
        <v>-900.44</v>
      </c>
      <c r="L694" s="601">
        <v>-900.44</v>
      </c>
      <c r="M694" s="601">
        <v>-1206.08</v>
      </c>
      <c r="N694" s="601">
        <v>-1206.08</v>
      </c>
      <c r="O694" s="601">
        <v>-1206.21</v>
      </c>
      <c r="P694" s="601">
        <v>-1511.72</v>
      </c>
      <c r="Q694" s="601">
        <v>-1511.72</v>
      </c>
      <c r="R694" s="601">
        <v>-1511.72</v>
      </c>
      <c r="S694" s="484">
        <f t="shared" si="116"/>
        <v>-986.14750000000004</v>
      </c>
      <c r="T694" s="604"/>
      <c r="U694" s="642"/>
      <c r="V694" s="679"/>
      <c r="W694" s="679">
        <f t="shared" si="118"/>
        <v>-986.14750000000004</v>
      </c>
      <c r="X694" s="702"/>
      <c r="Y694" s="679"/>
      <c r="Z694" s="679"/>
      <c r="AA694" s="642"/>
      <c r="AB694" s="679"/>
      <c r="AC694" s="644">
        <f t="shared" si="117"/>
        <v>-986.14750000000004</v>
      </c>
      <c r="AD694" s="643"/>
      <c r="AE694" s="643"/>
      <c r="AF694" s="677">
        <f t="shared" si="114"/>
        <v>0</v>
      </c>
    </row>
    <row r="695" spans="1:32">
      <c r="A695" s="604">
        <v>685</v>
      </c>
      <c r="B695" s="316" t="s">
        <v>956</v>
      </c>
      <c r="C695" s="316" t="s">
        <v>640</v>
      </c>
      <c r="D695" s="316" t="s">
        <v>1245</v>
      </c>
      <c r="E695" s="589" t="s">
        <v>1788</v>
      </c>
      <c r="F695" s="601">
        <v>-25320.63</v>
      </c>
      <c r="G695" s="601">
        <v>-8.3000000000000007</v>
      </c>
      <c r="H695" s="601">
        <v>-515.21</v>
      </c>
      <c r="I695" s="601">
        <v>-524.01</v>
      </c>
      <c r="J695" s="601">
        <v>-1324.65</v>
      </c>
      <c r="K695" s="601">
        <v>-1351.29</v>
      </c>
      <c r="L695" s="601">
        <v>-1862.76</v>
      </c>
      <c r="M695" s="601">
        <v>-2073.5500000000002</v>
      </c>
      <c r="N695" s="601">
        <v>-2277.0100000000002</v>
      </c>
      <c r="O695" s="601">
        <v>-2611.1</v>
      </c>
      <c r="P695" s="601">
        <v>-3018.85</v>
      </c>
      <c r="Q695" s="601">
        <v>-3038.46</v>
      </c>
      <c r="R695" s="601">
        <v>-3222.37</v>
      </c>
      <c r="S695" s="484">
        <f t="shared" si="116"/>
        <v>-2739.7241666666669</v>
      </c>
      <c r="T695" s="604"/>
      <c r="U695" s="642"/>
      <c r="V695" s="679"/>
      <c r="W695" s="679">
        <f t="shared" si="118"/>
        <v>-2739.7241666666669</v>
      </c>
      <c r="X695" s="702"/>
      <c r="Y695" s="679"/>
      <c r="Z695" s="679"/>
      <c r="AA695" s="642"/>
      <c r="AB695" s="679"/>
      <c r="AC695" s="644">
        <f t="shared" si="117"/>
        <v>-2739.7241666666669</v>
      </c>
      <c r="AD695" s="643"/>
      <c r="AE695" s="643"/>
      <c r="AF695" s="677">
        <f t="shared" si="114"/>
        <v>0</v>
      </c>
    </row>
    <row r="696" spans="1:32">
      <c r="A696" s="604">
        <v>686</v>
      </c>
      <c r="B696" s="316" t="s">
        <v>956</v>
      </c>
      <c r="C696" s="316" t="s">
        <v>642</v>
      </c>
      <c r="D696" s="604"/>
      <c r="E696" s="589" t="s">
        <v>1787</v>
      </c>
      <c r="F696" s="601">
        <v>-291152.65999999997</v>
      </c>
      <c r="G696" s="601">
        <v>-49036.05</v>
      </c>
      <c r="H696" s="601">
        <v>-93798.09</v>
      </c>
      <c r="I696" s="601">
        <v>-140846.35</v>
      </c>
      <c r="J696" s="601">
        <v>-181318.27</v>
      </c>
      <c r="K696" s="601">
        <v>-208200.92</v>
      </c>
      <c r="L696" s="601">
        <v>-247435.96</v>
      </c>
      <c r="M696" s="601">
        <v>-287914.62</v>
      </c>
      <c r="N696" s="601">
        <v>-346399.22</v>
      </c>
      <c r="O696" s="601">
        <v>-410815.07</v>
      </c>
      <c r="P696" s="601">
        <v>-486926.18</v>
      </c>
      <c r="Q696" s="601">
        <v>-563043.57999999996</v>
      </c>
      <c r="R696" s="601">
        <v>-649294.52</v>
      </c>
      <c r="S696" s="484">
        <f t="shared" si="116"/>
        <v>-290496.49166666664</v>
      </c>
      <c r="T696" s="604"/>
      <c r="U696" s="642"/>
      <c r="V696" s="679"/>
      <c r="W696" s="679">
        <f t="shared" si="118"/>
        <v>-290496.49166666664</v>
      </c>
      <c r="X696" s="702"/>
      <c r="Y696" s="679"/>
      <c r="Z696" s="679"/>
      <c r="AA696" s="642"/>
      <c r="AB696" s="679"/>
      <c r="AC696" s="644">
        <f t="shared" si="117"/>
        <v>-290496.49166666664</v>
      </c>
      <c r="AD696" s="643"/>
      <c r="AE696" s="643"/>
      <c r="AF696" s="677">
        <f t="shared" si="114"/>
        <v>0</v>
      </c>
    </row>
    <row r="697" spans="1:32">
      <c r="A697" s="604">
        <v>687</v>
      </c>
      <c r="B697" s="316" t="s">
        <v>956</v>
      </c>
      <c r="C697" s="316" t="s">
        <v>642</v>
      </c>
      <c r="D697" s="604"/>
      <c r="E697" s="589" t="s">
        <v>1787</v>
      </c>
      <c r="F697" s="601">
        <v>-47519.35</v>
      </c>
      <c r="G697" s="601">
        <v>0</v>
      </c>
      <c r="H697" s="601">
        <v>0</v>
      </c>
      <c r="I697" s="601">
        <v>0</v>
      </c>
      <c r="J697" s="601">
        <v>0</v>
      </c>
      <c r="K697" s="601">
        <v>0</v>
      </c>
      <c r="L697" s="601">
        <v>0</v>
      </c>
      <c r="M697" s="601">
        <v>16.91</v>
      </c>
      <c r="N697" s="601">
        <v>16.91</v>
      </c>
      <c r="O697" s="601">
        <v>16.91</v>
      </c>
      <c r="P697" s="601">
        <v>16.91</v>
      </c>
      <c r="Q697" s="601">
        <v>104.97</v>
      </c>
      <c r="R697" s="601">
        <v>104.97</v>
      </c>
      <c r="S697" s="484">
        <f t="shared" si="116"/>
        <v>-1961.2149999999999</v>
      </c>
      <c r="T697" s="604"/>
      <c r="U697" s="642"/>
      <c r="V697" s="679"/>
      <c r="W697" s="679">
        <f t="shared" si="118"/>
        <v>-1961.2149999999999</v>
      </c>
      <c r="X697" s="702"/>
      <c r="Y697" s="679"/>
      <c r="Z697" s="679"/>
      <c r="AA697" s="642"/>
      <c r="AB697" s="679"/>
      <c r="AC697" s="644">
        <f t="shared" si="117"/>
        <v>-1961.2149999999999</v>
      </c>
      <c r="AD697" s="643"/>
      <c r="AE697" s="643"/>
      <c r="AF697" s="677">
        <f t="shared" si="114"/>
        <v>0</v>
      </c>
    </row>
    <row r="698" spans="1:32">
      <c r="A698" s="604">
        <v>689</v>
      </c>
      <c r="B698" s="604"/>
      <c r="C698" s="604"/>
      <c r="D698" s="604"/>
      <c r="E698" s="589" t="s">
        <v>645</v>
      </c>
      <c r="F698" s="486">
        <f t="shared" ref="F698:S698" si="119">SUM(F687:F697)</f>
        <v>-886903.13999999978</v>
      </c>
      <c r="G698" s="486">
        <f t="shared" si="119"/>
        <v>-264051.61</v>
      </c>
      <c r="H698" s="486">
        <f t="shared" si="119"/>
        <v>-530545.21</v>
      </c>
      <c r="I698" s="486">
        <f t="shared" si="119"/>
        <v>-946745.59</v>
      </c>
      <c r="J698" s="486">
        <f t="shared" si="119"/>
        <v>-1347209.95</v>
      </c>
      <c r="K698" s="486">
        <f t="shared" si="119"/>
        <v>-1901734.3099999998</v>
      </c>
      <c r="L698" s="486">
        <f t="shared" si="119"/>
        <v>-2391803.4299999997</v>
      </c>
      <c r="M698" s="486">
        <f t="shared" si="119"/>
        <v>-2905923.9899999998</v>
      </c>
      <c r="N698" s="486">
        <f t="shared" si="119"/>
        <v>-3489916.3200000003</v>
      </c>
      <c r="O698" s="486">
        <f t="shared" si="119"/>
        <v>-4067973.73</v>
      </c>
      <c r="P698" s="486">
        <f t="shared" si="119"/>
        <v>-4615175.05</v>
      </c>
      <c r="Q698" s="486">
        <f t="shared" si="119"/>
        <v>-5140167.6000000006</v>
      </c>
      <c r="R698" s="486">
        <f t="shared" si="119"/>
        <v>-5675979.0900000008</v>
      </c>
      <c r="S698" s="486">
        <f t="shared" si="119"/>
        <v>-2573557.3254166665</v>
      </c>
      <c r="T698" s="604"/>
      <c r="U698" s="642"/>
      <c r="V698" s="679"/>
      <c r="W698" s="679"/>
      <c r="X698" s="702"/>
      <c r="Y698" s="679"/>
      <c r="Z698" s="679"/>
      <c r="AA698" s="642"/>
      <c r="AB698" s="679"/>
      <c r="AC698" s="643"/>
      <c r="AD698" s="643"/>
      <c r="AE698" s="643"/>
    </row>
    <row r="699" spans="1:32">
      <c r="A699" s="604">
        <v>690</v>
      </c>
      <c r="B699" s="604"/>
      <c r="C699" s="604"/>
      <c r="D699" s="604"/>
      <c r="E699" s="589"/>
      <c r="F699" s="603"/>
      <c r="G699" s="314"/>
      <c r="H699" s="305"/>
      <c r="I699" s="305"/>
      <c r="J699" s="306"/>
      <c r="K699" s="307"/>
      <c r="L699" s="308"/>
      <c r="M699" s="309"/>
      <c r="N699" s="310"/>
      <c r="O699" s="590"/>
      <c r="P699" s="311"/>
      <c r="Q699" s="315"/>
      <c r="R699" s="603"/>
      <c r="S699" s="294"/>
      <c r="T699" s="604"/>
      <c r="U699" s="642"/>
      <c r="V699" s="679"/>
      <c r="W699" s="679"/>
      <c r="X699" s="702"/>
      <c r="Y699" s="679"/>
      <c r="Z699" s="679"/>
      <c r="AA699" s="642"/>
      <c r="AB699" s="679"/>
      <c r="AC699" s="643"/>
      <c r="AD699" s="643"/>
      <c r="AE699" s="643"/>
    </row>
    <row r="700" spans="1:32" ht="15" thickBot="1">
      <c r="A700" s="604">
        <v>691</v>
      </c>
      <c r="B700" s="527"/>
      <c r="C700" s="527"/>
      <c r="D700" s="527"/>
      <c r="E700" s="596" t="s">
        <v>646</v>
      </c>
      <c r="F700" s="322">
        <f t="shared" ref="F700:S700" si="120">+F698+F685+F615+F588+F546+F459+F419+F399</f>
        <v>-1117173255.4099998</v>
      </c>
      <c r="G700" s="322">
        <f t="shared" si="120"/>
        <v>-874125722.08000004</v>
      </c>
      <c r="H700" s="322">
        <f t="shared" si="120"/>
        <v>-939569369.36000013</v>
      </c>
      <c r="I700" s="322">
        <f t="shared" si="120"/>
        <v>-996037968.96000004</v>
      </c>
      <c r="J700" s="322">
        <f t="shared" si="120"/>
        <v>-998465333.85000002</v>
      </c>
      <c r="K700" s="322">
        <f t="shared" si="120"/>
        <v>-1006979612.15</v>
      </c>
      <c r="L700" s="322">
        <f t="shared" si="120"/>
        <v>-1026172554.4399999</v>
      </c>
      <c r="M700" s="322">
        <f t="shared" si="120"/>
        <v>-1052630814.3600001</v>
      </c>
      <c r="N700" s="322">
        <f t="shared" si="120"/>
        <v>-1077947351.52</v>
      </c>
      <c r="O700" s="322">
        <f t="shared" si="120"/>
        <v>-1095026663.54</v>
      </c>
      <c r="P700" s="322">
        <f t="shared" si="120"/>
        <v>-1143148336.5699997</v>
      </c>
      <c r="Q700" s="322">
        <f t="shared" si="120"/>
        <v>-1193037825.9899998</v>
      </c>
      <c r="R700" s="322">
        <f t="shared" si="120"/>
        <v>-1262198971.3000002</v>
      </c>
      <c r="S700" s="322">
        <f t="shared" si="120"/>
        <v>-1049402305.5145833</v>
      </c>
      <c r="T700" s="527"/>
      <c r="U700" s="647"/>
      <c r="V700" s="680"/>
      <c r="W700" s="680"/>
      <c r="X700" s="705"/>
      <c r="Y700" s="680"/>
      <c r="Z700" s="680"/>
      <c r="AA700" s="647"/>
      <c r="AB700" s="680"/>
      <c r="AC700" s="648"/>
      <c r="AD700" s="648"/>
      <c r="AE700" s="648"/>
    </row>
    <row r="701" spans="1:32" ht="15" thickTop="1">
      <c r="A701" s="604">
        <v>692</v>
      </c>
      <c r="B701" s="604"/>
      <c r="C701" s="604"/>
      <c r="D701" s="604"/>
      <c r="E701" s="604"/>
      <c r="F701" s="604"/>
      <c r="G701" s="604"/>
      <c r="H701" s="604"/>
      <c r="I701" s="604"/>
      <c r="J701" s="604"/>
      <c r="K701" s="604"/>
      <c r="L701" s="604"/>
      <c r="M701" s="604"/>
      <c r="N701" s="604"/>
      <c r="O701" s="604"/>
      <c r="P701" s="604"/>
      <c r="Q701" s="604"/>
      <c r="R701" s="604"/>
      <c r="S701" s="317"/>
      <c r="T701" s="604"/>
      <c r="U701" s="708"/>
      <c r="V701" s="709"/>
      <c r="W701" s="709"/>
      <c r="X701" s="709"/>
      <c r="Y701" s="709"/>
      <c r="Z701" s="709"/>
      <c r="AA701" s="708"/>
      <c r="AB701" s="709"/>
      <c r="AC701" s="710"/>
      <c r="AD701" s="710"/>
      <c r="AE701" s="710"/>
    </row>
    <row r="702" spans="1:32">
      <c r="A702" s="604">
        <v>693</v>
      </c>
      <c r="B702" s="604"/>
      <c r="C702" s="604"/>
      <c r="D702" s="604"/>
      <c r="E702" s="604"/>
      <c r="F702" s="604"/>
      <c r="G702" s="604"/>
      <c r="H702" s="604"/>
      <c r="I702" s="604"/>
      <c r="J702" s="604"/>
      <c r="K702" s="604"/>
      <c r="L702" s="604"/>
      <c r="M702" s="604"/>
      <c r="N702" s="604"/>
      <c r="O702" s="604"/>
      <c r="P702" s="604"/>
      <c r="Q702" s="604"/>
      <c r="R702" s="604"/>
      <c r="S702" s="317"/>
      <c r="T702" s="604"/>
      <c r="U702" s="317"/>
      <c r="V702" s="694"/>
      <c r="W702" s="694"/>
      <c r="X702" s="694"/>
      <c r="Y702" s="694"/>
      <c r="Z702" s="694"/>
      <c r="AA702" s="317"/>
      <c r="AB702" s="694"/>
      <c r="AC702" s="604"/>
      <c r="AD702" s="604"/>
      <c r="AE702" s="604"/>
    </row>
    <row r="703" spans="1:32">
      <c r="A703" s="604">
        <v>694</v>
      </c>
      <c r="B703" s="604"/>
      <c r="C703" s="604"/>
      <c r="D703" s="604"/>
      <c r="E703" s="527" t="s">
        <v>1246</v>
      </c>
      <c r="F703" s="604"/>
      <c r="G703" s="604"/>
      <c r="H703" s="604"/>
      <c r="I703" s="604"/>
      <c r="J703" s="604"/>
      <c r="K703" s="604"/>
      <c r="L703" s="604"/>
      <c r="M703" s="604"/>
      <c r="N703" s="604"/>
      <c r="O703" s="604"/>
      <c r="P703" s="604"/>
      <c r="Q703" s="604"/>
      <c r="R703" s="604"/>
      <c r="S703" s="317"/>
      <c r="T703" s="604"/>
      <c r="U703" s="334">
        <f t="shared" ref="U703:AD703" si="121">SUM(U15:U698)</f>
        <v>226453054.14000002</v>
      </c>
      <c r="V703" s="681">
        <f t="shared" si="121"/>
        <v>-213982709.2083334</v>
      </c>
      <c r="W703" s="681">
        <f t="shared" si="121"/>
        <v>-608665589.31624961</v>
      </c>
      <c r="X703" s="681">
        <f t="shared" si="121"/>
        <v>596195244.38458323</v>
      </c>
      <c r="Y703" s="681">
        <f t="shared" si="121"/>
        <v>361675908.75521296</v>
      </c>
      <c r="Z703" s="681">
        <f t="shared" si="121"/>
        <v>116788178.80603699</v>
      </c>
      <c r="AA703" s="334">
        <f t="shared" si="121"/>
        <v>0</v>
      </c>
      <c r="AB703" s="681">
        <f t="shared" si="121"/>
        <v>117731156.8233334</v>
      </c>
      <c r="AC703" s="711">
        <f t="shared" si="121"/>
        <v>-608665589.31624961</v>
      </c>
      <c r="AD703" s="711">
        <f t="shared" si="121"/>
        <v>12470344.931666918</v>
      </c>
      <c r="AE703" s="318">
        <f>+AB703+Z703+Y703</f>
        <v>596195244.38458335</v>
      </c>
    </row>
    <row r="704" spans="1:32">
      <c r="A704" s="604">
        <v>695</v>
      </c>
      <c r="B704" s="604"/>
      <c r="C704" s="604"/>
      <c r="D704" s="604"/>
      <c r="E704" s="604" t="s">
        <v>1247</v>
      </c>
      <c r="F704" s="604"/>
      <c r="G704" s="604"/>
      <c r="H704" s="604"/>
      <c r="I704" s="604"/>
      <c r="J704" s="604"/>
      <c r="K704" s="604"/>
      <c r="L704" s="604"/>
      <c r="M704" s="604"/>
      <c r="N704" s="604"/>
      <c r="O704" s="604"/>
      <c r="P704" s="604"/>
      <c r="Q704" s="604"/>
      <c r="R704" s="604"/>
      <c r="S704" s="317"/>
      <c r="T704" s="604"/>
      <c r="U704" s="698" t="s">
        <v>1248</v>
      </c>
      <c r="V704" s="681">
        <f>+U703+V703</f>
        <v>12470344.931666613</v>
      </c>
      <c r="W704" s="699" t="s">
        <v>1249</v>
      </c>
      <c r="X704" s="694">
        <f>-W703-X703</f>
        <v>12470344.931666374</v>
      </c>
      <c r="Y704" s="694"/>
      <c r="Z704" s="694"/>
      <c r="AA704" s="317"/>
      <c r="AB704" s="694"/>
      <c r="AC704" s="318">
        <f>+AB703+Z703+Y703</f>
        <v>596195244.38458335</v>
      </c>
      <c r="AD704" s="604"/>
      <c r="AE704" s="318">
        <f>+AE703-X703</f>
        <v>0</v>
      </c>
    </row>
    <row r="705" spans="1:31">
      <c r="A705" s="604">
        <v>696</v>
      </c>
      <c r="B705" s="604"/>
      <c r="C705" s="604"/>
      <c r="D705" s="604"/>
      <c r="E705" s="604"/>
      <c r="F705" s="604"/>
      <c r="G705" s="604"/>
      <c r="H705" s="604"/>
      <c r="I705" s="604"/>
      <c r="J705" s="604"/>
      <c r="K705" s="604"/>
      <c r="L705" s="604"/>
      <c r="M705" s="604"/>
      <c r="N705" s="604"/>
      <c r="O705" s="604"/>
      <c r="P705" s="604"/>
      <c r="Q705" s="604"/>
      <c r="R705" s="604"/>
      <c r="S705" s="317"/>
      <c r="T705" s="604"/>
      <c r="U705" s="317"/>
      <c r="V705" s="694"/>
      <c r="W705" s="694"/>
      <c r="X705" s="681">
        <f>+X704-V704</f>
        <v>-2.384185791015625E-7</v>
      </c>
      <c r="Y705" s="694"/>
      <c r="Z705" s="694"/>
      <c r="AA705" s="317">
        <f>+Y703+Z703+AB703-X703</f>
        <v>0</v>
      </c>
      <c r="AB705" s="694"/>
      <c r="AC705" s="604"/>
      <c r="AD705" s="318"/>
      <c r="AE705" s="604"/>
    </row>
    <row r="706" spans="1:31">
      <c r="A706" s="604">
        <v>697</v>
      </c>
      <c r="B706" s="604"/>
      <c r="C706" s="604"/>
      <c r="D706" s="604"/>
      <c r="E706" s="604" t="s">
        <v>1250</v>
      </c>
      <c r="F706" s="604"/>
      <c r="G706" s="604"/>
      <c r="H706" s="604"/>
      <c r="I706" s="604"/>
      <c r="J706" s="604"/>
      <c r="K706" s="604"/>
      <c r="L706" s="604"/>
      <c r="M706" s="604"/>
      <c r="N706" s="604"/>
      <c r="O706" s="604"/>
      <c r="P706" s="604"/>
      <c r="Q706" s="604"/>
      <c r="R706" s="604"/>
      <c r="S706" s="317"/>
      <c r="T706" s="604"/>
      <c r="U706" s="317"/>
      <c r="V706" s="694"/>
      <c r="W706" s="694"/>
      <c r="X706" s="694">
        <f>+X703-Y703-Z703-AB703</f>
        <v>-1.1920928955078125E-7</v>
      </c>
      <c r="Y706" s="641">
        <f>+Y703/AC704</f>
        <v>0.60664004310961817</v>
      </c>
      <c r="Z706" s="641">
        <f>+Z703/AC704</f>
        <v>0.19588914857345169</v>
      </c>
      <c r="AA706" s="641"/>
      <c r="AB706" s="641">
        <f>+AB703/AC704</f>
        <v>0.19747080831693017</v>
      </c>
      <c r="AC706" s="604"/>
      <c r="AD706" s="604"/>
      <c r="AE706" s="604"/>
    </row>
    <row r="707" spans="1:31">
      <c r="A707" s="604">
        <v>698</v>
      </c>
      <c r="B707" s="604"/>
      <c r="C707" s="604"/>
      <c r="D707" s="604"/>
      <c r="E707" s="604"/>
      <c r="F707" s="604"/>
      <c r="G707" s="604"/>
      <c r="H707" s="604"/>
      <c r="I707" s="604"/>
      <c r="J707" s="604"/>
      <c r="K707" s="604"/>
      <c r="L707" s="604"/>
      <c r="M707" s="604"/>
      <c r="N707" s="604"/>
      <c r="O707" s="604"/>
      <c r="P707" s="604"/>
      <c r="Q707" s="604"/>
      <c r="R707" s="604"/>
      <c r="S707" s="317"/>
      <c r="T707" s="604"/>
      <c r="U707" s="317"/>
      <c r="V707" s="694"/>
      <c r="W707" s="694"/>
      <c r="X707" s="694"/>
      <c r="Y707" s="694"/>
      <c r="Z707" s="694"/>
      <c r="AA707" s="317"/>
      <c r="AB707" s="694"/>
      <c r="AC707" s="604"/>
      <c r="AD707" s="604"/>
      <c r="AE707" s="604"/>
    </row>
    <row r="708" spans="1:31">
      <c r="A708" s="604">
        <v>699</v>
      </c>
      <c r="B708" s="604"/>
      <c r="C708" s="604"/>
      <c r="D708" s="604"/>
      <c r="E708" s="604" t="s">
        <v>1251</v>
      </c>
      <c r="F708" s="604"/>
      <c r="G708" s="604"/>
      <c r="H708" s="604"/>
      <c r="I708" s="604"/>
      <c r="J708" s="604"/>
      <c r="K708" s="604"/>
      <c r="L708" s="604"/>
      <c r="M708" s="604"/>
      <c r="N708" s="604"/>
      <c r="O708" s="604"/>
      <c r="P708" s="604"/>
      <c r="Q708" s="604"/>
      <c r="R708" s="604"/>
      <c r="S708" s="317"/>
      <c r="T708" s="604"/>
      <c r="U708" s="317"/>
      <c r="V708" s="694"/>
      <c r="W708" s="694"/>
      <c r="X708" s="694"/>
      <c r="Y708" s="712">
        <f>+X704*Y706</f>
        <v>7565010.5869378978</v>
      </c>
      <c r="Z708" s="694">
        <f>+X704*Z706</f>
        <v>2442805.2510813847</v>
      </c>
      <c r="AA708" s="317"/>
      <c r="AB708" s="694">
        <f>+X704*AB706</f>
        <v>2462529.0936470921</v>
      </c>
      <c r="AC708" s="604"/>
      <c r="AD708" s="604"/>
      <c r="AE708" s="604"/>
    </row>
    <row r="709" spans="1:31">
      <c r="A709" s="604"/>
      <c r="B709" s="604"/>
      <c r="C709" s="604"/>
      <c r="D709" s="604"/>
      <c r="E709" s="604"/>
      <c r="F709" s="604"/>
      <c r="G709" s="604"/>
      <c r="H709" s="604"/>
      <c r="I709" s="604"/>
      <c r="J709" s="604"/>
      <c r="K709" s="604"/>
      <c r="L709" s="604"/>
      <c r="M709" s="604"/>
      <c r="N709" s="604"/>
      <c r="O709" s="604"/>
      <c r="P709" s="604"/>
      <c r="Q709" s="604"/>
      <c r="R709" s="604"/>
      <c r="S709" s="317"/>
      <c r="T709" s="604"/>
      <c r="U709" s="317"/>
      <c r="V709" s="694"/>
      <c r="W709" s="694"/>
      <c r="X709" s="694"/>
      <c r="Y709" s="694"/>
      <c r="Z709" s="694"/>
      <c r="AA709" s="317"/>
      <c r="AB709" s="694"/>
      <c r="AC709" s="604"/>
      <c r="AD709" s="604"/>
      <c r="AE709" s="604"/>
    </row>
    <row r="710" spans="1:31">
      <c r="A710" s="604"/>
      <c r="B710" s="604"/>
      <c r="C710" s="604"/>
      <c r="D710" s="604"/>
      <c r="E710" s="604"/>
      <c r="F710" s="604"/>
      <c r="G710" s="604"/>
      <c r="H710" s="604"/>
      <c r="I710" s="604"/>
      <c r="J710" s="604"/>
      <c r="K710" s="604"/>
      <c r="L710" s="604"/>
      <c r="M710" s="604"/>
      <c r="N710" s="604"/>
      <c r="O710" s="604"/>
      <c r="P710" s="604"/>
      <c r="Q710" s="604"/>
      <c r="R710" s="604"/>
      <c r="S710" s="317"/>
      <c r="T710" s="604"/>
      <c r="U710" s="317"/>
      <c r="V710" s="694"/>
      <c r="W710" s="694"/>
      <c r="X710" s="694"/>
      <c r="Y710" s="694"/>
      <c r="Z710" s="694"/>
      <c r="AA710" s="317"/>
      <c r="AB710" s="694"/>
      <c r="AC710" s="604"/>
      <c r="AD710" s="604"/>
      <c r="AE710" s="604"/>
    </row>
    <row r="711" spans="1:31">
      <c r="A711" s="604"/>
      <c r="B711" s="604"/>
      <c r="C711" s="604"/>
      <c r="D711" s="604"/>
      <c r="E711" s="604"/>
      <c r="F711" s="604"/>
      <c r="G711" s="604"/>
      <c r="H711" s="604"/>
      <c r="I711" s="604"/>
      <c r="J711" s="604"/>
      <c r="K711" s="604"/>
      <c r="L711" s="604"/>
      <c r="M711" s="604"/>
      <c r="N711" s="604"/>
      <c r="O711" s="604"/>
      <c r="P711" s="604"/>
      <c r="Q711" s="604"/>
      <c r="R711" s="604"/>
      <c r="S711" s="317"/>
      <c r="T711" s="604"/>
      <c r="U711" s="317"/>
      <c r="V711" s="694"/>
      <c r="W711" s="694"/>
      <c r="X711" s="694"/>
      <c r="Y711" s="694"/>
      <c r="Z711" s="694"/>
      <c r="AA711" s="317"/>
      <c r="AB711" s="694"/>
      <c r="AC711" s="604"/>
      <c r="AD711" s="604"/>
      <c r="AE711" s="604"/>
    </row>
    <row r="712" spans="1:31">
      <c r="A712" s="604"/>
      <c r="B712" s="604"/>
      <c r="C712" s="604"/>
      <c r="D712" s="604"/>
      <c r="E712" s="604"/>
      <c r="F712" s="604"/>
      <c r="G712" s="604"/>
      <c r="H712" s="604"/>
      <c r="I712" s="604"/>
      <c r="J712" s="604"/>
      <c r="K712" s="604"/>
      <c r="L712" s="604"/>
      <c r="M712" s="604"/>
      <c r="N712" s="604"/>
      <c r="O712" s="604"/>
      <c r="P712" s="604"/>
      <c r="Q712" s="604"/>
      <c r="R712" s="604"/>
      <c r="S712" s="317"/>
      <c r="T712" s="604"/>
      <c r="U712" s="317"/>
      <c r="V712" s="694"/>
      <c r="W712" s="694"/>
      <c r="X712" s="694"/>
      <c r="Y712" s="694"/>
      <c r="Z712" s="694"/>
      <c r="AA712" s="317"/>
      <c r="AB712" s="694"/>
      <c r="AC712" s="604"/>
      <c r="AD712" s="604"/>
      <c r="AE712" s="604"/>
    </row>
    <row r="713" spans="1:31">
      <c r="A713" s="604"/>
      <c r="B713" s="604"/>
      <c r="C713" s="604"/>
      <c r="D713" s="604"/>
      <c r="E713" s="604"/>
      <c r="F713" s="604"/>
      <c r="G713" s="604"/>
      <c r="H713" s="604"/>
      <c r="I713" s="604"/>
      <c r="J713" s="604"/>
      <c r="K713" s="604"/>
      <c r="L713" s="604"/>
      <c r="M713" s="604"/>
      <c r="N713" s="604"/>
      <c r="O713" s="604"/>
      <c r="P713" s="604"/>
      <c r="Q713" s="604"/>
      <c r="R713" s="604"/>
      <c r="S713" s="317"/>
      <c r="T713" s="604"/>
      <c r="U713" s="317"/>
      <c r="V713" s="694"/>
      <c r="W713" s="694"/>
      <c r="X713" s="694"/>
      <c r="Y713" s="694"/>
      <c r="Z713" s="694"/>
      <c r="AA713" s="317"/>
      <c r="AB713" s="694"/>
      <c r="AC713" s="604"/>
      <c r="AD713" s="604"/>
      <c r="AE713" s="604"/>
    </row>
    <row r="714" spans="1:31">
      <c r="A714" s="604"/>
      <c r="B714" s="604"/>
      <c r="C714" s="604"/>
      <c r="D714" s="604"/>
      <c r="E714" s="604"/>
      <c r="F714" s="604"/>
      <c r="G714" s="604"/>
      <c r="H714" s="604"/>
      <c r="I714" s="604"/>
      <c r="J714" s="604"/>
      <c r="K714" s="604"/>
      <c r="L714" s="604"/>
      <c r="M714" s="604"/>
      <c r="N714" s="604"/>
      <c r="O714" s="604"/>
      <c r="P714" s="604"/>
      <c r="Q714" s="604"/>
      <c r="R714" s="604"/>
      <c r="S714" s="317"/>
      <c r="T714" s="604"/>
      <c r="U714" s="317"/>
      <c r="V714" s="694"/>
      <c r="W714" s="694"/>
      <c r="X714" s="694"/>
      <c r="Y714" s="694"/>
      <c r="Z714" s="694"/>
      <c r="AA714" s="317"/>
      <c r="AB714" s="694"/>
      <c r="AC714" s="604"/>
      <c r="AD714" s="604"/>
      <c r="AE714" s="604"/>
    </row>
    <row r="715" spans="1:31">
      <c r="A715" s="604"/>
      <c r="B715" s="604"/>
      <c r="C715" s="604"/>
      <c r="D715" s="604"/>
      <c r="E715" s="604"/>
      <c r="F715" s="604"/>
      <c r="G715" s="604"/>
      <c r="H715" s="604"/>
      <c r="I715" s="604"/>
      <c r="J715" s="604"/>
      <c r="K715" s="604"/>
      <c r="L715" s="604"/>
      <c r="M715" s="604"/>
      <c r="N715" s="604"/>
      <c r="O715" s="604"/>
      <c r="P715" s="604"/>
      <c r="Q715" s="604"/>
      <c r="R715" s="604"/>
      <c r="S715" s="317"/>
      <c r="T715" s="604"/>
      <c r="U715" s="317"/>
      <c r="V715" s="694"/>
      <c r="W715" s="694"/>
      <c r="X715" s="694"/>
      <c r="Y715" s="694"/>
      <c r="Z715" s="694"/>
      <c r="AA715" s="317"/>
      <c r="AB715" s="694"/>
      <c r="AC715" s="604"/>
      <c r="AD715" s="604"/>
      <c r="AE715" s="604"/>
    </row>
    <row r="716" spans="1:31">
      <c r="A716" s="604"/>
      <c r="B716" s="604"/>
      <c r="C716" s="604"/>
      <c r="D716" s="604"/>
      <c r="E716" s="604"/>
      <c r="F716" s="604"/>
      <c r="G716" s="604"/>
      <c r="H716" s="604"/>
      <c r="I716" s="604"/>
      <c r="J716" s="604"/>
      <c r="K716" s="604"/>
      <c r="L716" s="604"/>
      <c r="M716" s="604"/>
      <c r="N716" s="604"/>
      <c r="O716" s="604"/>
      <c r="P716" s="604"/>
      <c r="Q716" s="604"/>
      <c r="R716" s="604"/>
      <c r="S716" s="317"/>
      <c r="T716" s="604"/>
      <c r="U716" s="317"/>
      <c r="V716" s="694"/>
      <c r="W716" s="694"/>
      <c r="X716" s="694"/>
      <c r="Y716" s="694"/>
      <c r="Z716" s="694"/>
      <c r="AA716" s="317"/>
      <c r="AB716" s="694"/>
      <c r="AC716" s="604"/>
      <c r="AD716" s="604"/>
      <c r="AE716" s="604"/>
    </row>
    <row r="717" spans="1:31">
      <c r="A717" s="604"/>
      <c r="B717" s="604"/>
      <c r="C717" s="604"/>
      <c r="D717" s="604"/>
      <c r="E717" s="604"/>
      <c r="F717" s="604"/>
      <c r="G717" s="604"/>
      <c r="H717" s="604"/>
      <c r="I717" s="604"/>
      <c r="J717" s="604"/>
      <c r="K717" s="604"/>
      <c r="L717" s="604"/>
      <c r="M717" s="604"/>
      <c r="N717" s="604"/>
      <c r="O717" s="604"/>
      <c r="P717" s="604"/>
      <c r="Q717" s="604"/>
      <c r="R717" s="604"/>
      <c r="S717" s="317"/>
      <c r="T717" s="604"/>
      <c r="U717" s="317"/>
      <c r="V717" s="694"/>
      <c r="W717" s="694"/>
      <c r="X717" s="694"/>
      <c r="Y717" s="694"/>
      <c r="Z717" s="694"/>
      <c r="AA717" s="317"/>
      <c r="AB717" s="694"/>
      <c r="AC717" s="604"/>
      <c r="AD717" s="604"/>
      <c r="AE717" s="604"/>
    </row>
    <row r="718" spans="1:31">
      <c r="A718" s="604"/>
      <c r="B718" s="604"/>
      <c r="C718" s="604"/>
      <c r="D718" s="604"/>
      <c r="E718" s="604"/>
      <c r="F718" s="604"/>
      <c r="G718" s="604"/>
      <c r="H718" s="604"/>
      <c r="I718" s="604"/>
      <c r="J718" s="604"/>
      <c r="K718" s="604"/>
      <c r="L718" s="604"/>
      <c r="M718" s="604"/>
      <c r="N718" s="604"/>
      <c r="O718" s="604"/>
      <c r="P718" s="604"/>
      <c r="Q718" s="604"/>
      <c r="R718" s="604"/>
      <c r="S718" s="317"/>
      <c r="T718" s="604"/>
      <c r="U718" s="317"/>
      <c r="V718" s="694"/>
      <c r="W718" s="694"/>
      <c r="X718" s="694"/>
      <c r="Y718" s="694"/>
      <c r="Z718" s="694"/>
      <c r="AA718" s="317"/>
      <c r="AB718" s="694"/>
      <c r="AC718" s="604"/>
      <c r="AD718" s="604"/>
      <c r="AE718" s="604"/>
    </row>
    <row r="719" spans="1:31">
      <c r="A719" s="604"/>
      <c r="B719" s="604"/>
      <c r="C719" s="604"/>
      <c r="D719" s="604"/>
      <c r="E719" s="604"/>
      <c r="F719" s="604"/>
      <c r="G719" s="604"/>
      <c r="H719" s="604"/>
      <c r="I719" s="604"/>
      <c r="J719" s="604"/>
      <c r="K719" s="604"/>
      <c r="L719" s="604"/>
      <c r="M719" s="604"/>
      <c r="N719" s="604"/>
      <c r="O719" s="604"/>
      <c r="P719" s="604"/>
      <c r="Q719" s="604"/>
      <c r="R719" s="604"/>
      <c r="S719" s="317"/>
      <c r="T719" s="604"/>
      <c r="U719" s="317"/>
      <c r="V719" s="694"/>
      <c r="W719" s="694"/>
      <c r="X719" s="694"/>
      <c r="Y719" s="694"/>
      <c r="Z719" s="694"/>
      <c r="AA719" s="317"/>
      <c r="AB719" s="694"/>
      <c r="AC719" s="604"/>
      <c r="AD719" s="604"/>
      <c r="AE719" s="604"/>
    </row>
    <row r="720" spans="1:31">
      <c r="A720" s="604"/>
      <c r="B720" s="604"/>
      <c r="C720" s="604"/>
      <c r="D720" s="604"/>
      <c r="E720" s="604"/>
      <c r="F720" s="604"/>
      <c r="G720" s="604"/>
      <c r="H720" s="604"/>
      <c r="I720" s="604"/>
      <c r="J720" s="604"/>
      <c r="K720" s="604"/>
      <c r="L720" s="604"/>
      <c r="M720" s="604"/>
      <c r="N720" s="604"/>
      <c r="O720" s="604"/>
      <c r="P720" s="604"/>
      <c r="Q720" s="604"/>
      <c r="R720" s="604"/>
      <c r="S720" s="317"/>
      <c r="T720" s="604"/>
      <c r="U720" s="317"/>
      <c r="V720" s="694"/>
      <c r="W720" s="694"/>
      <c r="X720" s="694"/>
      <c r="Y720" s="694"/>
      <c r="Z720" s="694"/>
      <c r="AA720" s="317"/>
      <c r="AB720" s="694"/>
      <c r="AC720" s="604"/>
      <c r="AD720" s="604"/>
      <c r="AE720" s="604"/>
    </row>
    <row r="721" spans="1:31">
      <c r="A721" s="604"/>
      <c r="B721" s="604"/>
      <c r="C721" s="604"/>
      <c r="D721" s="604"/>
      <c r="E721" s="604"/>
      <c r="F721" s="604"/>
      <c r="G721" s="604"/>
      <c r="H721" s="604"/>
      <c r="I721" s="604"/>
      <c r="J721" s="604"/>
      <c r="K721" s="604"/>
      <c r="L721" s="604"/>
      <c r="M721" s="604"/>
      <c r="N721" s="604"/>
      <c r="O721" s="604"/>
      <c r="P721" s="604"/>
      <c r="Q721" s="604"/>
      <c r="R721" s="604"/>
      <c r="S721" s="317"/>
      <c r="T721" s="604"/>
      <c r="U721" s="317"/>
      <c r="V721" s="694"/>
      <c r="W721" s="694"/>
      <c r="X721" s="694"/>
      <c r="Y721" s="694"/>
      <c r="Z721" s="694"/>
      <c r="AA721" s="317"/>
      <c r="AB721" s="694"/>
      <c r="AC721" s="604"/>
      <c r="AD721" s="604"/>
      <c r="AE721" s="604"/>
    </row>
    <row r="722" spans="1:31">
      <c r="A722" s="604"/>
      <c r="B722" s="604"/>
      <c r="C722" s="604"/>
      <c r="D722" s="604"/>
      <c r="E722" s="604"/>
      <c r="F722" s="604"/>
      <c r="G722" s="604"/>
      <c r="H722" s="604"/>
      <c r="I722" s="604"/>
      <c r="J722" s="604"/>
      <c r="K722" s="604"/>
      <c r="L722" s="604"/>
      <c r="M722" s="604"/>
      <c r="N722" s="604"/>
      <c r="O722" s="604"/>
      <c r="P722" s="604"/>
      <c r="Q722" s="604"/>
      <c r="R722" s="604"/>
      <c r="S722" s="317"/>
      <c r="T722" s="604"/>
      <c r="U722" s="317"/>
      <c r="V722" s="694"/>
      <c r="W722" s="694"/>
      <c r="X722" s="694"/>
      <c r="Y722" s="694"/>
      <c r="Z722" s="694"/>
      <c r="AA722" s="317"/>
      <c r="AB722" s="694"/>
      <c r="AC722" s="604"/>
      <c r="AD722" s="604"/>
      <c r="AE722" s="604"/>
    </row>
    <row r="723" spans="1:31">
      <c r="A723" s="604"/>
      <c r="B723" s="604"/>
      <c r="C723" s="604"/>
      <c r="D723" s="604"/>
      <c r="E723" s="604"/>
      <c r="F723" s="604"/>
      <c r="G723" s="604"/>
      <c r="H723" s="604"/>
      <c r="I723" s="604"/>
      <c r="J723" s="604"/>
      <c r="K723" s="604"/>
      <c r="L723" s="604"/>
      <c r="M723" s="604"/>
      <c r="N723" s="604"/>
      <c r="O723" s="604"/>
      <c r="P723" s="604"/>
      <c r="Q723" s="604"/>
      <c r="R723" s="604"/>
      <c r="S723" s="317"/>
      <c r="T723" s="604"/>
      <c r="U723" s="317"/>
      <c r="V723" s="694"/>
      <c r="W723" s="694"/>
      <c r="X723" s="694"/>
      <c r="Y723" s="694"/>
      <c r="Z723" s="694"/>
      <c r="AA723" s="317"/>
      <c r="AB723" s="694"/>
      <c r="AC723" s="604"/>
      <c r="AD723" s="604"/>
      <c r="AE723" s="604"/>
    </row>
    <row r="724" spans="1:31">
      <c r="A724" s="604"/>
      <c r="B724" s="604"/>
      <c r="C724" s="604"/>
      <c r="D724" s="604"/>
      <c r="E724" s="604"/>
      <c r="F724" s="604"/>
      <c r="G724" s="604"/>
      <c r="H724" s="604"/>
      <c r="I724" s="604"/>
      <c r="J724" s="604"/>
      <c r="K724" s="604"/>
      <c r="L724" s="604"/>
      <c r="M724" s="604"/>
      <c r="N724" s="604"/>
      <c r="O724" s="604"/>
      <c r="P724" s="604"/>
      <c r="Q724" s="604"/>
      <c r="R724" s="604"/>
      <c r="S724" s="317"/>
      <c r="T724" s="604"/>
      <c r="U724" s="317"/>
      <c r="V724" s="694"/>
      <c r="W724" s="694"/>
      <c r="X724" s="694"/>
      <c r="Y724" s="694"/>
      <c r="Z724" s="694"/>
      <c r="AA724" s="317"/>
      <c r="AB724" s="694"/>
      <c r="AC724" s="604"/>
      <c r="AD724" s="604"/>
      <c r="AE724" s="604"/>
    </row>
    <row r="725" spans="1:31">
      <c r="A725" s="604"/>
      <c r="B725" s="604"/>
      <c r="C725" s="604"/>
      <c r="D725" s="604"/>
      <c r="E725" s="604"/>
      <c r="F725" s="604"/>
      <c r="G725" s="604"/>
      <c r="H725" s="604"/>
      <c r="I725" s="604"/>
      <c r="J725" s="604"/>
      <c r="K725" s="604"/>
      <c r="L725" s="604"/>
      <c r="M725" s="604"/>
      <c r="N725" s="604"/>
      <c r="O725" s="604"/>
      <c r="P725" s="604"/>
      <c r="Q725" s="604"/>
      <c r="R725" s="604"/>
      <c r="S725" s="317"/>
      <c r="T725" s="604"/>
      <c r="U725" s="317"/>
      <c r="V725" s="694"/>
      <c r="W725" s="694"/>
      <c r="X725" s="694"/>
      <c r="Y725" s="694"/>
      <c r="Z725" s="694"/>
      <c r="AA725" s="317"/>
      <c r="AB725" s="694"/>
      <c r="AC725" s="604"/>
      <c r="AD725" s="604"/>
      <c r="AE725" s="604"/>
    </row>
    <row r="726" spans="1:31">
      <c r="A726" s="604"/>
      <c r="B726" s="604"/>
      <c r="C726" s="604"/>
      <c r="D726" s="604"/>
      <c r="E726" s="604"/>
      <c r="F726" s="604"/>
      <c r="G726" s="604"/>
      <c r="H726" s="604"/>
      <c r="I726" s="604"/>
      <c r="J726" s="604"/>
      <c r="K726" s="604"/>
      <c r="L726" s="604"/>
      <c r="M726" s="604"/>
      <c r="N726" s="604"/>
      <c r="O726" s="604"/>
      <c r="P726" s="604"/>
      <c r="Q726" s="604"/>
      <c r="R726" s="604"/>
      <c r="S726" s="317"/>
      <c r="T726" s="604"/>
      <c r="U726" s="317"/>
      <c r="V726" s="694"/>
      <c r="W726" s="694"/>
      <c r="X726" s="694"/>
      <c r="Y726" s="694"/>
      <c r="Z726" s="694"/>
      <c r="AA726" s="317"/>
      <c r="AB726" s="694"/>
      <c r="AC726" s="604"/>
      <c r="AD726" s="604"/>
      <c r="AE726" s="604"/>
    </row>
    <row r="727" spans="1:31">
      <c r="A727" s="604"/>
      <c r="B727" s="604"/>
      <c r="C727" s="604"/>
      <c r="D727" s="604"/>
      <c r="E727" s="604"/>
      <c r="F727" s="604"/>
      <c r="G727" s="604"/>
      <c r="H727" s="604"/>
      <c r="I727" s="604"/>
      <c r="J727" s="604"/>
      <c r="K727" s="604"/>
      <c r="L727" s="604"/>
      <c r="M727" s="604"/>
      <c r="N727" s="604"/>
      <c r="O727" s="604"/>
      <c r="P727" s="604"/>
      <c r="Q727" s="604"/>
      <c r="R727" s="604"/>
      <c r="S727" s="317"/>
      <c r="T727" s="604"/>
      <c r="U727" s="317"/>
      <c r="V727" s="694"/>
      <c r="W727" s="694"/>
      <c r="X727" s="694"/>
      <c r="Y727" s="694"/>
      <c r="Z727" s="694"/>
      <c r="AA727" s="317"/>
      <c r="AB727" s="694"/>
      <c r="AC727" s="604"/>
      <c r="AD727" s="604"/>
      <c r="AE727" s="604"/>
    </row>
    <row r="728" spans="1:31">
      <c r="A728" s="604"/>
      <c r="B728" s="604"/>
      <c r="C728" s="604"/>
      <c r="D728" s="604"/>
      <c r="E728" s="604"/>
      <c r="F728" s="604"/>
      <c r="G728" s="604"/>
      <c r="H728" s="604"/>
      <c r="I728" s="604"/>
      <c r="J728" s="604"/>
      <c r="K728" s="604"/>
      <c r="L728" s="604"/>
      <c r="M728" s="604"/>
      <c r="N728" s="604"/>
      <c r="O728" s="604"/>
      <c r="P728" s="604"/>
      <c r="Q728" s="604"/>
      <c r="R728" s="604"/>
      <c r="S728" s="317"/>
      <c r="T728" s="604"/>
      <c r="U728" s="317"/>
      <c r="V728" s="694"/>
      <c r="W728" s="694"/>
      <c r="X728" s="694"/>
      <c r="Y728" s="694"/>
      <c r="Z728" s="694"/>
      <c r="AA728" s="317"/>
      <c r="AB728" s="694"/>
      <c r="AC728" s="604"/>
      <c r="AD728" s="604"/>
      <c r="AE728" s="604"/>
    </row>
    <row r="729" spans="1:31">
      <c r="A729" s="604"/>
      <c r="B729" s="604"/>
      <c r="C729" s="604"/>
      <c r="D729" s="604"/>
      <c r="E729" s="604"/>
      <c r="F729" s="604"/>
      <c r="G729" s="604"/>
      <c r="H729" s="604"/>
      <c r="I729" s="604"/>
      <c r="J729" s="604"/>
      <c r="K729" s="604"/>
      <c r="L729" s="604"/>
      <c r="M729" s="604"/>
      <c r="N729" s="604"/>
      <c r="O729" s="604"/>
      <c r="P729" s="604"/>
      <c r="Q729" s="604"/>
      <c r="R729" s="604"/>
      <c r="S729" s="317"/>
      <c r="T729" s="604"/>
      <c r="U729" s="317"/>
      <c r="V729" s="694"/>
      <c r="W729" s="694"/>
      <c r="X729" s="694"/>
      <c r="Y729" s="694"/>
      <c r="Z729" s="694"/>
      <c r="AA729" s="317"/>
      <c r="AB729" s="694"/>
      <c r="AC729" s="604"/>
      <c r="AD729" s="604"/>
      <c r="AE729" s="604"/>
    </row>
    <row r="730" spans="1:31">
      <c r="A730" s="604"/>
      <c r="B730" s="604"/>
      <c r="C730" s="604"/>
      <c r="D730" s="604"/>
      <c r="E730" s="604"/>
      <c r="F730" s="604"/>
      <c r="G730" s="604"/>
      <c r="H730" s="604"/>
      <c r="I730" s="604"/>
      <c r="J730" s="604"/>
      <c r="K730" s="604"/>
      <c r="L730" s="604"/>
      <c r="M730" s="604"/>
      <c r="N730" s="604"/>
      <c r="O730" s="604"/>
      <c r="P730" s="604"/>
      <c r="Q730" s="604"/>
      <c r="R730" s="604"/>
      <c r="S730" s="317"/>
      <c r="T730" s="604"/>
      <c r="U730" s="317"/>
      <c r="V730" s="694"/>
      <c r="W730" s="694"/>
      <c r="X730" s="694"/>
      <c r="Y730" s="694"/>
      <c r="Z730" s="694"/>
      <c r="AA730" s="317"/>
      <c r="AB730" s="694"/>
      <c r="AC730" s="604"/>
      <c r="AD730" s="604"/>
      <c r="AE730" s="604"/>
    </row>
    <row r="731" spans="1:31">
      <c r="A731" s="604"/>
      <c r="B731" s="604"/>
      <c r="C731" s="604"/>
      <c r="D731" s="604"/>
      <c r="E731" s="604"/>
      <c r="F731" s="604"/>
      <c r="G731" s="604"/>
      <c r="H731" s="604"/>
      <c r="I731" s="604"/>
      <c r="J731" s="604"/>
      <c r="K731" s="604"/>
      <c r="L731" s="604"/>
      <c r="M731" s="604"/>
      <c r="N731" s="604"/>
      <c r="O731" s="604"/>
      <c r="P731" s="604"/>
      <c r="Q731" s="604"/>
      <c r="R731" s="604"/>
      <c r="S731" s="317"/>
      <c r="T731" s="604"/>
      <c r="U731" s="317"/>
      <c r="V731" s="694"/>
      <c r="W731" s="694"/>
      <c r="X731" s="694"/>
      <c r="Y731" s="694"/>
      <c r="Z731" s="694"/>
      <c r="AA731" s="317"/>
      <c r="AB731" s="694"/>
      <c r="AC731" s="604"/>
      <c r="AD731" s="604"/>
      <c r="AE731" s="604"/>
    </row>
    <row r="732" spans="1:31">
      <c r="A732" s="604"/>
      <c r="B732" s="604"/>
      <c r="C732" s="604"/>
      <c r="D732" s="604"/>
      <c r="E732" s="604"/>
      <c r="F732" s="604"/>
      <c r="G732" s="604"/>
      <c r="H732" s="604"/>
      <c r="I732" s="604"/>
      <c r="J732" s="604"/>
      <c r="K732" s="604"/>
      <c r="L732" s="604"/>
      <c r="M732" s="604"/>
      <c r="N732" s="604"/>
      <c r="O732" s="604"/>
      <c r="P732" s="604"/>
      <c r="Q732" s="604"/>
      <c r="R732" s="604"/>
      <c r="S732" s="317"/>
      <c r="T732" s="604"/>
      <c r="U732" s="317"/>
      <c r="V732" s="694"/>
      <c r="W732" s="694"/>
      <c r="X732" s="694"/>
      <c r="Y732" s="694"/>
      <c r="Z732" s="694"/>
      <c r="AA732" s="317"/>
      <c r="AB732" s="694"/>
      <c r="AC732" s="604"/>
      <c r="AD732" s="604"/>
      <c r="AE732" s="604"/>
    </row>
    <row r="733" spans="1:31">
      <c r="A733" s="604"/>
      <c r="B733" s="604"/>
      <c r="C733" s="604"/>
      <c r="D733" s="604"/>
      <c r="E733" s="604"/>
      <c r="F733" s="604"/>
      <c r="G733" s="604"/>
      <c r="H733" s="604"/>
      <c r="I733" s="604"/>
      <c r="J733" s="604"/>
      <c r="K733" s="604"/>
      <c r="L733" s="604"/>
      <c r="M733" s="604"/>
      <c r="N733" s="604"/>
      <c r="O733" s="604"/>
      <c r="P733" s="604"/>
      <c r="Q733" s="604"/>
      <c r="R733" s="604"/>
      <c r="S733" s="317"/>
      <c r="T733" s="604"/>
      <c r="U733" s="317"/>
      <c r="V733" s="694"/>
      <c r="W733" s="694"/>
      <c r="X733" s="694"/>
      <c r="Y733" s="694"/>
      <c r="Z733" s="694"/>
      <c r="AA733" s="317"/>
      <c r="AB733" s="694"/>
      <c r="AC733" s="604"/>
      <c r="AD733" s="604"/>
      <c r="AE733" s="604"/>
    </row>
    <row r="734" spans="1:31">
      <c r="A734" s="604"/>
      <c r="B734" s="604"/>
      <c r="C734" s="604"/>
      <c r="D734" s="604"/>
      <c r="E734" s="604"/>
      <c r="F734" s="604"/>
      <c r="G734" s="604"/>
      <c r="H734" s="604"/>
      <c r="I734" s="604"/>
      <c r="J734" s="604"/>
      <c r="K734" s="604"/>
      <c r="L734" s="604"/>
      <c r="M734" s="604"/>
      <c r="N734" s="604"/>
      <c r="O734" s="604"/>
      <c r="P734" s="604"/>
      <c r="Q734" s="604"/>
      <c r="R734" s="604"/>
      <c r="S734" s="317"/>
      <c r="T734" s="604"/>
      <c r="U734" s="317"/>
      <c r="V734" s="694"/>
      <c r="W734" s="694"/>
      <c r="X734" s="694"/>
      <c r="Y734" s="694"/>
      <c r="Z734" s="694"/>
      <c r="AA734" s="317"/>
      <c r="AB734" s="694"/>
      <c r="AC734" s="604"/>
      <c r="AD734" s="604"/>
      <c r="AE734" s="604"/>
    </row>
    <row r="735" spans="1:31">
      <c r="A735" s="604"/>
      <c r="B735" s="604"/>
      <c r="C735" s="604"/>
      <c r="D735" s="604"/>
      <c r="E735" s="604"/>
      <c r="F735" s="604"/>
      <c r="G735" s="604"/>
      <c r="H735" s="604"/>
      <c r="I735" s="604"/>
      <c r="J735" s="604"/>
      <c r="K735" s="604"/>
      <c r="L735" s="604"/>
      <c r="M735" s="604"/>
      <c r="N735" s="604"/>
      <c r="O735" s="604"/>
      <c r="P735" s="604"/>
      <c r="Q735" s="604"/>
      <c r="R735" s="604"/>
      <c r="S735" s="317"/>
      <c r="T735" s="604"/>
      <c r="U735" s="317"/>
      <c r="V735" s="694"/>
      <c r="W735" s="694"/>
      <c r="X735" s="694"/>
      <c r="Y735" s="694"/>
      <c r="Z735" s="694"/>
      <c r="AA735" s="317"/>
      <c r="AB735" s="694"/>
      <c r="AC735" s="604"/>
      <c r="AD735" s="604"/>
      <c r="AE735" s="604"/>
    </row>
    <row r="736" spans="1:31">
      <c r="A736" s="604"/>
      <c r="B736" s="604"/>
      <c r="C736" s="604"/>
      <c r="D736" s="604"/>
      <c r="E736" s="604"/>
      <c r="F736" s="604"/>
      <c r="G736" s="604"/>
      <c r="H736" s="604"/>
      <c r="I736" s="604"/>
      <c r="J736" s="604"/>
      <c r="K736" s="604"/>
      <c r="L736" s="604"/>
      <c r="M736" s="604"/>
      <c r="N736" s="604"/>
      <c r="O736" s="604"/>
      <c r="P736" s="604"/>
      <c r="Q736" s="604"/>
      <c r="R736" s="604"/>
      <c r="S736" s="317"/>
      <c r="T736" s="604"/>
      <c r="U736" s="317"/>
      <c r="V736" s="694"/>
      <c r="W736" s="694"/>
      <c r="X736" s="694"/>
      <c r="Y736" s="694"/>
      <c r="Z736" s="694"/>
      <c r="AA736" s="317"/>
      <c r="AB736" s="694"/>
      <c r="AC736" s="604"/>
      <c r="AD736" s="604"/>
      <c r="AE736" s="604"/>
    </row>
    <row r="737" spans="1:31">
      <c r="A737" s="604"/>
      <c r="B737" s="604"/>
      <c r="C737" s="604"/>
      <c r="D737" s="604"/>
      <c r="E737" s="604"/>
      <c r="F737" s="604"/>
      <c r="G737" s="604"/>
      <c r="H737" s="604"/>
      <c r="I737" s="604"/>
      <c r="J737" s="604"/>
      <c r="K737" s="604"/>
      <c r="L737" s="604"/>
      <c r="M737" s="604"/>
      <c r="N737" s="604"/>
      <c r="O737" s="604"/>
      <c r="P737" s="604"/>
      <c r="Q737" s="604"/>
      <c r="R737" s="604"/>
      <c r="S737" s="317"/>
      <c r="T737" s="604"/>
      <c r="U737" s="317"/>
      <c r="V737" s="694"/>
      <c r="W737" s="694"/>
      <c r="X737" s="694"/>
      <c r="Y737" s="694"/>
      <c r="Z737" s="694"/>
      <c r="AA737" s="317"/>
      <c r="AB737" s="694"/>
      <c r="AC737" s="604"/>
      <c r="AD737" s="604"/>
      <c r="AE737" s="604"/>
    </row>
    <row r="738" spans="1:31">
      <c r="A738" s="604"/>
      <c r="B738" s="604"/>
      <c r="C738" s="604"/>
      <c r="D738" s="604"/>
      <c r="E738" s="604"/>
      <c r="F738" s="604"/>
      <c r="G738" s="604"/>
      <c r="H738" s="604"/>
      <c r="I738" s="604"/>
      <c r="J738" s="604"/>
      <c r="K738" s="604"/>
      <c r="L738" s="604"/>
      <c r="M738" s="604"/>
      <c r="N738" s="604"/>
      <c r="O738" s="604"/>
      <c r="P738" s="604"/>
      <c r="Q738" s="604"/>
      <c r="R738" s="604"/>
      <c r="S738" s="317"/>
      <c r="T738" s="604"/>
      <c r="U738" s="317"/>
      <c r="V738" s="694"/>
      <c r="W738" s="694"/>
      <c r="X738" s="694"/>
      <c r="Y738" s="694"/>
      <c r="Z738" s="694"/>
      <c r="AA738" s="317"/>
      <c r="AB738" s="694"/>
      <c r="AC738" s="604"/>
      <c r="AD738" s="604"/>
      <c r="AE738" s="604"/>
    </row>
    <row r="739" spans="1:31">
      <c r="A739" s="604"/>
      <c r="B739" s="604"/>
      <c r="C739" s="604"/>
      <c r="D739" s="604"/>
      <c r="E739" s="604"/>
      <c r="F739" s="604"/>
      <c r="G739" s="604"/>
      <c r="H739" s="604"/>
      <c r="I739" s="604"/>
      <c r="J739" s="604"/>
      <c r="K739" s="604"/>
      <c r="L739" s="604"/>
      <c r="M739" s="604"/>
      <c r="N739" s="604"/>
      <c r="O739" s="604"/>
      <c r="P739" s="604"/>
      <c r="Q739" s="604"/>
      <c r="R739" s="604"/>
      <c r="S739" s="317"/>
      <c r="T739" s="604"/>
      <c r="U739" s="317"/>
      <c r="V739" s="694"/>
      <c r="W739" s="694"/>
      <c r="X739" s="694"/>
      <c r="Y739" s="694"/>
      <c r="Z739" s="694"/>
      <c r="AA739" s="317"/>
      <c r="AB739" s="694"/>
      <c r="AC739" s="604"/>
      <c r="AD739" s="604"/>
      <c r="AE739" s="604"/>
    </row>
    <row r="740" spans="1:31">
      <c r="A740" s="604"/>
      <c r="B740" s="604"/>
      <c r="C740" s="604"/>
      <c r="D740" s="604"/>
      <c r="E740" s="604"/>
      <c r="F740" s="604"/>
      <c r="G740" s="604"/>
      <c r="H740" s="604"/>
      <c r="I740" s="604"/>
      <c r="J740" s="604"/>
      <c r="K740" s="604"/>
      <c r="L740" s="604"/>
      <c r="M740" s="604"/>
      <c r="N740" s="604"/>
      <c r="O740" s="604"/>
      <c r="P740" s="604"/>
      <c r="Q740" s="604"/>
      <c r="R740" s="604"/>
      <c r="S740" s="317"/>
      <c r="T740" s="604"/>
      <c r="U740" s="317"/>
      <c r="V740" s="694"/>
      <c r="W740" s="694"/>
      <c r="X740" s="694"/>
      <c r="Y740" s="694"/>
      <c r="Z740" s="694"/>
      <c r="AA740" s="317"/>
      <c r="AB740" s="694"/>
      <c r="AC740" s="604"/>
      <c r="AD740" s="604"/>
      <c r="AE740" s="604"/>
    </row>
    <row r="741" spans="1:31">
      <c r="A741" s="604"/>
      <c r="B741" s="604"/>
      <c r="C741" s="604"/>
      <c r="D741" s="604"/>
      <c r="E741" s="604"/>
      <c r="F741" s="604"/>
      <c r="G741" s="604"/>
      <c r="H741" s="604"/>
      <c r="I741" s="604"/>
      <c r="J741" s="604"/>
      <c r="K741" s="604"/>
      <c r="L741" s="604"/>
      <c r="M741" s="604"/>
      <c r="N741" s="604"/>
      <c r="O741" s="604"/>
      <c r="P741" s="604"/>
      <c r="Q741" s="604"/>
      <c r="R741" s="604"/>
      <c r="S741" s="317"/>
      <c r="T741" s="604"/>
      <c r="U741" s="317"/>
      <c r="V741" s="694"/>
      <c r="W741" s="694"/>
      <c r="X741" s="694"/>
      <c r="Y741" s="694"/>
      <c r="Z741" s="694"/>
      <c r="AA741" s="317"/>
      <c r="AB741" s="694"/>
      <c r="AC741" s="604"/>
      <c r="AD741" s="604"/>
      <c r="AE741" s="604"/>
    </row>
    <row r="742" spans="1:31">
      <c r="A742" s="604"/>
      <c r="B742" s="604"/>
      <c r="C742" s="604"/>
      <c r="D742" s="604"/>
      <c r="E742" s="604"/>
      <c r="F742" s="604"/>
      <c r="G742" s="604"/>
      <c r="H742" s="604"/>
      <c r="I742" s="604"/>
      <c r="J742" s="604"/>
      <c r="K742" s="604"/>
      <c r="L742" s="604"/>
      <c r="M742" s="604"/>
      <c r="N742" s="604"/>
      <c r="O742" s="604"/>
      <c r="P742" s="604"/>
      <c r="Q742" s="604"/>
      <c r="R742" s="604"/>
      <c r="S742" s="317"/>
      <c r="T742" s="604"/>
      <c r="U742" s="317"/>
      <c r="V742" s="694"/>
      <c r="W742" s="694"/>
      <c r="X742" s="694"/>
      <c r="Y742" s="694"/>
      <c r="Z742" s="694"/>
      <c r="AA742" s="317"/>
      <c r="AB742" s="694"/>
      <c r="AC742" s="604"/>
      <c r="AD742" s="604"/>
      <c r="AE742" s="604"/>
    </row>
    <row r="743" spans="1:31">
      <c r="A743" s="604"/>
      <c r="B743" s="604"/>
      <c r="C743" s="604"/>
      <c r="D743" s="604"/>
      <c r="E743" s="604"/>
      <c r="F743" s="604"/>
      <c r="G743" s="604"/>
      <c r="H743" s="604"/>
      <c r="I743" s="604"/>
      <c r="J743" s="604"/>
      <c r="K743" s="604"/>
      <c r="L743" s="604"/>
      <c r="M743" s="604"/>
      <c r="N743" s="604"/>
      <c r="O743" s="604"/>
      <c r="P743" s="604"/>
      <c r="Q743" s="604"/>
      <c r="R743" s="604"/>
      <c r="S743" s="317"/>
      <c r="T743" s="604"/>
      <c r="U743" s="317"/>
      <c r="V743" s="694"/>
      <c r="W743" s="694"/>
      <c r="X743" s="694"/>
      <c r="Y743" s="694"/>
      <c r="Z743" s="694"/>
      <c r="AA743" s="317"/>
      <c r="AB743" s="694"/>
      <c r="AC743" s="604"/>
      <c r="AD743" s="604"/>
      <c r="AE743" s="604"/>
    </row>
    <row r="744" spans="1:31">
      <c r="A744" s="604"/>
      <c r="B744" s="604"/>
      <c r="C744" s="604"/>
      <c r="D744" s="604"/>
      <c r="E744" s="604"/>
      <c r="F744" s="604"/>
      <c r="G744" s="604"/>
      <c r="H744" s="604"/>
      <c r="I744" s="604"/>
      <c r="J744" s="604"/>
      <c r="K744" s="604"/>
      <c r="L744" s="604"/>
      <c r="M744" s="604"/>
      <c r="N744" s="604"/>
      <c r="O744" s="604"/>
      <c r="P744" s="604"/>
      <c r="Q744" s="604"/>
      <c r="R744" s="604"/>
      <c r="S744" s="317"/>
      <c r="T744" s="604"/>
      <c r="U744" s="317"/>
      <c r="V744" s="694"/>
      <c r="W744" s="694"/>
      <c r="X744" s="694"/>
      <c r="Y744" s="694"/>
      <c r="Z744" s="694"/>
      <c r="AA744" s="317"/>
      <c r="AB744" s="694"/>
      <c r="AC744" s="604"/>
      <c r="AD744" s="604"/>
      <c r="AE744" s="604"/>
    </row>
    <row r="745" spans="1:31">
      <c r="A745" s="604"/>
      <c r="B745" s="604"/>
      <c r="C745" s="604"/>
      <c r="D745" s="604"/>
      <c r="E745" s="604"/>
      <c r="F745" s="604"/>
      <c r="G745" s="604"/>
      <c r="H745" s="604"/>
      <c r="I745" s="604"/>
      <c r="J745" s="604"/>
      <c r="K745" s="604"/>
      <c r="L745" s="604"/>
      <c r="M745" s="604"/>
      <c r="N745" s="604"/>
      <c r="O745" s="604"/>
      <c r="P745" s="604"/>
      <c r="Q745" s="604"/>
      <c r="R745" s="604"/>
      <c r="S745" s="317"/>
      <c r="T745" s="604"/>
      <c r="U745" s="317"/>
      <c r="V745" s="694"/>
      <c r="W745" s="694"/>
      <c r="X745" s="694"/>
      <c r="Y745" s="694"/>
      <c r="Z745" s="694"/>
      <c r="AA745" s="317"/>
      <c r="AB745" s="694"/>
      <c r="AC745" s="604"/>
      <c r="AD745" s="604"/>
      <c r="AE745" s="604"/>
    </row>
    <row r="746" spans="1:31">
      <c r="A746" s="604"/>
      <c r="B746" s="604"/>
      <c r="C746" s="604"/>
      <c r="D746" s="604"/>
      <c r="E746" s="604"/>
      <c r="F746" s="604"/>
      <c r="G746" s="604"/>
      <c r="H746" s="604"/>
      <c r="I746" s="604"/>
      <c r="J746" s="604"/>
      <c r="K746" s="604"/>
      <c r="L746" s="604"/>
      <c r="M746" s="604"/>
      <c r="N746" s="604"/>
      <c r="O746" s="604"/>
      <c r="P746" s="604"/>
      <c r="Q746" s="604"/>
      <c r="R746" s="604"/>
      <c r="S746" s="317"/>
      <c r="T746" s="604"/>
      <c r="U746" s="317"/>
      <c r="V746" s="694"/>
      <c r="W746" s="694"/>
      <c r="X746" s="694"/>
      <c r="Y746" s="694"/>
      <c r="Z746" s="694"/>
      <c r="AA746" s="317"/>
      <c r="AB746" s="694"/>
      <c r="AC746" s="604"/>
      <c r="AD746" s="604"/>
      <c r="AE746" s="604"/>
    </row>
    <row r="747" spans="1:31">
      <c r="A747" s="604"/>
      <c r="B747" s="604"/>
      <c r="C747" s="604"/>
      <c r="D747" s="604"/>
      <c r="E747" s="604"/>
      <c r="F747" s="604"/>
      <c r="G747" s="604"/>
      <c r="H747" s="604"/>
      <c r="I747" s="604"/>
      <c r="J747" s="604"/>
      <c r="K747" s="604"/>
      <c r="L747" s="604"/>
      <c r="M747" s="604"/>
      <c r="N747" s="604"/>
      <c r="O747" s="604"/>
      <c r="P747" s="604"/>
      <c r="Q747" s="604"/>
      <c r="R747" s="604"/>
      <c r="S747" s="317"/>
      <c r="T747" s="604"/>
      <c r="U747" s="317"/>
      <c r="V747" s="694"/>
      <c r="W747" s="694"/>
      <c r="X747" s="694"/>
      <c r="Y747" s="694"/>
      <c r="Z747" s="694"/>
      <c r="AA747" s="317"/>
      <c r="AB747" s="694"/>
      <c r="AC747" s="604"/>
      <c r="AD747" s="604"/>
      <c r="AE747" s="604"/>
    </row>
    <row r="748" spans="1:31">
      <c r="A748" s="604"/>
      <c r="B748" s="604"/>
      <c r="C748" s="604"/>
      <c r="D748" s="604"/>
      <c r="E748" s="604"/>
      <c r="F748" s="604"/>
      <c r="G748" s="604"/>
      <c r="H748" s="604"/>
      <c r="I748" s="604"/>
      <c r="J748" s="604"/>
      <c r="K748" s="604"/>
      <c r="L748" s="604"/>
      <c r="M748" s="604"/>
      <c r="N748" s="604"/>
      <c r="O748" s="604"/>
      <c r="P748" s="604"/>
      <c r="Q748" s="604"/>
      <c r="R748" s="604"/>
      <c r="S748" s="317"/>
      <c r="T748" s="604"/>
      <c r="U748" s="317"/>
      <c r="V748" s="694"/>
      <c r="W748" s="694"/>
      <c r="X748" s="694"/>
      <c r="Y748" s="694"/>
      <c r="Z748" s="694"/>
      <c r="AA748" s="317"/>
      <c r="AB748" s="694"/>
      <c r="AC748" s="604"/>
      <c r="AD748" s="604"/>
      <c r="AE748" s="604"/>
    </row>
    <row r="749" spans="1:31">
      <c r="A749" s="604"/>
      <c r="B749" s="604"/>
      <c r="C749" s="604"/>
      <c r="D749" s="604"/>
      <c r="E749" s="604"/>
      <c r="F749" s="604"/>
      <c r="G749" s="604"/>
      <c r="H749" s="604"/>
      <c r="I749" s="604"/>
      <c r="J749" s="604"/>
      <c r="K749" s="604"/>
      <c r="L749" s="604"/>
      <c r="M749" s="604"/>
      <c r="N749" s="604"/>
      <c r="O749" s="604"/>
      <c r="P749" s="604"/>
      <c r="Q749" s="604"/>
      <c r="R749" s="604"/>
      <c r="S749" s="317"/>
      <c r="T749" s="604"/>
      <c r="U749" s="317"/>
      <c r="V749" s="694"/>
      <c r="W749" s="694"/>
      <c r="X749" s="694"/>
      <c r="Y749" s="694"/>
      <c r="Z749" s="694"/>
      <c r="AA749" s="317"/>
      <c r="AB749" s="694"/>
      <c r="AC749" s="604"/>
      <c r="AD749" s="604"/>
      <c r="AE749" s="604"/>
    </row>
    <row r="750" spans="1:31">
      <c r="A750" s="604"/>
      <c r="B750" s="604"/>
      <c r="C750" s="604"/>
      <c r="D750" s="604"/>
      <c r="E750" s="604"/>
      <c r="F750" s="604"/>
      <c r="G750" s="604"/>
      <c r="H750" s="604"/>
      <c r="I750" s="604"/>
      <c r="J750" s="604"/>
      <c r="K750" s="604"/>
      <c r="L750" s="604"/>
      <c r="M750" s="604"/>
      <c r="N750" s="604"/>
      <c r="O750" s="604"/>
      <c r="P750" s="604"/>
      <c r="Q750" s="604"/>
      <c r="R750" s="604"/>
      <c r="S750" s="317"/>
      <c r="T750" s="604"/>
      <c r="U750" s="317"/>
      <c r="V750" s="694"/>
      <c r="W750" s="694"/>
      <c r="X750" s="694"/>
      <c r="Y750" s="694"/>
      <c r="Z750" s="694"/>
      <c r="AA750" s="317"/>
      <c r="AB750" s="694"/>
      <c r="AC750" s="604"/>
      <c r="AD750" s="604"/>
      <c r="AE750" s="604"/>
    </row>
    <row r="751" spans="1:31">
      <c r="A751" s="604"/>
      <c r="B751" s="604"/>
      <c r="C751" s="604"/>
      <c r="D751" s="604"/>
      <c r="E751" s="604"/>
      <c r="F751" s="604"/>
      <c r="G751" s="604"/>
      <c r="H751" s="604"/>
      <c r="I751" s="604"/>
      <c r="J751" s="604"/>
      <c r="K751" s="604"/>
      <c r="L751" s="604"/>
      <c r="M751" s="604"/>
      <c r="N751" s="604"/>
      <c r="O751" s="604"/>
      <c r="P751" s="604"/>
      <c r="Q751" s="604"/>
      <c r="R751" s="604"/>
      <c r="S751" s="317"/>
      <c r="T751" s="604"/>
      <c r="U751" s="317"/>
      <c r="V751" s="694"/>
      <c r="W751" s="694"/>
      <c r="X751" s="694"/>
      <c r="Y751" s="694"/>
      <c r="Z751" s="694"/>
      <c r="AA751" s="317"/>
      <c r="AB751" s="694"/>
      <c r="AC751" s="604"/>
      <c r="AD751" s="604"/>
      <c r="AE751" s="604"/>
    </row>
    <row r="752" spans="1:31">
      <c r="A752" s="604"/>
      <c r="B752" s="604"/>
      <c r="C752" s="604"/>
      <c r="D752" s="604"/>
      <c r="E752" s="604"/>
      <c r="F752" s="604"/>
      <c r="G752" s="604"/>
      <c r="H752" s="604"/>
      <c r="I752" s="604"/>
      <c r="J752" s="604"/>
      <c r="K752" s="604"/>
      <c r="L752" s="604"/>
      <c r="M752" s="604"/>
      <c r="N752" s="604"/>
      <c r="O752" s="604"/>
      <c r="P752" s="604"/>
      <c r="Q752" s="604"/>
      <c r="R752" s="604"/>
      <c r="S752" s="317"/>
      <c r="T752" s="604"/>
      <c r="U752" s="317"/>
      <c r="V752" s="694"/>
      <c r="W752" s="694"/>
      <c r="X752" s="694"/>
      <c r="Y752" s="694"/>
      <c r="Z752" s="694"/>
      <c r="AA752" s="317"/>
      <c r="AB752" s="694"/>
      <c r="AC752" s="604"/>
      <c r="AD752" s="604"/>
      <c r="AE752" s="604"/>
    </row>
    <row r="753" spans="1:31">
      <c r="A753" s="604"/>
      <c r="B753" s="604"/>
      <c r="C753" s="604"/>
      <c r="D753" s="604"/>
      <c r="E753" s="604"/>
      <c r="F753" s="604"/>
      <c r="G753" s="604"/>
      <c r="H753" s="604"/>
      <c r="I753" s="604"/>
      <c r="J753" s="604"/>
      <c r="K753" s="604"/>
      <c r="L753" s="604"/>
      <c r="M753" s="604"/>
      <c r="N753" s="604"/>
      <c r="O753" s="604"/>
      <c r="P753" s="604"/>
      <c r="Q753" s="604"/>
      <c r="R753" s="604"/>
      <c r="S753" s="317"/>
      <c r="T753" s="604"/>
      <c r="U753" s="317"/>
      <c r="V753" s="694"/>
      <c r="W753" s="694"/>
      <c r="X753" s="694"/>
      <c r="Y753" s="694"/>
      <c r="Z753" s="694"/>
      <c r="AA753" s="317"/>
      <c r="AB753" s="694"/>
      <c r="AC753" s="604"/>
      <c r="AD753" s="604"/>
      <c r="AE753" s="604"/>
    </row>
    <row r="754" spans="1:31">
      <c r="A754" s="604"/>
      <c r="B754" s="604"/>
      <c r="C754" s="604"/>
      <c r="D754" s="604"/>
      <c r="E754" s="604"/>
      <c r="F754" s="604"/>
      <c r="G754" s="604"/>
      <c r="H754" s="604"/>
      <c r="I754" s="604"/>
      <c r="J754" s="604"/>
      <c r="K754" s="604"/>
      <c r="L754" s="604"/>
      <c r="M754" s="604"/>
      <c r="N754" s="604"/>
      <c r="O754" s="604"/>
      <c r="P754" s="604"/>
      <c r="Q754" s="604"/>
      <c r="R754" s="604"/>
      <c r="S754" s="317"/>
      <c r="T754" s="604"/>
      <c r="U754" s="317"/>
      <c r="V754" s="694"/>
      <c r="W754" s="694"/>
      <c r="X754" s="694"/>
      <c r="Y754" s="694"/>
      <c r="Z754" s="694"/>
      <c r="AA754" s="317"/>
      <c r="AB754" s="694"/>
      <c r="AC754" s="604"/>
      <c r="AD754" s="604"/>
      <c r="AE754" s="604"/>
    </row>
    <row r="755" spans="1:31">
      <c r="A755" s="604"/>
      <c r="B755" s="604"/>
      <c r="C755" s="604"/>
      <c r="D755" s="604"/>
      <c r="E755" s="604"/>
      <c r="F755" s="604"/>
      <c r="G755" s="604"/>
      <c r="H755" s="604"/>
      <c r="I755" s="604"/>
      <c r="J755" s="604"/>
      <c r="K755" s="604"/>
      <c r="L755" s="604"/>
      <c r="M755" s="604"/>
      <c r="N755" s="604"/>
      <c r="O755" s="604"/>
      <c r="P755" s="604"/>
      <c r="Q755" s="604"/>
      <c r="R755" s="604"/>
      <c r="S755" s="317"/>
      <c r="T755" s="604"/>
      <c r="U755" s="317"/>
      <c r="V755" s="694"/>
      <c r="W755" s="694"/>
      <c r="X755" s="694"/>
      <c r="Y755" s="694"/>
      <c r="Z755" s="694"/>
      <c r="AA755" s="317"/>
      <c r="AB755" s="694"/>
      <c r="AC755" s="604"/>
      <c r="AD755" s="604"/>
      <c r="AE755" s="604"/>
    </row>
    <row r="756" spans="1:31">
      <c r="A756" s="604"/>
      <c r="B756" s="604"/>
      <c r="C756" s="604"/>
      <c r="D756" s="604"/>
      <c r="E756" s="604"/>
      <c r="F756" s="604"/>
      <c r="G756" s="604"/>
      <c r="H756" s="604"/>
      <c r="I756" s="604"/>
      <c r="J756" s="604"/>
      <c r="K756" s="604"/>
      <c r="L756" s="604"/>
      <c r="M756" s="604"/>
      <c r="N756" s="604"/>
      <c r="O756" s="604"/>
      <c r="P756" s="604"/>
      <c r="Q756" s="604"/>
      <c r="R756" s="604"/>
      <c r="S756" s="317"/>
      <c r="T756" s="604"/>
      <c r="U756" s="317"/>
      <c r="V756" s="694"/>
      <c r="W756" s="694"/>
      <c r="X756" s="694"/>
      <c r="Y756" s="694"/>
      <c r="Z756" s="694"/>
      <c r="AA756" s="317"/>
      <c r="AB756" s="694"/>
      <c r="AC756" s="604"/>
      <c r="AD756" s="604"/>
      <c r="AE756" s="604"/>
    </row>
    <row r="757" spans="1:31">
      <c r="A757" s="604"/>
      <c r="B757" s="604"/>
      <c r="C757" s="604"/>
      <c r="D757" s="604"/>
      <c r="E757" s="604"/>
      <c r="F757" s="604"/>
      <c r="G757" s="604"/>
      <c r="H757" s="604"/>
      <c r="I757" s="604"/>
      <c r="J757" s="604"/>
      <c r="K757" s="604"/>
      <c r="L757" s="604"/>
      <c r="M757" s="604"/>
      <c r="N757" s="604"/>
      <c r="O757" s="604"/>
      <c r="P757" s="604"/>
      <c r="Q757" s="604"/>
      <c r="R757" s="604"/>
      <c r="S757" s="317"/>
      <c r="T757" s="604"/>
      <c r="U757" s="317"/>
      <c r="V757" s="694"/>
      <c r="W757" s="694"/>
      <c r="X757" s="694"/>
      <c r="Y757" s="694"/>
      <c r="Z757" s="694"/>
      <c r="AA757" s="317"/>
      <c r="AB757" s="694"/>
      <c r="AC757" s="604"/>
      <c r="AD757" s="604"/>
      <c r="AE757" s="604"/>
    </row>
    <row r="758" spans="1:31">
      <c r="A758" s="604"/>
      <c r="B758" s="604"/>
      <c r="C758" s="604"/>
      <c r="D758" s="604"/>
      <c r="E758" s="604"/>
      <c r="F758" s="604"/>
      <c r="G758" s="604"/>
      <c r="H758" s="604"/>
      <c r="I758" s="604"/>
      <c r="J758" s="604"/>
      <c r="K758" s="604"/>
      <c r="L758" s="604"/>
      <c r="M758" s="604"/>
      <c r="N758" s="604"/>
      <c r="O758" s="604"/>
      <c r="P758" s="604"/>
      <c r="Q758" s="604"/>
      <c r="R758" s="604"/>
      <c r="S758" s="317"/>
      <c r="T758" s="604"/>
      <c r="U758" s="317"/>
      <c r="V758" s="694"/>
      <c r="W758" s="694"/>
      <c r="X758" s="694"/>
      <c r="Y758" s="694"/>
      <c r="Z758" s="694"/>
      <c r="AA758" s="317"/>
      <c r="AB758" s="694"/>
      <c r="AC758" s="604"/>
      <c r="AD758" s="604"/>
      <c r="AE758" s="604"/>
    </row>
    <row r="759" spans="1:31">
      <c r="A759" s="604"/>
      <c r="B759" s="604"/>
      <c r="C759" s="604"/>
      <c r="D759" s="604"/>
      <c r="E759" s="604"/>
      <c r="F759" s="604"/>
      <c r="G759" s="604"/>
      <c r="H759" s="604"/>
      <c r="I759" s="604"/>
      <c r="J759" s="604"/>
      <c r="K759" s="604"/>
      <c r="L759" s="604"/>
      <c r="M759" s="604"/>
      <c r="N759" s="604"/>
      <c r="O759" s="604"/>
      <c r="P759" s="604"/>
      <c r="Q759" s="604"/>
      <c r="R759" s="604"/>
      <c r="S759" s="317"/>
      <c r="T759" s="604"/>
      <c r="U759" s="317"/>
      <c r="V759" s="694"/>
      <c r="W759" s="694"/>
      <c r="X759" s="694"/>
      <c r="Y759" s="694"/>
      <c r="Z759" s="694"/>
      <c r="AA759" s="317"/>
      <c r="AB759" s="694"/>
      <c r="AC759" s="604"/>
      <c r="AD759" s="604"/>
      <c r="AE759" s="604"/>
    </row>
    <row r="760" spans="1:31">
      <c r="A760" s="604"/>
      <c r="B760" s="604"/>
      <c r="C760" s="604"/>
      <c r="D760" s="604"/>
      <c r="E760" s="604"/>
      <c r="F760" s="604"/>
      <c r="G760" s="604"/>
      <c r="H760" s="604"/>
      <c r="I760" s="604"/>
      <c r="J760" s="604"/>
      <c r="K760" s="604"/>
      <c r="L760" s="604"/>
      <c r="M760" s="604"/>
      <c r="N760" s="604"/>
      <c r="O760" s="604"/>
      <c r="P760" s="604"/>
      <c r="Q760" s="604"/>
      <c r="R760" s="604"/>
      <c r="S760" s="317"/>
      <c r="T760" s="604"/>
      <c r="U760" s="317"/>
      <c r="V760" s="694"/>
      <c r="W760" s="694"/>
      <c r="X760" s="694"/>
      <c r="Y760" s="694"/>
      <c r="Z760" s="694"/>
      <c r="AA760" s="317"/>
      <c r="AB760" s="694"/>
      <c r="AC760" s="604"/>
      <c r="AD760" s="604"/>
      <c r="AE760" s="604"/>
    </row>
    <row r="761" spans="1:31">
      <c r="A761" s="604"/>
      <c r="B761" s="604"/>
      <c r="C761" s="604"/>
      <c r="D761" s="604"/>
      <c r="E761" s="604"/>
      <c r="F761" s="604"/>
      <c r="G761" s="604"/>
      <c r="H761" s="604"/>
      <c r="I761" s="604"/>
      <c r="J761" s="604"/>
      <c r="K761" s="604"/>
      <c r="L761" s="604"/>
      <c r="M761" s="604"/>
      <c r="N761" s="604"/>
      <c r="O761" s="604"/>
      <c r="P761" s="604"/>
      <c r="Q761" s="604"/>
      <c r="R761" s="604"/>
      <c r="S761" s="317"/>
      <c r="T761" s="604"/>
      <c r="U761" s="317"/>
      <c r="V761" s="694"/>
      <c r="W761" s="694"/>
      <c r="X761" s="694"/>
      <c r="Y761" s="694"/>
      <c r="Z761" s="694"/>
      <c r="AA761" s="317"/>
      <c r="AB761" s="694"/>
      <c r="AC761" s="604"/>
      <c r="AD761" s="604"/>
      <c r="AE761" s="604"/>
    </row>
    <row r="762" spans="1:31">
      <c r="A762" s="604"/>
      <c r="B762" s="604"/>
      <c r="C762" s="604"/>
      <c r="D762" s="604"/>
      <c r="E762" s="604"/>
      <c r="F762" s="604"/>
      <c r="G762" s="604"/>
      <c r="H762" s="604"/>
      <c r="I762" s="604"/>
      <c r="J762" s="604"/>
      <c r="K762" s="604"/>
      <c r="L762" s="604"/>
      <c r="M762" s="604"/>
      <c r="N762" s="604"/>
      <c r="O762" s="604"/>
      <c r="P762" s="604"/>
      <c r="Q762" s="604"/>
      <c r="R762" s="604"/>
      <c r="S762" s="317"/>
      <c r="T762" s="604"/>
      <c r="U762" s="317"/>
      <c r="V762" s="694"/>
      <c r="W762" s="694"/>
      <c r="X762" s="694"/>
      <c r="Y762" s="694"/>
      <c r="Z762" s="694"/>
      <c r="AA762" s="317"/>
      <c r="AB762" s="694"/>
      <c r="AC762" s="604"/>
      <c r="AD762" s="604"/>
      <c r="AE762" s="604"/>
    </row>
    <row r="763" spans="1:31">
      <c r="A763" s="604"/>
      <c r="B763" s="604"/>
      <c r="C763" s="604"/>
      <c r="D763" s="604"/>
      <c r="E763" s="604"/>
      <c r="F763" s="604"/>
      <c r="G763" s="604"/>
      <c r="H763" s="604"/>
      <c r="I763" s="604"/>
      <c r="J763" s="604"/>
      <c r="K763" s="604"/>
      <c r="L763" s="604"/>
      <c r="M763" s="604"/>
      <c r="N763" s="604"/>
      <c r="O763" s="604"/>
      <c r="P763" s="604"/>
      <c r="Q763" s="604"/>
      <c r="R763" s="604"/>
      <c r="S763" s="317"/>
      <c r="T763" s="604"/>
      <c r="U763" s="317"/>
      <c r="V763" s="694"/>
      <c r="W763" s="694"/>
      <c r="X763" s="694"/>
      <c r="Y763" s="694"/>
      <c r="Z763" s="694"/>
      <c r="AA763" s="317"/>
      <c r="AB763" s="694"/>
      <c r="AC763" s="604"/>
      <c r="AD763" s="604"/>
      <c r="AE763" s="604"/>
    </row>
    <row r="764" spans="1:31">
      <c r="A764" s="604"/>
      <c r="B764" s="604"/>
      <c r="C764" s="604"/>
      <c r="D764" s="604"/>
      <c r="E764" s="604"/>
      <c r="F764" s="604"/>
      <c r="G764" s="604"/>
      <c r="H764" s="604"/>
      <c r="I764" s="604"/>
      <c r="J764" s="604"/>
      <c r="K764" s="604"/>
      <c r="L764" s="604"/>
      <c r="M764" s="604"/>
      <c r="N764" s="604"/>
      <c r="O764" s="604"/>
      <c r="P764" s="604"/>
      <c r="Q764" s="604"/>
      <c r="R764" s="604"/>
      <c r="S764" s="317"/>
      <c r="T764" s="604"/>
      <c r="U764" s="317"/>
      <c r="V764" s="694"/>
      <c r="W764" s="694"/>
      <c r="X764" s="694"/>
      <c r="Y764" s="694"/>
      <c r="Z764" s="694"/>
      <c r="AA764" s="317"/>
      <c r="AB764" s="694"/>
      <c r="AC764" s="604"/>
      <c r="AD764" s="604"/>
      <c r="AE764" s="604"/>
    </row>
    <row r="765" spans="1:31">
      <c r="A765" s="604"/>
      <c r="B765" s="604"/>
      <c r="C765" s="604"/>
      <c r="D765" s="604"/>
      <c r="E765" s="604"/>
      <c r="F765" s="604"/>
      <c r="G765" s="604"/>
      <c r="H765" s="604"/>
      <c r="I765" s="604"/>
      <c r="J765" s="604"/>
      <c r="K765" s="604"/>
      <c r="L765" s="604"/>
      <c r="M765" s="604"/>
      <c r="N765" s="604"/>
      <c r="O765" s="604"/>
      <c r="P765" s="604"/>
      <c r="Q765" s="604"/>
      <c r="R765" s="604"/>
      <c r="S765" s="317"/>
      <c r="T765" s="604"/>
      <c r="U765" s="317"/>
      <c r="V765" s="694"/>
      <c r="W765" s="694"/>
      <c r="X765" s="694"/>
      <c r="Y765" s="694"/>
      <c r="Z765" s="694"/>
      <c r="AA765" s="317"/>
      <c r="AB765" s="694"/>
      <c r="AC765" s="604"/>
      <c r="AD765" s="604"/>
      <c r="AE765" s="604"/>
    </row>
    <row r="766" spans="1:31">
      <c r="A766" s="604"/>
      <c r="B766" s="604"/>
      <c r="C766" s="604"/>
      <c r="D766" s="604"/>
      <c r="E766" s="604"/>
      <c r="F766" s="604"/>
      <c r="G766" s="604"/>
      <c r="H766" s="604"/>
      <c r="I766" s="604"/>
      <c r="J766" s="604"/>
      <c r="K766" s="604"/>
      <c r="L766" s="604"/>
      <c r="M766" s="604"/>
      <c r="N766" s="604"/>
      <c r="O766" s="604"/>
      <c r="P766" s="604"/>
      <c r="Q766" s="604"/>
      <c r="R766" s="604"/>
      <c r="S766" s="317"/>
      <c r="T766" s="604"/>
      <c r="U766" s="317"/>
      <c r="V766" s="694"/>
      <c r="W766" s="694"/>
      <c r="X766" s="694"/>
      <c r="Y766" s="694"/>
      <c r="Z766" s="694"/>
      <c r="AA766" s="317"/>
      <c r="AB766" s="694"/>
      <c r="AC766" s="604"/>
      <c r="AD766" s="604"/>
      <c r="AE766" s="604"/>
    </row>
    <row r="767" spans="1:31">
      <c r="A767" s="604"/>
      <c r="B767" s="604"/>
      <c r="C767" s="604"/>
      <c r="D767" s="604"/>
      <c r="E767" s="604"/>
      <c r="F767" s="604"/>
      <c r="G767" s="604"/>
      <c r="H767" s="604"/>
      <c r="I767" s="604"/>
      <c r="J767" s="604"/>
      <c r="K767" s="604"/>
      <c r="L767" s="604"/>
      <c r="M767" s="604"/>
      <c r="N767" s="604"/>
      <c r="O767" s="604"/>
      <c r="P767" s="604"/>
      <c r="Q767" s="604"/>
      <c r="R767" s="604"/>
      <c r="S767" s="317"/>
      <c r="T767" s="604"/>
      <c r="U767" s="317"/>
      <c r="V767" s="694"/>
      <c r="W767" s="694"/>
      <c r="X767" s="694"/>
      <c r="Y767" s="694"/>
      <c r="Z767" s="694"/>
      <c r="AA767" s="317"/>
      <c r="AB767" s="694"/>
      <c r="AC767" s="604"/>
      <c r="AD767" s="604"/>
      <c r="AE767" s="604"/>
    </row>
    <row r="768" spans="1:31">
      <c r="A768" s="604"/>
      <c r="B768" s="604"/>
      <c r="C768" s="604"/>
      <c r="D768" s="604"/>
      <c r="E768" s="604"/>
      <c r="F768" s="604"/>
      <c r="G768" s="604"/>
      <c r="H768" s="604"/>
      <c r="I768" s="604"/>
      <c r="J768" s="604"/>
      <c r="K768" s="604"/>
      <c r="L768" s="604"/>
      <c r="M768" s="604"/>
      <c r="N768" s="604"/>
      <c r="O768" s="604"/>
      <c r="P768" s="604"/>
      <c r="Q768" s="604"/>
      <c r="R768" s="604"/>
      <c r="S768" s="317"/>
      <c r="T768" s="604"/>
      <c r="U768" s="317"/>
      <c r="V768" s="694"/>
      <c r="W768" s="694"/>
      <c r="X768" s="694"/>
      <c r="Y768" s="694"/>
      <c r="Z768" s="694"/>
      <c r="AA768" s="317"/>
      <c r="AB768" s="694"/>
      <c r="AC768" s="604"/>
      <c r="AD768" s="604"/>
      <c r="AE768" s="604"/>
    </row>
    <row r="769" spans="1:31">
      <c r="A769" s="604"/>
      <c r="B769" s="604"/>
      <c r="C769" s="604"/>
      <c r="D769" s="604"/>
      <c r="E769" s="604"/>
      <c r="F769" s="604"/>
      <c r="G769" s="604"/>
      <c r="H769" s="604"/>
      <c r="I769" s="604"/>
      <c r="J769" s="604"/>
      <c r="K769" s="604"/>
      <c r="L769" s="604"/>
      <c r="M769" s="604"/>
      <c r="N769" s="604"/>
      <c r="O769" s="604"/>
      <c r="P769" s="604"/>
      <c r="Q769" s="604"/>
      <c r="R769" s="604"/>
      <c r="S769" s="317"/>
      <c r="T769" s="604"/>
      <c r="U769" s="317"/>
      <c r="V769" s="694"/>
      <c r="W769" s="694"/>
      <c r="X769" s="694"/>
      <c r="Y769" s="694"/>
      <c r="Z769" s="694"/>
      <c r="AA769" s="317"/>
      <c r="AB769" s="694"/>
      <c r="AC769" s="604"/>
      <c r="AD769" s="604"/>
      <c r="AE769" s="604"/>
    </row>
    <row r="770" spans="1:31">
      <c r="A770" s="604"/>
      <c r="B770" s="604"/>
      <c r="C770" s="604"/>
      <c r="D770" s="604"/>
      <c r="E770" s="604"/>
      <c r="F770" s="604"/>
      <c r="G770" s="604"/>
      <c r="H770" s="604"/>
      <c r="I770" s="604"/>
      <c r="J770" s="604"/>
      <c r="K770" s="604"/>
      <c r="L770" s="604"/>
      <c r="M770" s="604"/>
      <c r="N770" s="604"/>
      <c r="O770" s="604"/>
      <c r="P770" s="604"/>
      <c r="Q770" s="604"/>
      <c r="R770" s="604"/>
      <c r="S770" s="317"/>
      <c r="T770" s="604"/>
      <c r="U770" s="317"/>
      <c r="V770" s="694"/>
      <c r="W770" s="694"/>
      <c r="X770" s="694"/>
      <c r="Y770" s="694"/>
      <c r="Z770" s="694"/>
      <c r="AA770" s="317"/>
      <c r="AB770" s="694"/>
      <c r="AC770" s="604"/>
      <c r="AD770" s="604"/>
      <c r="AE770" s="604"/>
    </row>
    <row r="771" spans="1:31">
      <c r="A771" s="604"/>
      <c r="B771" s="604"/>
      <c r="C771" s="604"/>
      <c r="D771" s="604"/>
      <c r="E771" s="604"/>
      <c r="F771" s="604"/>
      <c r="G771" s="604"/>
      <c r="H771" s="604"/>
      <c r="I771" s="604"/>
      <c r="J771" s="604"/>
      <c r="K771" s="604"/>
      <c r="L771" s="604"/>
      <c r="M771" s="604"/>
      <c r="N771" s="604"/>
      <c r="O771" s="604"/>
      <c r="P771" s="604"/>
      <c r="Q771" s="604"/>
      <c r="R771" s="604"/>
      <c r="S771" s="317"/>
      <c r="T771" s="604"/>
      <c r="U771" s="317"/>
      <c r="V771" s="694"/>
      <c r="W771" s="694"/>
      <c r="X771" s="694"/>
      <c r="Y771" s="694"/>
      <c r="Z771" s="694"/>
      <c r="AA771" s="317"/>
      <c r="AB771" s="694"/>
      <c r="AC771" s="604"/>
      <c r="AD771" s="604"/>
      <c r="AE771" s="604"/>
    </row>
    <row r="772" spans="1:31">
      <c r="A772" s="604"/>
      <c r="B772" s="604"/>
      <c r="C772" s="604"/>
      <c r="D772" s="604"/>
      <c r="E772" s="604"/>
      <c r="F772" s="604"/>
      <c r="G772" s="604"/>
      <c r="H772" s="604"/>
      <c r="I772" s="604"/>
      <c r="J772" s="604"/>
      <c r="K772" s="604"/>
      <c r="L772" s="604"/>
      <c r="M772" s="604"/>
      <c r="N772" s="604"/>
      <c r="O772" s="604"/>
      <c r="P772" s="604"/>
      <c r="Q772" s="604"/>
      <c r="R772" s="604"/>
      <c r="S772" s="317"/>
      <c r="T772" s="604"/>
      <c r="U772" s="317"/>
      <c r="V772" s="694"/>
      <c r="W772" s="694"/>
      <c r="X772" s="694"/>
      <c r="Y772" s="694"/>
      <c r="Z772" s="694"/>
      <c r="AA772" s="317"/>
      <c r="AB772" s="694"/>
      <c r="AC772" s="604"/>
      <c r="AD772" s="604"/>
      <c r="AE772" s="604"/>
    </row>
    <row r="773" spans="1:31">
      <c r="A773" s="604"/>
      <c r="B773" s="604"/>
      <c r="C773" s="604"/>
      <c r="D773" s="604"/>
      <c r="E773" s="604"/>
      <c r="F773" s="604"/>
      <c r="G773" s="604"/>
      <c r="H773" s="604"/>
      <c r="I773" s="604"/>
      <c r="J773" s="604"/>
      <c r="K773" s="604"/>
      <c r="L773" s="604"/>
      <c r="M773" s="604"/>
      <c r="N773" s="604"/>
      <c r="O773" s="604"/>
      <c r="P773" s="604"/>
      <c r="Q773" s="604"/>
      <c r="R773" s="604"/>
      <c r="S773" s="317"/>
      <c r="T773" s="604"/>
      <c r="U773" s="317"/>
      <c r="V773" s="694"/>
      <c r="W773" s="694"/>
      <c r="X773" s="694"/>
      <c r="Y773" s="694"/>
      <c r="Z773" s="694"/>
      <c r="AA773" s="317"/>
      <c r="AB773" s="694"/>
      <c r="AC773" s="604"/>
      <c r="AD773" s="604"/>
      <c r="AE773" s="604"/>
    </row>
    <row r="774" spans="1:31">
      <c r="A774" s="604"/>
      <c r="B774" s="604"/>
      <c r="C774" s="604"/>
      <c r="D774" s="604"/>
      <c r="E774" s="604"/>
      <c r="F774" s="604"/>
      <c r="G774" s="604"/>
      <c r="H774" s="604"/>
      <c r="I774" s="604"/>
      <c r="J774" s="604"/>
      <c r="K774" s="604"/>
      <c r="L774" s="604"/>
      <c r="M774" s="604"/>
      <c r="N774" s="604"/>
      <c r="O774" s="604"/>
      <c r="P774" s="604"/>
      <c r="Q774" s="604"/>
      <c r="R774" s="604"/>
      <c r="S774" s="317"/>
      <c r="T774" s="604"/>
      <c r="U774" s="317"/>
      <c r="V774" s="694"/>
      <c r="W774" s="694"/>
      <c r="X774" s="694"/>
      <c r="Y774" s="694"/>
      <c r="Z774" s="694"/>
      <c r="AA774" s="317"/>
      <c r="AB774" s="694"/>
      <c r="AC774" s="604"/>
      <c r="AD774" s="604"/>
      <c r="AE774" s="604"/>
    </row>
    <row r="775" spans="1:31">
      <c r="A775" s="604"/>
      <c r="B775" s="604"/>
      <c r="C775" s="604"/>
      <c r="D775" s="604"/>
      <c r="E775" s="604"/>
      <c r="F775" s="604"/>
      <c r="G775" s="604"/>
      <c r="H775" s="604"/>
      <c r="I775" s="604"/>
      <c r="J775" s="604"/>
      <c r="K775" s="604"/>
      <c r="L775" s="604"/>
      <c r="M775" s="604"/>
      <c r="N775" s="604"/>
      <c r="O775" s="604"/>
      <c r="P775" s="604"/>
      <c r="Q775" s="604"/>
      <c r="R775" s="604"/>
      <c r="S775" s="317"/>
      <c r="T775" s="604"/>
      <c r="U775" s="317"/>
      <c r="V775" s="694"/>
      <c r="W775" s="694"/>
      <c r="X775" s="694"/>
      <c r="Y775" s="694"/>
      <c r="Z775" s="694"/>
      <c r="AA775" s="317"/>
      <c r="AB775" s="694"/>
      <c r="AC775" s="604"/>
      <c r="AD775" s="604"/>
      <c r="AE775" s="604"/>
    </row>
    <row r="776" spans="1:31">
      <c r="A776" s="604"/>
      <c r="B776" s="604"/>
      <c r="C776" s="604"/>
      <c r="D776" s="604"/>
      <c r="E776" s="604"/>
      <c r="F776" s="604"/>
      <c r="G776" s="604"/>
      <c r="H776" s="604"/>
      <c r="I776" s="604"/>
      <c r="J776" s="604"/>
      <c r="K776" s="604"/>
      <c r="L776" s="604"/>
      <c r="M776" s="604"/>
      <c r="N776" s="604"/>
      <c r="O776" s="604"/>
      <c r="P776" s="604"/>
      <c r="Q776" s="604"/>
      <c r="R776" s="604"/>
      <c r="S776" s="317"/>
      <c r="T776" s="604"/>
      <c r="U776" s="317"/>
      <c r="V776" s="694"/>
      <c r="W776" s="694"/>
      <c r="X776" s="694"/>
      <c r="Y776" s="694"/>
      <c r="Z776" s="694"/>
      <c r="AA776" s="317"/>
      <c r="AB776" s="694"/>
      <c r="AC776" s="604"/>
      <c r="AD776" s="604"/>
      <c r="AE776" s="604"/>
    </row>
    <row r="777" spans="1:31">
      <c r="A777" s="604"/>
      <c r="B777" s="604"/>
      <c r="C777" s="604"/>
      <c r="D777" s="604"/>
      <c r="E777" s="604"/>
      <c r="F777" s="604"/>
      <c r="G777" s="604"/>
      <c r="H777" s="604"/>
      <c r="I777" s="604"/>
      <c r="J777" s="604"/>
      <c r="K777" s="604"/>
      <c r="L777" s="604"/>
      <c r="M777" s="604"/>
      <c r="N777" s="604"/>
      <c r="O777" s="604"/>
      <c r="P777" s="604"/>
      <c r="Q777" s="604"/>
      <c r="R777" s="604"/>
      <c r="S777" s="317"/>
      <c r="T777" s="604"/>
      <c r="U777" s="317"/>
      <c r="V777" s="694"/>
      <c r="W777" s="694"/>
      <c r="X777" s="694"/>
      <c r="Y777" s="694"/>
      <c r="Z777" s="694"/>
      <c r="AA777" s="317"/>
      <c r="AB777" s="694"/>
      <c r="AC777" s="604"/>
      <c r="AD777" s="604"/>
      <c r="AE777" s="604"/>
    </row>
    <row r="778" spans="1:31">
      <c r="A778" s="604"/>
      <c r="B778" s="604"/>
      <c r="C778" s="604"/>
      <c r="D778" s="604"/>
      <c r="E778" s="604"/>
      <c r="F778" s="604"/>
      <c r="G778" s="604"/>
      <c r="H778" s="604"/>
      <c r="I778" s="604"/>
      <c r="J778" s="604"/>
      <c r="K778" s="604"/>
      <c r="L778" s="604"/>
      <c r="M778" s="604"/>
      <c r="N778" s="604"/>
      <c r="O778" s="604"/>
      <c r="P778" s="604"/>
      <c r="Q778" s="604"/>
      <c r="R778" s="604"/>
      <c r="S778" s="317"/>
      <c r="T778" s="604"/>
      <c r="U778" s="317"/>
      <c r="V778" s="694"/>
      <c r="W778" s="694"/>
      <c r="X778" s="694"/>
      <c r="Y778" s="694"/>
      <c r="Z778" s="694"/>
      <c r="AA778" s="317"/>
      <c r="AB778" s="694"/>
      <c r="AC778" s="604"/>
      <c r="AD778" s="604"/>
      <c r="AE778" s="604"/>
    </row>
    <row r="779" spans="1:31">
      <c r="A779" s="604"/>
      <c r="B779" s="604"/>
      <c r="C779" s="604"/>
      <c r="D779" s="604"/>
      <c r="E779" s="604"/>
      <c r="F779" s="604"/>
      <c r="G779" s="604"/>
      <c r="H779" s="604"/>
      <c r="I779" s="604"/>
      <c r="J779" s="604"/>
      <c r="K779" s="604"/>
      <c r="L779" s="604"/>
      <c r="M779" s="604"/>
      <c r="N779" s="604"/>
      <c r="O779" s="604"/>
      <c r="P779" s="604"/>
      <c r="Q779" s="604"/>
      <c r="R779" s="604"/>
      <c r="S779" s="317"/>
      <c r="T779" s="604"/>
      <c r="U779" s="317"/>
      <c r="V779" s="694"/>
      <c r="W779" s="694"/>
      <c r="X779" s="694"/>
      <c r="Y779" s="694"/>
      <c r="Z779" s="694"/>
      <c r="AA779" s="317"/>
      <c r="AB779" s="694"/>
      <c r="AC779" s="604"/>
      <c r="AD779" s="604"/>
      <c r="AE779" s="604"/>
    </row>
    <row r="780" spans="1:31">
      <c r="A780" s="604"/>
      <c r="B780" s="604"/>
      <c r="C780" s="604"/>
      <c r="D780" s="604"/>
      <c r="E780" s="604"/>
      <c r="F780" s="604"/>
      <c r="G780" s="604"/>
      <c r="H780" s="604"/>
      <c r="I780" s="604"/>
      <c r="J780" s="604"/>
      <c r="K780" s="604"/>
      <c r="L780" s="604"/>
      <c r="M780" s="604"/>
      <c r="N780" s="604"/>
      <c r="O780" s="604"/>
      <c r="P780" s="604"/>
      <c r="Q780" s="604"/>
      <c r="R780" s="604"/>
      <c r="S780" s="317"/>
      <c r="T780" s="604"/>
      <c r="U780" s="317"/>
      <c r="V780" s="694"/>
      <c r="W780" s="694"/>
      <c r="X780" s="694"/>
      <c r="Y780" s="694"/>
      <c r="Z780" s="694"/>
      <c r="AA780" s="317"/>
      <c r="AB780" s="694"/>
      <c r="AC780" s="604"/>
      <c r="AD780" s="604"/>
      <c r="AE780" s="604"/>
    </row>
    <row r="781" spans="1:31">
      <c r="A781" s="604"/>
      <c r="B781" s="604"/>
      <c r="C781" s="604"/>
      <c r="D781" s="604"/>
      <c r="E781" s="604"/>
      <c r="F781" s="604"/>
      <c r="G781" s="604"/>
      <c r="H781" s="604"/>
      <c r="I781" s="604"/>
      <c r="J781" s="604"/>
      <c r="K781" s="604"/>
      <c r="L781" s="604"/>
      <c r="M781" s="604"/>
      <c r="N781" s="604"/>
      <c r="O781" s="604"/>
      <c r="P781" s="604"/>
      <c r="Q781" s="604"/>
      <c r="R781" s="604"/>
      <c r="S781" s="317"/>
      <c r="T781" s="604"/>
      <c r="U781" s="317"/>
      <c r="V781" s="694"/>
      <c r="W781" s="694"/>
      <c r="X781" s="694"/>
      <c r="Y781" s="694"/>
      <c r="Z781" s="694"/>
      <c r="AA781" s="317"/>
      <c r="AB781" s="694"/>
      <c r="AC781" s="604"/>
      <c r="AD781" s="604"/>
      <c r="AE781" s="604"/>
    </row>
    <row r="782" spans="1:31">
      <c r="A782" s="604"/>
      <c r="B782" s="604"/>
      <c r="C782" s="604"/>
      <c r="D782" s="604"/>
      <c r="E782" s="604"/>
      <c r="F782" s="604"/>
      <c r="G782" s="604"/>
      <c r="H782" s="604"/>
      <c r="I782" s="604"/>
      <c r="J782" s="604"/>
      <c r="K782" s="604"/>
      <c r="L782" s="604"/>
      <c r="M782" s="604"/>
      <c r="N782" s="604"/>
      <c r="O782" s="604"/>
      <c r="P782" s="604"/>
      <c r="Q782" s="604"/>
      <c r="R782" s="604"/>
      <c r="S782" s="317"/>
      <c r="T782" s="604"/>
      <c r="U782" s="317"/>
      <c r="V782" s="694"/>
      <c r="W782" s="694"/>
      <c r="X782" s="694"/>
      <c r="Y782" s="694"/>
      <c r="Z782" s="694"/>
      <c r="AA782" s="317"/>
      <c r="AB782" s="694"/>
      <c r="AC782" s="604"/>
      <c r="AD782" s="604"/>
      <c r="AE782" s="604"/>
    </row>
    <row r="783" spans="1:31">
      <c r="A783" s="604"/>
      <c r="B783" s="604"/>
      <c r="C783" s="604"/>
      <c r="D783" s="604"/>
      <c r="E783" s="604"/>
      <c r="F783" s="604"/>
      <c r="G783" s="604"/>
      <c r="H783" s="604"/>
      <c r="I783" s="604"/>
      <c r="J783" s="604"/>
      <c r="K783" s="604"/>
      <c r="L783" s="604"/>
      <c r="M783" s="604"/>
      <c r="N783" s="604"/>
      <c r="O783" s="604"/>
      <c r="P783" s="604"/>
      <c r="Q783" s="604"/>
      <c r="R783" s="604"/>
      <c r="S783" s="317"/>
      <c r="T783" s="604"/>
      <c r="U783" s="317"/>
      <c r="V783" s="694"/>
      <c r="W783" s="694"/>
      <c r="X783" s="694"/>
      <c r="Y783" s="694"/>
      <c r="Z783" s="694"/>
      <c r="AA783" s="317"/>
      <c r="AB783" s="694"/>
      <c r="AC783" s="604"/>
      <c r="AD783" s="604"/>
      <c r="AE783" s="604"/>
    </row>
    <row r="784" spans="1:31">
      <c r="A784" s="604"/>
      <c r="B784" s="604"/>
      <c r="C784" s="604"/>
      <c r="D784" s="604"/>
      <c r="E784" s="604"/>
      <c r="F784" s="604"/>
      <c r="G784" s="604"/>
      <c r="H784" s="604"/>
      <c r="I784" s="604"/>
      <c r="J784" s="604"/>
      <c r="K784" s="604"/>
      <c r="L784" s="604"/>
      <c r="M784" s="604"/>
      <c r="N784" s="604"/>
      <c r="O784" s="604"/>
      <c r="P784" s="604"/>
      <c r="Q784" s="604"/>
      <c r="R784" s="604"/>
      <c r="S784" s="317"/>
      <c r="T784" s="604"/>
      <c r="U784" s="317"/>
      <c r="V784" s="694"/>
      <c r="W784" s="694"/>
      <c r="X784" s="694"/>
      <c r="Y784" s="694"/>
      <c r="Z784" s="694"/>
      <c r="AA784" s="317"/>
      <c r="AB784" s="694"/>
      <c r="AC784" s="604"/>
      <c r="AD784" s="604"/>
      <c r="AE784" s="604"/>
    </row>
    <row r="785" spans="1:31">
      <c r="A785" s="604"/>
      <c r="B785" s="604"/>
      <c r="C785" s="604"/>
      <c r="D785" s="604"/>
      <c r="E785" s="604"/>
      <c r="F785" s="604"/>
      <c r="G785" s="604"/>
      <c r="H785" s="604"/>
      <c r="I785" s="604"/>
      <c r="J785" s="604"/>
      <c r="K785" s="604"/>
      <c r="L785" s="604"/>
      <c r="M785" s="604"/>
      <c r="N785" s="604"/>
      <c r="O785" s="604"/>
      <c r="P785" s="604"/>
      <c r="Q785" s="604"/>
      <c r="R785" s="604"/>
      <c r="S785" s="317"/>
      <c r="T785" s="604"/>
      <c r="U785" s="317"/>
      <c r="V785" s="694"/>
      <c r="W785" s="694"/>
      <c r="X785" s="694"/>
      <c r="Y785" s="694"/>
      <c r="Z785" s="694"/>
      <c r="AA785" s="317"/>
      <c r="AB785" s="694"/>
      <c r="AC785" s="604"/>
      <c r="AD785" s="604"/>
      <c r="AE785" s="604"/>
    </row>
    <row r="786" spans="1:31">
      <c r="A786" s="604"/>
      <c r="B786" s="604"/>
      <c r="C786" s="604"/>
      <c r="D786" s="604"/>
      <c r="E786" s="604"/>
      <c r="F786" s="604"/>
      <c r="G786" s="604"/>
      <c r="H786" s="604"/>
      <c r="I786" s="604"/>
      <c r="J786" s="604"/>
      <c r="K786" s="604"/>
      <c r="L786" s="604"/>
      <c r="M786" s="604"/>
      <c r="N786" s="604"/>
      <c r="O786" s="604"/>
      <c r="P786" s="604"/>
      <c r="Q786" s="604"/>
      <c r="R786" s="604"/>
      <c r="S786" s="317"/>
      <c r="T786" s="604"/>
      <c r="U786" s="317"/>
      <c r="V786" s="694"/>
      <c r="W786" s="694"/>
      <c r="X786" s="694"/>
      <c r="Y786" s="694"/>
      <c r="Z786" s="694"/>
      <c r="AA786" s="317"/>
      <c r="AB786" s="694"/>
      <c r="AC786" s="604"/>
      <c r="AD786" s="604"/>
      <c r="AE786" s="604"/>
    </row>
    <row r="787" spans="1:31">
      <c r="A787" s="604"/>
      <c r="B787" s="604"/>
      <c r="C787" s="604"/>
      <c r="D787" s="604"/>
      <c r="E787" s="604"/>
      <c r="F787" s="604"/>
      <c r="G787" s="604"/>
      <c r="H787" s="604"/>
      <c r="I787" s="604"/>
      <c r="J787" s="604"/>
      <c r="K787" s="604"/>
      <c r="L787" s="604"/>
      <c r="M787" s="604"/>
      <c r="N787" s="604"/>
      <c r="O787" s="604"/>
      <c r="P787" s="604"/>
      <c r="Q787" s="604"/>
      <c r="R787" s="604"/>
      <c r="S787" s="317"/>
      <c r="T787" s="604"/>
      <c r="U787" s="317"/>
      <c r="V787" s="694"/>
      <c r="W787" s="694"/>
      <c r="X787" s="694"/>
      <c r="Y787" s="694"/>
      <c r="Z787" s="694"/>
      <c r="AA787" s="317"/>
      <c r="AB787" s="694"/>
      <c r="AC787" s="604"/>
      <c r="AD787" s="604"/>
      <c r="AE787" s="604"/>
    </row>
    <row r="788" spans="1:31">
      <c r="A788" s="604"/>
      <c r="B788" s="604"/>
      <c r="C788" s="604"/>
      <c r="D788" s="604"/>
      <c r="E788" s="604"/>
      <c r="F788" s="604"/>
      <c r="G788" s="604"/>
      <c r="H788" s="604"/>
      <c r="I788" s="604"/>
      <c r="J788" s="604"/>
      <c r="K788" s="604"/>
      <c r="L788" s="604"/>
      <c r="M788" s="604"/>
      <c r="N788" s="604"/>
      <c r="O788" s="604"/>
      <c r="P788" s="604"/>
      <c r="Q788" s="604"/>
      <c r="R788" s="604"/>
      <c r="S788" s="317"/>
      <c r="T788" s="604"/>
      <c r="U788" s="317"/>
      <c r="V788" s="694"/>
      <c r="W788" s="694"/>
      <c r="X788" s="694"/>
      <c r="Y788" s="694"/>
      <c r="Z788" s="694"/>
      <c r="AA788" s="317"/>
      <c r="AB788" s="694"/>
      <c r="AC788" s="604"/>
      <c r="AD788" s="604"/>
      <c r="AE788" s="604"/>
    </row>
    <row r="789" spans="1:31">
      <c r="A789" s="604"/>
      <c r="B789" s="604"/>
      <c r="C789" s="604"/>
      <c r="D789" s="604"/>
      <c r="E789" s="604"/>
      <c r="F789" s="604"/>
      <c r="G789" s="604"/>
      <c r="H789" s="604"/>
      <c r="I789" s="604"/>
      <c r="J789" s="604"/>
      <c r="K789" s="604"/>
      <c r="L789" s="604"/>
      <c r="M789" s="604"/>
      <c r="N789" s="604"/>
      <c r="O789" s="604"/>
      <c r="P789" s="604"/>
      <c r="Q789" s="604"/>
      <c r="R789" s="604"/>
      <c r="S789" s="317"/>
      <c r="T789" s="604"/>
      <c r="U789" s="317"/>
      <c r="V789" s="694"/>
      <c r="W789" s="694"/>
      <c r="X789" s="694"/>
      <c r="Y789" s="694"/>
      <c r="Z789" s="694"/>
      <c r="AA789" s="317"/>
      <c r="AB789" s="694"/>
      <c r="AC789" s="604"/>
      <c r="AD789" s="604"/>
      <c r="AE789" s="604"/>
    </row>
    <row r="790" spans="1:31">
      <c r="A790" s="604"/>
      <c r="B790" s="604"/>
      <c r="C790" s="604"/>
      <c r="D790" s="604"/>
      <c r="E790" s="604"/>
      <c r="F790" s="604"/>
      <c r="G790" s="604"/>
      <c r="H790" s="604"/>
      <c r="I790" s="604"/>
      <c r="J790" s="604"/>
      <c r="K790" s="604"/>
      <c r="L790" s="604"/>
      <c r="M790" s="604"/>
      <c r="N790" s="604"/>
      <c r="O790" s="604"/>
      <c r="P790" s="604"/>
      <c r="Q790" s="604"/>
      <c r="R790" s="604"/>
      <c r="S790" s="317"/>
      <c r="T790" s="604"/>
      <c r="U790" s="317"/>
      <c r="V790" s="694"/>
      <c r="W790" s="694"/>
      <c r="X790" s="694"/>
      <c r="Y790" s="694"/>
      <c r="Z790" s="694"/>
      <c r="AA790" s="317"/>
      <c r="AB790" s="694"/>
      <c r="AC790" s="604"/>
      <c r="AD790" s="604"/>
      <c r="AE790" s="604"/>
    </row>
    <row r="791" spans="1:31">
      <c r="A791" s="604"/>
      <c r="B791" s="604"/>
      <c r="C791" s="604"/>
      <c r="D791" s="604"/>
      <c r="E791" s="604"/>
      <c r="F791" s="604"/>
      <c r="G791" s="604"/>
      <c r="H791" s="604"/>
      <c r="I791" s="604"/>
      <c r="J791" s="604"/>
      <c r="K791" s="604"/>
      <c r="L791" s="604"/>
      <c r="M791" s="604"/>
      <c r="N791" s="604"/>
      <c r="O791" s="604"/>
      <c r="P791" s="604"/>
      <c r="Q791" s="604"/>
      <c r="R791" s="604"/>
      <c r="S791" s="317"/>
      <c r="T791" s="604"/>
      <c r="U791" s="317"/>
      <c r="V791" s="694"/>
      <c r="W791" s="694"/>
      <c r="X791" s="694"/>
      <c r="Y791" s="694"/>
      <c r="Z791" s="694"/>
      <c r="AA791" s="317"/>
      <c r="AB791" s="694"/>
      <c r="AC791" s="604"/>
      <c r="AD791" s="604"/>
      <c r="AE791" s="604"/>
    </row>
    <row r="792" spans="1:31">
      <c r="A792" s="604"/>
      <c r="B792" s="604"/>
      <c r="C792" s="604"/>
      <c r="D792" s="604"/>
      <c r="E792" s="604"/>
      <c r="F792" s="604"/>
      <c r="G792" s="604"/>
      <c r="H792" s="604"/>
      <c r="I792" s="604"/>
      <c r="J792" s="604"/>
      <c r="K792" s="604"/>
      <c r="L792" s="604"/>
      <c r="M792" s="604"/>
      <c r="N792" s="604"/>
      <c r="O792" s="604"/>
      <c r="P792" s="604"/>
      <c r="Q792" s="604"/>
      <c r="R792" s="604"/>
      <c r="S792" s="317"/>
      <c r="T792" s="604"/>
      <c r="U792" s="317"/>
      <c r="V792" s="694"/>
      <c r="W792" s="694"/>
      <c r="X792" s="694"/>
      <c r="Y792" s="694"/>
      <c r="Z792" s="694"/>
      <c r="AA792" s="317"/>
      <c r="AB792" s="694"/>
      <c r="AC792" s="604"/>
      <c r="AD792" s="604"/>
      <c r="AE792" s="604"/>
    </row>
    <row r="793" spans="1:31">
      <c r="A793" s="604"/>
      <c r="B793" s="604"/>
      <c r="C793" s="604"/>
      <c r="D793" s="604"/>
      <c r="E793" s="604"/>
      <c r="F793" s="604"/>
      <c r="G793" s="604"/>
      <c r="H793" s="604"/>
      <c r="I793" s="604"/>
      <c r="J793" s="604"/>
      <c r="K793" s="604"/>
      <c r="L793" s="604"/>
      <c r="M793" s="604"/>
      <c r="N793" s="604"/>
      <c r="O793" s="604"/>
      <c r="P793" s="604"/>
      <c r="Q793" s="604"/>
      <c r="R793" s="604"/>
      <c r="S793" s="317"/>
      <c r="T793" s="604"/>
      <c r="U793" s="317"/>
      <c r="V793" s="694"/>
      <c r="W793" s="694"/>
      <c r="X793" s="694"/>
      <c r="Y793" s="694"/>
      <c r="Z793" s="694"/>
      <c r="AA793" s="317"/>
      <c r="AB793" s="694"/>
      <c r="AC793" s="604"/>
      <c r="AD793" s="604"/>
      <c r="AE793" s="604"/>
    </row>
    <row r="794" spans="1:31">
      <c r="A794" s="604"/>
      <c r="B794" s="604"/>
      <c r="C794" s="604"/>
      <c r="D794" s="604"/>
      <c r="E794" s="604"/>
      <c r="F794" s="604"/>
      <c r="G794" s="604"/>
      <c r="H794" s="604"/>
      <c r="I794" s="604"/>
      <c r="J794" s="604"/>
      <c r="K794" s="604"/>
      <c r="L794" s="604"/>
      <c r="M794" s="604"/>
      <c r="N794" s="604"/>
      <c r="O794" s="604"/>
      <c r="P794" s="604"/>
      <c r="Q794" s="604"/>
      <c r="R794" s="604"/>
      <c r="S794" s="317"/>
      <c r="T794" s="604"/>
      <c r="U794" s="317"/>
      <c r="V794" s="694"/>
      <c r="W794" s="694"/>
      <c r="X794" s="694"/>
      <c r="Y794" s="694"/>
      <c r="Z794" s="694"/>
      <c r="AA794" s="317"/>
      <c r="AB794" s="694"/>
      <c r="AC794" s="604"/>
      <c r="AD794" s="604"/>
      <c r="AE794" s="604"/>
    </row>
    <row r="795" spans="1:31">
      <c r="A795" s="604"/>
      <c r="B795" s="604"/>
      <c r="C795" s="604"/>
      <c r="D795" s="604"/>
      <c r="E795" s="604"/>
      <c r="F795" s="604"/>
      <c r="G795" s="604"/>
      <c r="H795" s="604"/>
      <c r="I795" s="604"/>
      <c r="J795" s="604"/>
      <c r="K795" s="604"/>
      <c r="L795" s="604"/>
      <c r="M795" s="604"/>
      <c r="N795" s="604"/>
      <c r="O795" s="604"/>
      <c r="P795" s="604"/>
      <c r="Q795" s="604"/>
      <c r="R795" s="604"/>
      <c r="S795" s="317"/>
      <c r="T795" s="604"/>
      <c r="U795" s="317"/>
      <c r="V795" s="694"/>
      <c r="W795" s="694"/>
      <c r="X795" s="694"/>
      <c r="Y795" s="694"/>
      <c r="Z795" s="694"/>
      <c r="AA795" s="317"/>
      <c r="AB795" s="694"/>
      <c r="AC795" s="604"/>
      <c r="AD795" s="604"/>
      <c r="AE795" s="604"/>
    </row>
    <row r="796" spans="1:31">
      <c r="A796" s="604"/>
      <c r="B796" s="604"/>
      <c r="C796" s="604"/>
      <c r="D796" s="604"/>
      <c r="E796" s="604"/>
      <c r="F796" s="604"/>
      <c r="G796" s="604"/>
      <c r="H796" s="604"/>
      <c r="I796" s="604"/>
      <c r="J796" s="604"/>
      <c r="K796" s="604"/>
      <c r="L796" s="604"/>
      <c r="M796" s="604"/>
      <c r="N796" s="604"/>
      <c r="O796" s="604"/>
      <c r="P796" s="604"/>
      <c r="Q796" s="604"/>
      <c r="R796" s="604"/>
      <c r="S796" s="317"/>
      <c r="T796" s="604"/>
      <c r="U796" s="317"/>
      <c r="V796" s="694"/>
      <c r="W796" s="694"/>
      <c r="X796" s="694"/>
      <c r="Y796" s="694"/>
      <c r="Z796" s="694"/>
      <c r="AA796" s="317"/>
      <c r="AB796" s="694"/>
      <c r="AC796" s="604"/>
      <c r="AD796" s="604"/>
      <c r="AE796" s="604"/>
    </row>
    <row r="797" spans="1:31">
      <c r="A797" s="604"/>
      <c r="B797" s="604"/>
      <c r="C797" s="604"/>
      <c r="D797" s="604"/>
      <c r="E797" s="604"/>
      <c r="F797" s="604"/>
      <c r="G797" s="604"/>
      <c r="H797" s="604"/>
      <c r="I797" s="604"/>
      <c r="J797" s="604"/>
      <c r="K797" s="604"/>
      <c r="L797" s="604"/>
      <c r="M797" s="604"/>
      <c r="N797" s="604"/>
      <c r="O797" s="604"/>
      <c r="P797" s="604"/>
      <c r="Q797" s="604"/>
      <c r="R797" s="604"/>
      <c r="S797" s="317"/>
      <c r="T797" s="604"/>
      <c r="U797" s="317"/>
      <c r="V797" s="694"/>
      <c r="W797" s="694"/>
      <c r="X797" s="694"/>
      <c r="Y797" s="694"/>
      <c r="Z797" s="694"/>
      <c r="AA797" s="317"/>
      <c r="AB797" s="694"/>
      <c r="AC797" s="604"/>
      <c r="AD797" s="604"/>
      <c r="AE797" s="604"/>
    </row>
    <row r="798" spans="1:31">
      <c r="A798" s="604"/>
      <c r="B798" s="604"/>
      <c r="C798" s="604"/>
      <c r="D798" s="604"/>
      <c r="E798" s="604"/>
      <c r="F798" s="604"/>
      <c r="G798" s="604"/>
      <c r="H798" s="604"/>
      <c r="I798" s="604"/>
      <c r="J798" s="604"/>
      <c r="K798" s="604"/>
      <c r="L798" s="604"/>
      <c r="M798" s="604"/>
      <c r="N798" s="604"/>
      <c r="O798" s="604"/>
      <c r="P798" s="604"/>
      <c r="Q798" s="604"/>
      <c r="R798" s="604"/>
      <c r="S798" s="317"/>
      <c r="T798" s="604"/>
      <c r="U798" s="317"/>
      <c r="V798" s="694"/>
      <c r="W798" s="694"/>
      <c r="X798" s="694"/>
      <c r="Y798" s="694"/>
      <c r="Z798" s="694"/>
      <c r="AA798" s="317"/>
      <c r="AB798" s="694"/>
      <c r="AC798" s="604"/>
      <c r="AD798" s="604"/>
      <c r="AE798" s="604"/>
    </row>
    <row r="799" spans="1:31">
      <c r="A799" s="604"/>
      <c r="B799" s="604"/>
      <c r="C799" s="604"/>
      <c r="D799" s="604"/>
      <c r="E799" s="604"/>
      <c r="F799" s="604"/>
      <c r="G799" s="604"/>
      <c r="H799" s="604"/>
      <c r="I799" s="604"/>
      <c r="J799" s="604"/>
      <c r="K799" s="604"/>
      <c r="L799" s="604"/>
      <c r="M799" s="604"/>
      <c r="N799" s="604"/>
      <c r="O799" s="604"/>
      <c r="P799" s="604"/>
      <c r="Q799" s="604"/>
      <c r="R799" s="604"/>
      <c r="S799" s="317"/>
      <c r="T799" s="604"/>
      <c r="U799" s="317"/>
      <c r="V799" s="694"/>
      <c r="W799" s="694"/>
      <c r="X799" s="694"/>
      <c r="Y799" s="694"/>
      <c r="Z799" s="694"/>
      <c r="AA799" s="317"/>
      <c r="AB799" s="694"/>
      <c r="AC799" s="604"/>
      <c r="AD799" s="604"/>
      <c r="AE799" s="604"/>
    </row>
    <row r="800" spans="1:31">
      <c r="A800" s="604"/>
      <c r="B800" s="604"/>
      <c r="C800" s="604"/>
      <c r="D800" s="604"/>
      <c r="E800" s="604"/>
      <c r="F800" s="604"/>
      <c r="G800" s="604"/>
      <c r="H800" s="604"/>
      <c r="I800" s="604"/>
      <c r="J800" s="604"/>
      <c r="K800" s="604"/>
      <c r="L800" s="604"/>
      <c r="M800" s="604"/>
      <c r="N800" s="604"/>
      <c r="O800" s="604"/>
      <c r="P800" s="604"/>
      <c r="Q800" s="604"/>
      <c r="R800" s="604"/>
      <c r="S800" s="317"/>
      <c r="T800" s="604"/>
      <c r="U800" s="317"/>
      <c r="V800" s="694"/>
      <c r="W800" s="694"/>
      <c r="X800" s="694"/>
      <c r="Y800" s="694"/>
      <c r="Z800" s="694"/>
      <c r="AA800" s="317"/>
      <c r="AB800" s="694"/>
      <c r="AC800" s="604"/>
      <c r="AD800" s="604"/>
      <c r="AE800" s="604"/>
    </row>
    <row r="801" spans="1:31">
      <c r="A801" s="604"/>
      <c r="B801" s="604"/>
      <c r="C801" s="604"/>
      <c r="D801" s="604"/>
      <c r="E801" s="604"/>
      <c r="F801" s="604"/>
      <c r="G801" s="604"/>
      <c r="H801" s="604"/>
      <c r="I801" s="604"/>
      <c r="J801" s="604"/>
      <c r="K801" s="604"/>
      <c r="L801" s="604"/>
      <c r="M801" s="604"/>
      <c r="N801" s="604"/>
      <c r="O801" s="604"/>
      <c r="P801" s="604"/>
      <c r="Q801" s="604"/>
      <c r="R801" s="604"/>
      <c r="S801" s="317"/>
      <c r="T801" s="604"/>
      <c r="U801" s="317"/>
      <c r="V801" s="694"/>
      <c r="W801" s="694"/>
      <c r="X801" s="694"/>
      <c r="Y801" s="694"/>
      <c r="Z801" s="694"/>
      <c r="AA801" s="317"/>
      <c r="AB801" s="694"/>
      <c r="AC801" s="604"/>
      <c r="AD801" s="604"/>
      <c r="AE801" s="604"/>
    </row>
    <row r="802" spans="1:31">
      <c r="A802" s="604"/>
      <c r="B802" s="604"/>
      <c r="C802" s="604"/>
      <c r="D802" s="604"/>
      <c r="E802" s="604"/>
      <c r="F802" s="604"/>
      <c r="G802" s="604"/>
      <c r="H802" s="604"/>
      <c r="I802" s="604"/>
      <c r="J802" s="604"/>
      <c r="K802" s="604"/>
      <c r="L802" s="604"/>
      <c r="M802" s="604"/>
      <c r="N802" s="604"/>
      <c r="O802" s="604"/>
      <c r="P802" s="604"/>
      <c r="Q802" s="604"/>
      <c r="R802" s="604"/>
      <c r="S802" s="317"/>
      <c r="T802" s="604"/>
      <c r="U802" s="317"/>
      <c r="V802" s="694"/>
      <c r="W802" s="694"/>
      <c r="X802" s="694"/>
      <c r="Y802" s="694"/>
      <c r="Z802" s="694"/>
      <c r="AA802" s="317"/>
      <c r="AB802" s="694"/>
      <c r="AC802" s="604"/>
      <c r="AD802" s="604"/>
      <c r="AE802" s="604"/>
    </row>
    <row r="803" spans="1:31">
      <c r="A803" s="604"/>
      <c r="B803" s="604"/>
      <c r="C803" s="604"/>
      <c r="D803" s="604"/>
      <c r="E803" s="604"/>
      <c r="F803" s="604"/>
      <c r="G803" s="604"/>
      <c r="H803" s="604"/>
      <c r="I803" s="604"/>
      <c r="J803" s="604"/>
      <c r="K803" s="604"/>
      <c r="L803" s="604"/>
      <c r="M803" s="604"/>
      <c r="N803" s="604"/>
      <c r="O803" s="604"/>
      <c r="P803" s="604"/>
      <c r="Q803" s="604"/>
      <c r="R803" s="604"/>
      <c r="S803" s="317"/>
      <c r="T803" s="604"/>
      <c r="U803" s="317"/>
      <c r="V803" s="694"/>
      <c r="W803" s="694"/>
      <c r="X803" s="694"/>
      <c r="Y803" s="694"/>
      <c r="Z803" s="694"/>
      <c r="AA803" s="317"/>
      <c r="AB803" s="694"/>
      <c r="AC803" s="604"/>
      <c r="AD803" s="604"/>
      <c r="AE803" s="604"/>
    </row>
    <row r="804" spans="1:31">
      <c r="A804" s="604"/>
      <c r="B804" s="604"/>
      <c r="C804" s="604"/>
      <c r="D804" s="604"/>
      <c r="E804" s="604"/>
      <c r="F804" s="604"/>
      <c r="G804" s="604"/>
      <c r="H804" s="604"/>
      <c r="I804" s="604"/>
      <c r="J804" s="604"/>
      <c r="K804" s="604"/>
      <c r="L804" s="604"/>
      <c r="M804" s="604"/>
      <c r="N804" s="604"/>
      <c r="O804" s="604"/>
      <c r="P804" s="604"/>
      <c r="Q804" s="604"/>
      <c r="R804" s="604"/>
      <c r="S804" s="317"/>
      <c r="T804" s="604"/>
      <c r="U804" s="317"/>
      <c r="V804" s="694"/>
      <c r="W804" s="694"/>
      <c r="X804" s="694"/>
      <c r="Y804" s="694"/>
      <c r="Z804" s="694"/>
      <c r="AA804" s="317"/>
      <c r="AB804" s="694"/>
      <c r="AC804" s="604"/>
      <c r="AD804" s="604"/>
      <c r="AE804" s="604"/>
    </row>
    <row r="805" spans="1:31">
      <c r="A805" s="604"/>
      <c r="B805" s="604"/>
      <c r="C805" s="604"/>
      <c r="D805" s="604"/>
      <c r="E805" s="604"/>
      <c r="F805" s="604"/>
      <c r="G805" s="604"/>
      <c r="H805" s="604"/>
      <c r="I805" s="604"/>
      <c r="J805" s="604"/>
      <c r="K805" s="604"/>
      <c r="L805" s="604"/>
      <c r="M805" s="604"/>
      <c r="N805" s="604"/>
      <c r="O805" s="604"/>
      <c r="P805" s="604"/>
      <c r="Q805" s="604"/>
      <c r="R805" s="604"/>
      <c r="S805" s="317"/>
      <c r="T805" s="604"/>
      <c r="U805" s="317"/>
      <c r="V805" s="694"/>
      <c r="W805" s="694"/>
      <c r="X805" s="694"/>
      <c r="Y805" s="694"/>
      <c r="Z805" s="694"/>
      <c r="AA805" s="317"/>
      <c r="AB805" s="694"/>
      <c r="AC805" s="604"/>
      <c r="AD805" s="604"/>
      <c r="AE805" s="604"/>
    </row>
    <row r="806" spans="1:31">
      <c r="A806" s="604"/>
      <c r="B806" s="604"/>
      <c r="C806" s="604"/>
      <c r="D806" s="604"/>
      <c r="E806" s="604"/>
      <c r="F806" s="604"/>
      <c r="G806" s="604"/>
      <c r="H806" s="604"/>
      <c r="I806" s="604"/>
      <c r="J806" s="604"/>
      <c r="K806" s="604"/>
      <c r="L806" s="604"/>
      <c r="M806" s="604"/>
      <c r="N806" s="604"/>
      <c r="O806" s="604"/>
      <c r="P806" s="604"/>
      <c r="Q806" s="604"/>
      <c r="R806" s="604"/>
      <c r="S806" s="317"/>
      <c r="T806" s="604"/>
      <c r="U806" s="317"/>
      <c r="V806" s="694"/>
      <c r="W806" s="694"/>
      <c r="X806" s="694"/>
      <c r="Y806" s="694"/>
      <c r="Z806" s="694"/>
      <c r="AA806" s="317"/>
      <c r="AB806" s="694"/>
      <c r="AC806" s="604"/>
      <c r="AD806" s="604"/>
      <c r="AE806" s="604"/>
    </row>
    <row r="807" spans="1:31">
      <c r="A807" s="604"/>
      <c r="B807" s="604"/>
      <c r="C807" s="604"/>
      <c r="D807" s="604"/>
      <c r="E807" s="604"/>
      <c r="F807" s="604"/>
      <c r="G807" s="604"/>
      <c r="H807" s="604"/>
      <c r="I807" s="604"/>
      <c r="J807" s="604"/>
      <c r="K807" s="604"/>
      <c r="L807" s="604"/>
      <c r="M807" s="604"/>
      <c r="N807" s="604"/>
      <c r="O807" s="604"/>
      <c r="P807" s="604"/>
      <c r="Q807" s="604"/>
      <c r="R807" s="604"/>
      <c r="S807" s="317"/>
      <c r="T807" s="604"/>
      <c r="U807" s="317"/>
      <c r="V807" s="694"/>
      <c r="W807" s="694"/>
      <c r="X807" s="694"/>
      <c r="Y807" s="694"/>
      <c r="Z807" s="694"/>
      <c r="AA807" s="317"/>
      <c r="AB807" s="694"/>
      <c r="AC807" s="604"/>
      <c r="AD807" s="604"/>
      <c r="AE807" s="604"/>
    </row>
    <row r="808" spans="1:31">
      <c r="A808" s="604"/>
      <c r="B808" s="604"/>
      <c r="C808" s="604"/>
      <c r="D808" s="604"/>
      <c r="E808" s="604"/>
      <c r="F808" s="604"/>
      <c r="G808" s="604"/>
      <c r="H808" s="604"/>
      <c r="I808" s="604"/>
      <c r="J808" s="604"/>
      <c r="K808" s="604"/>
      <c r="L808" s="604"/>
      <c r="M808" s="604"/>
      <c r="N808" s="604"/>
      <c r="O808" s="604"/>
      <c r="P808" s="604"/>
      <c r="Q808" s="604"/>
      <c r="R808" s="604"/>
      <c r="S808" s="317"/>
      <c r="T808" s="604"/>
      <c r="U808" s="317"/>
      <c r="V808" s="694"/>
      <c r="W808" s="694"/>
      <c r="X808" s="694"/>
      <c r="Y808" s="694"/>
      <c r="Z808" s="694"/>
      <c r="AA808" s="317"/>
      <c r="AB808" s="694"/>
      <c r="AC808" s="604"/>
      <c r="AD808" s="604"/>
      <c r="AE808" s="604"/>
    </row>
    <row r="809" spans="1:31">
      <c r="A809" s="604"/>
      <c r="B809" s="604"/>
      <c r="C809" s="604"/>
      <c r="D809" s="604"/>
      <c r="E809" s="604"/>
      <c r="F809" s="604"/>
      <c r="G809" s="604"/>
      <c r="H809" s="604"/>
      <c r="I809" s="604"/>
      <c r="J809" s="604"/>
      <c r="K809" s="604"/>
      <c r="L809" s="604"/>
      <c r="M809" s="604"/>
      <c r="N809" s="604"/>
      <c r="O809" s="604"/>
      <c r="P809" s="604"/>
      <c r="Q809" s="604"/>
      <c r="R809" s="604"/>
      <c r="S809" s="317"/>
      <c r="T809" s="604"/>
      <c r="U809" s="317"/>
      <c r="V809" s="694"/>
      <c r="W809" s="694"/>
      <c r="X809" s="694"/>
      <c r="Y809" s="694"/>
      <c r="Z809" s="694"/>
      <c r="AA809" s="317"/>
      <c r="AB809" s="694"/>
      <c r="AC809" s="604"/>
      <c r="AD809" s="604"/>
      <c r="AE809" s="604"/>
    </row>
    <row r="810" spans="1:31">
      <c r="A810" s="604"/>
      <c r="B810" s="604"/>
      <c r="C810" s="604"/>
      <c r="D810" s="604"/>
      <c r="E810" s="604"/>
      <c r="F810" s="604"/>
      <c r="G810" s="604"/>
      <c r="H810" s="604"/>
      <c r="I810" s="604"/>
      <c r="J810" s="604"/>
      <c r="K810" s="604"/>
      <c r="L810" s="604"/>
      <c r="M810" s="604"/>
      <c r="N810" s="604"/>
      <c r="O810" s="604"/>
      <c r="P810" s="604"/>
      <c r="Q810" s="604"/>
      <c r="R810" s="604"/>
      <c r="S810" s="317"/>
      <c r="T810" s="604"/>
      <c r="U810" s="317"/>
      <c r="V810" s="694"/>
      <c r="W810" s="694"/>
      <c r="X810" s="694"/>
      <c r="Y810" s="694"/>
      <c r="Z810" s="694"/>
      <c r="AA810" s="317"/>
      <c r="AB810" s="694"/>
      <c r="AC810" s="604"/>
      <c r="AD810" s="604"/>
      <c r="AE810" s="604"/>
    </row>
    <row r="811" spans="1:31">
      <c r="A811" s="604"/>
      <c r="B811" s="604"/>
      <c r="C811" s="604"/>
      <c r="D811" s="604"/>
      <c r="E811" s="604"/>
      <c r="F811" s="604"/>
      <c r="G811" s="604"/>
      <c r="H811" s="604"/>
      <c r="I811" s="604"/>
      <c r="J811" s="604"/>
      <c r="K811" s="604"/>
      <c r="L811" s="604"/>
      <c r="M811" s="604"/>
      <c r="N811" s="604"/>
      <c r="O811" s="604"/>
      <c r="P811" s="604"/>
      <c r="Q811" s="604"/>
      <c r="R811" s="604"/>
      <c r="S811" s="317"/>
      <c r="T811" s="604"/>
      <c r="U811" s="317"/>
      <c r="V811" s="694"/>
      <c r="W811" s="694"/>
      <c r="X811" s="694"/>
      <c r="Y811" s="694"/>
      <c r="Z811" s="694"/>
      <c r="AA811" s="317"/>
      <c r="AB811" s="694"/>
      <c r="AC811" s="604"/>
      <c r="AD811" s="604"/>
      <c r="AE811" s="604"/>
    </row>
    <row r="812" spans="1:31">
      <c r="A812" s="604"/>
      <c r="B812" s="604"/>
      <c r="C812" s="604"/>
      <c r="D812" s="604"/>
      <c r="E812" s="604"/>
      <c r="F812" s="604"/>
      <c r="G812" s="604"/>
      <c r="H812" s="604"/>
      <c r="I812" s="604"/>
      <c r="J812" s="604"/>
      <c r="K812" s="604"/>
      <c r="L812" s="604"/>
      <c r="M812" s="604"/>
      <c r="N812" s="604"/>
      <c r="O812" s="604"/>
      <c r="P812" s="604"/>
      <c r="Q812" s="604"/>
      <c r="R812" s="604"/>
      <c r="S812" s="317"/>
      <c r="T812" s="604"/>
      <c r="U812" s="317"/>
      <c r="V812" s="694"/>
      <c r="W812" s="694"/>
      <c r="X812" s="694"/>
      <c r="Y812" s="694"/>
      <c r="Z812" s="694"/>
      <c r="AA812" s="317"/>
      <c r="AB812" s="694"/>
      <c r="AC812" s="604"/>
      <c r="AD812" s="604"/>
      <c r="AE812" s="604"/>
    </row>
    <row r="813" spans="1:31">
      <c r="A813" s="604"/>
      <c r="B813" s="604"/>
      <c r="C813" s="604"/>
      <c r="D813" s="604"/>
      <c r="E813" s="604"/>
      <c r="F813" s="604"/>
      <c r="G813" s="604"/>
      <c r="H813" s="604"/>
      <c r="I813" s="604"/>
      <c r="J813" s="604"/>
      <c r="K813" s="604"/>
      <c r="L813" s="604"/>
      <c r="M813" s="604"/>
      <c r="N813" s="604"/>
      <c r="O813" s="604"/>
      <c r="P813" s="604"/>
      <c r="Q813" s="604"/>
      <c r="R813" s="604"/>
      <c r="S813" s="317"/>
      <c r="T813" s="604"/>
      <c r="U813" s="317"/>
      <c r="V813" s="694"/>
      <c r="W813" s="694"/>
      <c r="X813" s="694"/>
      <c r="Y813" s="694"/>
      <c r="Z813" s="694"/>
      <c r="AA813" s="317"/>
      <c r="AB813" s="694"/>
      <c r="AC813" s="604"/>
      <c r="AD813" s="604"/>
      <c r="AE813" s="604"/>
    </row>
    <row r="814" spans="1:31">
      <c r="A814" s="604"/>
      <c r="B814" s="604"/>
      <c r="C814" s="604"/>
      <c r="D814" s="604"/>
      <c r="E814" s="604"/>
      <c r="F814" s="604"/>
      <c r="G814" s="604"/>
      <c r="H814" s="604"/>
      <c r="I814" s="604"/>
      <c r="J814" s="604"/>
      <c r="K814" s="604"/>
      <c r="L814" s="604"/>
      <c r="M814" s="604"/>
      <c r="N814" s="604"/>
      <c r="O814" s="604"/>
      <c r="P814" s="604"/>
      <c r="Q814" s="604"/>
      <c r="R814" s="604"/>
      <c r="S814" s="317"/>
      <c r="T814" s="604"/>
      <c r="U814" s="317"/>
      <c r="V814" s="694"/>
      <c r="W814" s="694"/>
      <c r="X814" s="694"/>
      <c r="Y814" s="694"/>
      <c r="Z814" s="694"/>
      <c r="AA814" s="317"/>
      <c r="AB814" s="694"/>
      <c r="AC814" s="604"/>
      <c r="AD814" s="604"/>
      <c r="AE814" s="604"/>
    </row>
    <row r="815" spans="1:31">
      <c r="A815" s="604"/>
      <c r="B815" s="604"/>
      <c r="C815" s="604"/>
      <c r="D815" s="604"/>
      <c r="E815" s="604"/>
      <c r="F815" s="604"/>
      <c r="G815" s="604"/>
      <c r="H815" s="604"/>
      <c r="I815" s="604"/>
      <c r="J815" s="604"/>
      <c r="K815" s="604"/>
      <c r="L815" s="604"/>
      <c r="M815" s="604"/>
      <c r="N815" s="604"/>
      <c r="O815" s="604"/>
      <c r="P815" s="604"/>
      <c r="Q815" s="604"/>
      <c r="R815" s="604"/>
      <c r="S815" s="317"/>
      <c r="T815" s="604"/>
      <c r="U815" s="317"/>
      <c r="V815" s="694"/>
      <c r="W815" s="694"/>
      <c r="X815" s="694"/>
      <c r="Y815" s="694"/>
      <c r="Z815" s="694"/>
      <c r="AA815" s="317"/>
      <c r="AB815" s="694"/>
      <c r="AC815" s="604"/>
      <c r="AD815" s="604"/>
      <c r="AE815" s="604"/>
    </row>
    <row r="816" spans="1:31">
      <c r="A816" s="604"/>
      <c r="B816" s="604"/>
      <c r="C816" s="604"/>
      <c r="D816" s="604"/>
      <c r="E816" s="604"/>
      <c r="F816" s="604"/>
      <c r="G816" s="604"/>
      <c r="H816" s="604"/>
      <c r="I816" s="604"/>
      <c r="J816" s="604"/>
      <c r="K816" s="604"/>
      <c r="L816" s="604"/>
      <c r="M816" s="604"/>
      <c r="N816" s="604"/>
      <c r="O816" s="604"/>
      <c r="P816" s="604"/>
      <c r="Q816" s="604"/>
      <c r="R816" s="604"/>
      <c r="S816" s="317"/>
      <c r="T816" s="604"/>
      <c r="U816" s="317"/>
      <c r="V816" s="694"/>
      <c r="W816" s="694"/>
      <c r="X816" s="694"/>
      <c r="Y816" s="694"/>
      <c r="Z816" s="694"/>
      <c r="AA816" s="317"/>
      <c r="AB816" s="694"/>
      <c r="AC816" s="604"/>
      <c r="AD816" s="604"/>
      <c r="AE816" s="604"/>
    </row>
    <row r="817" spans="1:31">
      <c r="A817" s="604"/>
      <c r="B817" s="604"/>
      <c r="C817" s="604"/>
      <c r="D817" s="604"/>
      <c r="E817" s="604"/>
      <c r="F817" s="604"/>
      <c r="G817" s="604"/>
      <c r="H817" s="604"/>
      <c r="I817" s="604"/>
      <c r="J817" s="604"/>
      <c r="K817" s="604"/>
      <c r="L817" s="604"/>
      <c r="M817" s="604"/>
      <c r="N817" s="604"/>
      <c r="O817" s="604"/>
      <c r="P817" s="604"/>
      <c r="Q817" s="604"/>
      <c r="R817" s="604"/>
      <c r="S817" s="317"/>
      <c r="T817" s="604"/>
      <c r="U817" s="317"/>
      <c r="V817" s="694"/>
      <c r="W817" s="694"/>
      <c r="X817" s="694"/>
      <c r="Y817" s="694"/>
      <c r="Z817" s="694"/>
      <c r="AA817" s="317"/>
      <c r="AB817" s="694"/>
      <c r="AC817" s="604"/>
      <c r="AD817" s="604"/>
      <c r="AE817" s="604"/>
    </row>
    <row r="818" spans="1:31">
      <c r="A818" s="604"/>
      <c r="B818" s="604"/>
      <c r="C818" s="604"/>
      <c r="D818" s="604"/>
      <c r="E818" s="604"/>
      <c r="F818" s="604"/>
      <c r="G818" s="604"/>
      <c r="H818" s="604"/>
      <c r="I818" s="604"/>
      <c r="J818" s="604"/>
      <c r="K818" s="604"/>
      <c r="L818" s="604"/>
      <c r="M818" s="604"/>
      <c r="N818" s="604"/>
      <c r="O818" s="604"/>
      <c r="P818" s="604"/>
      <c r="Q818" s="604"/>
      <c r="R818" s="604"/>
      <c r="S818" s="317"/>
      <c r="T818" s="604"/>
      <c r="U818" s="317"/>
      <c r="V818" s="694"/>
      <c r="W818" s="694"/>
      <c r="X818" s="694"/>
      <c r="Y818" s="694"/>
      <c r="Z818" s="694"/>
      <c r="AA818" s="317"/>
      <c r="AB818" s="694"/>
      <c r="AC818" s="604"/>
      <c r="AD818" s="604"/>
      <c r="AE818" s="604"/>
    </row>
    <row r="819" spans="1:31">
      <c r="A819" s="604"/>
      <c r="B819" s="604"/>
      <c r="C819" s="604"/>
      <c r="D819" s="604"/>
      <c r="E819" s="604"/>
      <c r="F819" s="604"/>
      <c r="G819" s="604"/>
      <c r="H819" s="604"/>
      <c r="I819" s="604"/>
      <c r="J819" s="604"/>
      <c r="K819" s="604"/>
      <c r="L819" s="604"/>
      <c r="M819" s="604"/>
      <c r="N819" s="604"/>
      <c r="O819" s="604"/>
      <c r="P819" s="604"/>
      <c r="Q819" s="604"/>
      <c r="R819" s="604"/>
      <c r="S819" s="317"/>
      <c r="T819" s="604"/>
      <c r="U819" s="317"/>
      <c r="V819" s="694"/>
      <c r="W819" s="694"/>
      <c r="X819" s="694"/>
      <c r="Y819" s="694"/>
      <c r="Z819" s="694"/>
      <c r="AA819" s="317"/>
      <c r="AB819" s="694"/>
      <c r="AC819" s="604"/>
      <c r="AD819" s="604"/>
      <c r="AE819" s="604"/>
    </row>
    <row r="820" spans="1:31">
      <c r="A820" s="604"/>
      <c r="B820" s="604"/>
      <c r="C820" s="604"/>
      <c r="D820" s="604"/>
      <c r="E820" s="604"/>
      <c r="F820" s="604"/>
      <c r="G820" s="604"/>
      <c r="H820" s="604"/>
      <c r="I820" s="604"/>
      <c r="J820" s="604"/>
      <c r="K820" s="604"/>
      <c r="L820" s="604"/>
      <c r="M820" s="604"/>
      <c r="N820" s="604"/>
      <c r="O820" s="604"/>
      <c r="P820" s="604"/>
      <c r="Q820" s="604"/>
      <c r="R820" s="604"/>
      <c r="S820" s="317"/>
      <c r="T820" s="604"/>
      <c r="U820" s="317"/>
      <c r="V820" s="694"/>
      <c r="W820" s="694"/>
      <c r="X820" s="694"/>
      <c r="Y820" s="694"/>
      <c r="Z820" s="694"/>
      <c r="AA820" s="317"/>
      <c r="AB820" s="694"/>
      <c r="AC820" s="604"/>
      <c r="AD820" s="604"/>
      <c r="AE820" s="604"/>
    </row>
    <row r="821" spans="1:31">
      <c r="A821" s="604"/>
      <c r="B821" s="604"/>
      <c r="C821" s="604"/>
      <c r="D821" s="604"/>
      <c r="E821" s="604"/>
      <c r="F821" s="604"/>
      <c r="G821" s="604"/>
      <c r="H821" s="604"/>
      <c r="I821" s="604"/>
      <c r="J821" s="604"/>
      <c r="K821" s="604"/>
      <c r="L821" s="604"/>
      <c r="M821" s="604"/>
      <c r="N821" s="604"/>
      <c r="O821" s="604"/>
      <c r="P821" s="604"/>
      <c r="Q821" s="604"/>
      <c r="R821" s="604"/>
      <c r="S821" s="317"/>
      <c r="T821" s="604"/>
      <c r="U821" s="317"/>
      <c r="V821" s="694"/>
      <c r="W821" s="694"/>
      <c r="X821" s="694"/>
      <c r="Y821" s="694"/>
      <c r="Z821" s="694"/>
      <c r="AA821" s="317"/>
      <c r="AB821" s="694"/>
      <c r="AC821" s="604"/>
      <c r="AD821" s="604"/>
      <c r="AE821" s="604"/>
    </row>
    <row r="822" spans="1:31">
      <c r="A822" s="604"/>
      <c r="B822" s="604"/>
      <c r="C822" s="604"/>
      <c r="D822" s="604"/>
      <c r="E822" s="604"/>
      <c r="F822" s="604"/>
      <c r="G822" s="604"/>
      <c r="H822" s="604"/>
      <c r="I822" s="604"/>
      <c r="J822" s="604"/>
      <c r="K822" s="604"/>
      <c r="L822" s="604"/>
      <c r="M822" s="604"/>
      <c r="N822" s="604"/>
      <c r="O822" s="604"/>
      <c r="P822" s="604"/>
      <c r="Q822" s="604"/>
      <c r="R822" s="604"/>
      <c r="S822" s="317"/>
      <c r="T822" s="604"/>
      <c r="U822" s="317"/>
      <c r="V822" s="694"/>
      <c r="W822" s="694"/>
      <c r="X822" s="694"/>
      <c r="Y822" s="694"/>
      <c r="Z822" s="694"/>
      <c r="AA822" s="317"/>
      <c r="AB822" s="694"/>
      <c r="AC822" s="604"/>
      <c r="AD822" s="604"/>
      <c r="AE822" s="604"/>
    </row>
    <row r="823" spans="1:31">
      <c r="A823" s="604"/>
      <c r="B823" s="604"/>
      <c r="C823" s="604"/>
      <c r="D823" s="604"/>
      <c r="E823" s="604"/>
      <c r="F823" s="604"/>
      <c r="G823" s="604"/>
      <c r="H823" s="604"/>
      <c r="I823" s="604"/>
      <c r="J823" s="604"/>
      <c r="K823" s="604"/>
      <c r="L823" s="604"/>
      <c r="M823" s="604"/>
      <c r="N823" s="604"/>
      <c r="O823" s="604"/>
      <c r="P823" s="604"/>
      <c r="Q823" s="604"/>
      <c r="R823" s="604"/>
      <c r="S823" s="317"/>
      <c r="T823" s="604"/>
      <c r="U823" s="317"/>
      <c r="V823" s="694"/>
      <c r="W823" s="694"/>
      <c r="X823" s="694"/>
      <c r="Y823" s="694"/>
      <c r="Z823" s="694"/>
      <c r="AA823" s="317"/>
      <c r="AB823" s="694"/>
      <c r="AC823" s="604"/>
      <c r="AD823" s="604"/>
      <c r="AE823" s="604"/>
    </row>
    <row r="824" spans="1:31">
      <c r="A824" s="604"/>
      <c r="B824" s="604"/>
      <c r="C824" s="604"/>
      <c r="D824" s="604"/>
      <c r="E824" s="604"/>
      <c r="F824" s="604"/>
      <c r="G824" s="604"/>
      <c r="H824" s="604"/>
      <c r="I824" s="604"/>
      <c r="J824" s="604"/>
      <c r="K824" s="604"/>
      <c r="L824" s="604"/>
      <c r="M824" s="604"/>
      <c r="N824" s="604"/>
      <c r="O824" s="604"/>
      <c r="P824" s="604"/>
      <c r="Q824" s="604"/>
      <c r="R824" s="604"/>
      <c r="S824" s="317"/>
      <c r="T824" s="604"/>
      <c r="U824" s="317"/>
      <c r="V824" s="694"/>
      <c r="W824" s="694"/>
      <c r="X824" s="694"/>
      <c r="Y824" s="694"/>
      <c r="Z824" s="694"/>
      <c r="AA824" s="317"/>
      <c r="AB824" s="694"/>
      <c r="AC824" s="604"/>
      <c r="AD824" s="604"/>
      <c r="AE824" s="604"/>
    </row>
    <row r="825" spans="1:31">
      <c r="A825" s="604"/>
      <c r="B825" s="604"/>
      <c r="C825" s="604"/>
      <c r="D825" s="604"/>
      <c r="E825" s="604"/>
      <c r="F825" s="604"/>
      <c r="G825" s="604"/>
      <c r="H825" s="604"/>
      <c r="I825" s="604"/>
      <c r="J825" s="604"/>
      <c r="K825" s="604"/>
      <c r="L825" s="604"/>
      <c r="M825" s="604"/>
      <c r="N825" s="604"/>
      <c r="O825" s="604"/>
      <c r="P825" s="604"/>
      <c r="Q825" s="604"/>
      <c r="R825" s="604"/>
      <c r="S825" s="317"/>
      <c r="T825" s="604"/>
      <c r="U825" s="317"/>
      <c r="V825" s="694"/>
      <c r="W825" s="694"/>
      <c r="X825" s="694"/>
      <c r="Y825" s="694"/>
      <c r="Z825" s="694"/>
      <c r="AA825" s="317"/>
      <c r="AB825" s="694"/>
      <c r="AC825" s="604"/>
      <c r="AD825" s="604"/>
      <c r="AE825" s="604"/>
    </row>
    <row r="826" spans="1:31">
      <c r="A826" s="604"/>
      <c r="B826" s="604"/>
      <c r="C826" s="604"/>
      <c r="D826" s="604"/>
      <c r="E826" s="604"/>
      <c r="F826" s="604"/>
      <c r="G826" s="604"/>
      <c r="H826" s="604"/>
      <c r="I826" s="604"/>
      <c r="J826" s="604"/>
      <c r="K826" s="604"/>
      <c r="L826" s="604"/>
      <c r="M826" s="604"/>
      <c r="N826" s="604"/>
      <c r="O826" s="604"/>
      <c r="P826" s="604"/>
      <c r="Q826" s="604"/>
      <c r="R826" s="604"/>
      <c r="S826" s="317"/>
      <c r="T826" s="604"/>
      <c r="U826" s="317"/>
      <c r="V826" s="694"/>
      <c r="W826" s="694"/>
      <c r="X826" s="694"/>
      <c r="Y826" s="694"/>
      <c r="Z826" s="694"/>
      <c r="AA826" s="317"/>
      <c r="AB826" s="694"/>
      <c r="AC826" s="604"/>
      <c r="AD826" s="604"/>
      <c r="AE826" s="604"/>
    </row>
    <row r="827" spans="1:31">
      <c r="A827" s="604"/>
      <c r="B827" s="604"/>
      <c r="C827" s="604"/>
      <c r="D827" s="604"/>
      <c r="E827" s="604"/>
      <c r="F827" s="604"/>
      <c r="G827" s="604"/>
      <c r="H827" s="604"/>
      <c r="I827" s="604"/>
      <c r="J827" s="604"/>
      <c r="K827" s="604"/>
      <c r="L827" s="604"/>
      <c r="M827" s="604"/>
      <c r="N827" s="604"/>
      <c r="O827" s="604"/>
      <c r="P827" s="604"/>
      <c r="Q827" s="604"/>
      <c r="R827" s="604"/>
      <c r="S827" s="317"/>
      <c r="T827" s="604"/>
      <c r="U827" s="317"/>
      <c r="V827" s="694"/>
      <c r="W827" s="694"/>
      <c r="X827" s="694"/>
      <c r="Y827" s="694"/>
      <c r="Z827" s="694"/>
      <c r="AA827" s="317"/>
      <c r="AB827" s="694"/>
      <c r="AC827" s="604"/>
      <c r="AD827" s="604"/>
      <c r="AE827" s="604"/>
    </row>
    <row r="828" spans="1:31">
      <c r="A828" s="604"/>
      <c r="B828" s="604"/>
      <c r="C828" s="604"/>
      <c r="D828" s="604"/>
      <c r="E828" s="604"/>
      <c r="F828" s="604"/>
      <c r="G828" s="604"/>
      <c r="H828" s="604"/>
      <c r="I828" s="604"/>
      <c r="J828" s="604"/>
      <c r="K828" s="604"/>
      <c r="L828" s="604"/>
      <c r="M828" s="604"/>
      <c r="N828" s="604"/>
      <c r="O828" s="604"/>
      <c r="P828" s="604"/>
      <c r="Q828" s="604"/>
      <c r="R828" s="604"/>
      <c r="S828" s="317"/>
      <c r="T828" s="604"/>
      <c r="U828" s="317"/>
      <c r="V828" s="694"/>
      <c r="W828" s="694"/>
      <c r="X828" s="694"/>
      <c r="Y828" s="694"/>
      <c r="Z828" s="694"/>
      <c r="AA828" s="317"/>
      <c r="AB828" s="694"/>
      <c r="AC828" s="604"/>
      <c r="AD828" s="604"/>
      <c r="AE828" s="604"/>
    </row>
    <row r="829" spans="1:31">
      <c r="A829" s="604"/>
      <c r="B829" s="604"/>
      <c r="C829" s="604"/>
      <c r="D829" s="604"/>
      <c r="E829" s="604"/>
      <c r="F829" s="604"/>
      <c r="G829" s="604"/>
      <c r="H829" s="604"/>
      <c r="I829" s="604"/>
      <c r="J829" s="604"/>
      <c r="K829" s="604"/>
      <c r="L829" s="604"/>
      <c r="M829" s="604"/>
      <c r="N829" s="604"/>
      <c r="O829" s="604"/>
      <c r="P829" s="604"/>
      <c r="Q829" s="604"/>
      <c r="R829" s="604"/>
      <c r="S829" s="317"/>
      <c r="T829" s="604"/>
      <c r="U829" s="317"/>
      <c r="V829" s="694"/>
      <c r="W829" s="694"/>
      <c r="X829" s="694"/>
      <c r="Y829" s="694"/>
      <c r="Z829" s="694"/>
      <c r="AA829" s="317"/>
      <c r="AB829" s="694"/>
      <c r="AC829" s="604"/>
      <c r="AD829" s="604"/>
      <c r="AE829" s="604"/>
    </row>
    <row r="830" spans="1:31">
      <c r="A830" s="604"/>
      <c r="B830" s="604"/>
      <c r="C830" s="604"/>
      <c r="D830" s="604"/>
      <c r="E830" s="604"/>
      <c r="F830" s="604"/>
      <c r="G830" s="604"/>
      <c r="H830" s="604"/>
      <c r="I830" s="604"/>
      <c r="J830" s="604"/>
      <c r="K830" s="604"/>
      <c r="L830" s="604"/>
      <c r="M830" s="604"/>
      <c r="N830" s="604"/>
      <c r="O830" s="604"/>
      <c r="P830" s="604"/>
      <c r="Q830" s="604"/>
      <c r="R830" s="604"/>
      <c r="S830" s="317"/>
      <c r="T830" s="604"/>
      <c r="U830" s="317"/>
      <c r="V830" s="694"/>
      <c r="W830" s="694"/>
      <c r="X830" s="694"/>
      <c r="Y830" s="694"/>
      <c r="Z830" s="694"/>
      <c r="AA830" s="317"/>
      <c r="AB830" s="694"/>
      <c r="AC830" s="604"/>
      <c r="AD830" s="604"/>
      <c r="AE830" s="604"/>
    </row>
    <row r="831" spans="1:31">
      <c r="A831" s="604"/>
      <c r="B831" s="604"/>
      <c r="C831" s="604"/>
      <c r="D831" s="604"/>
      <c r="E831" s="604"/>
      <c r="F831" s="604"/>
      <c r="G831" s="604"/>
      <c r="H831" s="604"/>
      <c r="I831" s="604"/>
      <c r="J831" s="604"/>
      <c r="K831" s="604"/>
      <c r="L831" s="604"/>
      <c r="M831" s="604"/>
      <c r="N831" s="604"/>
      <c r="O831" s="604"/>
      <c r="P831" s="604"/>
      <c r="Q831" s="604"/>
      <c r="R831" s="604"/>
      <c r="S831" s="317"/>
      <c r="T831" s="604"/>
      <c r="U831" s="317"/>
      <c r="V831" s="694"/>
      <c r="W831" s="694"/>
      <c r="X831" s="694"/>
      <c r="Y831" s="694"/>
      <c r="Z831" s="694"/>
      <c r="AA831" s="317"/>
      <c r="AB831" s="694"/>
      <c r="AC831" s="604"/>
      <c r="AD831" s="604"/>
      <c r="AE831" s="604"/>
    </row>
    <row r="832" spans="1:31">
      <c r="A832" s="604"/>
      <c r="B832" s="604"/>
      <c r="C832" s="604"/>
      <c r="D832" s="604"/>
      <c r="E832" s="604"/>
      <c r="F832" s="604"/>
      <c r="G832" s="604"/>
      <c r="H832" s="604"/>
      <c r="I832" s="604"/>
      <c r="J832" s="604"/>
      <c r="K832" s="604"/>
      <c r="L832" s="604"/>
      <c r="M832" s="604"/>
      <c r="N832" s="604"/>
      <c r="O832" s="604"/>
      <c r="P832" s="604"/>
      <c r="Q832" s="604"/>
      <c r="R832" s="604"/>
      <c r="S832" s="317"/>
      <c r="T832" s="604"/>
      <c r="U832" s="317"/>
      <c r="V832" s="694"/>
      <c r="W832" s="694"/>
      <c r="X832" s="694"/>
      <c r="Y832" s="694"/>
      <c r="Z832" s="694"/>
      <c r="AA832" s="317"/>
      <c r="AB832" s="694"/>
      <c r="AC832" s="604"/>
      <c r="AD832" s="604"/>
      <c r="AE832" s="604"/>
    </row>
    <row r="833" spans="1:31">
      <c r="A833" s="604"/>
      <c r="B833" s="604"/>
      <c r="C833" s="604"/>
      <c r="D833" s="604"/>
      <c r="E833" s="604"/>
      <c r="F833" s="604"/>
      <c r="G833" s="604"/>
      <c r="H833" s="604"/>
      <c r="I833" s="604"/>
      <c r="J833" s="604"/>
      <c r="K833" s="604"/>
      <c r="L833" s="604"/>
      <c r="M833" s="604"/>
      <c r="N833" s="604"/>
      <c r="O833" s="604"/>
      <c r="P833" s="604"/>
      <c r="Q833" s="604"/>
      <c r="R833" s="604"/>
      <c r="S833" s="317"/>
      <c r="T833" s="604"/>
      <c r="U833" s="317"/>
      <c r="V833" s="694"/>
      <c r="W833" s="694"/>
      <c r="X833" s="694"/>
      <c r="Y833" s="694"/>
      <c r="Z833" s="694"/>
      <c r="AA833" s="317"/>
      <c r="AB833" s="694"/>
      <c r="AC833" s="604"/>
      <c r="AD833" s="604"/>
      <c r="AE833" s="604"/>
    </row>
    <row r="834" spans="1:31">
      <c r="A834" s="604"/>
      <c r="B834" s="604"/>
      <c r="C834" s="604"/>
      <c r="D834" s="604"/>
      <c r="E834" s="604"/>
      <c r="F834" s="604"/>
      <c r="G834" s="604"/>
      <c r="H834" s="604"/>
      <c r="I834" s="604"/>
      <c r="J834" s="604"/>
      <c r="K834" s="604"/>
      <c r="L834" s="604"/>
      <c r="M834" s="604"/>
      <c r="N834" s="604"/>
      <c r="O834" s="604"/>
      <c r="P834" s="604"/>
      <c r="Q834" s="604"/>
      <c r="R834" s="604"/>
      <c r="S834" s="317"/>
      <c r="T834" s="604"/>
      <c r="U834" s="317"/>
      <c r="V834" s="694"/>
      <c r="W834" s="694"/>
      <c r="X834" s="694"/>
      <c r="Y834" s="694"/>
      <c r="Z834" s="694"/>
      <c r="AA834" s="317"/>
      <c r="AB834" s="694"/>
      <c r="AC834" s="604"/>
      <c r="AD834" s="604"/>
      <c r="AE834" s="604"/>
    </row>
    <row r="835" spans="1:31">
      <c r="A835" s="604"/>
      <c r="B835" s="604"/>
      <c r="C835" s="604"/>
      <c r="D835" s="604"/>
      <c r="E835" s="604"/>
      <c r="F835" s="604"/>
      <c r="G835" s="604"/>
      <c r="H835" s="604"/>
      <c r="I835" s="604"/>
      <c r="J835" s="604"/>
      <c r="K835" s="604"/>
      <c r="L835" s="604"/>
      <c r="M835" s="604"/>
      <c r="N835" s="604"/>
      <c r="O835" s="604"/>
      <c r="P835" s="604"/>
      <c r="Q835" s="604"/>
      <c r="R835" s="604"/>
      <c r="S835" s="317"/>
      <c r="T835" s="604"/>
      <c r="U835" s="317"/>
      <c r="V835" s="694"/>
      <c r="W835" s="694"/>
      <c r="X835" s="694"/>
      <c r="Y835" s="694"/>
      <c r="Z835" s="694"/>
      <c r="AA835" s="317"/>
      <c r="AB835" s="694"/>
      <c r="AC835" s="604"/>
      <c r="AD835" s="604"/>
      <c r="AE835" s="604"/>
    </row>
    <row r="836" spans="1:31">
      <c r="A836" s="604"/>
      <c r="B836" s="604"/>
      <c r="C836" s="604"/>
      <c r="D836" s="604"/>
      <c r="E836" s="604"/>
      <c r="F836" s="604"/>
      <c r="G836" s="604"/>
      <c r="H836" s="604"/>
      <c r="I836" s="604"/>
      <c r="J836" s="604"/>
      <c r="K836" s="604"/>
      <c r="L836" s="604"/>
      <c r="M836" s="604"/>
      <c r="N836" s="604"/>
      <c r="O836" s="604"/>
      <c r="P836" s="604"/>
      <c r="Q836" s="604"/>
      <c r="R836" s="604"/>
      <c r="S836" s="317"/>
      <c r="T836" s="604"/>
      <c r="U836" s="317"/>
      <c r="V836" s="694"/>
      <c r="W836" s="694"/>
      <c r="X836" s="694"/>
      <c r="Y836" s="694"/>
      <c r="Z836" s="694"/>
      <c r="AA836" s="317"/>
      <c r="AB836" s="694"/>
      <c r="AC836" s="604"/>
      <c r="AD836" s="604"/>
      <c r="AE836" s="604"/>
    </row>
    <row r="837" spans="1:31">
      <c r="A837" s="604"/>
      <c r="B837" s="604"/>
      <c r="C837" s="604"/>
      <c r="D837" s="604"/>
      <c r="E837" s="604"/>
      <c r="F837" s="604"/>
      <c r="G837" s="604"/>
      <c r="H837" s="604"/>
      <c r="I837" s="604"/>
      <c r="J837" s="604"/>
      <c r="K837" s="604"/>
      <c r="L837" s="604"/>
      <c r="M837" s="604"/>
      <c r="N837" s="604"/>
      <c r="O837" s="604"/>
      <c r="P837" s="604"/>
      <c r="Q837" s="604"/>
      <c r="R837" s="604"/>
      <c r="S837" s="317"/>
      <c r="T837" s="604"/>
      <c r="U837" s="317"/>
      <c r="V837" s="694"/>
      <c r="W837" s="694"/>
      <c r="X837" s="694"/>
      <c r="Y837" s="694"/>
      <c r="Z837" s="694"/>
      <c r="AA837" s="317"/>
      <c r="AB837" s="694"/>
      <c r="AC837" s="604"/>
      <c r="AD837" s="604"/>
      <c r="AE837" s="604"/>
    </row>
    <row r="838" spans="1:31">
      <c r="A838" s="604"/>
      <c r="B838" s="604"/>
      <c r="C838" s="604"/>
      <c r="D838" s="604"/>
      <c r="E838" s="604"/>
      <c r="F838" s="604"/>
      <c r="G838" s="604"/>
      <c r="H838" s="604"/>
      <c r="I838" s="604"/>
      <c r="J838" s="604"/>
      <c r="K838" s="604"/>
      <c r="L838" s="604"/>
      <c r="M838" s="604"/>
      <c r="N838" s="604"/>
      <c r="O838" s="604"/>
      <c r="P838" s="604"/>
      <c r="Q838" s="604"/>
      <c r="R838" s="604"/>
      <c r="S838" s="317"/>
      <c r="T838" s="604"/>
      <c r="U838" s="317"/>
      <c r="V838" s="694"/>
      <c r="W838" s="694"/>
      <c r="X838" s="694"/>
      <c r="Y838" s="694"/>
      <c r="Z838" s="694"/>
      <c r="AA838" s="317"/>
      <c r="AB838" s="694"/>
      <c r="AC838" s="604"/>
      <c r="AD838" s="604"/>
      <c r="AE838" s="604"/>
    </row>
    <row r="839" spans="1:31">
      <c r="A839" s="604"/>
      <c r="B839" s="604"/>
      <c r="C839" s="604"/>
      <c r="D839" s="604"/>
      <c r="E839" s="604"/>
      <c r="F839" s="604"/>
      <c r="G839" s="604"/>
      <c r="H839" s="604"/>
      <c r="I839" s="604"/>
      <c r="J839" s="604"/>
      <c r="K839" s="604"/>
      <c r="L839" s="604"/>
      <c r="M839" s="604"/>
      <c r="N839" s="604"/>
      <c r="O839" s="604"/>
      <c r="P839" s="604"/>
      <c r="Q839" s="604"/>
      <c r="R839" s="604"/>
      <c r="S839" s="317"/>
      <c r="T839" s="604"/>
      <c r="U839" s="317"/>
      <c r="V839" s="694"/>
      <c r="W839" s="694"/>
      <c r="X839" s="694"/>
      <c r="Y839" s="694"/>
      <c r="Z839" s="694"/>
      <c r="AA839" s="317"/>
      <c r="AB839" s="694"/>
      <c r="AC839" s="604"/>
      <c r="AD839" s="604"/>
      <c r="AE839" s="604"/>
    </row>
    <row r="840" spans="1:31">
      <c r="A840" s="604"/>
      <c r="B840" s="604"/>
      <c r="C840" s="604"/>
      <c r="D840" s="604"/>
      <c r="E840" s="604"/>
      <c r="F840" s="604"/>
      <c r="G840" s="604"/>
      <c r="H840" s="604"/>
      <c r="I840" s="604"/>
      <c r="J840" s="604"/>
      <c r="K840" s="604"/>
      <c r="L840" s="604"/>
      <c r="M840" s="604"/>
      <c r="N840" s="604"/>
      <c r="O840" s="604"/>
      <c r="P840" s="604"/>
      <c r="Q840" s="604"/>
      <c r="R840" s="604"/>
      <c r="S840" s="317"/>
      <c r="T840" s="604"/>
      <c r="U840" s="317"/>
      <c r="V840" s="694"/>
      <c r="W840" s="694"/>
      <c r="X840" s="694"/>
      <c r="Y840" s="694"/>
      <c r="Z840" s="694"/>
      <c r="AA840" s="317"/>
      <c r="AB840" s="694"/>
      <c r="AC840" s="604"/>
      <c r="AD840" s="604"/>
      <c r="AE840" s="604"/>
    </row>
    <row r="841" spans="1:31">
      <c r="A841" s="604"/>
      <c r="B841" s="604"/>
      <c r="C841" s="604"/>
      <c r="D841" s="604"/>
      <c r="E841" s="604"/>
      <c r="F841" s="604"/>
      <c r="G841" s="604"/>
      <c r="H841" s="604"/>
      <c r="I841" s="604"/>
      <c r="J841" s="604"/>
      <c r="K841" s="604"/>
      <c r="L841" s="604"/>
      <c r="M841" s="604"/>
      <c r="N841" s="604"/>
      <c r="O841" s="604"/>
      <c r="P841" s="604"/>
      <c r="Q841" s="604"/>
      <c r="R841" s="604"/>
      <c r="S841" s="317"/>
      <c r="T841" s="604"/>
      <c r="U841" s="317"/>
      <c r="V841" s="694"/>
      <c r="W841" s="694"/>
      <c r="X841" s="694"/>
      <c r="Y841" s="694"/>
      <c r="Z841" s="694"/>
      <c r="AA841" s="317"/>
      <c r="AB841" s="694"/>
      <c r="AC841" s="604"/>
      <c r="AD841" s="604"/>
      <c r="AE841" s="604"/>
    </row>
    <row r="842" spans="1:31">
      <c r="A842" s="604"/>
      <c r="B842" s="604"/>
      <c r="C842" s="604"/>
      <c r="D842" s="604"/>
      <c r="E842" s="604"/>
      <c r="F842" s="604"/>
      <c r="G842" s="604"/>
      <c r="H842" s="604"/>
      <c r="I842" s="604"/>
      <c r="J842" s="604"/>
      <c r="K842" s="604"/>
      <c r="L842" s="604"/>
      <c r="M842" s="604"/>
      <c r="N842" s="604"/>
      <c r="O842" s="604"/>
      <c r="P842" s="604"/>
      <c r="Q842" s="604"/>
      <c r="R842" s="604"/>
      <c r="S842" s="317"/>
      <c r="T842" s="604"/>
      <c r="U842" s="317"/>
      <c r="V842" s="694"/>
      <c r="W842" s="694"/>
      <c r="X842" s="694"/>
      <c r="Y842" s="694"/>
      <c r="Z842" s="694"/>
      <c r="AA842" s="317"/>
      <c r="AB842" s="694"/>
      <c r="AC842" s="604"/>
      <c r="AD842" s="604"/>
      <c r="AE842" s="604"/>
    </row>
    <row r="843" spans="1:31">
      <c r="A843" s="604"/>
      <c r="B843" s="604"/>
      <c r="C843" s="604"/>
      <c r="D843" s="604"/>
      <c r="E843" s="604"/>
      <c r="F843" s="604"/>
      <c r="G843" s="604"/>
      <c r="H843" s="604"/>
      <c r="I843" s="604"/>
      <c r="J843" s="604"/>
      <c r="K843" s="604"/>
      <c r="L843" s="604"/>
      <c r="M843" s="604"/>
      <c r="N843" s="604"/>
      <c r="O843" s="604"/>
      <c r="P843" s="604"/>
      <c r="Q843" s="604"/>
      <c r="R843" s="604"/>
      <c r="S843" s="317"/>
      <c r="T843" s="604"/>
      <c r="U843" s="317"/>
      <c r="V843" s="694"/>
      <c r="W843" s="694"/>
      <c r="X843" s="694"/>
      <c r="Y843" s="694"/>
      <c r="Z843" s="694"/>
      <c r="AA843" s="317"/>
      <c r="AB843" s="694"/>
      <c r="AC843" s="604"/>
      <c r="AD843" s="604"/>
      <c r="AE843" s="604"/>
    </row>
    <row r="844" spans="1:31">
      <c r="A844" s="604"/>
      <c r="B844" s="604"/>
      <c r="C844" s="604"/>
      <c r="D844" s="604"/>
      <c r="E844" s="604"/>
      <c r="F844" s="604"/>
      <c r="G844" s="604"/>
      <c r="H844" s="604"/>
      <c r="I844" s="604"/>
      <c r="J844" s="604"/>
      <c r="K844" s="604"/>
      <c r="L844" s="604"/>
      <c r="M844" s="604"/>
      <c r="N844" s="604"/>
      <c r="O844" s="604"/>
      <c r="P844" s="604"/>
      <c r="Q844" s="604"/>
      <c r="R844" s="604"/>
      <c r="S844" s="317"/>
      <c r="T844" s="604"/>
      <c r="U844" s="317"/>
      <c r="V844" s="694"/>
      <c r="W844" s="694"/>
      <c r="X844" s="694"/>
      <c r="Y844" s="694"/>
      <c r="Z844" s="694"/>
      <c r="AA844" s="317"/>
      <c r="AB844" s="694"/>
      <c r="AC844" s="604"/>
      <c r="AD844" s="604"/>
      <c r="AE844" s="604"/>
    </row>
    <row r="845" spans="1:31">
      <c r="A845" s="604"/>
      <c r="B845" s="604"/>
      <c r="C845" s="604"/>
      <c r="D845" s="604"/>
      <c r="E845" s="604"/>
      <c r="F845" s="604"/>
      <c r="G845" s="604"/>
      <c r="H845" s="604"/>
      <c r="I845" s="604"/>
      <c r="J845" s="604"/>
      <c r="K845" s="604"/>
      <c r="L845" s="604"/>
      <c r="M845" s="604"/>
      <c r="N845" s="604"/>
      <c r="O845" s="604"/>
      <c r="P845" s="604"/>
      <c r="Q845" s="604"/>
      <c r="R845" s="604"/>
      <c r="S845" s="317"/>
      <c r="T845" s="604"/>
      <c r="U845" s="317"/>
      <c r="V845" s="694"/>
      <c r="W845" s="694"/>
      <c r="X845" s="694"/>
      <c r="Y845" s="694"/>
      <c r="Z845" s="694"/>
      <c r="AA845" s="317"/>
      <c r="AB845" s="694"/>
      <c r="AC845" s="604"/>
      <c r="AD845" s="604"/>
      <c r="AE845" s="604"/>
    </row>
    <row r="846" spans="1:31">
      <c r="A846" s="604"/>
      <c r="B846" s="604"/>
      <c r="C846" s="604"/>
      <c r="D846" s="604"/>
      <c r="E846" s="604"/>
      <c r="F846" s="604"/>
      <c r="G846" s="604"/>
      <c r="H846" s="604"/>
      <c r="I846" s="604"/>
      <c r="J846" s="604"/>
      <c r="K846" s="604"/>
      <c r="L846" s="604"/>
      <c r="M846" s="604"/>
      <c r="N846" s="604"/>
      <c r="O846" s="604"/>
      <c r="P846" s="604"/>
      <c r="Q846" s="604"/>
      <c r="R846" s="604"/>
      <c r="S846" s="317"/>
      <c r="T846" s="604"/>
      <c r="U846" s="317"/>
      <c r="V846" s="694"/>
      <c r="W846" s="694"/>
      <c r="X846" s="694"/>
      <c r="Y846" s="694"/>
      <c r="Z846" s="694"/>
      <c r="AA846" s="317"/>
      <c r="AB846" s="694"/>
      <c r="AC846" s="604"/>
      <c r="AD846" s="604"/>
      <c r="AE846" s="604"/>
    </row>
    <row r="847" spans="1:31">
      <c r="A847" s="604"/>
      <c r="B847" s="604"/>
      <c r="C847" s="604"/>
      <c r="D847" s="604"/>
      <c r="E847" s="604"/>
      <c r="F847" s="604"/>
      <c r="G847" s="604"/>
      <c r="H847" s="604"/>
      <c r="I847" s="604"/>
      <c r="J847" s="604"/>
      <c r="K847" s="604"/>
      <c r="L847" s="604"/>
      <c r="M847" s="604"/>
      <c r="N847" s="604"/>
      <c r="O847" s="604"/>
      <c r="P847" s="604"/>
      <c r="Q847" s="604"/>
      <c r="R847" s="604"/>
      <c r="S847" s="317"/>
      <c r="T847" s="604"/>
      <c r="U847" s="317"/>
      <c r="V847" s="694"/>
      <c r="W847" s="694"/>
      <c r="X847" s="694"/>
      <c r="Y847" s="694"/>
      <c r="Z847" s="694"/>
      <c r="AA847" s="317"/>
      <c r="AB847" s="694"/>
      <c r="AC847" s="604"/>
      <c r="AD847" s="604"/>
      <c r="AE847" s="604"/>
    </row>
    <row r="848" spans="1:31">
      <c r="A848" s="604"/>
      <c r="B848" s="604"/>
      <c r="C848" s="604"/>
      <c r="D848" s="604"/>
      <c r="E848" s="604"/>
      <c r="F848" s="604"/>
      <c r="G848" s="604"/>
      <c r="H848" s="604"/>
      <c r="I848" s="604"/>
      <c r="J848" s="604"/>
      <c r="K848" s="604"/>
      <c r="L848" s="604"/>
      <c r="M848" s="604"/>
      <c r="N848" s="604"/>
      <c r="O848" s="604"/>
      <c r="P848" s="604"/>
      <c r="Q848" s="604"/>
      <c r="R848" s="604"/>
      <c r="S848" s="317"/>
      <c r="T848" s="604"/>
      <c r="U848" s="317"/>
      <c r="V848" s="694"/>
      <c r="W848" s="694"/>
      <c r="X848" s="694"/>
      <c r="Y848" s="694"/>
      <c r="Z848" s="694"/>
      <c r="AA848" s="317"/>
      <c r="AB848" s="694"/>
      <c r="AC848" s="604"/>
      <c r="AD848" s="604"/>
      <c r="AE848" s="604"/>
    </row>
    <row r="849" spans="1:31">
      <c r="A849" s="604"/>
      <c r="B849" s="604"/>
      <c r="C849" s="604"/>
      <c r="D849" s="604"/>
      <c r="E849" s="604"/>
      <c r="F849" s="604"/>
      <c r="G849" s="604"/>
      <c r="H849" s="604"/>
      <c r="I849" s="604"/>
      <c r="J849" s="604"/>
      <c r="K849" s="604"/>
      <c r="L849" s="604"/>
      <c r="M849" s="604"/>
      <c r="N849" s="604"/>
      <c r="O849" s="604"/>
      <c r="P849" s="604"/>
      <c r="Q849" s="604"/>
      <c r="R849" s="604"/>
      <c r="S849" s="317"/>
      <c r="T849" s="604"/>
      <c r="U849" s="317"/>
      <c r="V849" s="694"/>
      <c r="W849" s="694"/>
      <c r="X849" s="694"/>
      <c r="Y849" s="694"/>
      <c r="Z849" s="694"/>
      <c r="AA849" s="317"/>
      <c r="AB849" s="694"/>
      <c r="AC849" s="604"/>
      <c r="AD849" s="604"/>
      <c r="AE849" s="604"/>
    </row>
    <row r="850" spans="1:31">
      <c r="A850" s="604"/>
      <c r="B850" s="604"/>
      <c r="C850" s="604"/>
      <c r="D850" s="604"/>
      <c r="E850" s="604"/>
      <c r="F850" s="604"/>
      <c r="G850" s="604"/>
      <c r="H850" s="604"/>
      <c r="I850" s="604"/>
      <c r="J850" s="604"/>
      <c r="K850" s="604"/>
      <c r="L850" s="604"/>
      <c r="M850" s="604"/>
      <c r="N850" s="604"/>
      <c r="O850" s="604"/>
      <c r="P850" s="604"/>
      <c r="Q850" s="604"/>
      <c r="R850" s="604"/>
      <c r="S850" s="317"/>
      <c r="T850" s="604"/>
      <c r="U850" s="317"/>
      <c r="V850" s="694"/>
      <c r="W850" s="694"/>
      <c r="X850" s="694"/>
      <c r="Y850" s="694"/>
      <c r="Z850" s="694"/>
      <c r="AA850" s="317"/>
      <c r="AB850" s="694"/>
      <c r="AC850" s="604"/>
      <c r="AD850" s="604"/>
      <c r="AE850" s="604"/>
    </row>
    <row r="851" spans="1:31">
      <c r="A851" s="604"/>
      <c r="B851" s="604"/>
      <c r="C851" s="604"/>
      <c r="D851" s="604"/>
      <c r="E851" s="604"/>
      <c r="F851" s="604"/>
      <c r="G851" s="604"/>
      <c r="H851" s="604"/>
      <c r="I851" s="604"/>
      <c r="J851" s="604"/>
      <c r="K851" s="604"/>
      <c r="L851" s="604"/>
      <c r="M851" s="604"/>
      <c r="N851" s="604"/>
      <c r="O851" s="604"/>
      <c r="P851" s="604"/>
      <c r="Q851" s="604"/>
      <c r="R851" s="604"/>
      <c r="S851" s="317"/>
      <c r="T851" s="604"/>
      <c r="U851" s="317"/>
      <c r="V851" s="694"/>
      <c r="W851" s="694"/>
      <c r="X851" s="694"/>
      <c r="Y851" s="694"/>
      <c r="Z851" s="694"/>
      <c r="AA851" s="317"/>
      <c r="AB851" s="694"/>
      <c r="AC851" s="604"/>
      <c r="AD851" s="604"/>
      <c r="AE851" s="604"/>
    </row>
    <row r="852" spans="1:31">
      <c r="A852" s="604"/>
      <c r="B852" s="604"/>
      <c r="C852" s="604"/>
      <c r="D852" s="604"/>
      <c r="E852" s="604"/>
      <c r="F852" s="604"/>
      <c r="G852" s="604"/>
      <c r="H852" s="604"/>
      <c r="I852" s="604"/>
      <c r="J852" s="604"/>
      <c r="K852" s="604"/>
      <c r="L852" s="604"/>
      <c r="M852" s="604"/>
      <c r="N852" s="604"/>
      <c r="O852" s="604"/>
      <c r="P852" s="604"/>
      <c r="Q852" s="604"/>
      <c r="R852" s="604"/>
      <c r="S852" s="317"/>
      <c r="T852" s="604"/>
      <c r="U852" s="317"/>
      <c r="V852" s="694"/>
      <c r="W852" s="694"/>
      <c r="X852" s="694"/>
      <c r="Y852" s="694"/>
      <c r="Z852" s="694"/>
      <c r="AA852" s="317"/>
      <c r="AB852" s="694"/>
      <c r="AC852" s="604"/>
      <c r="AD852" s="604"/>
      <c r="AE852" s="604"/>
    </row>
    <row r="853" spans="1:31">
      <c r="A853" s="604"/>
      <c r="B853" s="604"/>
      <c r="C853" s="604"/>
      <c r="D853" s="604"/>
      <c r="E853" s="604"/>
      <c r="F853" s="604"/>
      <c r="G853" s="604"/>
      <c r="H853" s="604"/>
      <c r="I853" s="604"/>
      <c r="J853" s="604"/>
      <c r="K853" s="604"/>
      <c r="L853" s="604"/>
      <c r="M853" s="604"/>
      <c r="N853" s="604"/>
      <c r="O853" s="604"/>
      <c r="P853" s="604"/>
      <c r="Q853" s="604"/>
      <c r="R853" s="604"/>
      <c r="S853" s="317"/>
      <c r="T853" s="604"/>
      <c r="U853" s="317"/>
      <c r="V853" s="694"/>
      <c r="W853" s="694"/>
      <c r="X853" s="694"/>
      <c r="Y853" s="694"/>
      <c r="Z853" s="694"/>
      <c r="AA853" s="317"/>
      <c r="AB853" s="694"/>
      <c r="AC853" s="604"/>
      <c r="AD853" s="604"/>
      <c r="AE853" s="604"/>
    </row>
    <row r="854" spans="1:31">
      <c r="A854" s="604"/>
      <c r="B854" s="604"/>
      <c r="C854" s="604"/>
      <c r="D854" s="604"/>
      <c r="E854" s="604"/>
      <c r="F854" s="604"/>
      <c r="G854" s="604"/>
      <c r="H854" s="604"/>
      <c r="I854" s="604"/>
      <c r="J854" s="604"/>
      <c r="K854" s="604"/>
      <c r="L854" s="604"/>
      <c r="M854" s="604"/>
      <c r="N854" s="604"/>
      <c r="O854" s="604"/>
      <c r="P854" s="604"/>
      <c r="Q854" s="604"/>
      <c r="R854" s="604"/>
      <c r="S854" s="317"/>
      <c r="T854" s="604"/>
      <c r="U854" s="317"/>
      <c r="V854" s="694"/>
      <c r="W854" s="694"/>
      <c r="X854" s="694"/>
      <c r="Y854" s="694"/>
      <c r="Z854" s="694"/>
      <c r="AA854" s="317"/>
      <c r="AB854" s="694"/>
      <c r="AC854" s="604"/>
      <c r="AD854" s="604"/>
      <c r="AE854" s="604"/>
    </row>
    <row r="855" spans="1:31">
      <c r="A855" s="604"/>
      <c r="B855" s="604"/>
      <c r="C855" s="604"/>
      <c r="D855" s="604"/>
      <c r="E855" s="604"/>
      <c r="F855" s="604"/>
      <c r="G855" s="604"/>
      <c r="H855" s="604"/>
      <c r="I855" s="604"/>
      <c r="J855" s="604"/>
      <c r="K855" s="604"/>
      <c r="L855" s="604"/>
      <c r="M855" s="604"/>
      <c r="N855" s="604"/>
      <c r="O855" s="604"/>
      <c r="P855" s="604"/>
      <c r="Q855" s="604"/>
      <c r="R855" s="604"/>
      <c r="S855" s="317"/>
      <c r="T855" s="604"/>
      <c r="U855" s="317"/>
      <c r="V855" s="694"/>
      <c r="W855" s="694"/>
      <c r="X855" s="694"/>
      <c r="Y855" s="694"/>
      <c r="Z855" s="694"/>
      <c r="AA855" s="317"/>
      <c r="AB855" s="694"/>
      <c r="AC855" s="604"/>
      <c r="AD855" s="604"/>
      <c r="AE855" s="604"/>
    </row>
    <row r="856" spans="1:31">
      <c r="A856" s="604"/>
      <c r="B856" s="604"/>
      <c r="C856" s="604"/>
      <c r="D856" s="604"/>
      <c r="E856" s="604"/>
      <c r="F856" s="604"/>
      <c r="G856" s="604"/>
      <c r="H856" s="604"/>
      <c r="I856" s="604"/>
      <c r="J856" s="604"/>
      <c r="K856" s="604"/>
      <c r="L856" s="604"/>
      <c r="M856" s="604"/>
      <c r="N856" s="604"/>
      <c r="O856" s="604"/>
      <c r="P856" s="604"/>
      <c r="Q856" s="604"/>
      <c r="R856" s="604"/>
      <c r="S856" s="317"/>
      <c r="T856" s="604"/>
      <c r="U856" s="317"/>
      <c r="V856" s="694"/>
      <c r="W856" s="694"/>
      <c r="X856" s="694"/>
      <c r="Y856" s="694"/>
      <c r="Z856" s="694"/>
      <c r="AA856" s="317"/>
      <c r="AB856" s="694"/>
      <c r="AC856" s="604"/>
      <c r="AD856" s="604"/>
      <c r="AE856" s="604"/>
    </row>
    <row r="857" spans="1:31">
      <c r="A857" s="604"/>
      <c r="B857" s="604"/>
      <c r="C857" s="604"/>
      <c r="D857" s="604"/>
      <c r="E857" s="604"/>
      <c r="F857" s="604"/>
      <c r="G857" s="604"/>
      <c r="H857" s="604"/>
      <c r="I857" s="604"/>
      <c r="J857" s="604"/>
      <c r="K857" s="604"/>
      <c r="L857" s="604"/>
      <c r="M857" s="604"/>
      <c r="N857" s="604"/>
      <c r="O857" s="604"/>
      <c r="P857" s="604"/>
      <c r="Q857" s="604"/>
      <c r="R857" s="604"/>
      <c r="S857" s="317"/>
      <c r="T857" s="604"/>
      <c r="U857" s="317"/>
      <c r="V857" s="694"/>
      <c r="W857" s="694"/>
      <c r="X857" s="694"/>
      <c r="Y857" s="694"/>
      <c r="Z857" s="694"/>
      <c r="AA857" s="317"/>
      <c r="AB857" s="694"/>
      <c r="AC857" s="604"/>
      <c r="AD857" s="604"/>
      <c r="AE857" s="604"/>
    </row>
    <row r="858" spans="1:31">
      <c r="A858" s="604"/>
      <c r="B858" s="604"/>
      <c r="C858" s="604"/>
      <c r="D858" s="604"/>
      <c r="E858" s="604"/>
      <c r="F858" s="604"/>
      <c r="G858" s="604"/>
      <c r="H858" s="604"/>
      <c r="I858" s="604"/>
      <c r="J858" s="604"/>
      <c r="K858" s="604"/>
      <c r="L858" s="604"/>
      <c r="M858" s="604"/>
      <c r="N858" s="604"/>
      <c r="O858" s="604"/>
      <c r="P858" s="604"/>
      <c r="Q858" s="604"/>
      <c r="R858" s="604"/>
      <c r="S858" s="317"/>
      <c r="T858" s="604"/>
      <c r="U858" s="317"/>
      <c r="V858" s="694"/>
      <c r="W858" s="694"/>
      <c r="X858" s="694"/>
      <c r="Y858" s="694"/>
      <c r="Z858" s="694"/>
      <c r="AA858" s="317"/>
      <c r="AB858" s="694"/>
      <c r="AC858" s="604"/>
      <c r="AD858" s="604"/>
      <c r="AE858" s="604"/>
    </row>
    <row r="859" spans="1:31">
      <c r="A859" s="604"/>
      <c r="B859" s="604"/>
      <c r="C859" s="604"/>
      <c r="D859" s="604"/>
      <c r="E859" s="604"/>
      <c r="F859" s="604"/>
      <c r="G859" s="604"/>
      <c r="H859" s="604"/>
      <c r="I859" s="604"/>
      <c r="J859" s="604"/>
      <c r="K859" s="604"/>
      <c r="L859" s="604"/>
      <c r="M859" s="604"/>
      <c r="N859" s="604"/>
      <c r="O859" s="604"/>
      <c r="P859" s="604"/>
      <c r="Q859" s="604"/>
      <c r="R859" s="604"/>
      <c r="S859" s="317"/>
      <c r="T859" s="604"/>
      <c r="U859" s="317"/>
      <c r="V859" s="694"/>
      <c r="W859" s="694"/>
      <c r="X859" s="694"/>
      <c r="Y859" s="694"/>
      <c r="Z859" s="694"/>
      <c r="AA859" s="317"/>
      <c r="AB859" s="694"/>
      <c r="AC859" s="604"/>
      <c r="AD859" s="604"/>
      <c r="AE859" s="604"/>
    </row>
    <row r="860" spans="1:31">
      <c r="A860" s="604"/>
      <c r="B860" s="604"/>
      <c r="C860" s="604"/>
      <c r="D860" s="604"/>
      <c r="E860" s="604"/>
      <c r="F860" s="604"/>
      <c r="G860" s="604"/>
      <c r="H860" s="604"/>
      <c r="I860" s="604"/>
      <c r="J860" s="604"/>
      <c r="K860" s="604"/>
      <c r="L860" s="604"/>
      <c r="M860" s="604"/>
      <c r="N860" s="604"/>
      <c r="O860" s="604"/>
      <c r="P860" s="604"/>
      <c r="Q860" s="604"/>
      <c r="R860" s="604"/>
      <c r="S860" s="317"/>
      <c r="T860" s="604"/>
      <c r="U860" s="317"/>
      <c r="V860" s="694"/>
      <c r="W860" s="694"/>
      <c r="X860" s="694"/>
      <c r="Y860" s="694"/>
      <c r="Z860" s="694"/>
      <c r="AA860" s="317"/>
      <c r="AB860" s="694"/>
      <c r="AC860" s="604"/>
      <c r="AD860" s="604"/>
      <c r="AE860" s="604"/>
    </row>
    <row r="861" spans="1:31">
      <c r="A861" s="604"/>
      <c r="B861" s="604"/>
      <c r="C861" s="604"/>
      <c r="D861" s="604"/>
      <c r="E861" s="604"/>
      <c r="F861" s="604"/>
      <c r="G861" s="604"/>
      <c r="H861" s="604"/>
      <c r="I861" s="604"/>
      <c r="J861" s="604"/>
      <c r="K861" s="604"/>
      <c r="L861" s="604"/>
      <c r="M861" s="604"/>
      <c r="N861" s="604"/>
      <c r="O861" s="604"/>
      <c r="P861" s="604"/>
      <c r="Q861" s="604"/>
      <c r="R861" s="604"/>
      <c r="S861" s="317"/>
      <c r="T861" s="604"/>
      <c r="U861" s="317"/>
      <c r="V861" s="694"/>
      <c r="W861" s="694"/>
      <c r="X861" s="694"/>
      <c r="Y861" s="694"/>
      <c r="Z861" s="694"/>
      <c r="AA861" s="317"/>
      <c r="AB861" s="694"/>
      <c r="AC861" s="604"/>
      <c r="AD861" s="604"/>
      <c r="AE861" s="604"/>
    </row>
    <row r="862" spans="1:31">
      <c r="A862" s="604"/>
      <c r="B862" s="604"/>
      <c r="C862" s="604"/>
      <c r="D862" s="604"/>
      <c r="E862" s="604"/>
      <c r="F862" s="604"/>
      <c r="G862" s="604"/>
      <c r="H862" s="604"/>
      <c r="I862" s="604"/>
      <c r="J862" s="604"/>
      <c r="K862" s="604"/>
      <c r="L862" s="604"/>
      <c r="M862" s="604"/>
      <c r="N862" s="604"/>
      <c r="O862" s="604"/>
      <c r="P862" s="604"/>
      <c r="Q862" s="604"/>
      <c r="R862" s="604"/>
      <c r="S862" s="317"/>
      <c r="T862" s="604"/>
      <c r="U862" s="317"/>
      <c r="V862" s="694"/>
      <c r="W862" s="694"/>
      <c r="X862" s="694"/>
      <c r="Y862" s="694"/>
      <c r="Z862" s="694"/>
      <c r="AA862" s="317"/>
      <c r="AB862" s="694"/>
      <c r="AC862" s="604"/>
      <c r="AD862" s="604"/>
      <c r="AE862" s="604"/>
    </row>
    <row r="863" spans="1:31">
      <c r="A863" s="604"/>
      <c r="B863" s="604"/>
      <c r="C863" s="604"/>
      <c r="D863" s="604"/>
      <c r="E863" s="604"/>
      <c r="F863" s="604"/>
      <c r="G863" s="604"/>
      <c r="H863" s="604"/>
      <c r="I863" s="604"/>
      <c r="J863" s="604"/>
      <c r="K863" s="604"/>
      <c r="L863" s="604"/>
      <c r="M863" s="604"/>
      <c r="N863" s="604"/>
      <c r="O863" s="604"/>
      <c r="P863" s="604"/>
      <c r="Q863" s="604"/>
      <c r="R863" s="604"/>
      <c r="S863" s="317"/>
      <c r="T863" s="604"/>
      <c r="U863" s="317"/>
      <c r="V863" s="694"/>
      <c r="W863" s="694"/>
      <c r="X863" s="694"/>
      <c r="Y863" s="694"/>
      <c r="Z863" s="694"/>
      <c r="AA863" s="317"/>
      <c r="AB863" s="694"/>
      <c r="AC863" s="604"/>
      <c r="AD863" s="604"/>
      <c r="AE863" s="604"/>
    </row>
    <row r="864" spans="1:31">
      <c r="A864" s="604"/>
      <c r="B864" s="604"/>
      <c r="C864" s="604"/>
      <c r="D864" s="604"/>
      <c r="E864" s="604"/>
      <c r="F864" s="604"/>
      <c r="G864" s="604"/>
      <c r="H864" s="604"/>
      <c r="I864" s="604"/>
      <c r="J864" s="604"/>
      <c r="K864" s="604"/>
      <c r="L864" s="604"/>
      <c r="M864" s="604"/>
      <c r="N864" s="604"/>
      <c r="O864" s="604"/>
      <c r="P864" s="604"/>
      <c r="Q864" s="604"/>
      <c r="R864" s="604"/>
      <c r="S864" s="317"/>
      <c r="T864" s="604"/>
      <c r="U864" s="317"/>
      <c r="V864" s="694"/>
      <c r="W864" s="694"/>
      <c r="X864" s="694"/>
      <c r="Y864" s="694"/>
      <c r="Z864" s="694"/>
      <c r="AA864" s="317"/>
      <c r="AB864" s="694"/>
      <c r="AC864" s="604"/>
      <c r="AD864" s="604"/>
      <c r="AE864" s="604"/>
    </row>
    <row r="865" spans="1:31">
      <c r="A865" s="604"/>
      <c r="B865" s="604"/>
      <c r="C865" s="604"/>
      <c r="D865" s="604"/>
      <c r="E865" s="604"/>
      <c r="F865" s="604"/>
      <c r="G865" s="604"/>
      <c r="H865" s="604"/>
      <c r="I865" s="604"/>
      <c r="J865" s="604"/>
      <c r="K865" s="604"/>
      <c r="L865" s="604"/>
      <c r="M865" s="604"/>
      <c r="N865" s="604"/>
      <c r="O865" s="604"/>
      <c r="P865" s="604"/>
      <c r="Q865" s="604"/>
      <c r="R865" s="604"/>
      <c r="S865" s="317"/>
      <c r="T865" s="604"/>
      <c r="U865" s="317"/>
      <c r="V865" s="694"/>
      <c r="W865" s="694"/>
      <c r="X865" s="694"/>
      <c r="Y865" s="694"/>
      <c r="Z865" s="694"/>
      <c r="AA865" s="317"/>
      <c r="AB865" s="694"/>
      <c r="AC865" s="604"/>
      <c r="AD865" s="604"/>
      <c r="AE865" s="604"/>
    </row>
    <row r="866" spans="1:31">
      <c r="A866" s="604"/>
      <c r="B866" s="604"/>
      <c r="C866" s="604"/>
      <c r="D866" s="604"/>
      <c r="E866" s="604"/>
      <c r="F866" s="604"/>
      <c r="G866" s="604"/>
      <c r="H866" s="604"/>
      <c r="I866" s="604"/>
      <c r="J866" s="604"/>
      <c r="K866" s="604"/>
      <c r="L866" s="604"/>
      <c r="M866" s="604"/>
      <c r="N866" s="604"/>
      <c r="O866" s="604"/>
      <c r="P866" s="604"/>
      <c r="Q866" s="604"/>
      <c r="R866" s="604"/>
      <c r="S866" s="317"/>
      <c r="T866" s="604"/>
      <c r="U866" s="317"/>
      <c r="V866" s="694"/>
      <c r="W866" s="694"/>
      <c r="X866" s="694"/>
      <c r="Y866" s="694"/>
      <c r="Z866" s="694"/>
      <c r="AA866" s="317"/>
      <c r="AB866" s="694"/>
      <c r="AC866" s="604"/>
      <c r="AD866" s="604"/>
      <c r="AE866" s="604"/>
    </row>
    <row r="867" spans="1:31">
      <c r="A867" s="604"/>
      <c r="B867" s="604"/>
      <c r="C867" s="604"/>
      <c r="D867" s="604"/>
      <c r="E867" s="604"/>
      <c r="F867" s="604"/>
      <c r="G867" s="604"/>
      <c r="H867" s="604"/>
      <c r="I867" s="604"/>
      <c r="J867" s="604"/>
      <c r="K867" s="604"/>
      <c r="L867" s="604"/>
      <c r="M867" s="604"/>
      <c r="N867" s="604"/>
      <c r="O867" s="604"/>
      <c r="P867" s="604"/>
      <c r="Q867" s="604"/>
      <c r="R867" s="604"/>
      <c r="S867" s="317"/>
      <c r="T867" s="604"/>
      <c r="U867" s="317"/>
      <c r="V867" s="694"/>
      <c r="W867" s="694"/>
      <c r="X867" s="694"/>
      <c r="Y867" s="694"/>
      <c r="Z867" s="694"/>
      <c r="AA867" s="317"/>
      <c r="AB867" s="694"/>
      <c r="AC867" s="604"/>
      <c r="AD867" s="604"/>
      <c r="AE867" s="604"/>
    </row>
    <row r="868" spans="1:31">
      <c r="A868" s="604"/>
      <c r="B868" s="604"/>
      <c r="C868" s="604"/>
      <c r="D868" s="604"/>
      <c r="E868" s="604"/>
      <c r="F868" s="604"/>
      <c r="G868" s="604"/>
      <c r="H868" s="604"/>
      <c r="I868" s="604"/>
      <c r="J868" s="604"/>
      <c r="K868" s="604"/>
      <c r="L868" s="604"/>
      <c r="M868" s="604"/>
      <c r="N868" s="604"/>
      <c r="O868" s="604"/>
      <c r="P868" s="604"/>
      <c r="Q868" s="604"/>
      <c r="R868" s="604"/>
      <c r="S868" s="317"/>
      <c r="T868" s="604"/>
      <c r="U868" s="317"/>
      <c r="V868" s="694"/>
      <c r="W868" s="694"/>
      <c r="X868" s="694"/>
      <c r="Y868" s="694"/>
      <c r="Z868" s="694"/>
      <c r="AA868" s="317"/>
      <c r="AB868" s="694"/>
      <c r="AC868" s="604"/>
      <c r="AD868" s="604"/>
      <c r="AE868" s="604"/>
    </row>
    <row r="869" spans="1:31">
      <c r="A869" s="604"/>
      <c r="B869" s="604"/>
      <c r="C869" s="604"/>
      <c r="D869" s="604"/>
      <c r="E869" s="604"/>
      <c r="F869" s="604"/>
      <c r="G869" s="604"/>
      <c r="H869" s="604"/>
      <c r="I869" s="604"/>
      <c r="J869" s="604"/>
      <c r="K869" s="604"/>
      <c r="L869" s="604"/>
      <c r="M869" s="604"/>
      <c r="N869" s="604"/>
      <c r="O869" s="604"/>
      <c r="P869" s="604"/>
      <c r="Q869" s="604"/>
      <c r="R869" s="604"/>
      <c r="S869" s="317"/>
      <c r="T869" s="604"/>
      <c r="U869" s="317"/>
      <c r="V869" s="694"/>
      <c r="W869" s="694"/>
      <c r="X869" s="694"/>
      <c r="Y869" s="694"/>
      <c r="Z869" s="694"/>
      <c r="AA869" s="317"/>
      <c r="AB869" s="694"/>
      <c r="AC869" s="604"/>
      <c r="AD869" s="604"/>
      <c r="AE869" s="604"/>
    </row>
    <row r="870" spans="1:31">
      <c r="A870" s="604"/>
      <c r="B870" s="604"/>
      <c r="C870" s="604"/>
      <c r="D870" s="604"/>
      <c r="E870" s="604"/>
      <c r="F870" s="604"/>
      <c r="G870" s="604"/>
      <c r="H870" s="604"/>
      <c r="I870" s="604"/>
      <c r="J870" s="604"/>
      <c r="K870" s="604"/>
      <c r="L870" s="604"/>
      <c r="M870" s="604"/>
      <c r="N870" s="604"/>
      <c r="O870" s="604"/>
      <c r="P870" s="604"/>
      <c r="Q870" s="604"/>
      <c r="R870" s="604"/>
      <c r="S870" s="317"/>
      <c r="T870" s="604"/>
      <c r="U870" s="317"/>
      <c r="V870" s="694"/>
      <c r="W870" s="694"/>
      <c r="X870" s="694"/>
      <c r="Y870" s="694"/>
      <c r="Z870" s="694"/>
      <c r="AA870" s="317"/>
      <c r="AB870" s="694"/>
      <c r="AC870" s="604"/>
      <c r="AD870" s="604"/>
      <c r="AE870" s="604"/>
    </row>
    <row r="871" spans="1:31">
      <c r="A871" s="604"/>
      <c r="B871" s="604"/>
      <c r="C871" s="604"/>
      <c r="D871" s="604"/>
      <c r="E871" s="604"/>
      <c r="F871" s="604"/>
      <c r="G871" s="604"/>
      <c r="H871" s="604"/>
      <c r="I871" s="604"/>
      <c r="J871" s="604"/>
      <c r="K871" s="604"/>
      <c r="L871" s="604"/>
      <c r="M871" s="604"/>
      <c r="N871" s="604"/>
      <c r="O871" s="604"/>
      <c r="P871" s="604"/>
      <c r="Q871" s="604"/>
      <c r="R871" s="604"/>
      <c r="S871" s="317"/>
      <c r="T871" s="604"/>
      <c r="U871" s="317"/>
      <c r="V871" s="694"/>
      <c r="W871" s="694"/>
      <c r="X871" s="694"/>
      <c r="Y871" s="694"/>
      <c r="Z871" s="694"/>
      <c r="AA871" s="317"/>
      <c r="AB871" s="694"/>
      <c r="AC871" s="604"/>
      <c r="AD871" s="604"/>
      <c r="AE871" s="604"/>
    </row>
    <row r="872" spans="1:31">
      <c r="A872" s="604"/>
      <c r="B872" s="604"/>
      <c r="C872" s="604"/>
      <c r="D872" s="604"/>
      <c r="E872" s="604"/>
      <c r="F872" s="604"/>
      <c r="G872" s="604"/>
      <c r="H872" s="604"/>
      <c r="I872" s="604"/>
      <c r="J872" s="604"/>
      <c r="K872" s="604"/>
      <c r="L872" s="604"/>
      <c r="M872" s="604"/>
      <c r="N872" s="604"/>
      <c r="O872" s="604"/>
      <c r="P872" s="604"/>
      <c r="Q872" s="604"/>
      <c r="R872" s="604"/>
      <c r="S872" s="317"/>
      <c r="T872" s="604"/>
      <c r="U872" s="317"/>
      <c r="V872" s="694"/>
      <c r="W872" s="694"/>
      <c r="X872" s="694"/>
      <c r="Y872" s="694"/>
      <c r="Z872" s="694"/>
      <c r="AA872" s="317"/>
      <c r="AB872" s="694"/>
      <c r="AC872" s="604"/>
      <c r="AD872" s="604"/>
      <c r="AE872" s="604"/>
    </row>
    <row r="873" spans="1:31">
      <c r="A873" s="604"/>
      <c r="B873" s="604"/>
      <c r="C873" s="604"/>
      <c r="D873" s="604"/>
      <c r="E873" s="604"/>
      <c r="F873" s="604"/>
      <c r="G873" s="604"/>
      <c r="H873" s="604"/>
      <c r="I873" s="604"/>
      <c r="J873" s="604"/>
      <c r="K873" s="604"/>
      <c r="L873" s="604"/>
      <c r="M873" s="604"/>
      <c r="N873" s="604"/>
      <c r="O873" s="604"/>
      <c r="P873" s="604"/>
      <c r="Q873" s="604"/>
      <c r="R873" s="604"/>
      <c r="S873" s="317"/>
      <c r="T873" s="604"/>
      <c r="U873" s="317"/>
      <c r="V873" s="694"/>
      <c r="W873" s="694"/>
      <c r="X873" s="694"/>
      <c r="Y873" s="694"/>
      <c r="Z873" s="694"/>
      <c r="AA873" s="317"/>
      <c r="AB873" s="694"/>
      <c r="AC873" s="604"/>
      <c r="AD873" s="604"/>
      <c r="AE873" s="604"/>
    </row>
    <row r="874" spans="1:31">
      <c r="A874" s="604"/>
      <c r="B874" s="604"/>
      <c r="C874" s="604"/>
      <c r="D874" s="604"/>
      <c r="E874" s="604"/>
      <c r="F874" s="604"/>
      <c r="G874" s="604"/>
      <c r="H874" s="604"/>
      <c r="I874" s="604"/>
      <c r="J874" s="604"/>
      <c r="K874" s="604"/>
      <c r="L874" s="604"/>
      <c r="M874" s="604"/>
      <c r="N874" s="604"/>
      <c r="O874" s="604"/>
      <c r="P874" s="604"/>
      <c r="Q874" s="604"/>
      <c r="R874" s="604"/>
      <c r="S874" s="317"/>
      <c r="T874" s="604"/>
      <c r="U874" s="317"/>
      <c r="V874" s="694"/>
      <c r="W874" s="694"/>
      <c r="X874" s="694"/>
      <c r="Y874" s="694"/>
      <c r="Z874" s="694"/>
      <c r="AA874" s="317"/>
      <c r="AB874" s="694"/>
      <c r="AC874" s="604"/>
      <c r="AD874" s="604"/>
      <c r="AE874" s="604"/>
    </row>
    <row r="875" spans="1:31">
      <c r="A875" s="604"/>
      <c r="B875" s="604"/>
      <c r="C875" s="604"/>
      <c r="D875" s="604"/>
      <c r="E875" s="604"/>
      <c r="F875" s="604"/>
      <c r="G875" s="604"/>
      <c r="H875" s="604"/>
      <c r="I875" s="604"/>
      <c r="J875" s="604"/>
      <c r="K875" s="604"/>
      <c r="L875" s="604"/>
      <c r="M875" s="604"/>
      <c r="N875" s="604"/>
      <c r="O875" s="604"/>
      <c r="P875" s="604"/>
      <c r="Q875" s="604"/>
      <c r="R875" s="604"/>
      <c r="S875" s="317"/>
      <c r="T875" s="604"/>
      <c r="U875" s="317"/>
      <c r="V875" s="694"/>
      <c r="W875" s="694"/>
      <c r="X875" s="694"/>
      <c r="Y875" s="694"/>
      <c r="Z875" s="694"/>
      <c r="AA875" s="317"/>
      <c r="AB875" s="694"/>
      <c r="AC875" s="604"/>
      <c r="AD875" s="604"/>
      <c r="AE875" s="604"/>
    </row>
    <row r="876" spans="1:31">
      <c r="A876" s="604"/>
      <c r="B876" s="604"/>
      <c r="C876" s="604"/>
      <c r="D876" s="604"/>
      <c r="E876" s="604"/>
      <c r="F876" s="604"/>
      <c r="G876" s="604"/>
      <c r="H876" s="604"/>
      <c r="I876" s="604"/>
      <c r="J876" s="604"/>
      <c r="K876" s="604"/>
      <c r="L876" s="604"/>
      <c r="M876" s="604"/>
      <c r="N876" s="604"/>
      <c r="O876" s="604"/>
      <c r="P876" s="604"/>
      <c r="Q876" s="604"/>
      <c r="R876" s="604"/>
      <c r="S876" s="317"/>
      <c r="T876" s="604"/>
      <c r="U876" s="317"/>
      <c r="V876" s="694"/>
      <c r="W876" s="694"/>
      <c r="X876" s="694"/>
      <c r="Y876" s="694"/>
      <c r="Z876" s="694"/>
      <c r="AA876" s="317"/>
      <c r="AB876" s="694"/>
      <c r="AC876" s="604"/>
      <c r="AD876" s="604"/>
      <c r="AE876" s="604"/>
    </row>
    <row r="877" spans="1:31">
      <c r="A877" s="604"/>
      <c r="B877" s="604"/>
      <c r="C877" s="604"/>
      <c r="D877" s="604"/>
      <c r="E877" s="604"/>
      <c r="F877" s="604"/>
      <c r="G877" s="604"/>
      <c r="H877" s="604"/>
      <c r="I877" s="604"/>
      <c r="J877" s="604"/>
      <c r="K877" s="604"/>
      <c r="L877" s="604"/>
      <c r="M877" s="604"/>
      <c r="N877" s="604"/>
      <c r="O877" s="604"/>
      <c r="P877" s="604"/>
      <c r="Q877" s="604"/>
      <c r="R877" s="604"/>
      <c r="S877" s="317"/>
      <c r="T877" s="604"/>
      <c r="U877" s="317"/>
      <c r="V877" s="694"/>
      <c r="W877" s="694"/>
      <c r="X877" s="694"/>
      <c r="Y877" s="694"/>
      <c r="Z877" s="694"/>
      <c r="AA877" s="317"/>
      <c r="AB877" s="694"/>
      <c r="AC877" s="604"/>
      <c r="AD877" s="604"/>
      <c r="AE877" s="604"/>
    </row>
    <row r="878" spans="1:31">
      <c r="A878" s="604"/>
      <c r="B878" s="604"/>
      <c r="C878" s="604"/>
      <c r="D878" s="604"/>
      <c r="E878" s="604"/>
      <c r="F878" s="604"/>
      <c r="G878" s="604"/>
      <c r="H878" s="604"/>
      <c r="I878" s="604"/>
      <c r="J878" s="604"/>
      <c r="K878" s="604"/>
      <c r="L878" s="604"/>
      <c r="M878" s="604"/>
      <c r="N878" s="604"/>
      <c r="O878" s="604"/>
      <c r="P878" s="604"/>
      <c r="Q878" s="604"/>
      <c r="R878" s="604"/>
      <c r="S878" s="317"/>
      <c r="T878" s="604"/>
      <c r="U878" s="317"/>
      <c r="V878" s="694"/>
      <c r="W878" s="694"/>
      <c r="X878" s="694"/>
      <c r="Y878" s="694"/>
      <c r="Z878" s="694"/>
      <c r="AA878" s="317"/>
      <c r="AB878" s="694"/>
      <c r="AC878" s="604"/>
      <c r="AD878" s="604"/>
      <c r="AE878" s="604"/>
    </row>
    <row r="879" spans="1:31">
      <c r="A879" s="604"/>
      <c r="B879" s="604"/>
      <c r="C879" s="604"/>
      <c r="D879" s="604"/>
      <c r="E879" s="604"/>
      <c r="F879" s="604"/>
      <c r="G879" s="604"/>
      <c r="H879" s="604"/>
      <c r="I879" s="604"/>
      <c r="J879" s="604"/>
      <c r="K879" s="604"/>
      <c r="L879" s="604"/>
      <c r="M879" s="604"/>
      <c r="N879" s="604"/>
      <c r="O879" s="604"/>
      <c r="P879" s="604"/>
      <c r="Q879" s="604"/>
      <c r="R879" s="604"/>
      <c r="S879" s="317"/>
      <c r="T879" s="604"/>
      <c r="U879" s="317"/>
      <c r="V879" s="694"/>
      <c r="W879" s="694"/>
      <c r="X879" s="694"/>
      <c r="Y879" s="694"/>
      <c r="Z879" s="694"/>
      <c r="AA879" s="317"/>
      <c r="AB879" s="694"/>
      <c r="AC879" s="604"/>
      <c r="AD879" s="604"/>
      <c r="AE879" s="604"/>
    </row>
    <row r="880" spans="1:31">
      <c r="A880" s="604"/>
      <c r="B880" s="604"/>
      <c r="C880" s="604"/>
      <c r="D880" s="604"/>
      <c r="E880" s="604"/>
      <c r="F880" s="604"/>
      <c r="G880" s="604"/>
      <c r="H880" s="604"/>
      <c r="I880" s="604"/>
      <c r="J880" s="604"/>
      <c r="K880" s="604"/>
      <c r="L880" s="604"/>
      <c r="M880" s="604"/>
      <c r="N880" s="604"/>
      <c r="O880" s="604"/>
      <c r="P880" s="604"/>
      <c r="Q880" s="604"/>
      <c r="R880" s="604"/>
      <c r="S880" s="317"/>
      <c r="T880" s="604"/>
      <c r="U880" s="317"/>
      <c r="V880" s="694"/>
      <c r="W880" s="694"/>
      <c r="X880" s="694"/>
      <c r="Y880" s="694"/>
      <c r="Z880" s="694"/>
      <c r="AA880" s="317"/>
      <c r="AB880" s="694"/>
      <c r="AC880" s="604"/>
      <c r="AD880" s="604"/>
      <c r="AE880" s="604"/>
    </row>
    <row r="881" spans="1:31">
      <c r="A881" s="604"/>
      <c r="B881" s="604"/>
      <c r="C881" s="604"/>
      <c r="D881" s="604"/>
      <c r="E881" s="604"/>
      <c r="F881" s="604"/>
      <c r="G881" s="604"/>
      <c r="H881" s="604"/>
      <c r="I881" s="604"/>
      <c r="J881" s="604"/>
      <c r="K881" s="604"/>
      <c r="L881" s="604"/>
      <c r="M881" s="604"/>
      <c r="N881" s="604"/>
      <c r="O881" s="604"/>
      <c r="P881" s="604"/>
      <c r="Q881" s="604"/>
      <c r="R881" s="604"/>
      <c r="S881" s="317"/>
      <c r="T881" s="604"/>
      <c r="U881" s="317"/>
      <c r="V881" s="694"/>
      <c r="W881" s="694"/>
      <c r="X881" s="694"/>
      <c r="Y881" s="694"/>
      <c r="Z881" s="694"/>
      <c r="AA881" s="317"/>
      <c r="AB881" s="694"/>
      <c r="AC881" s="604"/>
      <c r="AD881" s="604"/>
      <c r="AE881" s="604"/>
    </row>
    <row r="882" spans="1:31">
      <c r="A882" s="604"/>
      <c r="B882" s="604"/>
      <c r="C882" s="604"/>
      <c r="D882" s="604"/>
      <c r="E882" s="604"/>
      <c r="F882" s="604"/>
      <c r="G882" s="604"/>
      <c r="H882" s="604"/>
      <c r="I882" s="604"/>
      <c r="J882" s="604"/>
      <c r="K882" s="604"/>
      <c r="L882" s="604"/>
      <c r="M882" s="604"/>
      <c r="N882" s="604"/>
      <c r="O882" s="604"/>
      <c r="P882" s="604"/>
      <c r="Q882" s="604"/>
      <c r="R882" s="604"/>
      <c r="S882" s="317"/>
      <c r="T882" s="604"/>
      <c r="U882" s="317"/>
      <c r="V882" s="694"/>
      <c r="W882" s="694"/>
      <c r="X882" s="694"/>
      <c r="Y882" s="694"/>
      <c r="Z882" s="694"/>
      <c r="AA882" s="317"/>
      <c r="AB882" s="694"/>
      <c r="AC882" s="604"/>
      <c r="AD882" s="604"/>
      <c r="AE882" s="604"/>
    </row>
    <row r="883" spans="1:31">
      <c r="A883" s="604"/>
      <c r="B883" s="604"/>
      <c r="C883" s="604"/>
      <c r="D883" s="604"/>
      <c r="E883" s="604"/>
      <c r="F883" s="604"/>
      <c r="G883" s="604"/>
      <c r="H883" s="604"/>
      <c r="I883" s="604"/>
      <c r="J883" s="604"/>
      <c r="K883" s="604"/>
      <c r="L883" s="604"/>
      <c r="M883" s="604"/>
      <c r="N883" s="604"/>
      <c r="O883" s="604"/>
      <c r="P883" s="604"/>
      <c r="Q883" s="604"/>
      <c r="R883" s="604"/>
      <c r="S883" s="317"/>
      <c r="T883" s="604"/>
      <c r="U883" s="317"/>
      <c r="V883" s="694"/>
      <c r="W883" s="694"/>
      <c r="X883" s="694"/>
      <c r="Y883" s="694"/>
      <c r="Z883" s="694"/>
      <c r="AA883" s="317"/>
      <c r="AB883" s="694"/>
      <c r="AC883" s="604"/>
      <c r="AD883" s="604"/>
      <c r="AE883" s="604"/>
    </row>
    <row r="884" spans="1:31">
      <c r="A884" s="604"/>
      <c r="B884" s="604"/>
      <c r="C884" s="604"/>
      <c r="D884" s="604"/>
      <c r="E884" s="604"/>
      <c r="F884" s="604"/>
      <c r="G884" s="604"/>
      <c r="H884" s="604"/>
      <c r="I884" s="604"/>
      <c r="J884" s="604"/>
      <c r="K884" s="604"/>
      <c r="L884" s="604"/>
      <c r="M884" s="604"/>
      <c r="N884" s="604"/>
      <c r="O884" s="604"/>
      <c r="P884" s="604"/>
      <c r="Q884" s="604"/>
      <c r="R884" s="604"/>
      <c r="S884" s="317"/>
      <c r="T884" s="604"/>
      <c r="U884" s="317"/>
      <c r="V884" s="694"/>
      <c r="W884" s="694"/>
      <c r="X884" s="694"/>
      <c r="Y884" s="694"/>
      <c r="Z884" s="694"/>
      <c r="AA884" s="317"/>
      <c r="AB884" s="694"/>
      <c r="AC884" s="604"/>
      <c r="AD884" s="604"/>
      <c r="AE884" s="604"/>
    </row>
    <row r="885" spans="1:31">
      <c r="A885" s="604"/>
      <c r="B885" s="604"/>
      <c r="C885" s="604"/>
      <c r="D885" s="604"/>
      <c r="E885" s="604"/>
      <c r="F885" s="604"/>
      <c r="G885" s="604"/>
      <c r="H885" s="604"/>
      <c r="I885" s="604"/>
      <c r="J885" s="604"/>
      <c r="K885" s="604"/>
      <c r="L885" s="604"/>
      <c r="M885" s="604"/>
      <c r="N885" s="604"/>
      <c r="O885" s="604"/>
      <c r="P885" s="604"/>
      <c r="Q885" s="604"/>
      <c r="R885" s="604"/>
      <c r="S885" s="317"/>
      <c r="T885" s="604"/>
      <c r="U885" s="317"/>
      <c r="V885" s="694"/>
      <c r="W885" s="694"/>
      <c r="X885" s="694"/>
      <c r="Y885" s="694"/>
      <c r="Z885" s="694"/>
      <c r="AA885" s="317"/>
      <c r="AB885" s="694"/>
      <c r="AC885" s="604"/>
      <c r="AD885" s="604"/>
      <c r="AE885" s="604"/>
    </row>
    <row r="886" spans="1:31">
      <c r="A886" s="604"/>
      <c r="B886" s="604"/>
      <c r="C886" s="604"/>
      <c r="D886" s="604"/>
      <c r="E886" s="604"/>
      <c r="F886" s="604"/>
      <c r="G886" s="604"/>
      <c r="H886" s="604"/>
      <c r="I886" s="604"/>
      <c r="J886" s="604"/>
      <c r="K886" s="604"/>
      <c r="L886" s="604"/>
      <c r="M886" s="604"/>
      <c r="N886" s="604"/>
      <c r="O886" s="604"/>
      <c r="P886" s="604"/>
      <c r="Q886" s="604"/>
      <c r="R886" s="604"/>
      <c r="S886" s="317"/>
      <c r="T886" s="604"/>
      <c r="U886" s="317"/>
      <c r="V886" s="694"/>
      <c r="W886" s="694"/>
      <c r="X886" s="694"/>
      <c r="Y886" s="694"/>
      <c r="Z886" s="694"/>
      <c r="AA886" s="317"/>
      <c r="AB886" s="694"/>
      <c r="AC886" s="604"/>
      <c r="AD886" s="604"/>
      <c r="AE886" s="604"/>
    </row>
    <row r="887" spans="1:31">
      <c r="A887" s="604"/>
      <c r="B887" s="604"/>
      <c r="C887" s="604"/>
      <c r="D887" s="604"/>
      <c r="E887" s="604"/>
      <c r="F887" s="604"/>
      <c r="G887" s="604"/>
      <c r="H887" s="604"/>
      <c r="I887" s="604"/>
      <c r="J887" s="604"/>
      <c r="K887" s="604"/>
      <c r="L887" s="604"/>
      <c r="M887" s="604"/>
      <c r="N887" s="604"/>
      <c r="O887" s="604"/>
      <c r="P887" s="604"/>
      <c r="Q887" s="604"/>
      <c r="R887" s="604"/>
      <c r="S887" s="317"/>
      <c r="T887" s="604"/>
      <c r="U887" s="317"/>
      <c r="V887" s="694"/>
      <c r="W887" s="694"/>
      <c r="X887" s="694"/>
      <c r="Y887" s="694"/>
      <c r="Z887" s="694"/>
      <c r="AA887" s="317"/>
      <c r="AB887" s="694"/>
      <c r="AC887" s="604"/>
      <c r="AD887" s="604"/>
      <c r="AE887" s="604"/>
    </row>
    <row r="888" spans="1:31">
      <c r="A888" s="604"/>
      <c r="B888" s="604"/>
      <c r="C888" s="604"/>
      <c r="D888" s="604"/>
      <c r="E888" s="604"/>
      <c r="F888" s="604"/>
      <c r="G888" s="604"/>
      <c r="H888" s="604"/>
      <c r="I888" s="604"/>
      <c r="J888" s="604"/>
      <c r="K888" s="604"/>
      <c r="L888" s="604"/>
      <c r="M888" s="604"/>
      <c r="N888" s="604"/>
      <c r="O888" s="604"/>
      <c r="P888" s="604"/>
      <c r="Q888" s="604"/>
      <c r="R888" s="604"/>
      <c r="S888" s="317"/>
      <c r="T888" s="604"/>
      <c r="U888" s="317"/>
      <c r="V888" s="694"/>
      <c r="W888" s="694"/>
      <c r="X888" s="694"/>
      <c r="Y888" s="694"/>
      <c r="Z888" s="694"/>
      <c r="AA888" s="317"/>
      <c r="AB888" s="694"/>
      <c r="AC888" s="604"/>
      <c r="AD888" s="604"/>
      <c r="AE888" s="604"/>
    </row>
    <row r="889" spans="1:31">
      <c r="A889" s="604"/>
      <c r="B889" s="604"/>
      <c r="C889" s="604"/>
      <c r="D889" s="604"/>
      <c r="E889" s="604"/>
      <c r="F889" s="604"/>
      <c r="G889" s="604"/>
      <c r="H889" s="604"/>
      <c r="I889" s="604"/>
      <c r="J889" s="604"/>
      <c r="K889" s="604"/>
      <c r="L889" s="604"/>
      <c r="M889" s="604"/>
      <c r="N889" s="604"/>
      <c r="O889" s="604"/>
      <c r="P889" s="604"/>
      <c r="Q889" s="604"/>
      <c r="R889" s="604"/>
      <c r="S889" s="317"/>
      <c r="T889" s="604"/>
      <c r="U889" s="317"/>
      <c r="V889" s="694"/>
      <c r="W889" s="694"/>
      <c r="X889" s="694"/>
      <c r="Y889" s="694"/>
      <c r="Z889" s="694"/>
      <c r="AA889" s="317"/>
      <c r="AB889" s="694"/>
      <c r="AC889" s="604"/>
      <c r="AD889" s="604"/>
      <c r="AE889" s="604"/>
    </row>
    <row r="890" spans="1:31">
      <c r="A890" s="604"/>
      <c r="B890" s="604"/>
      <c r="C890" s="604"/>
      <c r="D890" s="604"/>
      <c r="E890" s="604"/>
      <c r="F890" s="604"/>
      <c r="G890" s="604"/>
      <c r="H890" s="604"/>
      <c r="I890" s="604"/>
      <c r="J890" s="604"/>
      <c r="K890" s="604"/>
      <c r="L890" s="604"/>
      <c r="M890" s="604"/>
      <c r="N890" s="604"/>
      <c r="O890" s="604"/>
      <c r="P890" s="604"/>
      <c r="Q890" s="604"/>
      <c r="R890" s="604"/>
      <c r="S890" s="317"/>
      <c r="T890" s="604"/>
      <c r="U890" s="317"/>
      <c r="V890" s="694"/>
      <c r="W890" s="694"/>
      <c r="X890" s="694"/>
      <c r="Y890" s="694"/>
      <c r="Z890" s="694"/>
      <c r="AA890" s="317"/>
      <c r="AB890" s="694"/>
      <c r="AC890" s="604"/>
      <c r="AD890" s="604"/>
      <c r="AE890" s="604"/>
    </row>
    <row r="891" spans="1:31">
      <c r="A891" s="604"/>
      <c r="B891" s="604"/>
      <c r="C891" s="604"/>
      <c r="D891" s="604"/>
      <c r="E891" s="604"/>
      <c r="F891" s="604"/>
      <c r="G891" s="604"/>
      <c r="H891" s="604"/>
      <c r="I891" s="604"/>
      <c r="J891" s="604"/>
      <c r="K891" s="604"/>
      <c r="L891" s="604"/>
      <c r="M891" s="604"/>
      <c r="N891" s="604"/>
      <c r="O891" s="604"/>
      <c r="P891" s="604"/>
      <c r="Q891" s="604"/>
      <c r="R891" s="604"/>
      <c r="S891" s="317"/>
      <c r="T891" s="604"/>
      <c r="U891" s="317"/>
      <c r="V891" s="694"/>
      <c r="W891" s="694"/>
      <c r="X891" s="694"/>
      <c r="Y891" s="694"/>
      <c r="Z891" s="694"/>
      <c r="AA891" s="317"/>
      <c r="AB891" s="694"/>
      <c r="AC891" s="604"/>
      <c r="AD891" s="604"/>
      <c r="AE891" s="604"/>
    </row>
    <row r="892" spans="1:31">
      <c r="A892" s="604"/>
      <c r="B892" s="604"/>
      <c r="C892" s="604"/>
      <c r="D892" s="604"/>
      <c r="E892" s="604"/>
      <c r="F892" s="604"/>
      <c r="G892" s="604"/>
      <c r="H892" s="604"/>
      <c r="I892" s="604"/>
      <c r="J892" s="604"/>
      <c r="K892" s="604"/>
      <c r="L892" s="604"/>
      <c r="M892" s="604"/>
      <c r="N892" s="604"/>
      <c r="O892" s="604"/>
      <c r="P892" s="604"/>
      <c r="Q892" s="604"/>
      <c r="R892" s="604"/>
      <c r="S892" s="317"/>
      <c r="T892" s="604"/>
      <c r="U892" s="317"/>
      <c r="V892" s="694"/>
      <c r="W892" s="694"/>
      <c r="X892" s="694"/>
      <c r="Y892" s="694"/>
      <c r="Z892" s="694"/>
      <c r="AA892" s="317"/>
      <c r="AB892" s="694"/>
      <c r="AC892" s="604"/>
      <c r="AD892" s="604"/>
      <c r="AE892" s="604"/>
    </row>
    <row r="893" spans="1:31">
      <c r="A893" s="604"/>
      <c r="B893" s="604"/>
      <c r="C893" s="604"/>
      <c r="D893" s="604"/>
      <c r="E893" s="604"/>
      <c r="F893" s="604"/>
      <c r="G893" s="604"/>
      <c r="H893" s="604"/>
      <c r="I893" s="604"/>
      <c r="J893" s="604"/>
      <c r="K893" s="604"/>
      <c r="L893" s="604"/>
      <c r="M893" s="604"/>
      <c r="N893" s="604"/>
      <c r="O893" s="604"/>
      <c r="P893" s="604"/>
      <c r="Q893" s="604"/>
      <c r="R893" s="604"/>
      <c r="S893" s="317"/>
      <c r="T893" s="604"/>
      <c r="U893" s="317"/>
      <c r="V893" s="694"/>
      <c r="W893" s="694"/>
      <c r="X893" s="694"/>
      <c r="Y893" s="694"/>
      <c r="Z893" s="694"/>
      <c r="AA893" s="317"/>
      <c r="AB893" s="694"/>
      <c r="AC893" s="604"/>
      <c r="AD893" s="604"/>
      <c r="AE893" s="604"/>
    </row>
    <row r="894" spans="1:31">
      <c r="A894" s="604"/>
      <c r="B894" s="604"/>
      <c r="C894" s="604"/>
      <c r="D894" s="604"/>
      <c r="E894" s="604"/>
      <c r="F894" s="604"/>
      <c r="G894" s="604"/>
      <c r="H894" s="604"/>
      <c r="I894" s="604"/>
      <c r="J894" s="604"/>
      <c r="K894" s="604"/>
      <c r="L894" s="604"/>
      <c r="M894" s="604"/>
      <c r="N894" s="604"/>
      <c r="O894" s="604"/>
      <c r="P894" s="604"/>
      <c r="Q894" s="604"/>
      <c r="R894" s="604"/>
      <c r="S894" s="317"/>
      <c r="T894" s="604"/>
      <c r="U894" s="317"/>
      <c r="V894" s="694"/>
      <c r="W894" s="694"/>
      <c r="X894" s="694"/>
      <c r="Y894" s="694"/>
      <c r="Z894" s="694"/>
      <c r="AA894" s="317"/>
      <c r="AB894" s="694"/>
      <c r="AC894" s="604"/>
      <c r="AD894" s="604"/>
      <c r="AE894" s="604"/>
    </row>
    <row r="895" spans="1:31">
      <c r="A895" s="604"/>
      <c r="B895" s="604"/>
      <c r="C895" s="604"/>
      <c r="D895" s="604"/>
      <c r="E895" s="604"/>
      <c r="F895" s="604"/>
      <c r="G895" s="604"/>
      <c r="H895" s="604"/>
      <c r="I895" s="604"/>
      <c r="J895" s="604"/>
      <c r="K895" s="604"/>
      <c r="L895" s="604"/>
      <c r="M895" s="604"/>
      <c r="N895" s="604"/>
      <c r="O895" s="604"/>
      <c r="P895" s="604"/>
      <c r="Q895" s="604"/>
      <c r="R895" s="604"/>
      <c r="S895" s="317"/>
      <c r="T895" s="604"/>
      <c r="U895" s="317"/>
      <c r="V895" s="694"/>
      <c r="W895" s="694"/>
      <c r="X895" s="694"/>
      <c r="Y895" s="694"/>
      <c r="Z895" s="694"/>
      <c r="AA895" s="317"/>
      <c r="AB895" s="694"/>
      <c r="AC895" s="604"/>
      <c r="AD895" s="604"/>
      <c r="AE895" s="604"/>
    </row>
    <row r="896" spans="1:31">
      <c r="A896" s="604"/>
      <c r="B896" s="604"/>
      <c r="C896" s="604"/>
      <c r="D896" s="604"/>
      <c r="E896" s="604"/>
      <c r="F896" s="604"/>
      <c r="G896" s="604"/>
      <c r="H896" s="604"/>
      <c r="I896" s="604"/>
      <c r="J896" s="604"/>
      <c r="K896" s="604"/>
      <c r="L896" s="604"/>
      <c r="M896" s="604"/>
      <c r="N896" s="604"/>
      <c r="O896" s="604"/>
      <c r="P896" s="604"/>
      <c r="Q896" s="604"/>
      <c r="R896" s="604"/>
      <c r="S896" s="317"/>
      <c r="T896" s="604"/>
      <c r="U896" s="317"/>
      <c r="V896" s="694"/>
      <c r="W896" s="694"/>
      <c r="X896" s="694"/>
      <c r="Y896" s="694"/>
      <c r="Z896" s="694"/>
      <c r="AA896" s="317"/>
      <c r="AB896" s="694"/>
      <c r="AC896" s="604"/>
      <c r="AD896" s="604"/>
      <c r="AE896" s="604"/>
    </row>
    <row r="897" spans="1:31">
      <c r="A897" s="604"/>
      <c r="B897" s="604"/>
      <c r="C897" s="604"/>
      <c r="D897" s="604"/>
      <c r="E897" s="604"/>
      <c r="F897" s="604"/>
      <c r="G897" s="604"/>
      <c r="H897" s="604"/>
      <c r="I897" s="604"/>
      <c r="J897" s="604"/>
      <c r="K897" s="604"/>
      <c r="L897" s="604"/>
      <c r="M897" s="604"/>
      <c r="N897" s="604"/>
      <c r="O897" s="604"/>
      <c r="P897" s="604"/>
      <c r="Q897" s="604"/>
      <c r="R897" s="604"/>
      <c r="S897" s="317"/>
      <c r="T897" s="604"/>
      <c r="U897" s="317"/>
      <c r="V897" s="694"/>
      <c r="W897" s="694"/>
      <c r="X897" s="694"/>
      <c r="Y897" s="694"/>
      <c r="Z897" s="694"/>
      <c r="AA897" s="317"/>
      <c r="AB897" s="694"/>
      <c r="AC897" s="604"/>
      <c r="AD897" s="604"/>
      <c r="AE897" s="604"/>
    </row>
    <row r="898" spans="1:31">
      <c r="A898" s="604"/>
      <c r="B898" s="604"/>
      <c r="C898" s="604"/>
      <c r="D898" s="604"/>
      <c r="E898" s="604"/>
      <c r="F898" s="604"/>
      <c r="G898" s="604"/>
      <c r="H898" s="604"/>
      <c r="I898" s="604"/>
      <c r="J898" s="604"/>
      <c r="K898" s="604"/>
      <c r="L898" s="604"/>
      <c r="M898" s="604"/>
      <c r="N898" s="604"/>
      <c r="O898" s="604"/>
      <c r="P898" s="604"/>
      <c r="Q898" s="604"/>
      <c r="R898" s="604"/>
      <c r="S898" s="317"/>
      <c r="T898" s="604"/>
      <c r="U898" s="317"/>
      <c r="V898" s="694"/>
      <c r="W898" s="694"/>
      <c r="X898" s="694"/>
      <c r="Y898" s="694"/>
      <c r="Z898" s="694"/>
      <c r="AA898" s="317"/>
      <c r="AB898" s="694"/>
      <c r="AC898" s="604"/>
      <c r="AD898" s="604"/>
      <c r="AE898" s="604"/>
    </row>
    <row r="899" spans="1:31">
      <c r="A899" s="604"/>
      <c r="B899" s="604"/>
      <c r="C899" s="604"/>
      <c r="D899" s="604"/>
      <c r="E899" s="604"/>
      <c r="F899" s="604"/>
      <c r="G899" s="604"/>
      <c r="H899" s="604"/>
      <c r="I899" s="604"/>
      <c r="J899" s="604"/>
      <c r="K899" s="604"/>
      <c r="L899" s="604"/>
      <c r="M899" s="604"/>
      <c r="N899" s="604"/>
      <c r="O899" s="604"/>
      <c r="P899" s="604"/>
      <c r="Q899" s="604"/>
      <c r="R899" s="604"/>
      <c r="S899" s="317"/>
      <c r="T899" s="604"/>
      <c r="U899" s="317"/>
      <c r="V899" s="694"/>
      <c r="W899" s="694"/>
      <c r="X899" s="694"/>
      <c r="Y899" s="694"/>
      <c r="Z899" s="694"/>
      <c r="AA899" s="317"/>
      <c r="AB899" s="694"/>
      <c r="AC899" s="604"/>
      <c r="AD899" s="604"/>
      <c r="AE899" s="604"/>
    </row>
  </sheetData>
  <mergeCells count="2">
    <mergeCell ref="B11:B12"/>
    <mergeCell ref="D11:D12"/>
  </mergeCells>
  <phoneticPr fontId="141" type="noConversion"/>
  <pageMargins left="0.7" right="0.7" top="1.25" bottom="0.75" header="0.3" footer="0.3"/>
  <pageSetup scale="40" fitToHeight="0" orientation="landscape" horizontalDpi="1200" verticalDpi="1200" r:id="rId1"/>
  <headerFooter scaleWithDoc="0" alignWithMargins="0">
    <oddHeader>&amp;R&amp;P of &amp;N</oddHeader>
    <oddFooter>&amp;LElectronic Tab Name: &amp;A</oddFooter>
  </headerFooter>
  <colBreaks count="1" manualBreakCount="1">
    <brk id="16" max="641" man="1"/>
  </colBreaks>
  <ignoredErrors>
    <ignoredError sqref="F8:R8"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2D287-4862-43C9-92C4-4BDD8725F678}">
  <sheetPr codeName="Sheet78">
    <tabColor theme="5"/>
  </sheetPr>
  <dimension ref="A1:M18"/>
  <sheetViews>
    <sheetView showGridLines="0" zoomScale="80" zoomScaleNormal="80" workbookViewId="0">
      <selection activeCell="F27" sqref="F27"/>
    </sheetView>
  </sheetViews>
  <sheetFormatPr defaultColWidth="8.88671875" defaultRowHeight="14.4"/>
  <cols>
    <col min="1" max="16384" width="8.88671875" style="613"/>
  </cols>
  <sheetData>
    <row r="1" spans="1:13">
      <c r="A1" s="873" t="str">
        <f ca="1">MID(CELL("filename",A1),FIND("]",CELL("filename",A1))+1,255)</f>
        <v>Rate Design ---&gt;</v>
      </c>
    </row>
    <row r="2" spans="1:13">
      <c r="B2" s="1834" t="s">
        <v>2598</v>
      </c>
      <c r="C2" s="1834"/>
      <c r="D2" s="1834"/>
      <c r="E2" s="1834"/>
      <c r="F2" s="1834"/>
      <c r="G2" s="1834"/>
      <c r="H2" s="1834"/>
      <c r="I2" s="1834"/>
      <c r="J2" s="1834"/>
      <c r="K2" s="1834"/>
      <c r="L2" s="1834"/>
      <c r="M2" s="1834"/>
    </row>
    <row r="3" spans="1:13">
      <c r="B3" s="1834"/>
      <c r="C3" s="1834"/>
      <c r="D3" s="1834"/>
      <c r="E3" s="1834"/>
      <c r="F3" s="1834"/>
      <c r="G3" s="1834"/>
      <c r="H3" s="1834"/>
      <c r="I3" s="1834"/>
      <c r="J3" s="1834"/>
      <c r="K3" s="1834"/>
      <c r="L3" s="1834"/>
      <c r="M3" s="1834"/>
    </row>
    <row r="4" spans="1:13">
      <c r="B4" s="1834"/>
      <c r="C4" s="1834"/>
      <c r="D4" s="1834"/>
      <c r="E4" s="1834"/>
      <c r="F4" s="1834"/>
      <c r="G4" s="1834"/>
      <c r="H4" s="1834"/>
      <c r="I4" s="1834"/>
      <c r="J4" s="1834"/>
      <c r="K4" s="1834"/>
      <c r="L4" s="1834"/>
      <c r="M4" s="1834"/>
    </row>
    <row r="5" spans="1:13">
      <c r="B5" s="1834"/>
      <c r="C5" s="1834"/>
      <c r="D5" s="1834"/>
      <c r="E5" s="1834"/>
      <c r="F5" s="1834"/>
      <c r="G5" s="1834"/>
      <c r="H5" s="1834"/>
      <c r="I5" s="1834"/>
      <c r="J5" s="1834"/>
      <c r="K5" s="1834"/>
      <c r="L5" s="1834"/>
      <c r="M5" s="1834"/>
    </row>
    <row r="6" spans="1:13">
      <c r="B6" s="1834"/>
      <c r="C6" s="1834"/>
      <c r="D6" s="1834"/>
      <c r="E6" s="1834"/>
      <c r="F6" s="1834"/>
      <c r="G6" s="1834"/>
      <c r="H6" s="1834"/>
      <c r="I6" s="1834"/>
      <c r="J6" s="1834"/>
      <c r="K6" s="1834"/>
      <c r="L6" s="1834"/>
      <c r="M6" s="1834"/>
    </row>
    <row r="7" spans="1:13">
      <c r="B7" s="1834"/>
      <c r="C7" s="1834"/>
      <c r="D7" s="1834"/>
      <c r="E7" s="1834"/>
      <c r="F7" s="1834"/>
      <c r="G7" s="1834"/>
      <c r="H7" s="1834"/>
      <c r="I7" s="1834"/>
      <c r="J7" s="1834"/>
      <c r="K7" s="1834"/>
      <c r="L7" s="1834"/>
      <c r="M7" s="1834"/>
    </row>
    <row r="8" spans="1:13">
      <c r="B8" s="1834"/>
      <c r="C8" s="1834"/>
      <c r="D8" s="1834"/>
      <c r="E8" s="1834"/>
      <c r="F8" s="1834"/>
      <c r="G8" s="1834"/>
      <c r="H8" s="1834"/>
      <c r="I8" s="1834"/>
      <c r="J8" s="1834"/>
      <c r="K8" s="1834"/>
      <c r="L8" s="1834"/>
      <c r="M8" s="1834"/>
    </row>
    <row r="9" spans="1:13">
      <c r="B9" s="1834"/>
      <c r="C9" s="1834"/>
      <c r="D9" s="1834"/>
      <c r="E9" s="1834"/>
      <c r="F9" s="1834"/>
      <c r="G9" s="1834"/>
      <c r="H9" s="1834"/>
      <c r="I9" s="1834"/>
      <c r="J9" s="1834"/>
      <c r="K9" s="1834"/>
      <c r="L9" s="1834"/>
      <c r="M9" s="1834"/>
    </row>
    <row r="10" spans="1:13">
      <c r="B10" s="1834"/>
      <c r="C10" s="1834"/>
      <c r="D10" s="1834"/>
      <c r="E10" s="1834"/>
      <c r="F10" s="1834"/>
      <c r="G10" s="1834"/>
      <c r="H10" s="1834"/>
      <c r="I10" s="1834"/>
      <c r="J10" s="1834"/>
      <c r="K10" s="1834"/>
      <c r="L10" s="1834"/>
      <c r="M10" s="1834"/>
    </row>
    <row r="11" spans="1:13">
      <c r="B11" s="1834"/>
      <c r="C11" s="1834"/>
      <c r="D11" s="1834"/>
      <c r="E11" s="1834"/>
      <c r="F11" s="1834"/>
      <c r="G11" s="1834"/>
      <c r="H11" s="1834"/>
      <c r="I11" s="1834"/>
      <c r="J11" s="1834"/>
      <c r="K11" s="1834"/>
      <c r="L11" s="1834"/>
      <c r="M11" s="1834"/>
    </row>
    <row r="12" spans="1:13">
      <c r="B12" s="1834"/>
      <c r="C12" s="1834"/>
      <c r="D12" s="1834"/>
      <c r="E12" s="1834"/>
      <c r="F12" s="1834"/>
      <c r="G12" s="1834"/>
      <c r="H12" s="1834"/>
      <c r="I12" s="1834"/>
      <c r="J12" s="1834"/>
      <c r="K12" s="1834"/>
      <c r="L12" s="1834"/>
      <c r="M12" s="1834"/>
    </row>
    <row r="13" spans="1:13">
      <c r="B13" s="1834"/>
      <c r="C13" s="1834"/>
      <c r="D13" s="1834"/>
      <c r="E13" s="1834"/>
      <c r="F13" s="1834"/>
      <c r="G13" s="1834"/>
      <c r="H13" s="1834"/>
      <c r="I13" s="1834"/>
      <c r="J13" s="1834"/>
      <c r="K13" s="1834"/>
      <c r="L13" s="1834"/>
      <c r="M13" s="1834"/>
    </row>
    <row r="14" spans="1:13">
      <c r="B14" s="1834"/>
      <c r="C14" s="1834"/>
      <c r="D14" s="1834"/>
      <c r="E14" s="1834"/>
      <c r="F14" s="1834"/>
      <c r="G14" s="1834"/>
      <c r="H14" s="1834"/>
      <c r="I14" s="1834"/>
      <c r="J14" s="1834"/>
      <c r="K14" s="1834"/>
      <c r="L14" s="1834"/>
      <c r="M14" s="1834"/>
    </row>
    <row r="15" spans="1:13">
      <c r="B15" s="1834"/>
      <c r="C15" s="1834"/>
      <c r="D15" s="1834"/>
      <c r="E15" s="1834"/>
      <c r="F15" s="1834"/>
      <c r="G15" s="1834"/>
      <c r="H15" s="1834"/>
      <c r="I15" s="1834"/>
      <c r="J15" s="1834"/>
      <c r="K15" s="1834"/>
      <c r="L15" s="1834"/>
      <c r="M15" s="1834"/>
    </row>
    <row r="16" spans="1:13">
      <c r="B16" s="1834"/>
      <c r="C16" s="1834"/>
      <c r="D16" s="1834"/>
      <c r="E16" s="1834"/>
      <c r="F16" s="1834"/>
      <c r="G16" s="1834"/>
      <c r="H16" s="1834"/>
      <c r="I16" s="1834"/>
      <c r="J16" s="1834"/>
      <c r="K16" s="1834"/>
      <c r="L16" s="1834"/>
      <c r="M16" s="1834"/>
    </row>
    <row r="17" spans="2:13">
      <c r="B17" s="1834"/>
      <c r="C17" s="1834"/>
      <c r="D17" s="1834"/>
      <c r="E17" s="1834"/>
      <c r="F17" s="1834"/>
      <c r="G17" s="1834"/>
      <c r="H17" s="1834"/>
      <c r="I17" s="1834"/>
      <c r="J17" s="1834"/>
      <c r="K17" s="1834"/>
      <c r="L17" s="1834"/>
      <c r="M17" s="1834"/>
    </row>
    <row r="18" spans="2:13">
      <c r="B18" s="1834"/>
      <c r="C18" s="1834"/>
      <c r="D18" s="1834"/>
      <c r="E18" s="1834"/>
      <c r="F18" s="1834"/>
      <c r="G18" s="1834"/>
      <c r="H18" s="1834"/>
      <c r="I18" s="1834"/>
      <c r="J18" s="1834"/>
      <c r="K18" s="1834"/>
      <c r="L18" s="1834"/>
      <c r="M18" s="1834"/>
    </row>
  </sheetData>
  <mergeCells count="1">
    <mergeCell ref="B2:M18"/>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5C490-2955-41F2-B84B-4900E13ADE5B}">
  <sheetPr codeName="Sheet79">
    <tabColor theme="5"/>
  </sheetPr>
  <dimension ref="A1:J43"/>
  <sheetViews>
    <sheetView topLeftCell="A7" zoomScale="80" zoomScaleNormal="80" workbookViewId="0">
      <selection activeCell="F27" sqref="F27"/>
    </sheetView>
  </sheetViews>
  <sheetFormatPr defaultColWidth="8.88671875" defaultRowHeight="14.4"/>
  <cols>
    <col min="1" max="1" width="2.6640625" style="830" customWidth="1"/>
    <col min="2" max="2" width="29.88671875" style="830" customWidth="1"/>
    <col min="3" max="6" width="16.88671875" style="830" customWidth="1"/>
    <col min="7" max="7" width="2.6640625" style="830" customWidth="1"/>
    <col min="8" max="16384" width="8.88671875" style="830"/>
  </cols>
  <sheetData>
    <row r="1" spans="1:10">
      <c r="A1" s="849" t="s">
        <v>52</v>
      </c>
      <c r="G1" s="1331" t="s">
        <v>2452</v>
      </c>
      <c r="H1" s="830" t="s">
        <v>49</v>
      </c>
      <c r="J1" s="830" t="s">
        <v>49</v>
      </c>
    </row>
    <row r="2" spans="1:10">
      <c r="A2" s="849" t="s">
        <v>2453</v>
      </c>
      <c r="G2" s="1331" t="s">
        <v>2454</v>
      </c>
    </row>
    <row r="3" spans="1:10">
      <c r="A3" s="849" t="s">
        <v>2455</v>
      </c>
      <c r="G3" s="1332" t="s">
        <v>2456</v>
      </c>
    </row>
    <row r="4" spans="1:10">
      <c r="A4" s="849"/>
      <c r="G4" s="1332" t="s">
        <v>2457</v>
      </c>
    </row>
    <row r="5" spans="1:10" ht="5.25" customHeight="1" thickBot="1">
      <c r="A5" s="849"/>
      <c r="G5" s="1332"/>
    </row>
    <row r="6" spans="1:10">
      <c r="B6" s="1313"/>
      <c r="C6" s="1333" t="s">
        <v>67</v>
      </c>
      <c r="D6" s="1334"/>
      <c r="E6" s="1334"/>
      <c r="F6" s="1314"/>
    </row>
    <row r="7" spans="1:10" ht="15" thickBot="1">
      <c r="B7" s="1315" t="s">
        <v>2458</v>
      </c>
      <c r="C7" s="1335" t="s">
        <v>1089</v>
      </c>
      <c r="D7" s="1319" t="s">
        <v>2314</v>
      </c>
      <c r="E7" s="1319" t="s">
        <v>2459</v>
      </c>
      <c r="F7" s="1320" t="s">
        <v>2460</v>
      </c>
    </row>
    <row r="8" spans="1:10" ht="5.4" customHeight="1">
      <c r="B8" s="831"/>
      <c r="C8" s="832"/>
      <c r="D8" s="832"/>
      <c r="E8" s="832"/>
      <c r="F8" s="1336"/>
    </row>
    <row r="9" spans="1:10" ht="16.2">
      <c r="B9" s="821" t="s">
        <v>2461</v>
      </c>
      <c r="F9" s="1180"/>
    </row>
    <row r="10" spans="1:10">
      <c r="B10" s="840" t="s">
        <v>2462</v>
      </c>
      <c r="C10" s="827">
        <f>'Exh 18, Class Rates'!F9</f>
        <v>11721540</v>
      </c>
      <c r="D10" s="827">
        <f>'Exh 18, Class Rates'!I9</f>
        <v>11721540</v>
      </c>
      <c r="E10" s="827">
        <f>D10-C10</f>
        <v>0</v>
      </c>
      <c r="F10" s="1339">
        <f>IFERROR(E10/C10,"")</f>
        <v>0</v>
      </c>
    </row>
    <row r="11" spans="1:10">
      <c r="B11" s="840" t="s">
        <v>2463</v>
      </c>
      <c r="C11" s="899">
        <f>'Exh 18, Class Rates'!F10</f>
        <v>40936094.469999999</v>
      </c>
      <c r="D11" s="899">
        <f>'Exh 18, Class Rates'!I10</f>
        <v>40743736.200000003</v>
      </c>
      <c r="E11" s="899">
        <f>D11-C11</f>
        <v>-192358.26999999583</v>
      </c>
      <c r="F11" s="1339">
        <f>E11/C11</f>
        <v>-4.6989893024837904E-3</v>
      </c>
    </row>
    <row r="12" spans="1:10" ht="16.8" thickBot="1">
      <c r="B12" s="1327" t="str">
        <f>"Total "&amp;RIGHT(B9,3)&amp;" Revenue"</f>
        <v>Total 503 Revenue</v>
      </c>
      <c r="C12" s="844">
        <f>SUM(C10:C11)</f>
        <v>52657634.469999999</v>
      </c>
      <c r="D12" s="844">
        <f>SUM(D10:D11)</f>
        <v>52465276.200000003</v>
      </c>
      <c r="E12" s="844">
        <f>ROUND(D12-C12,2)</f>
        <v>-192358.27</v>
      </c>
      <c r="F12" s="1340">
        <f>E12/C12</f>
        <v>-3.6529986949867632E-3</v>
      </c>
    </row>
    <row r="13" spans="1:10" ht="5.4" customHeight="1">
      <c r="B13" s="831"/>
      <c r="C13" s="832"/>
      <c r="D13" s="832"/>
      <c r="E13" s="832"/>
      <c r="F13" s="1341"/>
    </row>
    <row r="14" spans="1:10" ht="16.2">
      <c r="B14" s="821" t="s">
        <v>2464</v>
      </c>
      <c r="F14" s="1342"/>
    </row>
    <row r="15" spans="1:10">
      <c r="B15" s="840" t="s">
        <v>2462</v>
      </c>
      <c r="C15" s="827">
        <f>'Exh 18, Class Rates'!F15</f>
        <v>4187508</v>
      </c>
      <c r="D15" s="827">
        <f>'Exh 18, Class Rates'!I15</f>
        <v>4187508</v>
      </c>
      <c r="E15" s="827">
        <f>D15-C15</f>
        <v>0</v>
      </c>
      <c r="F15" s="1339">
        <f>IFERROR(E15/C15,"")</f>
        <v>0</v>
      </c>
    </row>
    <row r="16" spans="1:10">
      <c r="B16" s="840" t="s">
        <v>2463</v>
      </c>
      <c r="C16" s="899">
        <f>'Exh 18, Class Rates'!F16</f>
        <v>24424893.670000002</v>
      </c>
      <c r="D16" s="899">
        <f>'Exh 18, Class Rates'!I16</f>
        <v>24310121.350000001</v>
      </c>
      <c r="E16" s="899">
        <f>D16-C16</f>
        <v>-114772.3200000003</v>
      </c>
      <c r="F16" s="1339">
        <f>E16/C16</f>
        <v>-4.6989895452838751E-3</v>
      </c>
    </row>
    <row r="17" spans="2:6" ht="16.8" thickBot="1">
      <c r="B17" s="1327" t="str">
        <f>"Total "&amp;RIGHT(B14,3)&amp;" Revenue"</f>
        <v>Total 504 Revenue</v>
      </c>
      <c r="C17" s="844">
        <f>SUM(C15:C16)</f>
        <v>28612401.670000002</v>
      </c>
      <c r="D17" s="844">
        <f>SUM(D15:D16)</f>
        <v>28497629.350000001</v>
      </c>
      <c r="E17" s="844">
        <f>ROUND(D17-C17,2)</f>
        <v>-114772.32</v>
      </c>
      <c r="F17" s="1340">
        <f>E17/C17</f>
        <v>-4.0112787917533799E-3</v>
      </c>
    </row>
    <row r="18" spans="2:6" ht="5.4" customHeight="1">
      <c r="B18" s="831"/>
      <c r="C18" s="832"/>
      <c r="D18" s="832"/>
      <c r="E18" s="832"/>
      <c r="F18" s="1341"/>
    </row>
    <row r="19" spans="2:6" ht="16.2">
      <c r="B19" s="821" t="s">
        <v>2465</v>
      </c>
      <c r="F19" s="1342"/>
    </row>
    <row r="20" spans="2:6">
      <c r="B20" s="840" t="s">
        <v>2462</v>
      </c>
      <c r="C20" s="827">
        <f>'Exh 18, Class Rates'!F21</f>
        <v>351360</v>
      </c>
      <c r="D20" s="827">
        <f>'Exh 18, Class Rates'!I21</f>
        <v>351360</v>
      </c>
      <c r="E20" s="827">
        <f>D20-C20</f>
        <v>0</v>
      </c>
      <c r="F20" s="1339">
        <f>IFERROR(E20/C20,"")</f>
        <v>0</v>
      </c>
    </row>
    <row r="21" spans="2:6">
      <c r="B21" s="840" t="s">
        <v>2463</v>
      </c>
      <c r="C21" s="899">
        <f>SUM('Exh 18, Class Rates'!F22:F24)</f>
        <v>2229507.4500000002</v>
      </c>
      <c r="D21" s="899">
        <f>SUM('Exh 18, Class Rates'!I22:I24)</f>
        <v>2219031.02</v>
      </c>
      <c r="E21" s="899">
        <f>D21-C21</f>
        <v>-10476.430000000168</v>
      </c>
      <c r="F21" s="1339">
        <f>E21/C21</f>
        <v>-4.6989885591098455E-3</v>
      </c>
    </row>
    <row r="22" spans="2:6" ht="16.8" thickBot="1">
      <c r="B22" s="1327" t="str">
        <f>"Total "&amp;RIGHT(B19,3)&amp;" Revenue"</f>
        <v>Total 505 Revenue</v>
      </c>
      <c r="C22" s="844">
        <f>SUM(C20:C21)</f>
        <v>2580867.4500000002</v>
      </c>
      <c r="D22" s="844">
        <f>SUM(D20:D21)</f>
        <v>2570391.02</v>
      </c>
      <c r="E22" s="844">
        <f>ROUND(D22-C22,2)</f>
        <v>-10476.43</v>
      </c>
      <c r="F22" s="1340">
        <f>E22/C22</f>
        <v>-4.0592669724282045E-3</v>
      </c>
    </row>
    <row r="23" spans="2:6" ht="5.4" customHeight="1">
      <c r="B23" s="831"/>
      <c r="C23" s="832"/>
      <c r="D23" s="832"/>
      <c r="E23" s="832"/>
      <c r="F23" s="1341"/>
    </row>
    <row r="24" spans="2:6" ht="16.2">
      <c r="B24" s="821" t="s">
        <v>2466</v>
      </c>
      <c r="F24" s="1342"/>
    </row>
    <row r="25" spans="2:6">
      <c r="B25" s="840" t="s">
        <v>2462</v>
      </c>
      <c r="C25" s="827">
        <f>'Exh 18, Class Rates'!F29</f>
        <v>135000</v>
      </c>
      <c r="D25" s="827">
        <f>'Exh 18, Class Rates'!I29</f>
        <v>135000</v>
      </c>
      <c r="E25" s="827">
        <f>D25-C25</f>
        <v>0</v>
      </c>
      <c r="F25" s="1339" t="s">
        <v>2467</v>
      </c>
    </row>
    <row r="26" spans="2:6">
      <c r="B26" s="840" t="s">
        <v>2463</v>
      </c>
      <c r="C26" s="899">
        <f>SUM('Exh 18, Class Rates'!F30:F32)</f>
        <v>1973526.7400000002</v>
      </c>
      <c r="D26" s="899">
        <f>SUM('Exh 18, Class Rates'!I30:I32)</f>
        <v>1964253.1600000001</v>
      </c>
      <c r="E26" s="899">
        <f>D26-C26</f>
        <v>-9273.5800000000745</v>
      </c>
      <c r="F26" s="1339">
        <f>E26/C26</f>
        <v>-4.6989887757994467E-3</v>
      </c>
    </row>
    <row r="27" spans="2:6" ht="16.8" thickBot="1">
      <c r="B27" s="1327" t="str">
        <f>"Total "&amp;RIGHT(B24,3)&amp;" Revenue"</f>
        <v>Total 511 Revenue</v>
      </c>
      <c r="C27" s="844">
        <f>SUM(C25:C26)</f>
        <v>2108526.7400000002</v>
      </c>
      <c r="D27" s="844">
        <f>SUM(D25:D26)</f>
        <v>2099253.16</v>
      </c>
      <c r="E27" s="844">
        <f>ROUND(D27-C27,2)</f>
        <v>-9273.58</v>
      </c>
      <c r="F27" s="1340">
        <f>E27/C27</f>
        <v>-4.3981325083882975E-3</v>
      </c>
    </row>
    <row r="28" spans="2:6" ht="5.4" customHeight="1">
      <c r="B28" s="831"/>
      <c r="C28" s="832"/>
      <c r="D28" s="832"/>
      <c r="E28" s="832"/>
      <c r="F28" s="1341"/>
    </row>
    <row r="29" spans="2:6" ht="16.2">
      <c r="B29" s="821" t="s">
        <v>2468</v>
      </c>
      <c r="F29" s="1342"/>
    </row>
    <row r="30" spans="2:6">
      <c r="B30" s="840" t="s">
        <v>2462</v>
      </c>
      <c r="C30" s="827">
        <f>'Exh 18, Class Rates'!F37</f>
        <v>1412500</v>
      </c>
      <c r="D30" s="827">
        <f>'Exh 18, Class Rates'!I37</f>
        <v>1412500</v>
      </c>
      <c r="E30" s="827">
        <f>D30-C30</f>
        <v>0</v>
      </c>
      <c r="F30" s="1339">
        <f>IFERROR(E30/C30,"")</f>
        <v>0</v>
      </c>
    </row>
    <row r="31" spans="2:6">
      <c r="B31" s="840" t="s">
        <v>2469</v>
      </c>
      <c r="C31" s="827">
        <f>'Exh 18, Class Rates'!F38</f>
        <v>6070830.4000000004</v>
      </c>
      <c r="D31" s="827">
        <f>'Exh 18, Class Rates'!I38</f>
        <v>6070830.4000000004</v>
      </c>
      <c r="E31" s="827">
        <f>D31-C31</f>
        <v>0</v>
      </c>
      <c r="F31" s="1339" t="s">
        <v>2467</v>
      </c>
    </row>
    <row r="32" spans="2:6">
      <c r="B32" s="840" t="s">
        <v>2463</v>
      </c>
      <c r="C32" s="899">
        <f>SUM('Exh 18, Class Rates'!F50:F51)</f>
        <v>145753.08000000002</v>
      </c>
      <c r="D32" s="899">
        <f>SUM('Exh 18, Class Rates'!I50:I51)</f>
        <v>145068.19</v>
      </c>
      <c r="E32" s="899">
        <f>D32-C32</f>
        <v>-684.89000000001397</v>
      </c>
      <c r="F32" s="1339">
        <f>E32/C32</f>
        <v>-4.6989744573494698E-3</v>
      </c>
    </row>
    <row r="33" spans="2:6" ht="16.8" thickBot="1">
      <c r="B33" s="1327" t="str">
        <f>"Total "&amp;RIGHT(B29,3)&amp;" Revenue"</f>
        <v>Total 570 Revenue</v>
      </c>
      <c r="C33" s="844">
        <f>SUM(C30:C32)</f>
        <v>7629083.4800000004</v>
      </c>
      <c r="D33" s="844">
        <f>SUM(D30:D32)</f>
        <v>7628398.5900000008</v>
      </c>
      <c r="E33" s="844">
        <f>ROUND(D33-C33,2)</f>
        <v>-684.89</v>
      </c>
      <c r="F33" s="1340">
        <f>E33/C33</f>
        <v>-8.9773562157953986E-5</v>
      </c>
    </row>
    <row r="34" spans="2:6" ht="16.2">
      <c r="B34" s="821" t="s">
        <v>2470</v>
      </c>
      <c r="F34" s="1342"/>
    </row>
    <row r="35" spans="2:6">
      <c r="B35" s="840" t="s">
        <v>2462</v>
      </c>
      <c r="C35" s="827">
        <f>'Exh 18, Class Rates'!$F$37</f>
        <v>1412500</v>
      </c>
      <c r="D35" s="827">
        <f>'Exh 18, Class Rates'!$I$37</f>
        <v>1412500</v>
      </c>
      <c r="E35" s="827">
        <f>D35-C35</f>
        <v>0</v>
      </c>
      <c r="F35" s="1339">
        <f>IFERROR(E35/C35,"")</f>
        <v>0</v>
      </c>
    </row>
    <row r="36" spans="2:6">
      <c r="B36" s="840" t="s">
        <v>2469</v>
      </c>
      <c r="C36" s="827">
        <f>'Exh 18, Class Rates'!$F$38</f>
        <v>6070830.4000000004</v>
      </c>
      <c r="D36" s="827">
        <f>'Exh 18, Class Rates'!$I$38</f>
        <v>6070830.4000000004</v>
      </c>
      <c r="E36" s="827">
        <f>D36-C36</f>
        <v>0</v>
      </c>
      <c r="F36" s="1339" t="s">
        <v>2467</v>
      </c>
    </row>
    <row r="37" spans="2:6">
      <c r="B37" s="840" t="s">
        <v>2463</v>
      </c>
      <c r="C37" s="899">
        <f>SUM('Exh 18, Class Rates'!F40:F43)</f>
        <v>13346954.9</v>
      </c>
      <c r="D37" s="899">
        <f>SUM('Exh 18, Class Rates'!I40:I43)</f>
        <v>13284237.699999999</v>
      </c>
      <c r="E37" s="827">
        <f>D37-C37</f>
        <v>-62717.200000001118</v>
      </c>
      <c r="F37" s="1339">
        <f>E37/C37</f>
        <v>-4.6989894301659113E-3</v>
      </c>
    </row>
    <row r="38" spans="2:6" ht="16.8" thickBot="1">
      <c r="B38" s="1327" t="str">
        <f>"Total "&amp;RIGHT(B34,3)&amp;" Revenue"</f>
        <v>Total 663 Revenue</v>
      </c>
      <c r="C38" s="844">
        <f>SUM(C35:C37)</f>
        <v>20830285.300000001</v>
      </c>
      <c r="D38" s="844">
        <f>SUM(D35:D37)</f>
        <v>20767568.100000001</v>
      </c>
      <c r="E38" s="844">
        <f>ROUND(D38-C38,2)</f>
        <v>-62717.2</v>
      </c>
      <c r="F38" s="1340">
        <f>E38/C38</f>
        <v>-3.0108661065722415E-3</v>
      </c>
    </row>
    <row r="39" spans="2:6" ht="15" thickBot="1">
      <c r="B39" s="1337" t="s">
        <v>113</v>
      </c>
      <c r="C39" s="1338">
        <f>SUM(C12,C17,C22,C27,C33, C38)</f>
        <v>114418799.11</v>
      </c>
      <c r="D39" s="1338">
        <f>SUM(D12,D17,D22,D27,D33, D38)</f>
        <v>114028516.42000002</v>
      </c>
      <c r="E39" s="1338">
        <f>SUM(E12,E17,E22,E27,E33, E38)</f>
        <v>-390282.69</v>
      </c>
      <c r="F39" s="1220"/>
    </row>
    <row r="40" spans="2:6">
      <c r="D40" s="928"/>
      <c r="E40" s="928"/>
    </row>
    <row r="41" spans="2:6">
      <c r="D41" s="1200"/>
      <c r="E41" s="836">
        <f>E39/C39</f>
        <v>-3.411001452871305E-3</v>
      </c>
    </row>
    <row r="43" spans="2:6">
      <c r="D43" s="836"/>
    </row>
  </sheetData>
  <printOptions horizontalCentered="1"/>
  <pageMargins left="0.7" right="0.7" top="0.5" bottom="0.5" header="0.3" footer="0.3"/>
  <pageSetup scale="85"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FBE7E-9737-4E71-A9D2-5437C3580D2D}">
  <sheetPr codeName="Sheet80">
    <tabColor theme="5"/>
    <pageSetUpPr fitToPage="1"/>
  </sheetPr>
  <dimension ref="A1:AA57"/>
  <sheetViews>
    <sheetView zoomScale="80" zoomScaleNormal="80" workbookViewId="0">
      <selection activeCell="F27" sqref="F27"/>
    </sheetView>
  </sheetViews>
  <sheetFormatPr defaultColWidth="8.88671875" defaultRowHeight="14.4"/>
  <cols>
    <col min="1" max="1" width="8" style="1311" bestFit="1" customWidth="1"/>
    <col min="2" max="2" width="1.5546875" style="830" customWidth="1"/>
    <col min="3" max="3" width="35.5546875" style="830" bestFit="1" customWidth="1"/>
    <col min="4" max="4" width="13" style="830" customWidth="1"/>
    <col min="5" max="5" width="15.88671875" style="830" customWidth="1"/>
    <col min="6" max="6" width="14.5546875" style="830" bestFit="1" customWidth="1"/>
    <col min="7" max="7" width="14.5546875" style="899" customWidth="1"/>
    <col min="8" max="8" width="15.44140625" style="830" bestFit="1" customWidth="1"/>
    <col min="9" max="9" width="13.44140625" style="830" bestFit="1" customWidth="1"/>
    <col min="10" max="10" width="12.44140625" style="830" bestFit="1" customWidth="1"/>
    <col min="11" max="11" width="10.6640625" style="830" bestFit="1" customWidth="1"/>
    <col min="12" max="12" width="10" style="830" customWidth="1"/>
    <col min="13" max="13" width="16.109375" style="830" customWidth="1"/>
    <col min="14" max="14" width="30" style="830" customWidth="1"/>
    <col min="15" max="15" width="17.33203125" style="830" bestFit="1" customWidth="1"/>
    <col min="16" max="16" width="35.6640625" style="830" bestFit="1" customWidth="1"/>
    <col min="17" max="17" width="12.88671875" style="830" bestFit="1" customWidth="1"/>
    <col min="18" max="18" width="8.88671875" style="830"/>
    <col min="19" max="19" width="13" style="830" customWidth="1"/>
    <col min="20" max="20" width="14.5546875" style="830" bestFit="1" customWidth="1"/>
    <col min="21" max="21" width="13.44140625" style="830" bestFit="1" customWidth="1"/>
    <col min="22" max="23" width="11.88671875" style="830" bestFit="1" customWidth="1"/>
    <col min="24" max="24" width="13.33203125" style="830" bestFit="1" customWidth="1"/>
    <col min="25" max="25" width="11.88671875" style="830" bestFit="1" customWidth="1"/>
    <col min="26" max="26" width="14.5546875" style="830" bestFit="1" customWidth="1"/>
    <col min="27" max="27" width="12.88671875" style="830" bestFit="1" customWidth="1"/>
    <col min="28" max="16384" width="8.88671875" style="830"/>
  </cols>
  <sheetData>
    <row r="1" spans="2:27">
      <c r="B1" s="849" t="str">
        <f>'Exh 17, Class Revenue'!A1</f>
        <v>Cascade Natural Gas Corporation</v>
      </c>
      <c r="I1" s="830" t="s">
        <v>49</v>
      </c>
      <c r="K1" s="830" t="s">
        <v>49</v>
      </c>
      <c r="L1" s="847" t="s">
        <v>2471</v>
      </c>
    </row>
    <row r="2" spans="2:27">
      <c r="B2" s="849" t="str">
        <f>'Exh 17, Class Revenue'!A2</f>
        <v>Washington Jurisdiction</v>
      </c>
      <c r="L2" s="847" t="s">
        <v>2454</v>
      </c>
      <c r="P2" s="850"/>
      <c r="Q2" s="1312"/>
      <c r="S2" s="849"/>
    </row>
    <row r="3" spans="2:27">
      <c r="B3" s="849" t="str">
        <f>'Exh 17, Class Revenue'!A3</f>
        <v>Test Year Ended December 31, 2019</v>
      </c>
      <c r="L3" s="850" t="s">
        <v>2472</v>
      </c>
      <c r="M3" s="849"/>
      <c r="N3" s="849"/>
      <c r="P3" s="850"/>
      <c r="Q3" s="1312"/>
    </row>
    <row r="4" spans="2:27">
      <c r="B4" s="849"/>
      <c r="M4" s="899"/>
      <c r="N4" s="849"/>
      <c r="P4" s="850"/>
      <c r="Q4" s="836"/>
      <c r="T4" s="1200"/>
      <c r="U4" s="1200"/>
      <c r="V4" s="1200"/>
      <c r="W4" s="1200"/>
      <c r="X4" s="1200"/>
      <c r="Y4" s="1200"/>
      <c r="Z4" s="1200"/>
    </row>
    <row r="5" spans="2:27">
      <c r="C5" s="1545"/>
      <c r="D5" s="1957" t="s">
        <v>2473</v>
      </c>
      <c r="E5" s="1958"/>
      <c r="F5" s="1959"/>
      <c r="G5" s="1957" t="s">
        <v>2474</v>
      </c>
      <c r="H5" s="1958"/>
      <c r="I5" s="1959"/>
      <c r="J5" s="1546" t="s">
        <v>1807</v>
      </c>
      <c r="K5" s="1547"/>
      <c r="P5" s="850"/>
      <c r="Q5" s="1312"/>
      <c r="T5" s="1312"/>
      <c r="U5" s="1312"/>
      <c r="V5" s="1312"/>
      <c r="W5" s="1312"/>
      <c r="X5" s="1312"/>
      <c r="Y5" s="1312"/>
      <c r="Z5" s="1312"/>
      <c r="AA5" s="1312"/>
    </row>
    <row r="6" spans="2:27" ht="29.4" thickBot="1">
      <c r="C6" s="1548" t="s">
        <v>2458</v>
      </c>
      <c r="D6" s="1316" t="s">
        <v>2475</v>
      </c>
      <c r="E6" s="1317" t="s">
        <v>2476</v>
      </c>
      <c r="F6" s="1318" t="s">
        <v>704</v>
      </c>
      <c r="G6" s="1536" t="s">
        <v>2475</v>
      </c>
      <c r="H6" s="1319" t="s">
        <v>2477</v>
      </c>
      <c r="I6" s="1320" t="s">
        <v>704</v>
      </c>
      <c r="J6" s="1321" t="s">
        <v>2478</v>
      </c>
      <c r="K6" s="1319" t="s">
        <v>2479</v>
      </c>
      <c r="T6" s="928"/>
      <c r="U6" s="928"/>
      <c r="V6" s="928"/>
      <c r="W6" s="928"/>
      <c r="X6" s="928"/>
      <c r="Y6" s="928"/>
      <c r="Z6" s="928"/>
    </row>
    <row r="7" spans="2:27" ht="6.9" customHeight="1">
      <c r="C7" s="1549"/>
      <c r="D7" s="1550"/>
      <c r="E7" s="1550"/>
      <c r="F7" s="1550"/>
      <c r="G7" s="1535"/>
      <c r="H7" s="1550"/>
      <c r="I7" s="833"/>
      <c r="J7" s="1550"/>
      <c r="K7" s="1551"/>
    </row>
    <row r="8" spans="2:27" ht="16.2">
      <c r="C8" s="1552" t="s">
        <v>2461</v>
      </c>
      <c r="D8" s="1553"/>
      <c r="E8" s="1554"/>
      <c r="F8" s="1554"/>
      <c r="G8" s="1535"/>
      <c r="H8" s="1554"/>
      <c r="I8" s="835"/>
      <c r="J8" s="1554"/>
      <c r="K8" s="887"/>
      <c r="M8" s="859"/>
      <c r="N8" s="859"/>
      <c r="O8" s="841"/>
    </row>
    <row r="9" spans="2:27">
      <c r="C9" s="868" t="s">
        <v>2462</v>
      </c>
      <c r="D9" s="1555">
        <f>'Exh 2, Proof of Revenue'!AE7</f>
        <v>2344308</v>
      </c>
      <c r="E9" s="1556">
        <f>'Exh 2, Proof of Revenue'!L7</f>
        <v>5</v>
      </c>
      <c r="F9" s="1557">
        <f>ROUND(D9*E9,2)</f>
        <v>11721540</v>
      </c>
      <c r="G9" s="1535">
        <f>D9</f>
        <v>2344308</v>
      </c>
      <c r="H9" s="1558">
        <f>E9</f>
        <v>5</v>
      </c>
      <c r="I9" s="1322">
        <f>ROUND(G9*H9,2)</f>
        <v>11721540</v>
      </c>
      <c r="J9" s="1557">
        <f>I9-F9</f>
        <v>0</v>
      </c>
      <c r="K9" s="1574">
        <f>J9/F9</f>
        <v>0</v>
      </c>
      <c r="M9" s="838"/>
      <c r="N9" s="838"/>
      <c r="O9" s="841"/>
    </row>
    <row r="10" spans="2:27">
      <c r="C10" s="868" t="s">
        <v>2463</v>
      </c>
      <c r="D10" s="1555">
        <f>'Exh 2, Proof of Revenue'!AE13</f>
        <v>131741687.23064102</v>
      </c>
      <c r="E10" s="1559">
        <f>'Exh 2, Proof of Revenue'!L8</f>
        <v>0.31073000000000001</v>
      </c>
      <c r="F10" s="1557">
        <f>ROUND(D10*E10,2)</f>
        <v>40936094.469999999</v>
      </c>
      <c r="G10" s="1535">
        <f>D10</f>
        <v>131741687.23064102</v>
      </c>
      <c r="H10" s="1560">
        <f>'Exh 4, Revenue Distribution'!F7</f>
        <v>0.30926988299236752</v>
      </c>
      <c r="I10" s="1322">
        <f>ROUND(G10*H10,2)</f>
        <v>40743736.200000003</v>
      </c>
      <c r="J10" s="1557">
        <f>I10-F10</f>
        <v>-192358.26999999583</v>
      </c>
      <c r="K10" s="1574">
        <f>J10/F10</f>
        <v>-4.6989893024837904E-3</v>
      </c>
      <c r="M10" s="1323"/>
    </row>
    <row r="11" spans="2:27" ht="16.8" thickBot="1">
      <c r="C11" s="1561" t="str">
        <f>"Total "&amp;RIGHT(C8,3)&amp;" Revenue"</f>
        <v>Total 503 Revenue</v>
      </c>
      <c r="D11" s="1562"/>
      <c r="E11" s="1562"/>
      <c r="F11" s="1324">
        <f>SUM(F9:F10)</f>
        <v>52657634.469999999</v>
      </c>
      <c r="G11" s="1537"/>
      <c r="H11" s="1563"/>
      <c r="I11" s="1325">
        <f>SUM(I9:I10)</f>
        <v>52465276.200000003</v>
      </c>
      <c r="J11" s="843">
        <f>SUM(J9:J10)</f>
        <v>-192358.26999999583</v>
      </c>
      <c r="K11" s="1574">
        <f>J11/F11</f>
        <v>-3.6529986949866843E-3</v>
      </c>
      <c r="M11" s="827"/>
      <c r="O11" s="928"/>
    </row>
    <row r="12" spans="2:27" ht="6.9" customHeight="1" thickTop="1" thickBot="1">
      <c r="C12" s="1561"/>
      <c r="D12" s="1542"/>
      <c r="E12" s="1542"/>
      <c r="F12" s="1542"/>
      <c r="G12" s="1538"/>
      <c r="H12" s="844"/>
      <c r="I12" s="845"/>
      <c r="J12" s="1542"/>
      <c r="K12" s="1574"/>
    </row>
    <row r="13" spans="2:27" ht="8.1" customHeight="1">
      <c r="C13" s="1549"/>
      <c r="D13" s="1550"/>
      <c r="E13" s="1550"/>
      <c r="F13" s="1550"/>
      <c r="G13" s="1535"/>
      <c r="H13" s="1550"/>
      <c r="I13" s="833"/>
      <c r="J13" s="1550"/>
      <c r="K13" s="1575"/>
    </row>
    <row r="14" spans="2:27" ht="16.2">
      <c r="C14" s="1552" t="s">
        <v>2480</v>
      </c>
      <c r="D14" s="1553"/>
      <c r="E14" s="1554"/>
      <c r="F14" s="1554"/>
      <c r="G14" s="1535"/>
      <c r="H14" s="1554"/>
      <c r="I14" s="835"/>
      <c r="J14" s="1554"/>
      <c r="K14" s="1576"/>
      <c r="N14" s="838"/>
    </row>
    <row r="15" spans="2:27">
      <c r="C15" s="868" t="s">
        <v>2462</v>
      </c>
      <c r="D15" s="1555">
        <f>'Exh 2, Proof of Revenue'!AE43</f>
        <v>322116</v>
      </c>
      <c r="E15" s="1556">
        <f>'Exh 2, Proof of Revenue'!L43</f>
        <v>13</v>
      </c>
      <c r="F15" s="1557">
        <f>ROUND(D15*E15,2)</f>
        <v>4187508</v>
      </c>
      <c r="G15" s="1535">
        <f>D15</f>
        <v>322116</v>
      </c>
      <c r="H15" s="1558">
        <f>E15</f>
        <v>13</v>
      </c>
      <c r="I15" s="1322">
        <f>ROUND(G15*H15,2)</f>
        <v>4187508</v>
      </c>
      <c r="J15" s="1557">
        <f>I15-F15</f>
        <v>0</v>
      </c>
      <c r="K15" s="1574">
        <f>J15/F15</f>
        <v>0</v>
      </c>
    </row>
    <row r="16" spans="2:27">
      <c r="C16" s="868" t="s">
        <v>2463</v>
      </c>
      <c r="D16" s="1555">
        <f>'Exh 2, Proof of Revenue'!AE49</f>
        <v>93296003.311035588</v>
      </c>
      <c r="E16" s="1559">
        <f>'Exh 2, Proof of Revenue'!L44</f>
        <v>0.26179999999999998</v>
      </c>
      <c r="F16" s="1557">
        <f>ROUND(D16*E16,2)</f>
        <v>24424893.670000002</v>
      </c>
      <c r="G16" s="1535">
        <f>D16</f>
        <v>93296003.311035588</v>
      </c>
      <c r="H16" s="1560">
        <f>'Exh 4, Revenue Distribution'!F11</f>
        <v>0.26056980454864936</v>
      </c>
      <c r="I16" s="1322">
        <f>ROUND(G16*H16,2)</f>
        <v>24310121.350000001</v>
      </c>
      <c r="J16" s="1557">
        <f>I16-F16</f>
        <v>-114772.3200000003</v>
      </c>
      <c r="K16" s="1574">
        <f>J16/F16</f>
        <v>-4.6989895452838751E-3</v>
      </c>
      <c r="M16" s="1323"/>
      <c r="N16" s="859"/>
    </row>
    <row r="17" spans="3:15" ht="16.8" thickBot="1">
      <c r="C17" s="1561" t="str">
        <f>"Total "&amp;RIGHT(C14,3)&amp;" Revenue"</f>
        <v>Total 504 Revenue</v>
      </c>
      <c r="D17" s="1562"/>
      <c r="E17" s="1562"/>
      <c r="F17" s="1324">
        <f>SUM(F15:F16)</f>
        <v>28612401.670000002</v>
      </c>
      <c r="G17" s="1537"/>
      <c r="H17" s="1563"/>
      <c r="I17" s="1325">
        <f>SUM(I15:I16)</f>
        <v>28497629.350000001</v>
      </c>
      <c r="J17" s="843">
        <f>SUM(J15:J16)</f>
        <v>-114772.3200000003</v>
      </c>
      <c r="K17" s="1574">
        <f>J17/F17</f>
        <v>-4.0112787917533903E-3</v>
      </c>
      <c r="M17" s="827"/>
      <c r="O17" s="928"/>
    </row>
    <row r="18" spans="3:15" ht="7.5" customHeight="1" thickTop="1" thickBot="1">
      <c r="C18" s="1561"/>
      <c r="D18" s="1542"/>
      <c r="E18" s="1542"/>
      <c r="F18" s="1542"/>
      <c r="G18" s="1538"/>
      <c r="H18" s="844"/>
      <c r="I18" s="845"/>
      <c r="J18" s="1542"/>
      <c r="K18" s="1574"/>
    </row>
    <row r="19" spans="3:15" ht="7.5" customHeight="1">
      <c r="C19" s="1549"/>
      <c r="D19" s="1550"/>
      <c r="E19" s="1550"/>
      <c r="F19" s="1550"/>
      <c r="G19" s="1535"/>
      <c r="H19" s="1550"/>
      <c r="I19" s="833"/>
      <c r="J19" s="1550"/>
      <c r="K19" s="1575"/>
    </row>
    <row r="20" spans="3:15" ht="16.2">
      <c r="C20" s="1552" t="s">
        <v>2481</v>
      </c>
      <c r="D20" s="1553"/>
      <c r="E20" s="1554"/>
      <c r="F20" s="1554"/>
      <c r="G20" s="1535"/>
      <c r="H20" s="1554"/>
      <c r="I20" s="835"/>
      <c r="J20" s="1554"/>
      <c r="K20" s="1576"/>
    </row>
    <row r="21" spans="3:15">
      <c r="C21" s="868" t="s">
        <v>2462</v>
      </c>
      <c r="D21" s="1555">
        <f>'Exh 2, Proof of Revenue'!AE80</f>
        <v>5856</v>
      </c>
      <c r="E21" s="1556">
        <f>'Exh 2, Proof of Revenue'!L80</f>
        <v>60</v>
      </c>
      <c r="F21" s="1557">
        <f>ROUND(D21*E21,2)</f>
        <v>351360</v>
      </c>
      <c r="G21" s="1535">
        <f>D21</f>
        <v>5856</v>
      </c>
      <c r="H21" s="1558">
        <f>E21</f>
        <v>60</v>
      </c>
      <c r="I21" s="1322">
        <f>ROUND(G21*H21,2)</f>
        <v>351360</v>
      </c>
      <c r="J21" s="1557">
        <f>I21-F21</f>
        <v>0</v>
      </c>
      <c r="K21" s="1574">
        <f>J21/F21</f>
        <v>0</v>
      </c>
    </row>
    <row r="22" spans="3:15">
      <c r="C22" s="868" t="s">
        <v>2482</v>
      </c>
      <c r="D22" s="1555">
        <f>'Exh 2, Proof of Revenue'!AE81</f>
        <v>1796054.322900241</v>
      </c>
      <c r="E22" s="1559">
        <f>'Exh 2, Proof of Revenue'!L81</f>
        <v>0.20175999999999999</v>
      </c>
      <c r="F22" s="1557">
        <f>ROUND(D22*E22,2)</f>
        <v>362371.92</v>
      </c>
      <c r="G22" s="1535">
        <f>D22</f>
        <v>1796054.322900241</v>
      </c>
      <c r="H22" s="1560">
        <f>'Exh 4, Revenue Distribution'!F15</f>
        <v>0.20081193187828683</v>
      </c>
      <c r="I22" s="1322">
        <f>ROUND(G22*H22,2)</f>
        <v>360669.14</v>
      </c>
      <c r="J22" s="1557">
        <f>I22-F22</f>
        <v>-1702.7799999999697</v>
      </c>
      <c r="K22" s="1574">
        <f>J22/F22</f>
        <v>-4.6989844025441315E-3</v>
      </c>
      <c r="M22" s="1323"/>
    </row>
    <row r="23" spans="3:15">
      <c r="C23" s="868" t="s">
        <v>2483</v>
      </c>
      <c r="D23" s="1555">
        <f>'Exh 2, Proof of Revenue'!AE82</f>
        <v>5955588.143686397</v>
      </c>
      <c r="E23" s="1559">
        <f>'Exh 2, Proof of Revenue'!L82</f>
        <v>0.16481000000000001</v>
      </c>
      <c r="F23" s="1557">
        <f>ROUND(D23*E23,2)</f>
        <v>981540.48</v>
      </c>
      <c r="G23" s="1535">
        <f>D23</f>
        <v>5955588.143686397</v>
      </c>
      <c r="H23" s="1560">
        <f>'Exh 4, Revenue Distribution'!F16</f>
        <v>0.16403555954034724</v>
      </c>
      <c r="I23" s="1322">
        <f>ROUND(G23*H23,2)</f>
        <v>976928.23</v>
      </c>
      <c r="J23" s="1557">
        <f>I23-F23</f>
        <v>-4612.25</v>
      </c>
      <c r="K23" s="1574">
        <f>J23/F23</f>
        <v>-4.6989911205699841E-3</v>
      </c>
      <c r="M23" s="1323"/>
    </row>
    <row r="24" spans="3:15">
      <c r="C24" s="868" t="s">
        <v>2484</v>
      </c>
      <c r="D24" s="1555">
        <f>'Exh 2, Proof of Revenue'!AE83</f>
        <v>5561734.9161735196</v>
      </c>
      <c r="E24" s="1559">
        <f>'Exh 2, Proof of Revenue'!L83</f>
        <v>0.15923000000000001</v>
      </c>
      <c r="F24" s="1557">
        <f>ROUND(D24*E24,2)</f>
        <v>885595.05</v>
      </c>
      <c r="G24" s="1535">
        <f>D24</f>
        <v>5561734.9161735196</v>
      </c>
      <c r="H24" s="1560">
        <f>'Exh 4, Revenue Distribution'!F17</f>
        <v>0.15848177990176257</v>
      </c>
      <c r="I24" s="1322">
        <f>ROUND(G24*H24,2)</f>
        <v>881433.65</v>
      </c>
      <c r="J24" s="1557">
        <f>I24-F24</f>
        <v>-4161.4000000000233</v>
      </c>
      <c r="K24" s="1574">
        <f>J24/F24</f>
        <v>-4.6989874209437182E-3</v>
      </c>
      <c r="M24" s="1323"/>
    </row>
    <row r="25" spans="3:15" ht="16.8" thickBot="1">
      <c r="C25" s="1561" t="str">
        <f>"Total "&amp;RIGHT(C20,3)&amp;" Revenue"</f>
        <v>Total 505 Revenue</v>
      </c>
      <c r="D25" s="1562"/>
      <c r="E25" s="1562"/>
      <c r="F25" s="1324">
        <f>SUM(F21:F24)</f>
        <v>2580867.4500000002</v>
      </c>
      <c r="G25" s="1537"/>
      <c r="H25" s="1563"/>
      <c r="I25" s="1325">
        <f>SUM(I21:I24)</f>
        <v>2570391.02</v>
      </c>
      <c r="J25" s="843">
        <f>SUM(J21:J24)</f>
        <v>-10476.429999999993</v>
      </c>
      <c r="K25" s="1574">
        <f>J25/F25</f>
        <v>-4.0592669724282011E-3</v>
      </c>
      <c r="M25" s="827"/>
      <c r="O25" s="928"/>
    </row>
    <row r="26" spans="3:15" ht="7.5" customHeight="1" thickTop="1" thickBot="1">
      <c r="C26" s="1561"/>
      <c r="D26" s="1542"/>
      <c r="E26" s="1542"/>
      <c r="F26" s="1542"/>
      <c r="G26" s="1538"/>
      <c r="H26" s="844"/>
      <c r="I26" s="845"/>
      <c r="J26" s="1542"/>
      <c r="K26" s="1574"/>
    </row>
    <row r="27" spans="3:15" ht="7.5" customHeight="1">
      <c r="C27" s="1549"/>
      <c r="D27" s="1550"/>
      <c r="E27" s="1550"/>
      <c r="F27" s="1550"/>
      <c r="G27" s="1535"/>
      <c r="H27" s="1550"/>
      <c r="I27" s="833"/>
      <c r="J27" s="1550"/>
      <c r="K27" s="1575"/>
    </row>
    <row r="28" spans="3:15" ht="16.2">
      <c r="C28" s="1552" t="s">
        <v>2485</v>
      </c>
      <c r="D28" s="1564"/>
      <c r="E28" s="1554"/>
      <c r="F28" s="1554"/>
      <c r="G28" s="1535"/>
      <c r="H28" s="1554"/>
      <c r="I28" s="835"/>
      <c r="J28" s="1554"/>
      <c r="K28" s="1576"/>
    </row>
    <row r="29" spans="3:15">
      <c r="C29" s="868" t="s">
        <v>2462</v>
      </c>
      <c r="D29" s="1555">
        <f>'Exh 2, Proof of Revenue'!AE115</f>
        <v>1080</v>
      </c>
      <c r="E29" s="1556">
        <f>'Exh 2, Proof of Revenue'!L115</f>
        <v>125</v>
      </c>
      <c r="F29" s="1557">
        <f>ROUND(D29*E29,2)</f>
        <v>135000</v>
      </c>
      <c r="G29" s="1535">
        <f>D29</f>
        <v>1080</v>
      </c>
      <c r="H29" s="1558">
        <f>E29</f>
        <v>125</v>
      </c>
      <c r="I29" s="1322">
        <f>ROUND(G29*H29,2)</f>
        <v>135000</v>
      </c>
      <c r="J29" s="1557">
        <f>I29-F29</f>
        <v>0</v>
      </c>
      <c r="K29" s="1574">
        <f>IFERROR(J29/F29,"")</f>
        <v>0</v>
      </c>
    </row>
    <row r="30" spans="3:15">
      <c r="C30" s="857" t="s">
        <v>2486</v>
      </c>
      <c r="D30" s="1555">
        <f>'Exh 2, Proof of Revenue'!AE116</f>
        <v>9125954.6466492154</v>
      </c>
      <c r="E30" s="1559">
        <f>'Exh 2, Proof of Revenue'!L116</f>
        <v>0.16113</v>
      </c>
      <c r="F30" s="1557">
        <f>ROUND(D30*E30,2)</f>
        <v>1470465.07</v>
      </c>
      <c r="G30" s="1535">
        <f>D30</f>
        <v>9125954.6466492154</v>
      </c>
      <c r="H30" s="1560">
        <f>'Exh 4, Revenue Distribution'!F21</f>
        <v>0.16037285182171074</v>
      </c>
      <c r="I30" s="1322">
        <f>ROUND(G30*H30,2)</f>
        <v>1463555.37</v>
      </c>
      <c r="J30" s="1557">
        <f>I30-F30</f>
        <v>-6909.6999999999534</v>
      </c>
      <c r="K30" s="1574">
        <f>J30/F30</f>
        <v>-4.6989895516524943E-3</v>
      </c>
      <c r="M30" s="1323"/>
    </row>
    <row r="31" spans="3:15">
      <c r="C31" s="857" t="s">
        <v>2487</v>
      </c>
      <c r="D31" s="1555">
        <f>'Exh 2, Proof of Revenue'!AE117</f>
        <v>4226512.8625064138</v>
      </c>
      <c r="E31" s="1559">
        <f>'Exh 2, Proof of Revenue'!L117</f>
        <v>0.12471</v>
      </c>
      <c r="F31" s="1557">
        <f>ROUND(D31*E31,2)</f>
        <v>527088.42000000004</v>
      </c>
      <c r="G31" s="1535">
        <f>D31</f>
        <v>4226512.8625064138</v>
      </c>
      <c r="H31" s="1560">
        <f>'Exh 4, Revenue Distribution'!F22</f>
        <v>0.12412398901933561</v>
      </c>
      <c r="I31" s="1322">
        <f>ROUND(G31*H31,2)</f>
        <v>524611.64</v>
      </c>
      <c r="J31" s="1557">
        <f>I31-F31</f>
        <v>-2476.7800000000279</v>
      </c>
      <c r="K31" s="1574">
        <f>J31/F31</f>
        <v>-4.6989839010313063E-3</v>
      </c>
      <c r="M31" s="1323"/>
    </row>
    <row r="32" spans="3:15">
      <c r="C32" s="857" t="s">
        <v>2488</v>
      </c>
      <c r="D32" s="1555">
        <f>'Exh 2, Proof of Revenue'!AE118</f>
        <v>-693612.92290251562</v>
      </c>
      <c r="E32" s="1559">
        <f>'Exh 2, Proof of Revenue'!L118</f>
        <v>3.4639999999999997E-2</v>
      </c>
      <c r="F32" s="1557">
        <f>ROUND(D32*E32,2)</f>
        <v>-24026.75</v>
      </c>
      <c r="G32" s="1535">
        <f>D32</f>
        <v>-693612.92290251562</v>
      </c>
      <c r="H32" s="1560">
        <f>'Exh 4, Revenue Distribution'!F23</f>
        <v>3.4477227003686835E-2</v>
      </c>
      <c r="I32" s="1322">
        <f>ROUND(G32*H32,2)</f>
        <v>-23913.85</v>
      </c>
      <c r="J32" s="1557">
        <f>I32-F32</f>
        <v>112.90000000000146</v>
      </c>
      <c r="K32" s="1574">
        <f>J32/F32</f>
        <v>-4.6989293183639673E-3</v>
      </c>
      <c r="M32" s="1323"/>
    </row>
    <row r="33" spans="3:18" ht="16.8" thickBot="1">
      <c r="C33" s="1561" t="str">
        <f>"Total "&amp;RIGHT(C28,3)&amp;" Revenue"</f>
        <v>Total 511 Revenue</v>
      </c>
      <c r="D33" s="1562"/>
      <c r="E33" s="1562"/>
      <c r="F33" s="1324">
        <f>SUM(F29:F32)</f>
        <v>2108526.7400000002</v>
      </c>
      <c r="G33" s="1537"/>
      <c r="H33" s="1563"/>
      <c r="I33" s="1325">
        <f>SUM(I29:I32)</f>
        <v>2099253.16</v>
      </c>
      <c r="J33" s="843">
        <f>SUM(J29:J32)</f>
        <v>-9273.5799999999799</v>
      </c>
      <c r="K33" s="1574">
        <f>J33/F33</f>
        <v>-4.398132508388288E-3</v>
      </c>
      <c r="M33" s="827"/>
      <c r="O33" s="928"/>
    </row>
    <row r="34" spans="3:18" ht="7.5" customHeight="1" thickTop="1" thickBot="1">
      <c r="C34" s="1561"/>
      <c r="D34" s="1542"/>
      <c r="E34" s="1542"/>
      <c r="F34" s="1542"/>
      <c r="G34" s="1538"/>
      <c r="H34" s="844"/>
      <c r="I34" s="845"/>
      <c r="J34" s="1542"/>
      <c r="K34" s="1574"/>
    </row>
    <row r="35" spans="3:18" ht="7.5" customHeight="1">
      <c r="C35" s="1549"/>
      <c r="D35" s="1550"/>
      <c r="E35" s="1550"/>
      <c r="F35" s="1550"/>
      <c r="G35" s="1535"/>
      <c r="H35" s="1550"/>
      <c r="I35" s="833"/>
      <c r="J35" s="1550"/>
      <c r="K35" s="1575"/>
    </row>
    <row r="36" spans="3:18" ht="16.2">
      <c r="C36" s="1552" t="s">
        <v>2489</v>
      </c>
      <c r="D36" s="1553"/>
      <c r="E36" s="1554"/>
      <c r="F36" s="1554"/>
      <c r="G36" s="1535"/>
      <c r="H36" s="1554"/>
      <c r="I36" s="835"/>
      <c r="J36" s="1554"/>
      <c r="K36" s="1576"/>
    </row>
    <row r="37" spans="3:18">
      <c r="C37" s="857" t="s">
        <v>2490</v>
      </c>
      <c r="D37" s="1555">
        <f>'Exh 2, Proof of Revenue'!S314</f>
        <v>2260</v>
      </c>
      <c r="E37" s="1565">
        <f>'Exh 2, Proof of Revenue'!L314</f>
        <v>625</v>
      </c>
      <c r="F37" s="1557">
        <f t="shared" ref="F37:F42" si="0">ROUND(D37*E37,2)</f>
        <v>1412500</v>
      </c>
      <c r="G37" s="1535">
        <f t="shared" ref="G37:G43" si="1">D37</f>
        <v>2260</v>
      </c>
      <c r="H37" s="1558">
        <f>E37</f>
        <v>625</v>
      </c>
      <c r="I37" s="1322">
        <f t="shared" ref="I37:I43" si="2">ROUND(G37*H37,2)</f>
        <v>1412500</v>
      </c>
      <c r="J37" s="1557">
        <f>I37-F37</f>
        <v>0</v>
      </c>
      <c r="K37" s="1574">
        <f>J37/F37</f>
        <v>0</v>
      </c>
      <c r="M37" s="1323"/>
    </row>
    <row r="38" spans="3:18">
      <c r="C38" s="857" t="s">
        <v>2491</v>
      </c>
      <c r="D38" s="1555">
        <f>'Exh 2, Proof of Revenue'!S315</f>
        <v>30354152</v>
      </c>
      <c r="E38" s="1566">
        <f>'Exh 2, Proof of Revenue'!L315</f>
        <v>0.2</v>
      </c>
      <c r="F38" s="1557">
        <f t="shared" si="0"/>
        <v>6070830.4000000004</v>
      </c>
      <c r="G38" s="1535">
        <f t="shared" si="1"/>
        <v>30354152</v>
      </c>
      <c r="H38" s="1560">
        <f>E38</f>
        <v>0.2</v>
      </c>
      <c r="I38" s="1322">
        <f t="shared" si="2"/>
        <v>6070830.4000000004</v>
      </c>
      <c r="J38" s="1557">
        <f>I38-F38</f>
        <v>0</v>
      </c>
      <c r="K38" s="1574" t="s">
        <v>2467</v>
      </c>
      <c r="M38" s="836"/>
    </row>
    <row r="39" spans="3:18">
      <c r="C39" s="857" t="s">
        <v>2492</v>
      </c>
      <c r="D39" s="1555">
        <f>'Exh 2, Proof of Revenue'!S316</f>
        <v>641617734.59945512</v>
      </c>
      <c r="E39" s="1566">
        <f>'Exh 2, Proof of Revenue'!L316</f>
        <v>4.0000000000000002E-4</v>
      </c>
      <c r="F39" s="1557">
        <f t="shared" si="0"/>
        <v>256647.09</v>
      </c>
      <c r="G39" s="1535">
        <f t="shared" si="1"/>
        <v>641617734.59945512</v>
      </c>
      <c r="H39" s="1560">
        <f>E39</f>
        <v>4.0000000000000002E-4</v>
      </c>
      <c r="I39" s="1322">
        <f t="shared" si="2"/>
        <v>256647.09</v>
      </c>
      <c r="J39" s="1557">
        <f t="shared" ref="J39:J44" si="3">I39-F39</f>
        <v>0</v>
      </c>
      <c r="K39" s="1574">
        <f t="shared" ref="K39:K44" si="4">J39/F39</f>
        <v>0</v>
      </c>
      <c r="M39" s="836"/>
    </row>
    <row r="40" spans="3:18">
      <c r="C40" s="868" t="s">
        <v>2493</v>
      </c>
      <c r="D40" s="1555">
        <f>'Exh 2, Proof of Revenue'!S317</f>
        <v>125402945.77158709</v>
      </c>
      <c r="E40" s="1566">
        <f>'Exh 2, Proof of Revenue'!L317</f>
        <v>5.9889999999999999E-2</v>
      </c>
      <c r="F40" s="1557">
        <f t="shared" si="0"/>
        <v>7510382.4199999999</v>
      </c>
      <c r="G40" s="1535">
        <f t="shared" si="1"/>
        <v>125402945.77158709</v>
      </c>
      <c r="H40" s="1560">
        <f>'Exh 4, Revenue Distribution'!F34</f>
        <v>5.9608577518787662E-2</v>
      </c>
      <c r="I40" s="1322">
        <f t="shared" si="2"/>
        <v>7475091.21</v>
      </c>
      <c r="J40" s="1557">
        <f t="shared" si="3"/>
        <v>-35291.209999999963</v>
      </c>
      <c r="K40" s="1574">
        <f t="shared" si="4"/>
        <v>-4.6989897486471753E-3</v>
      </c>
      <c r="M40" s="836"/>
      <c r="O40" s="838"/>
      <c r="P40" s="838"/>
      <c r="Q40" s="839"/>
      <c r="R40" s="839"/>
    </row>
    <row r="41" spans="3:18">
      <c r="C41" s="868" t="s">
        <v>2494</v>
      </c>
      <c r="D41" s="1555">
        <f>'Exh 2, Proof of Revenue'!S318</f>
        <v>98562895.00321956</v>
      </c>
      <c r="E41" s="1566">
        <f>'Exh 2, Proof of Revenue'!L318</f>
        <v>2.3029999999999998E-2</v>
      </c>
      <c r="F41" s="1557">
        <f t="shared" si="0"/>
        <v>2269903.4700000002</v>
      </c>
      <c r="G41" s="1535">
        <f t="shared" si="1"/>
        <v>98562895.00321956</v>
      </c>
      <c r="H41" s="1560">
        <f>'Exh 4, Revenue Distribution'!F35</f>
        <v>2.2921782271792951E-2</v>
      </c>
      <c r="I41" s="1322">
        <f t="shared" si="2"/>
        <v>2259237.2200000002</v>
      </c>
      <c r="J41" s="1557">
        <f t="shared" si="3"/>
        <v>-10666.25</v>
      </c>
      <c r="K41" s="1574">
        <f t="shared" si="4"/>
        <v>-4.6989883671132498E-3</v>
      </c>
      <c r="M41" s="836"/>
      <c r="O41" s="838"/>
      <c r="P41" s="838"/>
      <c r="Q41" s="839"/>
      <c r="R41" s="839"/>
    </row>
    <row r="42" spans="3:18">
      <c r="C42" s="868" t="s">
        <v>2494</v>
      </c>
      <c r="D42" s="1555">
        <f>'Exh 2, Proof of Revenue'!S319</f>
        <v>34638058.781353638</v>
      </c>
      <c r="E42" s="1566">
        <f>'Exh 2, Proof of Revenue'!L319</f>
        <v>1.473E-2</v>
      </c>
      <c r="F42" s="1557">
        <f t="shared" si="0"/>
        <v>510218.61</v>
      </c>
      <c r="G42" s="1535">
        <f t="shared" si="1"/>
        <v>34638058.781353638</v>
      </c>
      <c r="H42" s="1560">
        <f>'Exh 4, Revenue Distribution'!F36</f>
        <v>1.4660783884650898E-2</v>
      </c>
      <c r="I42" s="1322">
        <f t="shared" si="2"/>
        <v>507821.09</v>
      </c>
      <c r="J42" s="1557">
        <f t="shared" si="3"/>
        <v>-2397.5199999999604</v>
      </c>
      <c r="K42" s="1574">
        <f t="shared" si="4"/>
        <v>-4.6990053930019539E-3</v>
      </c>
      <c r="M42" s="836"/>
      <c r="O42" s="838"/>
      <c r="P42" s="838"/>
      <c r="Q42" s="839"/>
      <c r="R42" s="839"/>
    </row>
    <row r="43" spans="3:18">
      <c r="C43" s="868" t="s">
        <v>2495</v>
      </c>
      <c r="D43" s="1555">
        <f>'Exh 2, Proof of Revenue'!S320</f>
        <v>383013835.04329479</v>
      </c>
      <c r="E43" s="1566">
        <f>'Exh 2, Proof of Revenue'!L320</f>
        <v>7.9799999999999992E-3</v>
      </c>
      <c r="F43" s="1557">
        <f>ROUND(D43*E43,2)</f>
        <v>3056450.4</v>
      </c>
      <c r="G43" s="1535">
        <f t="shared" si="1"/>
        <v>383013835.04329479</v>
      </c>
      <c r="H43" s="1560">
        <f>'Exh 4, Revenue Distribution'!F37</f>
        <v>7.9425020637823602E-3</v>
      </c>
      <c r="I43" s="1322">
        <f t="shared" si="2"/>
        <v>3042088.18</v>
      </c>
      <c r="J43" s="1557">
        <f t="shared" si="3"/>
        <v>-14362.219999999739</v>
      </c>
      <c r="K43" s="1574">
        <f t="shared" si="4"/>
        <v>-4.6989867723682801E-3</v>
      </c>
      <c r="M43" s="836"/>
      <c r="N43" s="841"/>
      <c r="O43" s="838"/>
      <c r="P43" s="838"/>
      <c r="Q43" s="839"/>
      <c r="R43" s="839"/>
    </row>
    <row r="44" spans="3:18" ht="16.8" thickBot="1">
      <c r="C44" s="1561" t="str">
        <f>"Total "&amp;RIGHT(C36,3)&amp;" Revenue"</f>
        <v>Total 663 Revenue</v>
      </c>
      <c r="D44" s="1567"/>
      <c r="E44" s="1562"/>
      <c r="F44" s="1324">
        <f>SUM(F37:F43)</f>
        <v>21086932.389999997</v>
      </c>
      <c r="G44" s="1537"/>
      <c r="H44" s="1563"/>
      <c r="I44" s="1325">
        <f>SUM(I37:I43)</f>
        <v>21024215.189999998</v>
      </c>
      <c r="J44" s="843">
        <f t="shared" si="3"/>
        <v>-62717.199999999255</v>
      </c>
      <c r="K44" s="1574">
        <f t="shared" si="4"/>
        <v>-2.974221135632866E-3</v>
      </c>
      <c r="M44" s="827"/>
      <c r="O44" s="1326"/>
    </row>
    <row r="45" spans="3:18" ht="7.5" customHeight="1" thickTop="1" thickBot="1">
      <c r="C45" s="1561"/>
      <c r="D45" s="1542"/>
      <c r="E45" s="1542"/>
      <c r="F45" s="1542"/>
      <c r="G45" s="1538"/>
      <c r="H45" s="844"/>
      <c r="I45" s="845"/>
      <c r="J45" s="1542"/>
      <c r="K45" s="1574"/>
    </row>
    <row r="46" spans="3:18" ht="6.75" customHeight="1" thickBot="1">
      <c r="C46" s="1549"/>
      <c r="D46" s="1550"/>
      <c r="E46" s="1550"/>
      <c r="F46" s="1550"/>
      <c r="G46" s="1539"/>
      <c r="H46" s="1550"/>
      <c r="I46" s="833"/>
      <c r="J46" s="1550"/>
      <c r="K46" s="1575"/>
      <c r="M46" s="827"/>
    </row>
    <row r="47" spans="3:18" ht="7.5" customHeight="1">
      <c r="C47" s="1549"/>
      <c r="D47" s="1550"/>
      <c r="E47" s="1550"/>
      <c r="F47" s="1550"/>
      <c r="G47" s="1535"/>
      <c r="H47" s="1550"/>
      <c r="I47" s="833"/>
      <c r="J47" s="1550"/>
      <c r="K47" s="1575"/>
    </row>
    <row r="48" spans="3:18" ht="16.2">
      <c r="C48" s="1552" t="s">
        <v>2496</v>
      </c>
      <c r="D48" s="1553"/>
      <c r="E48" s="1554"/>
      <c r="F48" s="1554"/>
      <c r="G48" s="1535"/>
      <c r="H48" s="1554"/>
      <c r="I48" s="835"/>
      <c r="J48" s="1554"/>
      <c r="K48" s="1576"/>
    </row>
    <row r="49" spans="3:15">
      <c r="C49" s="868" t="s">
        <v>2462</v>
      </c>
      <c r="D49" s="1555">
        <f>'Exh 2, Proof of Revenue'!S282</f>
        <v>96</v>
      </c>
      <c r="E49" s="1556">
        <f>'Exh 2, Proof of Revenue'!L282</f>
        <v>163</v>
      </c>
      <c r="F49" s="1557">
        <f>ROUND(D49*E49,2)</f>
        <v>15648</v>
      </c>
      <c r="G49" s="1535">
        <f>D49</f>
        <v>96</v>
      </c>
      <c r="H49" s="1558">
        <f>E49</f>
        <v>163</v>
      </c>
      <c r="I49" s="1322">
        <f>ROUND(G49*H49,2)</f>
        <v>15648</v>
      </c>
      <c r="J49" s="1557">
        <f>I49-F49</f>
        <v>0</v>
      </c>
      <c r="K49" s="1574">
        <f>J49/F49</f>
        <v>0</v>
      </c>
    </row>
    <row r="50" spans="3:15" ht="13.95" customHeight="1">
      <c r="C50" s="857" t="s">
        <v>2497</v>
      </c>
      <c r="D50" s="1555">
        <f>'Exh 2, Proof of Revenue'!S283</f>
        <v>1301512.7114810457</v>
      </c>
      <c r="E50" s="1559">
        <f>'Exh 2, Proof of Revenue'!L283</f>
        <v>8.9639999999999997E-2</v>
      </c>
      <c r="F50" s="1557">
        <f>ROUND(D50*E50,2)</f>
        <v>116667.6</v>
      </c>
      <c r="G50" s="1535">
        <f>D50</f>
        <v>1301512.7114810457</v>
      </c>
      <c r="H50" s="1560">
        <f>'Exh 4, Revenue Distribution'!F27</f>
        <v>8.9218782581134179E-2</v>
      </c>
      <c r="I50" s="1322">
        <f>ROUND(G50*H50,2)</f>
        <v>116119.38</v>
      </c>
      <c r="J50" s="1557">
        <f>I50-F50</f>
        <v>-548.22000000000116</v>
      </c>
      <c r="K50" s="1574">
        <f>J50/F50</f>
        <v>-4.6989909795007454E-3</v>
      </c>
      <c r="M50" s="836"/>
    </row>
    <row r="51" spans="3:15" ht="13.95" customHeight="1">
      <c r="C51" s="857" t="s">
        <v>2498</v>
      </c>
      <c r="D51" s="1555">
        <f>'Exh 2, Proof of Revenue'!S284</f>
        <v>1032498.538383325</v>
      </c>
      <c r="E51" s="1559">
        <f>'Exh 2, Proof of Revenue'!L284</f>
        <v>2.8170000000000001E-2</v>
      </c>
      <c r="F51" s="1557">
        <f>ROUND(D51*E51,2)</f>
        <v>29085.48</v>
      </c>
      <c r="G51" s="1535">
        <f>D51</f>
        <v>1032498.538383325</v>
      </c>
      <c r="H51" s="1560">
        <f>'Exh 4, Revenue Distribution'!F28</f>
        <v>2.8037629465758031E-2</v>
      </c>
      <c r="I51" s="1322">
        <f>ROUND(G51*H51,2)</f>
        <v>28948.81</v>
      </c>
      <c r="J51" s="1557">
        <f>I51-F51</f>
        <v>-136.66999999999825</v>
      </c>
      <c r="K51" s="1574">
        <f>J51/F51</f>
        <v>-4.6989081837397308E-3</v>
      </c>
      <c r="M51" s="1323"/>
    </row>
    <row r="52" spans="3:15" ht="16.8" thickBot="1">
      <c r="C52" s="1561" t="str">
        <f>"Total "&amp;RIGHT(C48,3)&amp;" Revenue"</f>
        <v>Total 570 Revenue</v>
      </c>
      <c r="D52" s="1562"/>
      <c r="E52" s="1562"/>
      <c r="F52" s="1324">
        <f>SUM(F49:F51)</f>
        <v>161401.08000000002</v>
      </c>
      <c r="G52" s="1537"/>
      <c r="H52" s="1563"/>
      <c r="I52" s="1325">
        <f>SUM(I49:I51)</f>
        <v>160716.19</v>
      </c>
      <c r="J52" s="843">
        <f>I52-F52</f>
        <v>-684.89000000001397</v>
      </c>
      <c r="K52" s="1574">
        <f>J52/F52</f>
        <v>-4.2434040713978738E-3</v>
      </c>
      <c r="M52" s="827"/>
      <c r="O52" s="1312"/>
    </row>
    <row r="53" spans="3:15" ht="7.5" customHeight="1" thickTop="1">
      <c r="C53" s="1568"/>
      <c r="D53" s="1569"/>
      <c r="E53" s="1569"/>
      <c r="F53" s="1569"/>
      <c r="G53" s="1570"/>
      <c r="H53" s="1571"/>
      <c r="I53" s="1572"/>
      <c r="J53" s="1569"/>
      <c r="K53" s="1573"/>
    </row>
    <row r="54" spans="3:15" ht="16.2">
      <c r="C54" s="1541" t="s">
        <v>2499</v>
      </c>
      <c r="D54" s="1542"/>
      <c r="E54" s="1542"/>
      <c r="F54" s="1542"/>
      <c r="G54" s="1543"/>
      <c r="H54" s="1542"/>
      <c r="I54" s="1542"/>
      <c r="J54" s="1542"/>
      <c r="K54" s="1544"/>
      <c r="M54" s="827"/>
    </row>
    <row r="55" spans="3:15" ht="16.8" thickBot="1">
      <c r="C55" s="1328"/>
      <c r="D55" s="844"/>
      <c r="E55" s="844"/>
      <c r="F55" s="844"/>
      <c r="G55" s="1540"/>
      <c r="H55" s="844"/>
      <c r="I55" s="844"/>
      <c r="J55" s="844"/>
      <c r="K55" s="1329"/>
      <c r="M55" s="827"/>
    </row>
    <row r="57" spans="3:15" ht="16.5" customHeight="1">
      <c r="F57" s="1312">
        <f>F52+F44+F33+F25+F17+F11</f>
        <v>107207763.8</v>
      </c>
      <c r="J57" s="1312">
        <f>J52+J44+J33+J25+J17+J11</f>
        <v>-390282.6899999954</v>
      </c>
      <c r="K57" s="1330">
        <f>J57/F57</f>
        <v>-3.640433082142092E-3</v>
      </c>
    </row>
  </sheetData>
  <mergeCells count="2">
    <mergeCell ref="D5:F5"/>
    <mergeCell ref="G5:I5"/>
  </mergeCells>
  <printOptions horizontalCentered="1"/>
  <pageMargins left="0.45" right="0.45" top="0.5" bottom="0.5" header="0.3" footer="0.3"/>
  <pageSetup scale="6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3B6AC-B482-434A-BAB6-52A61104052E}">
  <sheetPr codeName="Sheet46">
    <tabColor theme="8"/>
    <pageSetUpPr fitToPage="1"/>
  </sheetPr>
  <dimension ref="A1:AM605"/>
  <sheetViews>
    <sheetView zoomScale="80" zoomScaleNormal="80" workbookViewId="0">
      <pane xSplit="2" ySplit="5" topLeftCell="U585" activePane="bottomRight" state="frozen"/>
      <selection activeCell="F27" sqref="F27"/>
      <selection pane="topRight" activeCell="F27" sqref="F27"/>
      <selection pane="bottomLeft" activeCell="F27" sqref="F27"/>
      <selection pane="bottomRight" activeCell="AC591" sqref="AC591"/>
    </sheetView>
  </sheetViews>
  <sheetFormatPr defaultColWidth="8.6640625" defaultRowHeight="14.4"/>
  <cols>
    <col min="1" max="1" width="11.88671875" style="728" customWidth="1"/>
    <col min="2" max="2" width="63.33203125" style="727" customWidth="1"/>
    <col min="3" max="3" width="19" style="1404" customWidth="1"/>
    <col min="4" max="4" width="14.5546875" style="1404" customWidth="1"/>
    <col min="5" max="5" width="20.88671875" style="1404" bestFit="1" customWidth="1"/>
    <col min="6" max="6" width="2.109375" style="1404" customWidth="1"/>
    <col min="7" max="7" width="15.88671875" style="1404" customWidth="1"/>
    <col min="8" max="8" width="13" style="1404" customWidth="1"/>
    <col min="9" max="9" width="17.109375" style="1404" customWidth="1"/>
    <col min="10" max="10" width="2.109375" style="1404" customWidth="1"/>
    <col min="11" max="11" width="17.5546875" style="1404" customWidth="1"/>
    <col min="12" max="12" width="19.44140625" style="1404" customWidth="1"/>
    <col min="13" max="13" width="20" style="1404" customWidth="1"/>
    <col min="14" max="14" width="2.109375" style="1404" customWidth="1"/>
    <col min="15" max="15" width="16.88671875" style="1404" customWidth="1"/>
    <col min="16" max="16" width="15.88671875" style="1404" customWidth="1"/>
    <col min="17" max="17" width="17.6640625" style="1404" bestFit="1" customWidth="1"/>
    <col min="18" max="18" width="2.109375" style="1404" customWidth="1"/>
    <col min="19" max="19" width="16.88671875" style="1404" customWidth="1"/>
    <col min="20" max="20" width="15.88671875" style="1404" customWidth="1"/>
    <col min="21" max="21" width="17.6640625" style="1404" bestFit="1" customWidth="1"/>
    <col min="22" max="22" width="2.109375" style="1404" customWidth="1"/>
    <col min="23" max="23" width="15.6640625" style="1404" customWidth="1"/>
    <col min="24" max="24" width="15.44140625" style="1404" customWidth="1"/>
    <col min="25" max="25" width="20.6640625" style="1404" customWidth="1"/>
    <col min="26" max="26" width="2.109375" style="1404" customWidth="1"/>
    <col min="27" max="27" width="16.44140625" style="1404" customWidth="1"/>
    <col min="28" max="28" width="13.88671875" style="1404" customWidth="1"/>
    <col min="29" max="29" width="20.109375" style="1404" customWidth="1"/>
    <col min="30" max="30" width="2.109375" style="1404" customWidth="1"/>
    <col min="31" max="31" width="19.109375" style="1405" customWidth="1"/>
    <col min="32" max="32" width="18.109375" style="1404" customWidth="1"/>
    <col min="33" max="33" width="18.33203125" style="1404" customWidth="1"/>
    <col min="34" max="34" width="2.109375" style="1404" customWidth="1"/>
    <col min="35" max="35" width="19.6640625" style="1404" customWidth="1"/>
    <col min="36" max="36" width="19.109375" style="1404" customWidth="1"/>
    <col min="37" max="37" width="19.88671875" style="1404" customWidth="1"/>
    <col min="38" max="38" width="17.6640625" style="727" customWidth="1"/>
    <col min="39" max="16384" width="8.6640625" style="727"/>
  </cols>
  <sheetData>
    <row r="1" spans="1:39">
      <c r="A1" s="1400"/>
      <c r="B1" s="1401" t="s">
        <v>52</v>
      </c>
      <c r="C1" s="1402"/>
      <c r="D1" s="1402"/>
      <c r="E1" s="1402"/>
      <c r="F1" s="1402"/>
      <c r="G1" s="1402"/>
      <c r="H1" s="1402"/>
      <c r="I1" s="1402"/>
      <c r="J1" s="1402"/>
      <c r="K1" s="1402"/>
      <c r="L1" s="1402"/>
      <c r="M1" s="1402"/>
      <c r="N1" s="1402"/>
      <c r="O1" s="1402"/>
      <c r="P1" s="1402"/>
      <c r="Q1" s="1402"/>
      <c r="R1" s="1402"/>
      <c r="S1" s="1402"/>
      <c r="T1" s="1402"/>
      <c r="U1" s="1402"/>
      <c r="V1" s="1402"/>
      <c r="W1" s="1402"/>
      <c r="X1" s="1402"/>
      <c r="Y1" s="1402"/>
      <c r="Z1" s="1402"/>
      <c r="AA1" s="1402"/>
      <c r="AB1" s="1402"/>
      <c r="AC1" s="1402"/>
      <c r="AD1" s="1402"/>
      <c r="AE1" s="1403"/>
      <c r="AF1" s="1402"/>
      <c r="AG1" s="1402"/>
      <c r="AH1" s="1402"/>
      <c r="AI1" s="1402"/>
      <c r="AJ1" s="1402"/>
      <c r="AK1" s="1402"/>
    </row>
    <row r="2" spans="1:39">
      <c r="B2" s="1400" t="s">
        <v>2600</v>
      </c>
      <c r="AM2" s="1685">
        <v>2020</v>
      </c>
    </row>
    <row r="3" spans="1:39">
      <c r="C3" s="1406" t="s">
        <v>1089</v>
      </c>
      <c r="D3" s="1407"/>
      <c r="E3" s="1408"/>
      <c r="F3" s="1409"/>
      <c r="G3" s="1835" t="s">
        <v>2601</v>
      </c>
      <c r="H3" s="1835"/>
      <c r="I3" s="1835"/>
      <c r="J3" s="1409"/>
      <c r="K3" s="1838" t="s">
        <v>2602</v>
      </c>
      <c r="L3" s="1838"/>
      <c r="M3" s="1838"/>
      <c r="N3" s="1409"/>
      <c r="O3" s="1835" t="s">
        <v>2603</v>
      </c>
      <c r="P3" s="1835"/>
      <c r="Q3" s="1835"/>
      <c r="R3" s="1409"/>
      <c r="S3" s="1835" t="s">
        <v>2604</v>
      </c>
      <c r="T3" s="1835"/>
      <c r="U3" s="1835"/>
      <c r="V3" s="1409"/>
      <c r="W3" s="1835" t="s">
        <v>2605</v>
      </c>
      <c r="X3" s="1835"/>
      <c r="Y3" s="1835"/>
      <c r="Z3" s="1409"/>
      <c r="AA3" s="1835" t="s">
        <v>2606</v>
      </c>
      <c r="AB3" s="1835"/>
      <c r="AC3" s="1835"/>
      <c r="AD3" s="1409"/>
      <c r="AE3" s="1835" t="s">
        <v>2607</v>
      </c>
      <c r="AF3" s="1835"/>
      <c r="AG3" s="1835"/>
      <c r="AH3" s="1409"/>
      <c r="AI3" s="1836" t="s">
        <v>2314</v>
      </c>
      <c r="AJ3" s="1835"/>
      <c r="AK3" s="1837"/>
      <c r="AM3" s="1686" t="s">
        <v>3255</v>
      </c>
    </row>
    <row r="4" spans="1:39" ht="52.5" customHeight="1">
      <c r="A4" s="1410"/>
      <c r="B4" s="1410" t="s">
        <v>2608</v>
      </c>
      <c r="C4" s="1411" t="s">
        <v>2609</v>
      </c>
      <c r="D4" s="1411" t="s">
        <v>2610</v>
      </c>
      <c r="E4" s="1411" t="s">
        <v>2611</v>
      </c>
      <c r="F4" s="1412"/>
      <c r="G4" s="1413" t="s">
        <v>2612</v>
      </c>
      <c r="H4" s="1414" t="s">
        <v>2613</v>
      </c>
      <c r="I4" s="1415" t="s">
        <v>2614</v>
      </c>
      <c r="J4" s="1412"/>
      <c r="K4" s="1411" t="s">
        <v>2615</v>
      </c>
      <c r="L4" s="1411" t="s">
        <v>2613</v>
      </c>
      <c r="M4" s="1411" t="s">
        <v>2616</v>
      </c>
      <c r="N4" s="1412"/>
      <c r="O4" s="1411" t="s">
        <v>2615</v>
      </c>
      <c r="P4" s="1411" t="s">
        <v>2613</v>
      </c>
      <c r="Q4" s="1411" t="s">
        <v>2616</v>
      </c>
      <c r="R4" s="1412"/>
      <c r="S4" s="1411" t="s">
        <v>2612</v>
      </c>
      <c r="T4" s="1411" t="s">
        <v>2617</v>
      </c>
      <c r="U4" s="1411" t="s">
        <v>2618</v>
      </c>
      <c r="V4" s="1412"/>
      <c r="W4" s="1411" t="s">
        <v>2612</v>
      </c>
      <c r="X4" s="1411" t="s">
        <v>2617</v>
      </c>
      <c r="Y4" s="1411" t="s">
        <v>2618</v>
      </c>
      <c r="Z4" s="1412"/>
      <c r="AA4" s="1416" t="s">
        <v>2619</v>
      </c>
      <c r="AB4" s="1417" t="s">
        <v>2613</v>
      </c>
      <c r="AC4" s="1414" t="s">
        <v>2620</v>
      </c>
      <c r="AD4" s="1412"/>
      <c r="AE4" s="1418" t="s">
        <v>2619</v>
      </c>
      <c r="AF4" s="1411" t="s">
        <v>2621</v>
      </c>
      <c r="AG4" s="1411" t="s">
        <v>2622</v>
      </c>
      <c r="AH4" s="1412"/>
      <c r="AI4" s="1411" t="s">
        <v>2477</v>
      </c>
      <c r="AJ4" s="1411" t="s">
        <v>2623</v>
      </c>
      <c r="AK4" s="1411" t="s">
        <v>2624</v>
      </c>
    </row>
    <row r="5" spans="1:39">
      <c r="B5" s="728" t="s">
        <v>1798</v>
      </c>
      <c r="C5" s="728" t="s">
        <v>2625</v>
      </c>
      <c r="D5" s="728" t="s">
        <v>1800</v>
      </c>
      <c r="E5" s="728" t="s">
        <v>1801</v>
      </c>
      <c r="F5" s="728"/>
      <c r="G5" s="728" t="s">
        <v>1802</v>
      </c>
      <c r="H5" s="728" t="s">
        <v>2626</v>
      </c>
      <c r="I5" s="728" t="s">
        <v>1804</v>
      </c>
      <c r="J5" s="728"/>
      <c r="K5" s="728" t="s">
        <v>2627</v>
      </c>
      <c r="L5" s="728" t="s">
        <v>1806</v>
      </c>
      <c r="M5" s="728" t="s">
        <v>2628</v>
      </c>
      <c r="N5" s="728"/>
      <c r="O5" s="728" t="s">
        <v>2629</v>
      </c>
      <c r="P5" s="728" t="s">
        <v>2630</v>
      </c>
      <c r="Q5" s="728" t="s">
        <v>2631</v>
      </c>
      <c r="R5" s="728"/>
      <c r="S5" s="728" t="s">
        <v>2632</v>
      </c>
      <c r="T5" s="728" t="s">
        <v>2633</v>
      </c>
      <c r="U5" s="728" t="s">
        <v>2634</v>
      </c>
      <c r="V5" s="728"/>
      <c r="W5" s="728" t="s">
        <v>2635</v>
      </c>
      <c r="X5" s="728" t="s">
        <v>2636</v>
      </c>
      <c r="Y5" s="728" t="s">
        <v>2637</v>
      </c>
      <c r="Z5" s="728"/>
      <c r="AA5" s="728" t="s">
        <v>2638</v>
      </c>
      <c r="AB5" s="728" t="s">
        <v>2639</v>
      </c>
      <c r="AC5" s="728" t="s">
        <v>2640</v>
      </c>
      <c r="AD5" s="728"/>
      <c r="AE5" s="1419" t="s">
        <v>2641</v>
      </c>
      <c r="AF5" s="728" t="s">
        <v>2642</v>
      </c>
      <c r="AG5" s="728" t="s">
        <v>2643</v>
      </c>
      <c r="AH5" s="728"/>
      <c r="AI5" s="728" t="s">
        <v>2644</v>
      </c>
      <c r="AJ5" s="728" t="s">
        <v>2645</v>
      </c>
      <c r="AK5" s="728" t="s">
        <v>2646</v>
      </c>
    </row>
    <row r="6" spans="1:39">
      <c r="A6" s="728">
        <v>1</v>
      </c>
      <c r="B6" s="1420" t="s">
        <v>2647</v>
      </c>
      <c r="G6" s="1421"/>
    </row>
    <row r="7" spans="1:39">
      <c r="A7" s="728">
        <v>2</v>
      </c>
      <c r="B7" s="727" t="s">
        <v>2462</v>
      </c>
      <c r="C7" s="1405">
        <f>E7/D7</f>
        <v>2321731.12</v>
      </c>
      <c r="D7" s="1422">
        <v>5</v>
      </c>
      <c r="E7" s="1423">
        <f>'1501 Summary'!AD6</f>
        <v>11608655.6</v>
      </c>
      <c r="F7" s="1422"/>
      <c r="G7" s="1424"/>
      <c r="H7" s="1422"/>
      <c r="I7" s="1423"/>
      <c r="J7" s="1422"/>
      <c r="K7" s="1405">
        <f>C7+G7</f>
        <v>2321731.12</v>
      </c>
      <c r="L7" s="1422">
        <f>D7</f>
        <v>5</v>
      </c>
      <c r="M7" s="1423">
        <f>L7*K7</f>
        <v>11608655.600000001</v>
      </c>
      <c r="N7" s="1422"/>
      <c r="O7" s="1405"/>
      <c r="P7" s="1423"/>
      <c r="Q7" s="1423"/>
      <c r="R7" s="1422"/>
      <c r="S7" s="1405">
        <f>'End of Period Calculations'!AB99</f>
        <v>2344308</v>
      </c>
      <c r="T7" s="1423">
        <f>S7*L7</f>
        <v>11721540</v>
      </c>
      <c r="U7" s="1423">
        <f>T7-M7</f>
        <v>112884.39999999851</v>
      </c>
      <c r="V7" s="1422"/>
      <c r="W7" s="1422"/>
      <c r="X7" s="1422"/>
      <c r="Y7" s="1422"/>
      <c r="Z7" s="1422"/>
      <c r="AA7" s="1425"/>
      <c r="AB7" s="1425"/>
      <c r="AC7" s="1425"/>
      <c r="AD7" s="1422"/>
      <c r="AE7" s="1405">
        <f>IF($AM$3="No", S7,'End of Period Calculations'!AD99)</f>
        <v>2344308</v>
      </c>
      <c r="AF7" s="1422">
        <f>AE7*L7</f>
        <v>11721540</v>
      </c>
      <c r="AG7" s="1422">
        <f>AF7-T7</f>
        <v>0</v>
      </c>
      <c r="AH7" s="1422"/>
      <c r="AI7" s="1426">
        <f>'Exh 18, Class Rates'!H9</f>
        <v>5</v>
      </c>
      <c r="AJ7" s="1425">
        <f>AI7*AE7</f>
        <v>11721540</v>
      </c>
      <c r="AK7" s="1425">
        <f>AJ7-AF7</f>
        <v>0</v>
      </c>
      <c r="AL7" s="748"/>
    </row>
    <row r="8" spans="1:39">
      <c r="A8" s="728">
        <v>3</v>
      </c>
      <c r="B8" s="727" t="s">
        <v>2463</v>
      </c>
      <c r="C8" s="1405">
        <f>E8/D8</f>
        <v>130707634.73626167</v>
      </c>
      <c r="D8" s="1361">
        <v>0.27205000000000001</v>
      </c>
      <c r="E8" s="1423">
        <f>'1501 Summary'!AD7</f>
        <v>35559012.029999986</v>
      </c>
      <c r="F8" s="1422"/>
      <c r="G8" s="1424"/>
      <c r="H8" s="1427"/>
      <c r="I8" s="1422"/>
      <c r="J8" s="1422"/>
      <c r="K8" s="1405">
        <f>C8+G8</f>
        <v>130707634.73626167</v>
      </c>
      <c r="L8" s="1427">
        <v>0.31073000000000001</v>
      </c>
      <c r="M8" s="1423">
        <f>L8*K8</f>
        <v>40614783.341598585</v>
      </c>
      <c r="N8" s="1422"/>
      <c r="O8" s="1405"/>
      <c r="P8" s="1405"/>
      <c r="Q8" s="1423"/>
      <c r="R8" s="1422"/>
      <c r="S8" s="1405"/>
      <c r="T8" s="1405"/>
      <c r="U8" s="1423"/>
      <c r="V8" s="1422"/>
      <c r="W8" s="1422"/>
      <c r="X8" s="1422"/>
      <c r="Y8" s="1422"/>
      <c r="Z8" s="1422"/>
      <c r="AA8" s="1405">
        <f>+'End of Period Calculations'!AA99</f>
        <v>131741687.23064102</v>
      </c>
      <c r="AB8" s="1428">
        <v>3.47E-3</v>
      </c>
      <c r="AC8" s="1425">
        <f>AB8*AA8</f>
        <v>457143.65469032433</v>
      </c>
      <c r="AD8" s="1422"/>
      <c r="AF8" s="1422"/>
      <c r="AG8" s="1422"/>
      <c r="AH8" s="1422"/>
      <c r="AI8" s="1429"/>
      <c r="AJ8" s="1430"/>
      <c r="AK8" s="1425"/>
      <c r="AL8" s="748"/>
    </row>
    <row r="9" spans="1:39">
      <c r="A9" s="728">
        <v>4</v>
      </c>
      <c r="B9" s="727" t="s">
        <v>2648</v>
      </c>
      <c r="E9" s="1431">
        <f>SUM(E7:E8)</f>
        <v>47167667.629999988</v>
      </c>
      <c r="F9" s="1422"/>
      <c r="G9" s="1422"/>
      <c r="H9" s="1422"/>
      <c r="I9" s="1422"/>
      <c r="J9" s="1422"/>
      <c r="K9" s="1405"/>
      <c r="L9" s="1427"/>
      <c r="M9" s="1423"/>
      <c r="N9" s="1422"/>
      <c r="O9" s="1423"/>
      <c r="P9" s="1423"/>
      <c r="Q9" s="1423"/>
      <c r="R9" s="1422"/>
      <c r="S9" s="1423"/>
      <c r="T9" s="1423"/>
      <c r="U9" s="1423"/>
      <c r="V9" s="1422"/>
      <c r="W9" s="1422"/>
      <c r="X9" s="1422"/>
      <c r="Y9" s="1422"/>
      <c r="Z9" s="1422"/>
      <c r="AA9" s="1425"/>
      <c r="AB9" s="1425"/>
      <c r="AC9" s="1425"/>
      <c r="AD9" s="1422"/>
      <c r="AF9" s="1422"/>
      <c r="AG9" s="1422"/>
      <c r="AH9" s="1422"/>
      <c r="AI9" s="1432"/>
      <c r="AJ9" s="1430"/>
      <c r="AK9" s="1425"/>
      <c r="AL9" s="748"/>
    </row>
    <row r="10" spans="1:39" ht="15.6">
      <c r="A10" s="728">
        <v>5</v>
      </c>
      <c r="E10" s="1423"/>
      <c r="L10" s="1427"/>
      <c r="O10" s="1423"/>
      <c r="P10" s="1423"/>
      <c r="Q10" s="1423"/>
      <c r="S10" s="1423"/>
      <c r="T10" s="1423"/>
      <c r="U10" s="1423"/>
      <c r="AA10" s="1425"/>
      <c r="AB10" s="1425"/>
      <c r="AC10" s="1425"/>
      <c r="AI10" s="1433"/>
      <c r="AJ10" s="1430"/>
      <c r="AK10" s="1425"/>
      <c r="AL10" s="748"/>
    </row>
    <row r="11" spans="1:39" ht="15.6">
      <c r="A11" s="728">
        <v>6</v>
      </c>
      <c r="B11" s="727" t="s">
        <v>2649</v>
      </c>
      <c r="E11" s="1423"/>
      <c r="K11" s="1434">
        <f>'Weather Normalization'!E16-SUM('Exh 2, Proof of Revenue'!K8:K8)</f>
        <v>-179086.38636855781</v>
      </c>
      <c r="L11" s="1427">
        <f>L8</f>
        <v>0.31073000000000001</v>
      </c>
      <c r="M11" s="1435">
        <f>L11*K11</f>
        <v>-55647.512836301968</v>
      </c>
      <c r="O11" s="1423"/>
      <c r="P11" s="1423"/>
      <c r="Q11" s="1423"/>
      <c r="S11" s="1423"/>
      <c r="T11" s="1423"/>
      <c r="U11" s="1423"/>
      <c r="AA11" s="1425"/>
      <c r="AB11" s="1425"/>
      <c r="AC11" s="1425"/>
      <c r="AI11" s="1433"/>
      <c r="AJ11" s="1430"/>
      <c r="AK11" s="1425"/>
      <c r="AL11" s="748"/>
    </row>
    <row r="12" spans="1:39" ht="15.6">
      <c r="A12" s="728">
        <v>7</v>
      </c>
      <c r="E12" s="1423"/>
      <c r="L12" s="1427"/>
      <c r="M12" s="1435"/>
      <c r="O12" s="1423"/>
      <c r="P12" s="1423"/>
      <c r="Q12" s="1423"/>
      <c r="S12" s="1423"/>
      <c r="T12" s="1423"/>
      <c r="U12" s="1423"/>
      <c r="AA12" s="1425"/>
      <c r="AB12" s="1425"/>
      <c r="AC12" s="1425"/>
      <c r="AI12" s="1433"/>
      <c r="AJ12" s="1430"/>
      <c r="AK12" s="1425"/>
      <c r="AL12" s="748"/>
    </row>
    <row r="13" spans="1:39">
      <c r="A13" s="728">
        <v>8</v>
      </c>
      <c r="B13" s="727" t="s">
        <v>2650</v>
      </c>
      <c r="E13" s="1423">
        <f>'1501 Summary'!AD8</f>
        <v>57026087.02000007</v>
      </c>
      <c r="F13" s="1422"/>
      <c r="G13" s="1422"/>
      <c r="H13" s="1422"/>
      <c r="I13" s="1422"/>
      <c r="J13" s="1422"/>
      <c r="K13" s="1405">
        <f>SUM(K8:K11)</f>
        <v>130528548.34989311</v>
      </c>
      <c r="L13" s="1427">
        <f>L8</f>
        <v>0.31073000000000001</v>
      </c>
      <c r="M13" s="1436">
        <f>L13*K13</f>
        <v>40559135.828762285</v>
      </c>
      <c r="N13" s="1422"/>
      <c r="O13" s="1405"/>
      <c r="P13" s="1437"/>
      <c r="Q13" s="1437"/>
      <c r="R13" s="1422"/>
      <c r="S13" s="1405">
        <f>'End of Period Calculations'!AA99</f>
        <v>131741687.23064102</v>
      </c>
      <c r="T13" s="1437">
        <f>S13*L13</f>
        <v>40936094.473177083</v>
      </c>
      <c r="U13" s="1437">
        <f>T13-M13</f>
        <v>376958.64441479743</v>
      </c>
      <c r="V13" s="1422"/>
      <c r="W13" s="1422"/>
      <c r="X13" s="1422"/>
      <c r="Y13" s="1422"/>
      <c r="Z13" s="1422"/>
      <c r="AA13" s="1425"/>
      <c r="AB13" s="1425"/>
      <c r="AC13" s="1425"/>
      <c r="AD13" s="1422"/>
      <c r="AE13" s="1405">
        <f>IF($AM$3="No", S13, 'End of Period Calculations'!AA126)</f>
        <v>131741687.23064102</v>
      </c>
      <c r="AF13" s="1438">
        <f>AE13*L13</f>
        <v>40936094.473177083</v>
      </c>
      <c r="AG13" s="1438">
        <f>AF13-T13</f>
        <v>0</v>
      </c>
      <c r="AH13" s="1422"/>
      <c r="AI13" s="1439">
        <f>'Exh 18, Class Rates'!H10</f>
        <v>0.30926988299236752</v>
      </c>
      <c r="AJ13" s="1440">
        <f>AI13*AE13</f>
        <v>40743736.195037425</v>
      </c>
      <c r="AK13" s="1425">
        <f>AJ13-AF13</f>
        <v>-192358.27813965827</v>
      </c>
      <c r="AL13" s="748"/>
    </row>
    <row r="14" spans="1:39">
      <c r="A14" s="728">
        <v>9</v>
      </c>
      <c r="E14" s="1423"/>
      <c r="L14" s="1427"/>
      <c r="M14" s="1435">
        <f>SUM(M13,M7)</f>
        <v>52167791.428762287</v>
      </c>
      <c r="O14" s="1423"/>
      <c r="P14" s="1423"/>
      <c r="Q14" s="1423"/>
      <c r="S14" s="1423"/>
      <c r="T14" s="1423">
        <f>SUM(T7,T13)</f>
        <v>52657634.473177083</v>
      </c>
      <c r="U14" s="1423">
        <f>T14-M14</f>
        <v>489843.04441479594</v>
      </c>
      <c r="AA14" s="1425"/>
      <c r="AB14" s="1425"/>
      <c r="AC14" s="1425"/>
      <c r="AF14" s="1422">
        <f>SUM(AF7:AF13)</f>
        <v>52657634.473177083</v>
      </c>
      <c r="AG14" s="1422">
        <f>SUM(AG7:AG13)</f>
        <v>0</v>
      </c>
      <c r="AI14" s="1432"/>
      <c r="AJ14" s="1441">
        <f>SUM(AJ7:AJ13)</f>
        <v>52465276.195037425</v>
      </c>
      <c r="AK14" s="1441">
        <f>SUM(AK7:AK13)</f>
        <v>-192358.27813965827</v>
      </c>
      <c r="AL14" s="748"/>
    </row>
    <row r="15" spans="1:39">
      <c r="A15" s="728">
        <v>10</v>
      </c>
      <c r="B15" s="727" t="s">
        <v>2651</v>
      </c>
      <c r="E15" s="1423"/>
      <c r="L15" s="1427"/>
      <c r="O15" s="1423"/>
      <c r="P15" s="1423"/>
      <c r="Q15" s="1423"/>
      <c r="S15" s="1423"/>
      <c r="T15" s="1423"/>
      <c r="U15" s="1423"/>
      <c r="AA15" s="1425"/>
      <c r="AB15" s="1425"/>
      <c r="AC15" s="1425"/>
      <c r="AK15" s="1425"/>
      <c r="AL15" s="748"/>
    </row>
    <row r="16" spans="1:39">
      <c r="A16" s="728">
        <v>11</v>
      </c>
      <c r="B16" s="727" t="s">
        <v>2652</v>
      </c>
      <c r="E16" s="1423">
        <f>'1501 Summary'!AD9</f>
        <v>5759452.8200000022</v>
      </c>
      <c r="L16" s="1427"/>
      <c r="O16" s="1423"/>
      <c r="P16" s="1423"/>
      <c r="Q16" s="1423"/>
      <c r="S16" s="1423"/>
      <c r="T16" s="1423"/>
      <c r="U16" s="1423"/>
      <c r="AA16" s="1425"/>
      <c r="AB16" s="1425"/>
      <c r="AC16" s="1425"/>
      <c r="AK16" s="1425"/>
      <c r="AL16" s="748"/>
    </row>
    <row r="17" spans="1:38">
      <c r="A17" s="728">
        <v>12</v>
      </c>
      <c r="B17" s="727" t="s">
        <v>2653</v>
      </c>
      <c r="E17" s="1423">
        <f>'1501 Summary'!AD10</f>
        <v>441169.52000000025</v>
      </c>
      <c r="F17" s="1422"/>
      <c r="G17" s="1422"/>
      <c r="H17" s="1422"/>
      <c r="I17" s="1422"/>
      <c r="J17" s="1422"/>
      <c r="K17" s="1422"/>
      <c r="L17" s="1427"/>
      <c r="M17" s="1422"/>
      <c r="N17" s="1422"/>
      <c r="O17" s="1423"/>
      <c r="P17" s="1423"/>
      <c r="Q17" s="1423"/>
      <c r="R17" s="1422"/>
      <c r="S17" s="1423"/>
      <c r="T17" s="1423"/>
      <c r="U17" s="1423"/>
      <c r="V17" s="1422"/>
      <c r="W17" s="1422"/>
      <c r="X17" s="1422"/>
      <c r="Y17" s="1422"/>
      <c r="Z17" s="1422"/>
      <c r="AD17" s="1422"/>
      <c r="AF17" s="1422"/>
      <c r="AG17" s="1422"/>
      <c r="AH17" s="1422"/>
      <c r="AK17" s="1441"/>
      <c r="AL17" s="748"/>
    </row>
    <row r="18" spans="1:38">
      <c r="A18" s="728">
        <v>13</v>
      </c>
      <c r="B18" s="727" t="s">
        <v>2654</v>
      </c>
      <c r="E18" s="1423">
        <f>'1501 Summary'!AD11</f>
        <v>1799420.8200000019</v>
      </c>
      <c r="F18" s="1422"/>
      <c r="G18" s="1422"/>
      <c r="H18" s="1422"/>
      <c r="I18" s="1422"/>
      <c r="J18" s="1422"/>
      <c r="K18" s="1422"/>
      <c r="L18" s="1427"/>
      <c r="M18" s="1422"/>
      <c r="N18" s="1422"/>
      <c r="O18" s="1423"/>
      <c r="P18" s="1423"/>
      <c r="Q18" s="1423"/>
      <c r="R18" s="1422"/>
      <c r="S18" s="1423"/>
      <c r="T18" s="1423"/>
      <c r="U18" s="1423"/>
      <c r="V18" s="1422"/>
      <c r="W18" s="1422"/>
      <c r="X18" s="1422"/>
      <c r="Y18" s="1422"/>
      <c r="Z18" s="1422"/>
      <c r="AD18" s="1422"/>
      <c r="AF18" s="1422"/>
      <c r="AG18" s="1422"/>
      <c r="AH18" s="1422"/>
      <c r="AL18" s="748"/>
    </row>
    <row r="19" spans="1:38">
      <c r="A19" s="728">
        <v>14</v>
      </c>
      <c r="B19" s="727" t="s">
        <v>2655</v>
      </c>
      <c r="E19" s="1423">
        <f>'1501 Summary'!AD12</f>
        <v>-2529025.379999999</v>
      </c>
      <c r="F19" s="1422"/>
      <c r="G19" s="1422"/>
      <c r="H19" s="1422"/>
      <c r="I19" s="1422"/>
      <c r="J19" s="1422"/>
      <c r="K19" s="1422"/>
      <c r="L19" s="1427"/>
      <c r="M19" s="1422"/>
      <c r="N19" s="1422"/>
      <c r="O19" s="1423"/>
      <c r="P19" s="1423"/>
      <c r="Q19" s="1423"/>
      <c r="R19" s="1422"/>
      <c r="S19" s="1423"/>
      <c r="T19" s="1423"/>
      <c r="U19" s="1423"/>
      <c r="V19" s="1422"/>
      <c r="W19" s="1422"/>
      <c r="X19" s="1422"/>
      <c r="Y19" s="1422"/>
      <c r="Z19" s="1422"/>
      <c r="AD19" s="1422"/>
      <c r="AF19" s="1422"/>
      <c r="AG19" s="1422"/>
      <c r="AH19" s="1422"/>
      <c r="AL19" s="748"/>
    </row>
    <row r="20" spans="1:38">
      <c r="A20" s="728">
        <v>15</v>
      </c>
      <c r="B20" s="727" t="s">
        <v>2656</v>
      </c>
      <c r="E20" s="1423">
        <f>'1501 Summary'!AD13</f>
        <v>846347.13</v>
      </c>
      <c r="F20" s="1422"/>
      <c r="G20" s="1422"/>
      <c r="H20" s="1422"/>
      <c r="I20" s="1422"/>
      <c r="J20" s="1422"/>
      <c r="K20" s="1422"/>
      <c r="L20" s="1427"/>
      <c r="M20" s="1422"/>
      <c r="N20" s="1422"/>
      <c r="O20" s="1423"/>
      <c r="P20" s="1423"/>
      <c r="Q20" s="1423"/>
      <c r="R20" s="1422"/>
      <c r="S20" s="1423"/>
      <c r="T20" s="1423"/>
      <c r="U20" s="1423"/>
      <c r="V20" s="1422"/>
      <c r="W20" s="1422"/>
      <c r="X20" s="1422"/>
      <c r="Y20" s="1422"/>
      <c r="Z20" s="1422"/>
      <c r="AD20" s="1422"/>
      <c r="AF20" s="1422"/>
      <c r="AG20" s="1422"/>
      <c r="AH20" s="1422"/>
      <c r="AL20" s="748"/>
    </row>
    <row r="21" spans="1:38">
      <c r="A21" s="728">
        <v>16</v>
      </c>
      <c r="B21" s="727" t="s">
        <v>2657</v>
      </c>
      <c r="E21" s="1423">
        <f>'1501 Summary'!AD14</f>
        <v>3574018.8199999989</v>
      </c>
      <c r="F21" s="1422"/>
      <c r="G21" s="1422"/>
      <c r="H21" s="1422"/>
      <c r="I21" s="1422"/>
      <c r="J21" s="1422"/>
      <c r="K21" s="1422"/>
      <c r="L21" s="1427"/>
      <c r="M21" s="1422"/>
      <c r="N21" s="1422"/>
      <c r="O21" s="1423"/>
      <c r="P21" s="1423"/>
      <c r="Q21" s="1423"/>
      <c r="R21" s="1422"/>
      <c r="S21" s="1423"/>
      <c r="T21" s="1423"/>
      <c r="U21" s="1423"/>
      <c r="V21" s="1422"/>
      <c r="W21" s="1422"/>
      <c r="X21" s="1422"/>
      <c r="Y21" s="1422"/>
      <c r="Z21" s="1422"/>
      <c r="AD21" s="1422"/>
      <c r="AF21" s="1422"/>
      <c r="AG21" s="1422"/>
      <c r="AH21" s="1422"/>
      <c r="AL21" s="748"/>
    </row>
    <row r="22" spans="1:38">
      <c r="A22" s="728">
        <v>17</v>
      </c>
      <c r="B22" s="1442" t="s">
        <v>2658</v>
      </c>
      <c r="E22" s="1423">
        <f>'1501 Summary'!AD15</f>
        <v>-956022.1800000011</v>
      </c>
      <c r="F22" s="1422"/>
      <c r="G22" s="1422"/>
      <c r="H22" s="1422"/>
      <c r="I22" s="1422"/>
      <c r="J22" s="1422"/>
      <c r="K22" s="1422"/>
      <c r="L22" s="1427"/>
      <c r="M22" s="1422"/>
      <c r="N22" s="1422"/>
      <c r="O22" s="1423"/>
      <c r="P22" s="1423"/>
      <c r="Q22" s="1423"/>
      <c r="R22" s="1422"/>
      <c r="S22" s="1423"/>
      <c r="T22" s="1423"/>
      <c r="U22" s="1423"/>
      <c r="V22" s="1422"/>
      <c r="W22" s="1422"/>
      <c r="X22" s="1422"/>
      <c r="Y22" s="1422"/>
      <c r="Z22" s="1422"/>
      <c r="AD22" s="1422"/>
      <c r="AF22" s="1422"/>
      <c r="AG22" s="1422"/>
      <c r="AH22" s="1422"/>
      <c r="AL22" s="748"/>
    </row>
    <row r="23" spans="1:38">
      <c r="A23" s="728">
        <v>18</v>
      </c>
      <c r="B23" s="1442" t="s">
        <v>2659</v>
      </c>
      <c r="E23" s="1423">
        <f>'1501 Summary'!AD16</f>
        <v>-428744.85000000044</v>
      </c>
      <c r="F23" s="1422"/>
      <c r="G23" s="1422"/>
      <c r="H23" s="1422"/>
      <c r="I23" s="1422"/>
      <c r="J23" s="1422"/>
      <c r="K23" s="1422"/>
      <c r="L23" s="1427"/>
      <c r="M23" s="1422"/>
      <c r="N23" s="1422"/>
      <c r="O23" s="1423"/>
      <c r="P23" s="1423"/>
      <c r="Q23" s="1423"/>
      <c r="R23" s="1422"/>
      <c r="S23" s="1423"/>
      <c r="T23" s="1423"/>
      <c r="U23" s="1423"/>
      <c r="V23" s="1422"/>
      <c r="W23" s="1422"/>
      <c r="X23" s="1422"/>
      <c r="Y23" s="1422"/>
      <c r="Z23" s="1422"/>
      <c r="AD23" s="1422"/>
      <c r="AF23" s="1422"/>
      <c r="AG23" s="1422"/>
      <c r="AH23" s="1422"/>
      <c r="AL23" s="748"/>
    </row>
    <row r="24" spans="1:38">
      <c r="A24" s="728">
        <v>19</v>
      </c>
      <c r="B24" s="1442" t="s">
        <v>2660</v>
      </c>
      <c r="E24" s="1423">
        <f>'1501 Summary'!AD17</f>
        <v>-667501.94999999995</v>
      </c>
      <c r="F24" s="1422"/>
      <c r="G24" s="1422"/>
      <c r="H24" s="1422"/>
      <c r="I24" s="1422"/>
      <c r="J24" s="1422"/>
      <c r="K24" s="1422"/>
      <c r="L24" s="1427"/>
      <c r="M24" s="1422"/>
      <c r="N24" s="1422"/>
      <c r="O24" s="1423"/>
      <c r="P24" s="1423"/>
      <c r="Q24" s="1423"/>
      <c r="R24" s="1422"/>
      <c r="S24" s="1423"/>
      <c r="T24" s="1423"/>
      <c r="U24" s="1423"/>
      <c r="V24" s="1422"/>
      <c r="W24" s="1422"/>
      <c r="X24" s="1422"/>
      <c r="Y24" s="1422"/>
      <c r="Z24" s="1422"/>
      <c r="AD24" s="1422"/>
      <c r="AF24" s="1422"/>
      <c r="AG24" s="1422"/>
      <c r="AH24" s="1422"/>
      <c r="AL24" s="748"/>
    </row>
    <row r="25" spans="1:38">
      <c r="A25" s="728">
        <v>20</v>
      </c>
      <c r="B25" s="727" t="s">
        <v>2661</v>
      </c>
      <c r="E25" s="1423">
        <f>'1501 Summary'!AD18</f>
        <v>5506161.7299999967</v>
      </c>
      <c r="F25" s="1422"/>
      <c r="G25" s="1422"/>
      <c r="H25" s="1422"/>
      <c r="I25" s="1422"/>
      <c r="J25" s="1422"/>
      <c r="K25" s="1422"/>
      <c r="L25" s="1427"/>
      <c r="M25" s="1422"/>
      <c r="N25" s="1422"/>
      <c r="O25" s="1423"/>
      <c r="P25" s="1423"/>
      <c r="Q25" s="1423"/>
      <c r="R25" s="1422"/>
      <c r="S25" s="1423"/>
      <c r="T25" s="1423"/>
      <c r="U25" s="1423"/>
      <c r="V25" s="1422"/>
      <c r="W25" s="1422"/>
      <c r="X25" s="1422"/>
      <c r="Y25" s="1422"/>
      <c r="Z25" s="1422"/>
      <c r="AA25" s="1423"/>
      <c r="AB25" s="1423"/>
      <c r="AC25" s="1423"/>
      <c r="AD25" s="1422"/>
      <c r="AF25" s="1422"/>
      <c r="AG25" s="1422"/>
      <c r="AH25" s="1422"/>
      <c r="AK25" s="1423"/>
      <c r="AL25" s="748"/>
    </row>
    <row r="26" spans="1:38">
      <c r="A26" s="728">
        <v>21</v>
      </c>
      <c r="B26" s="727" t="s">
        <v>2662</v>
      </c>
      <c r="E26" s="1423">
        <f>'1501 Summary'!AD19</f>
        <v>13767.33</v>
      </c>
      <c r="F26" s="1422"/>
      <c r="G26" s="1422"/>
      <c r="H26" s="1422"/>
      <c r="I26" s="1422"/>
      <c r="J26" s="1422"/>
      <c r="K26" s="1422"/>
      <c r="L26" s="1427"/>
      <c r="M26" s="1422"/>
      <c r="N26" s="1422"/>
      <c r="O26" s="1423"/>
      <c r="P26" s="1423"/>
      <c r="Q26" s="1423"/>
      <c r="R26" s="1422"/>
      <c r="S26" s="1423"/>
      <c r="T26" s="1423"/>
      <c r="U26" s="1423"/>
      <c r="V26" s="1422"/>
      <c r="W26" s="1422"/>
      <c r="X26" s="1422"/>
      <c r="Y26" s="1422"/>
      <c r="Z26" s="1422"/>
      <c r="AA26" s="1423"/>
      <c r="AB26" s="1423"/>
      <c r="AC26" s="1423"/>
      <c r="AD26" s="1422"/>
      <c r="AF26" s="1422"/>
      <c r="AG26" s="1422"/>
      <c r="AH26" s="1422"/>
      <c r="AK26" s="1423"/>
      <c r="AL26" s="748"/>
    </row>
    <row r="27" spans="1:38">
      <c r="A27" s="728">
        <v>22</v>
      </c>
      <c r="B27" s="727" t="s">
        <v>2663</v>
      </c>
      <c r="E27" s="1423">
        <f>'1501 Summary'!AD20</f>
        <v>1289.7299999999998</v>
      </c>
      <c r="F27" s="1422"/>
      <c r="G27" s="1422"/>
      <c r="H27" s="1422"/>
      <c r="I27" s="1422"/>
      <c r="J27" s="1422"/>
      <c r="K27" s="1422"/>
      <c r="L27" s="1427"/>
      <c r="M27" s="1422"/>
      <c r="N27" s="1422"/>
      <c r="O27" s="1423"/>
      <c r="P27" s="1423"/>
      <c r="Q27" s="1423"/>
      <c r="R27" s="1422"/>
      <c r="S27" s="1423"/>
      <c r="T27" s="1423"/>
      <c r="U27" s="1423"/>
      <c r="V27" s="1422"/>
      <c r="W27" s="1422"/>
      <c r="X27" s="1422"/>
      <c r="Y27" s="1422"/>
      <c r="Z27" s="1422"/>
      <c r="AA27" s="1423"/>
      <c r="AB27" s="1423"/>
      <c r="AC27" s="1423"/>
      <c r="AD27" s="1422"/>
      <c r="AF27" s="1422"/>
      <c r="AG27" s="1422"/>
      <c r="AH27" s="1422"/>
      <c r="AK27" s="1423"/>
      <c r="AL27" s="748"/>
    </row>
    <row r="28" spans="1:38">
      <c r="A28" s="728">
        <v>23</v>
      </c>
      <c r="B28" s="727" t="s">
        <v>2664</v>
      </c>
      <c r="E28" s="1423">
        <f>'1501 Summary'!AD21</f>
        <v>-709.94</v>
      </c>
      <c r="F28" s="1422"/>
      <c r="G28" s="1422"/>
      <c r="H28" s="1422"/>
      <c r="I28" s="1422"/>
      <c r="J28" s="1422"/>
      <c r="K28" s="1422"/>
      <c r="L28" s="1427"/>
      <c r="M28" s="1422"/>
      <c r="N28" s="1422"/>
      <c r="O28" s="1423"/>
      <c r="P28" s="1423"/>
      <c r="Q28" s="1423"/>
      <c r="R28" s="1422"/>
      <c r="S28" s="1423"/>
      <c r="T28" s="1423"/>
      <c r="U28" s="1423"/>
      <c r="V28" s="1422"/>
      <c r="W28" s="1422"/>
      <c r="X28" s="1422"/>
      <c r="Y28" s="1422"/>
      <c r="Z28" s="1422"/>
      <c r="AA28" s="1423"/>
      <c r="AB28" s="1423"/>
      <c r="AC28" s="1423"/>
      <c r="AD28" s="1422"/>
      <c r="AF28" s="1422"/>
      <c r="AG28" s="1422"/>
      <c r="AH28" s="1422"/>
      <c r="AK28" s="1423"/>
      <c r="AL28" s="748"/>
    </row>
    <row r="29" spans="1:38">
      <c r="A29" s="728">
        <v>24</v>
      </c>
      <c r="B29" s="727" t="s">
        <v>2665</v>
      </c>
      <c r="E29" s="1423">
        <f>'1501 Summary'!AD22</f>
        <v>20656.729999999996</v>
      </c>
      <c r="F29" s="1422"/>
      <c r="G29" s="1422"/>
      <c r="H29" s="1422"/>
      <c r="I29" s="1422"/>
      <c r="J29" s="1422"/>
      <c r="K29" s="1422"/>
      <c r="L29" s="1427"/>
      <c r="M29" s="1422"/>
      <c r="N29" s="1422"/>
      <c r="O29" s="1423"/>
      <c r="P29" s="1423"/>
      <c r="Q29" s="1423"/>
      <c r="R29" s="1422"/>
      <c r="S29" s="1423"/>
      <c r="T29" s="1423"/>
      <c r="U29" s="1423"/>
      <c r="V29" s="1422"/>
      <c r="W29" s="1422"/>
      <c r="X29" s="1422"/>
      <c r="Y29" s="1422"/>
      <c r="Z29" s="1422"/>
      <c r="AA29" s="1423"/>
      <c r="AB29" s="1423"/>
      <c r="AC29" s="1423"/>
      <c r="AD29" s="1422"/>
      <c r="AF29" s="1422"/>
      <c r="AG29" s="1422"/>
      <c r="AH29" s="1422"/>
      <c r="AK29" s="1423"/>
      <c r="AL29" s="748"/>
    </row>
    <row r="30" spans="1:38">
      <c r="A30" s="728">
        <v>25</v>
      </c>
      <c r="B30" s="1443" t="s">
        <v>54</v>
      </c>
      <c r="E30" s="1423">
        <f>'1501 Summary'!AD23</f>
        <v>-381.85</v>
      </c>
      <c r="F30" s="1422"/>
      <c r="G30" s="1422"/>
      <c r="H30" s="1422"/>
      <c r="I30" s="1422"/>
      <c r="J30" s="1422"/>
      <c r="K30" s="1422"/>
      <c r="L30" s="1427"/>
      <c r="M30" s="1422"/>
      <c r="N30" s="1422"/>
      <c r="O30" s="1423"/>
      <c r="P30" s="1423"/>
      <c r="Q30" s="1423"/>
      <c r="R30" s="1422"/>
      <c r="S30" s="1423"/>
      <c r="T30" s="1423"/>
      <c r="U30" s="1423"/>
      <c r="V30" s="1422"/>
      <c r="W30" s="1422"/>
      <c r="X30" s="1422"/>
      <c r="Y30" s="1422"/>
      <c r="Z30" s="1422"/>
      <c r="AA30" s="1423"/>
      <c r="AB30" s="1423"/>
      <c r="AC30" s="1423"/>
      <c r="AD30" s="1422"/>
      <c r="AF30" s="1422"/>
      <c r="AG30" s="1422"/>
      <c r="AH30" s="1422"/>
      <c r="AK30" s="1423"/>
      <c r="AL30" s="748"/>
    </row>
    <row r="31" spans="1:38">
      <c r="A31" s="728">
        <v>26</v>
      </c>
      <c r="B31" s="1443" t="s">
        <v>2666</v>
      </c>
      <c r="E31" s="1423">
        <f>'Revenue Reconcilliation'!Q14</f>
        <v>73352000.449999988</v>
      </c>
      <c r="F31" s="1422"/>
      <c r="G31" s="1422"/>
      <c r="H31" s="1422"/>
      <c r="I31" s="1422"/>
      <c r="J31" s="1422"/>
      <c r="K31" s="1422"/>
      <c r="L31" s="1427"/>
      <c r="M31" s="1422"/>
      <c r="N31" s="1422"/>
      <c r="O31" s="1423"/>
      <c r="P31" s="1423"/>
      <c r="Q31" s="1423"/>
      <c r="R31" s="1422"/>
      <c r="S31" s="1423"/>
      <c r="T31" s="1423"/>
      <c r="U31" s="1423"/>
      <c r="V31" s="1422"/>
      <c r="W31" s="1422"/>
      <c r="X31" s="1422"/>
      <c r="Y31" s="1422"/>
      <c r="Z31" s="1422"/>
      <c r="AA31" s="1423"/>
      <c r="AB31" s="1423"/>
      <c r="AC31" s="1423"/>
      <c r="AD31" s="1422"/>
      <c r="AF31" s="1422"/>
      <c r="AG31" s="1422"/>
      <c r="AH31" s="1422"/>
      <c r="AK31" s="1423"/>
      <c r="AL31" s="748"/>
    </row>
    <row r="32" spans="1:38">
      <c r="A32" s="728">
        <v>27</v>
      </c>
      <c r="B32" s="1443" t="s">
        <v>2667</v>
      </c>
      <c r="E32" s="1423">
        <f>'Revenue Reconcilliation'!Q15</f>
        <v>-71347018.019999996</v>
      </c>
      <c r="F32" s="1422"/>
      <c r="G32" s="1422"/>
      <c r="H32" s="1422"/>
      <c r="I32" s="1422"/>
      <c r="J32" s="1422"/>
      <c r="K32" s="1422"/>
      <c r="L32" s="1427"/>
      <c r="M32" s="1422"/>
      <c r="N32" s="1422"/>
      <c r="O32" s="1423"/>
      <c r="P32" s="1423"/>
      <c r="Q32" s="1423"/>
      <c r="R32" s="1422"/>
      <c r="S32" s="1423"/>
      <c r="T32" s="1423"/>
      <c r="U32" s="1423"/>
      <c r="V32" s="1422"/>
      <c r="W32" s="1422"/>
      <c r="X32" s="1422"/>
      <c r="Y32" s="1422"/>
      <c r="Z32" s="1422"/>
      <c r="AA32" s="1423"/>
      <c r="AB32" s="1423"/>
      <c r="AC32" s="1423"/>
      <c r="AD32" s="1422"/>
      <c r="AF32" s="1422"/>
      <c r="AG32" s="1422"/>
      <c r="AH32" s="1422"/>
      <c r="AK32" s="1423"/>
      <c r="AL32" s="748"/>
    </row>
    <row r="33" spans="1:38">
      <c r="A33" s="728">
        <v>28</v>
      </c>
      <c r="B33" s="1443" t="s">
        <v>2668</v>
      </c>
      <c r="E33" s="1423">
        <f>'Revenue Reconcilliation'!Q16</f>
        <v>-1197917.9699999995</v>
      </c>
      <c r="F33" s="1422"/>
      <c r="G33" s="1422"/>
      <c r="H33" s="1422"/>
      <c r="I33" s="1422"/>
      <c r="J33" s="1422"/>
      <c r="K33" s="1422"/>
      <c r="L33" s="1427"/>
      <c r="M33" s="1422"/>
      <c r="N33" s="1422"/>
      <c r="O33" s="1423"/>
      <c r="P33" s="1423"/>
      <c r="Q33" s="1423"/>
      <c r="R33" s="1422"/>
      <c r="S33" s="1423"/>
      <c r="T33" s="1423"/>
      <c r="U33" s="1423"/>
      <c r="V33" s="1422"/>
      <c r="W33" s="1422"/>
      <c r="X33" s="1422"/>
      <c r="Y33" s="1422"/>
      <c r="Z33" s="1422"/>
      <c r="AA33" s="1423"/>
      <c r="AB33" s="1423"/>
      <c r="AC33" s="1423"/>
      <c r="AD33" s="1422"/>
      <c r="AF33" s="1422"/>
      <c r="AG33" s="1422"/>
      <c r="AH33" s="1422"/>
      <c r="AK33" s="1423"/>
      <c r="AL33" s="748"/>
    </row>
    <row r="34" spans="1:38">
      <c r="A34" s="728">
        <v>29</v>
      </c>
      <c r="B34" s="1443" t="s">
        <v>2669</v>
      </c>
      <c r="E34" s="1423">
        <f>'Revenue Reconcilliation'!Q17</f>
        <v>2095723.1499999994</v>
      </c>
      <c r="F34" s="1422"/>
      <c r="G34" s="1422"/>
      <c r="H34" s="1422"/>
      <c r="I34" s="1422"/>
      <c r="J34" s="1422"/>
      <c r="K34" s="1422"/>
      <c r="L34" s="1427"/>
      <c r="M34" s="1422"/>
      <c r="N34" s="1422"/>
      <c r="O34" s="1423"/>
      <c r="P34" s="1423"/>
      <c r="Q34" s="1423"/>
      <c r="R34" s="1422"/>
      <c r="S34" s="1423"/>
      <c r="T34" s="1423"/>
      <c r="U34" s="1423"/>
      <c r="V34" s="1422"/>
      <c r="W34" s="1422"/>
      <c r="X34" s="1422"/>
      <c r="Y34" s="1422"/>
      <c r="Z34" s="1422"/>
      <c r="AA34" s="1423"/>
      <c r="AB34" s="1423"/>
      <c r="AC34" s="1423"/>
      <c r="AD34" s="1422"/>
      <c r="AF34" s="1422"/>
      <c r="AG34" s="1422"/>
      <c r="AH34" s="1422"/>
      <c r="AK34" s="1423"/>
      <c r="AL34" s="748"/>
    </row>
    <row r="35" spans="1:38">
      <c r="A35" s="728">
        <v>30</v>
      </c>
      <c r="B35" s="1443" t="s">
        <v>2670</v>
      </c>
      <c r="E35" s="1423">
        <f>'Revenue Reconcilliation'!Q18</f>
        <v>0</v>
      </c>
      <c r="F35" s="1422"/>
      <c r="G35" s="1422"/>
      <c r="H35" s="1422"/>
      <c r="I35" s="1422"/>
      <c r="J35" s="1422"/>
      <c r="K35" s="1422"/>
      <c r="L35" s="1427"/>
      <c r="M35" s="1422"/>
      <c r="N35" s="1422"/>
      <c r="O35" s="1423"/>
      <c r="P35" s="1423"/>
      <c r="Q35" s="1423"/>
      <c r="R35" s="1422"/>
      <c r="S35" s="1423"/>
      <c r="T35" s="1423"/>
      <c r="U35" s="1423"/>
      <c r="V35" s="1422"/>
      <c r="W35" s="1422"/>
      <c r="X35" s="1422"/>
      <c r="Y35" s="1422"/>
      <c r="Z35" s="1422"/>
      <c r="AA35" s="1423"/>
      <c r="AB35" s="1423"/>
      <c r="AC35" s="1423"/>
      <c r="AD35" s="1422"/>
      <c r="AF35" s="1422"/>
      <c r="AG35" s="1422"/>
      <c r="AH35" s="1422"/>
      <c r="AK35" s="1423"/>
      <c r="AL35" s="748"/>
    </row>
    <row r="36" spans="1:38">
      <c r="A36" s="728">
        <v>31</v>
      </c>
      <c r="B36" s="1443" t="s">
        <v>2671</v>
      </c>
      <c r="E36" s="1437">
        <f>'Revenue Reconcilliation'!Q19</f>
        <v>-14.36</v>
      </c>
      <c r="F36" s="1422"/>
      <c r="G36" s="1422"/>
      <c r="H36" s="1422"/>
      <c r="I36" s="1422"/>
      <c r="J36" s="1422"/>
      <c r="K36" s="1422"/>
      <c r="L36" s="1427"/>
      <c r="M36" s="1422"/>
      <c r="N36" s="1422"/>
      <c r="O36" s="1423"/>
      <c r="P36" s="1423"/>
      <c r="Q36" s="1423"/>
      <c r="R36" s="1422"/>
      <c r="S36" s="1423"/>
      <c r="T36" s="1423"/>
      <c r="U36" s="1423"/>
      <c r="V36" s="1422"/>
      <c r="W36" s="1422"/>
      <c r="X36" s="1422"/>
      <c r="Y36" s="1422"/>
      <c r="Z36" s="1422"/>
      <c r="AA36" s="1423"/>
      <c r="AB36" s="1423"/>
      <c r="AC36" s="1423"/>
      <c r="AD36" s="1422"/>
      <c r="AF36" s="1422"/>
      <c r="AG36" s="1422"/>
      <c r="AH36" s="1422"/>
      <c r="AK36" s="1423"/>
      <c r="AL36" s="748"/>
    </row>
    <row r="37" spans="1:38">
      <c r="A37" s="728">
        <v>32</v>
      </c>
      <c r="B37" s="727" t="s">
        <v>2672</v>
      </c>
      <c r="E37" s="1423">
        <f>SUM(E16:E36)</f>
        <v>16282671.729999997</v>
      </c>
      <c r="F37" s="1422"/>
      <c r="G37" s="1422"/>
      <c r="H37" s="1422"/>
      <c r="I37" s="1422"/>
      <c r="J37" s="1422"/>
      <c r="K37" s="1422"/>
      <c r="L37" s="1427"/>
      <c r="M37" s="1422"/>
      <c r="N37" s="1422"/>
      <c r="O37" s="1423"/>
      <c r="P37" s="1423"/>
      <c r="Q37" s="1423"/>
      <c r="R37" s="1422"/>
      <c r="S37" s="1423"/>
      <c r="T37" s="1423"/>
      <c r="U37" s="1423"/>
      <c r="V37" s="1422"/>
      <c r="W37" s="1422"/>
      <c r="X37" s="1422"/>
      <c r="Y37" s="1422"/>
      <c r="Z37" s="1422"/>
      <c r="AA37" s="1423"/>
      <c r="AB37" s="1423"/>
      <c r="AC37" s="1423"/>
      <c r="AD37" s="1422"/>
      <c r="AF37" s="1422"/>
      <c r="AG37" s="1422"/>
      <c r="AH37" s="1422"/>
      <c r="AK37" s="1423"/>
      <c r="AL37" s="748"/>
    </row>
    <row r="38" spans="1:38">
      <c r="A38" s="728">
        <v>33</v>
      </c>
      <c r="E38" s="1423"/>
      <c r="L38" s="1427"/>
      <c r="O38" s="1423"/>
      <c r="P38" s="1423"/>
      <c r="Q38" s="1423"/>
      <c r="S38" s="1423"/>
      <c r="T38" s="1423"/>
      <c r="U38" s="1423"/>
      <c r="AL38" s="748"/>
    </row>
    <row r="39" spans="1:38">
      <c r="A39" s="728">
        <v>34</v>
      </c>
      <c r="B39" s="1444" t="str">
        <f>"Total "&amp;LEFT(B6,17)&amp;" Revenue"</f>
        <v>Total Rate Schedule 503 Revenue</v>
      </c>
      <c r="C39" s="1438">
        <f>E39-'Revenue Reconcilliation'!Q22</f>
        <v>0</v>
      </c>
      <c r="D39" s="1445" t="s">
        <v>2673</v>
      </c>
      <c r="E39" s="1438">
        <f>SUM(E9,E13,E37)</f>
        <v>120476426.38000005</v>
      </c>
      <c r="F39" s="1438"/>
      <c r="G39" s="1438"/>
      <c r="H39" s="1438"/>
      <c r="I39" s="1438"/>
      <c r="J39" s="1438"/>
      <c r="K39" s="1438"/>
      <c r="L39" s="1446"/>
      <c r="M39" s="1438"/>
      <c r="N39" s="1438"/>
      <c r="O39" s="1437"/>
      <c r="P39" s="1437"/>
      <c r="Q39" s="1437"/>
      <c r="R39" s="1438"/>
      <c r="S39" s="1437"/>
      <c r="T39" s="1437"/>
      <c r="U39" s="1437"/>
      <c r="V39" s="1438"/>
      <c r="W39" s="1438"/>
      <c r="X39" s="1438"/>
      <c r="Y39" s="1438"/>
      <c r="Z39" s="1438"/>
      <c r="AA39" s="1437"/>
      <c r="AB39" s="1437"/>
      <c r="AC39" s="1437"/>
      <c r="AD39" s="1438"/>
      <c r="AE39" s="1447"/>
      <c r="AF39" s="1438"/>
      <c r="AG39" s="1438"/>
      <c r="AH39" s="1438"/>
      <c r="AI39" s="1438"/>
      <c r="AJ39" s="1438"/>
      <c r="AK39" s="1437"/>
      <c r="AL39" s="748"/>
    </row>
    <row r="40" spans="1:38">
      <c r="A40" s="728">
        <v>35</v>
      </c>
      <c r="B40" s="1448"/>
      <c r="C40" s="1449"/>
      <c r="D40" s="1450"/>
      <c r="E40" s="1429"/>
      <c r="F40" s="1429"/>
      <c r="G40" s="1429"/>
      <c r="H40" s="1429"/>
      <c r="I40" s="1429"/>
      <c r="J40" s="1429"/>
      <c r="K40" s="1429"/>
      <c r="L40" s="1427"/>
      <c r="M40" s="1429"/>
      <c r="N40" s="1429"/>
      <c r="O40" s="1423"/>
      <c r="P40" s="1423"/>
      <c r="Q40" s="1423"/>
      <c r="R40" s="1429"/>
      <c r="S40" s="1423"/>
      <c r="T40" s="1423"/>
      <c r="U40" s="1423"/>
      <c r="V40" s="1429"/>
      <c r="W40" s="1429"/>
      <c r="X40" s="1429"/>
      <c r="Y40" s="1429"/>
      <c r="Z40" s="1429"/>
      <c r="AD40" s="1429"/>
      <c r="AF40" s="1429"/>
      <c r="AG40" s="1429"/>
      <c r="AH40" s="1429"/>
      <c r="AL40" s="748"/>
    </row>
    <row r="41" spans="1:38">
      <c r="A41" s="728">
        <v>36</v>
      </c>
      <c r="C41" s="1449"/>
      <c r="L41" s="1427"/>
      <c r="O41" s="1423"/>
      <c r="P41" s="1423"/>
      <c r="Q41" s="1423"/>
      <c r="S41" s="1423"/>
      <c r="T41" s="1423"/>
      <c r="U41" s="1423"/>
      <c r="AL41" s="748"/>
    </row>
    <row r="42" spans="1:38" ht="28.8">
      <c r="A42" s="728">
        <v>37</v>
      </c>
      <c r="B42" s="1420" t="s">
        <v>2674</v>
      </c>
      <c r="G42" s="1451" t="s">
        <v>2675</v>
      </c>
      <c r="L42" s="1427"/>
      <c r="M42" s="1423"/>
      <c r="O42" s="1423"/>
      <c r="P42" s="1423"/>
      <c r="Q42" s="1423"/>
      <c r="S42" s="1423"/>
      <c r="T42" s="1423"/>
      <c r="U42" s="1423"/>
      <c r="AL42" s="748"/>
    </row>
    <row r="43" spans="1:38">
      <c r="A43" s="728">
        <v>38</v>
      </c>
      <c r="B43" s="727" t="s">
        <v>2462</v>
      </c>
      <c r="C43" s="1405">
        <f>E43/D43</f>
        <v>319323.51538461534</v>
      </c>
      <c r="D43" s="1422">
        <v>13</v>
      </c>
      <c r="E43" s="1423">
        <f>'1501 Summary'!AD49</f>
        <v>4151205.6999999997</v>
      </c>
      <c r="F43" s="1423"/>
      <c r="G43" s="1424">
        <f>-G185</f>
        <v>12</v>
      </c>
      <c r="H43" s="1423">
        <f>D43</f>
        <v>13</v>
      </c>
      <c r="I43" s="1423">
        <f>G43*H43</f>
        <v>156</v>
      </c>
      <c r="J43" s="1423"/>
      <c r="K43" s="1405">
        <f>C43+G43</f>
        <v>319335.51538461534</v>
      </c>
      <c r="L43" s="1422">
        <f>D43</f>
        <v>13</v>
      </c>
      <c r="M43" s="1423">
        <f>L43*K43</f>
        <v>4151361.6999999993</v>
      </c>
      <c r="N43" s="1423"/>
      <c r="O43" s="1405"/>
      <c r="P43" s="1423"/>
      <c r="Q43" s="1423"/>
      <c r="R43" s="1423"/>
      <c r="S43" s="1405">
        <f>'End of Period Calculations'!AB100</f>
        <v>322116</v>
      </c>
      <c r="T43" s="1423">
        <f>S43*L43</f>
        <v>4187508</v>
      </c>
      <c r="U43" s="1423">
        <f>T43-M43</f>
        <v>36146.300000000745</v>
      </c>
      <c r="V43" s="1423"/>
      <c r="W43" s="1423"/>
      <c r="X43" s="1423"/>
      <c r="Y43" s="1423"/>
      <c r="Z43" s="1423"/>
      <c r="AA43" s="1425"/>
      <c r="AB43" s="1425"/>
      <c r="AC43" s="1425"/>
      <c r="AD43" s="1423"/>
      <c r="AE43" s="1405">
        <f>IF($AM$3="No", S43, 'End of Period Calculations'!AD100)</f>
        <v>322116</v>
      </c>
      <c r="AF43" s="1423">
        <f>AE43*L43</f>
        <v>4187508</v>
      </c>
      <c r="AG43" s="1422">
        <f>AF43-T43</f>
        <v>0</v>
      </c>
      <c r="AH43" s="1423"/>
      <c r="AI43" s="1452">
        <f>'Exh 18, Class Rates'!H15</f>
        <v>13</v>
      </c>
      <c r="AJ43" s="1425">
        <f>AI43*AE43</f>
        <v>4187508</v>
      </c>
      <c r="AK43" s="1425">
        <f>AJ43-AF43</f>
        <v>0</v>
      </c>
      <c r="AL43" s="748"/>
    </row>
    <row r="44" spans="1:38">
      <c r="A44" s="728">
        <v>39</v>
      </c>
      <c r="B44" s="1453" t="s">
        <v>2463</v>
      </c>
      <c r="C44" s="1405">
        <f>E44/D44</f>
        <v>94501074.928701058</v>
      </c>
      <c r="D44" s="1361">
        <v>0.23141999999999999</v>
      </c>
      <c r="E44" s="1423">
        <f>'1501 Summary'!AD50</f>
        <v>21869438.759999998</v>
      </c>
      <c r="F44" s="1423"/>
      <c r="G44" s="1424">
        <f>-G186</f>
        <v>29649.079595540581</v>
      </c>
      <c r="H44" s="1427">
        <f>D44</f>
        <v>0.23141999999999999</v>
      </c>
      <c r="I44" s="1437">
        <f>G44*H44</f>
        <v>6861.3900000000012</v>
      </c>
      <c r="J44" s="1423"/>
      <c r="K44" s="1405">
        <f>C44+G44</f>
        <v>94530724.008296594</v>
      </c>
      <c r="L44" s="1427">
        <v>0.26179999999999998</v>
      </c>
      <c r="M44" s="1423">
        <f>L44*K44</f>
        <v>24748143.545372047</v>
      </c>
      <c r="N44" s="1423"/>
      <c r="Q44" s="1423"/>
      <c r="R44" s="1423"/>
      <c r="U44" s="1423"/>
      <c r="V44" s="1423"/>
      <c r="W44" s="1423"/>
      <c r="X44" s="1423"/>
      <c r="Y44" s="1423"/>
      <c r="Z44" s="1423"/>
      <c r="AA44" s="1405">
        <f>+'End of Period Calculations'!AA100</f>
        <v>93296003.311035588</v>
      </c>
      <c r="AB44" s="1428">
        <v>2.2599999999999999E-3</v>
      </c>
      <c r="AC44" s="1425">
        <f>AB44*AA44</f>
        <v>210848.96748294041</v>
      </c>
      <c r="AD44" s="1423"/>
      <c r="AF44" s="1423"/>
      <c r="AG44" s="1423"/>
      <c r="AH44" s="1423"/>
      <c r="AJ44" s="1425"/>
      <c r="AK44" s="1425"/>
      <c r="AL44" s="748"/>
    </row>
    <row r="45" spans="1:38">
      <c r="A45" s="728">
        <v>40</v>
      </c>
      <c r="B45" s="727" t="s">
        <v>2648</v>
      </c>
      <c r="E45" s="1431">
        <f>SUM(E43:E44)</f>
        <v>26020644.459999997</v>
      </c>
      <c r="F45" s="1423"/>
      <c r="G45" s="1423"/>
      <c r="H45" s="1423"/>
      <c r="I45" s="1423">
        <f>SUM(I43:I44)</f>
        <v>7017.3900000000012</v>
      </c>
      <c r="J45" s="1423"/>
      <c r="K45" s="1405"/>
      <c r="L45" s="1427"/>
      <c r="M45" s="1423"/>
      <c r="N45" s="1423"/>
      <c r="Q45" s="1423"/>
      <c r="R45" s="1423"/>
      <c r="U45" s="1423"/>
      <c r="V45" s="1423"/>
      <c r="W45" s="1423"/>
      <c r="X45" s="1423"/>
      <c r="Y45" s="1423"/>
      <c r="Z45" s="1423"/>
      <c r="AA45" s="1425"/>
      <c r="AB45" s="1425"/>
      <c r="AC45" s="1425"/>
      <c r="AD45" s="1423"/>
      <c r="AF45" s="1423"/>
      <c r="AG45" s="1423"/>
      <c r="AH45" s="1423"/>
      <c r="AJ45" s="1425"/>
      <c r="AK45" s="1425"/>
      <c r="AL45" s="748"/>
    </row>
    <row r="46" spans="1:38" ht="15.6">
      <c r="A46" s="728">
        <v>41</v>
      </c>
      <c r="K46" s="1405"/>
      <c r="L46" s="1427"/>
      <c r="M46" s="1423"/>
      <c r="O46" s="1423"/>
      <c r="P46" s="1423"/>
      <c r="Q46" s="1423"/>
      <c r="S46" s="1423"/>
      <c r="T46" s="1423"/>
      <c r="U46" s="1423"/>
      <c r="AA46" s="1425"/>
      <c r="AB46" s="1425"/>
      <c r="AC46" s="1425"/>
      <c r="AI46" s="1433"/>
      <c r="AJ46" s="1425"/>
      <c r="AK46" s="1425"/>
      <c r="AL46" s="748"/>
    </row>
    <row r="47" spans="1:38" ht="15.6">
      <c r="A47" s="728">
        <v>42</v>
      </c>
      <c r="B47" s="727" t="s">
        <v>2649</v>
      </c>
      <c r="K47" s="1405">
        <f>'Weather Normalization'!J16-SUM(K44:K44)</f>
        <v>-1851008.9542511702</v>
      </c>
      <c r="L47" s="1427">
        <f>L44</f>
        <v>0.26179999999999998</v>
      </c>
      <c r="M47" s="1423">
        <f>K47*L47</f>
        <v>-484594.14422295633</v>
      </c>
      <c r="O47" s="1423"/>
      <c r="P47" s="1423"/>
      <c r="Q47" s="1423"/>
      <c r="S47" s="1423"/>
      <c r="T47" s="1423"/>
      <c r="U47" s="1423"/>
      <c r="AA47" s="1425"/>
      <c r="AB47" s="1425"/>
      <c r="AC47" s="1425"/>
      <c r="AI47" s="1433"/>
      <c r="AJ47" s="1425"/>
      <c r="AK47" s="1425"/>
      <c r="AL47" s="748"/>
    </row>
    <row r="48" spans="1:38" ht="15.6">
      <c r="A48" s="728">
        <v>43</v>
      </c>
      <c r="K48" s="1405"/>
      <c r="L48" s="1427"/>
      <c r="M48" s="1423"/>
      <c r="O48" s="1423"/>
      <c r="P48" s="1423"/>
      <c r="Q48" s="1423"/>
      <c r="S48" s="1423"/>
      <c r="T48" s="1423"/>
      <c r="U48" s="1423"/>
      <c r="AA48" s="1425"/>
      <c r="AB48" s="1425"/>
      <c r="AC48" s="1425"/>
      <c r="AI48" s="1433"/>
      <c r="AJ48" s="1425"/>
      <c r="AK48" s="1425"/>
      <c r="AL48" s="748"/>
    </row>
    <row r="49" spans="1:38">
      <c r="A49" s="728">
        <v>44</v>
      </c>
      <c r="B49" s="727" t="s">
        <v>2650</v>
      </c>
      <c r="E49" s="1423">
        <f>'1501 Summary'!AD51</f>
        <v>40967038.829999998</v>
      </c>
      <c r="F49" s="1423"/>
      <c r="G49" s="1423"/>
      <c r="H49" s="1423"/>
      <c r="I49" s="1423"/>
      <c r="J49" s="1423"/>
      <c r="K49" s="1405">
        <f>SUM(K44:K48)</f>
        <v>92679715.054045424</v>
      </c>
      <c r="L49" s="1427">
        <f>L44</f>
        <v>0.26179999999999998</v>
      </c>
      <c r="M49" s="1437">
        <f>K49*L49</f>
        <v>24263549.40114909</v>
      </c>
      <c r="N49" s="1423"/>
      <c r="O49" s="1405"/>
      <c r="P49" s="1437"/>
      <c r="Q49" s="1437"/>
      <c r="R49" s="1423"/>
      <c r="S49" s="1405">
        <f>'End of Period Calculations'!AA100</f>
        <v>93296003.311035588</v>
      </c>
      <c r="T49" s="1437">
        <f>S49*L49</f>
        <v>24424893.666829117</v>
      </c>
      <c r="U49" s="1437">
        <f>T49-M49</f>
        <v>161344.26568002626</v>
      </c>
      <c r="V49" s="1423"/>
      <c r="W49" s="1423"/>
      <c r="X49" s="1423"/>
      <c r="Y49" s="1423"/>
      <c r="Z49" s="1423"/>
      <c r="AA49" s="1425"/>
      <c r="AB49" s="1425"/>
      <c r="AC49" s="1425"/>
      <c r="AD49" s="1423"/>
      <c r="AE49" s="1405">
        <f>IF($AM$3="No", S49, 'End of Period Calculations'!AA127)</f>
        <v>93296003.311035588</v>
      </c>
      <c r="AF49" s="1437">
        <f>AE49*L49</f>
        <v>24424893.666829117</v>
      </c>
      <c r="AG49" s="1437">
        <f>AF49-T49</f>
        <v>0</v>
      </c>
      <c r="AH49" s="1423"/>
      <c r="AI49" s="1428">
        <f>'Exh 18, Class Rates'!H16</f>
        <v>0.26056980454864936</v>
      </c>
      <c r="AJ49" s="1440">
        <f>AI49*AE49</f>
        <v>24310121.347926687</v>
      </c>
      <c r="AK49" s="1425">
        <f>AJ49-AF49</f>
        <v>-114772.31890242919</v>
      </c>
      <c r="AL49" s="748"/>
    </row>
    <row r="50" spans="1:38">
      <c r="A50" s="728">
        <v>45</v>
      </c>
      <c r="K50" s="1405"/>
      <c r="L50" s="1427"/>
      <c r="M50" s="1423">
        <f>SUM(M49,M43)</f>
        <v>28414911.10114909</v>
      </c>
      <c r="O50" s="1423"/>
      <c r="P50" s="1423"/>
      <c r="Q50" s="1423"/>
      <c r="S50" s="1423"/>
      <c r="T50" s="1423">
        <f>SUM(T43:T49)</f>
        <v>28612401.666829117</v>
      </c>
      <c r="U50" s="1423">
        <f>T50-M50</f>
        <v>197490.56568002701</v>
      </c>
      <c r="AA50" s="1425"/>
      <c r="AB50" s="1425"/>
      <c r="AC50" s="1425"/>
      <c r="AF50" s="1423">
        <f>SUM(AF43:AF49)</f>
        <v>28612401.666829117</v>
      </c>
      <c r="AG50" s="1423">
        <f>SUM(AG43:AG49)</f>
        <v>0</v>
      </c>
      <c r="AI50" s="1434"/>
      <c r="AJ50" s="1441">
        <f>SUM(AJ43:AJ49)</f>
        <v>28497629.347926687</v>
      </c>
      <c r="AK50" s="1441">
        <f>SUM(AK43:AK49)</f>
        <v>-114772.31890242919</v>
      </c>
      <c r="AL50" s="748"/>
    </row>
    <row r="51" spans="1:38">
      <c r="A51" s="728">
        <v>46</v>
      </c>
      <c r="B51" s="727" t="s">
        <v>2651</v>
      </c>
      <c r="K51" s="1405"/>
      <c r="L51" s="1427"/>
      <c r="M51" s="1423"/>
      <c r="O51" s="1423"/>
      <c r="P51" s="1423"/>
      <c r="Q51" s="1423"/>
      <c r="S51" s="1423"/>
      <c r="T51" s="1423"/>
      <c r="U51" s="1423"/>
      <c r="AA51" s="1425"/>
      <c r="AB51" s="1425"/>
      <c r="AC51" s="1425"/>
      <c r="AK51" s="1425"/>
      <c r="AL51" s="748"/>
    </row>
    <row r="52" spans="1:38">
      <c r="A52" s="728">
        <v>47</v>
      </c>
      <c r="B52" s="727" t="s">
        <v>2652</v>
      </c>
      <c r="E52" s="1454">
        <f>'1501 Summary'!AD52</f>
        <v>4218400.13</v>
      </c>
      <c r="K52" s="1405"/>
      <c r="L52" s="1427"/>
      <c r="M52" s="1423"/>
      <c r="O52" s="1423"/>
      <c r="P52" s="1423"/>
      <c r="Q52" s="1423"/>
      <c r="S52" s="1423"/>
      <c r="T52" s="1423"/>
      <c r="U52" s="1423"/>
      <c r="AA52" s="1425"/>
      <c r="AB52" s="1425"/>
      <c r="AC52" s="1425"/>
      <c r="AK52" s="1425"/>
      <c r="AL52" s="748"/>
    </row>
    <row r="53" spans="1:38">
      <c r="A53" s="728">
        <v>48</v>
      </c>
      <c r="B53" s="727" t="s">
        <v>2653</v>
      </c>
      <c r="E53" s="1423">
        <f>'1501 Summary'!AD53</f>
        <v>258124.72999999995</v>
      </c>
      <c r="F53" s="1423"/>
      <c r="G53" s="1423"/>
      <c r="H53" s="1423"/>
      <c r="I53" s="1423"/>
      <c r="J53" s="1423"/>
      <c r="K53" s="1405"/>
      <c r="L53" s="1427"/>
      <c r="M53" s="1423"/>
      <c r="N53" s="1423"/>
      <c r="O53" s="1423"/>
      <c r="P53" s="1423"/>
      <c r="Q53" s="1423"/>
      <c r="R53" s="1423"/>
      <c r="S53" s="1423"/>
      <c r="T53" s="1423"/>
      <c r="U53" s="1423"/>
      <c r="V53" s="1423"/>
      <c r="W53" s="1423"/>
      <c r="X53" s="1423"/>
      <c r="Y53" s="1423"/>
      <c r="Z53" s="1423"/>
      <c r="AD53" s="1423"/>
      <c r="AF53" s="1423"/>
      <c r="AG53" s="1423"/>
      <c r="AH53" s="1423"/>
      <c r="AI53" s="1455"/>
      <c r="AJ53" s="1455"/>
      <c r="AL53" s="748"/>
    </row>
    <row r="54" spans="1:38">
      <c r="A54" s="728">
        <v>49</v>
      </c>
      <c r="B54" s="727" t="s">
        <v>2654</v>
      </c>
      <c r="E54" s="1423">
        <f>'1501 Summary'!AD54</f>
        <v>874516.67999999993</v>
      </c>
      <c r="F54" s="1423"/>
      <c r="G54" s="1423"/>
      <c r="H54" s="1423"/>
      <c r="I54" s="1423"/>
      <c r="J54" s="1423"/>
      <c r="K54" s="1405"/>
      <c r="L54" s="1427"/>
      <c r="M54" s="1423"/>
      <c r="N54" s="1423"/>
      <c r="O54" s="1423"/>
      <c r="P54" s="1423"/>
      <c r="Q54" s="1423"/>
      <c r="R54" s="1423"/>
      <c r="S54" s="1423"/>
      <c r="T54" s="1423"/>
      <c r="U54" s="1423"/>
      <c r="V54" s="1423"/>
      <c r="W54" s="1423"/>
      <c r="X54" s="1423"/>
      <c r="Y54" s="1423"/>
      <c r="Z54" s="1423"/>
      <c r="AD54" s="1423"/>
      <c r="AF54" s="1423"/>
      <c r="AG54" s="1423"/>
      <c r="AH54" s="1423"/>
      <c r="AI54" s="1455"/>
      <c r="AJ54" s="1455"/>
      <c r="AL54" s="748"/>
    </row>
    <row r="55" spans="1:38">
      <c r="A55" s="728">
        <v>50</v>
      </c>
      <c r="B55" s="727" t="s">
        <v>2655</v>
      </c>
      <c r="E55" s="1423">
        <f>'1501 Summary'!AD55</f>
        <v>-2430207.4699999997</v>
      </c>
      <c r="F55" s="1423"/>
      <c r="G55" s="1423"/>
      <c r="H55" s="1423"/>
      <c r="I55" s="1423"/>
      <c r="J55" s="1423"/>
      <c r="K55" s="1405"/>
      <c r="L55" s="1427"/>
      <c r="M55" s="1423"/>
      <c r="N55" s="1423"/>
      <c r="O55" s="1423"/>
      <c r="P55" s="1423"/>
      <c r="Q55" s="1423"/>
      <c r="R55" s="1423"/>
      <c r="S55" s="1423"/>
      <c r="T55" s="1423"/>
      <c r="U55" s="1423"/>
      <c r="V55" s="1423"/>
      <c r="W55" s="1423"/>
      <c r="X55" s="1423"/>
      <c r="Y55" s="1423"/>
      <c r="Z55" s="1423"/>
      <c r="AD55" s="1423"/>
      <c r="AF55" s="1423"/>
      <c r="AG55" s="1423"/>
      <c r="AH55" s="1423"/>
      <c r="AI55" s="1455"/>
      <c r="AJ55" s="1455"/>
      <c r="AL55" s="748"/>
    </row>
    <row r="56" spans="1:38">
      <c r="A56" s="728">
        <v>51</v>
      </c>
      <c r="B56" s="727" t="s">
        <v>2656</v>
      </c>
      <c r="E56" s="1423">
        <f>'1501 Summary'!AD56</f>
        <v>620575.6</v>
      </c>
      <c r="F56" s="1423"/>
      <c r="G56" s="1423"/>
      <c r="H56" s="1423"/>
      <c r="I56" s="1423"/>
      <c r="J56" s="1423"/>
      <c r="K56" s="1405"/>
      <c r="L56" s="1427"/>
      <c r="M56" s="1423"/>
      <c r="N56" s="1423"/>
      <c r="O56" s="1423"/>
      <c r="P56" s="1423"/>
      <c r="Q56" s="1423"/>
      <c r="R56" s="1423"/>
      <c r="S56" s="1423"/>
      <c r="T56" s="1423"/>
      <c r="U56" s="1423"/>
      <c r="V56" s="1423"/>
      <c r="W56" s="1423"/>
      <c r="X56" s="1423"/>
      <c r="Y56" s="1423"/>
      <c r="Z56" s="1423"/>
      <c r="AD56" s="1423"/>
      <c r="AF56" s="1423"/>
      <c r="AG56" s="1423"/>
      <c r="AH56" s="1423"/>
      <c r="AI56" s="1455"/>
      <c r="AJ56" s="1455"/>
      <c r="AL56" s="748"/>
    </row>
    <row r="57" spans="1:38">
      <c r="A57" s="728">
        <v>52</v>
      </c>
      <c r="B57" s="727" t="s">
        <v>2657</v>
      </c>
      <c r="E57" s="1423">
        <f>'1501 Summary'!AD57</f>
        <v>2584956.7399999998</v>
      </c>
      <c r="F57" s="1423"/>
      <c r="G57" s="1423"/>
      <c r="H57" s="1423"/>
      <c r="I57" s="1423"/>
      <c r="J57" s="1423"/>
      <c r="K57" s="1405"/>
      <c r="L57" s="1427"/>
      <c r="M57" s="1423"/>
      <c r="N57" s="1423"/>
      <c r="O57" s="1423"/>
      <c r="P57" s="1423"/>
      <c r="Q57" s="1423"/>
      <c r="R57" s="1423"/>
      <c r="S57" s="1423"/>
      <c r="T57" s="1423"/>
      <c r="U57" s="1423"/>
      <c r="V57" s="1423"/>
      <c r="W57" s="1423"/>
      <c r="X57" s="1423"/>
      <c r="Y57" s="1423"/>
      <c r="Z57" s="1423"/>
      <c r="AD57" s="1423"/>
      <c r="AF57" s="1423"/>
      <c r="AG57" s="1423"/>
      <c r="AH57" s="1423"/>
      <c r="AI57" s="1455"/>
      <c r="AJ57" s="1455"/>
      <c r="AL57" s="748"/>
    </row>
    <row r="58" spans="1:38">
      <c r="A58" s="728">
        <v>53</v>
      </c>
      <c r="B58" s="1442" t="s">
        <v>2658</v>
      </c>
      <c r="E58" s="1423">
        <f>'1501 Summary'!AD58</f>
        <v>-530494.32000000007</v>
      </c>
      <c r="F58" s="1423"/>
      <c r="G58" s="1423"/>
      <c r="H58" s="1423"/>
      <c r="I58" s="1423"/>
      <c r="J58" s="1423"/>
      <c r="K58" s="1405"/>
      <c r="L58" s="1427"/>
      <c r="M58" s="1423"/>
      <c r="N58" s="1423"/>
      <c r="O58" s="1423"/>
      <c r="P58" s="1423"/>
      <c r="Q58" s="1423"/>
      <c r="R58" s="1423"/>
      <c r="S58" s="1423"/>
      <c r="T58" s="1423"/>
      <c r="U58" s="1423"/>
      <c r="V58" s="1423"/>
      <c r="W58" s="1423"/>
      <c r="X58" s="1423"/>
      <c r="Y58" s="1423"/>
      <c r="Z58" s="1423"/>
      <c r="AD58" s="1423"/>
      <c r="AF58" s="1423"/>
      <c r="AG58" s="1423"/>
      <c r="AH58" s="1423"/>
      <c r="AI58" s="1456"/>
      <c r="AJ58" s="1456"/>
      <c r="AL58" s="748"/>
    </row>
    <row r="59" spans="1:38">
      <c r="A59" s="728">
        <v>54</v>
      </c>
      <c r="B59" s="1442" t="s">
        <v>2659</v>
      </c>
      <c r="E59" s="1423">
        <f>'1501 Summary'!AD59</f>
        <v>-238281.65999999997</v>
      </c>
      <c r="F59" s="1423"/>
      <c r="G59" s="1423"/>
      <c r="H59" s="1423"/>
      <c r="I59" s="1423"/>
      <c r="J59" s="1423"/>
      <c r="K59" s="1405"/>
      <c r="L59" s="1427"/>
      <c r="M59" s="1423"/>
      <c r="N59" s="1423"/>
      <c r="O59" s="1423"/>
      <c r="P59" s="1423"/>
      <c r="Q59" s="1423"/>
      <c r="R59" s="1423"/>
      <c r="S59" s="1423"/>
      <c r="T59" s="1423"/>
      <c r="U59" s="1423"/>
      <c r="V59" s="1423"/>
      <c r="W59" s="1423"/>
      <c r="X59" s="1423"/>
      <c r="Y59" s="1423"/>
      <c r="Z59" s="1423"/>
      <c r="AD59" s="1423"/>
      <c r="AF59" s="1423"/>
      <c r="AG59" s="1423"/>
      <c r="AH59" s="1423"/>
      <c r="AI59" s="1456"/>
      <c r="AJ59" s="1456"/>
      <c r="AL59" s="748"/>
    </row>
    <row r="60" spans="1:38">
      <c r="A60" s="728">
        <v>55</v>
      </c>
      <c r="B60" s="1442" t="s">
        <v>2660</v>
      </c>
      <c r="E60" s="1423">
        <f>'1501 Summary'!AD60</f>
        <v>-376044.91</v>
      </c>
      <c r="F60" s="1423"/>
      <c r="G60" s="1423"/>
      <c r="H60" s="1423"/>
      <c r="I60" s="1423"/>
      <c r="J60" s="1423"/>
      <c r="K60" s="1405"/>
      <c r="L60" s="1427"/>
      <c r="M60" s="1423"/>
      <c r="N60" s="1423"/>
      <c r="O60" s="1423"/>
      <c r="P60" s="1423"/>
      <c r="Q60" s="1423"/>
      <c r="R60" s="1423"/>
      <c r="S60" s="1423"/>
      <c r="T60" s="1423"/>
      <c r="U60" s="1423"/>
      <c r="V60" s="1423"/>
      <c r="W60" s="1423"/>
      <c r="X60" s="1423"/>
      <c r="Y60" s="1423"/>
      <c r="Z60" s="1423"/>
      <c r="AD60" s="1423"/>
      <c r="AF60" s="1423"/>
      <c r="AG60" s="1423"/>
      <c r="AH60" s="1423"/>
      <c r="AI60" s="1456"/>
      <c r="AJ60" s="1456"/>
      <c r="AL60" s="748"/>
    </row>
    <row r="61" spans="1:38">
      <c r="A61" s="728">
        <v>56</v>
      </c>
      <c r="B61" s="727" t="s">
        <v>2661</v>
      </c>
      <c r="E61" s="1423">
        <f>'1501 Summary'!AD61</f>
        <v>4016748.2</v>
      </c>
      <c r="F61" s="1423"/>
      <c r="G61" s="1423"/>
      <c r="H61" s="1423"/>
      <c r="I61" s="1423"/>
      <c r="J61" s="1423"/>
      <c r="K61" s="1405"/>
      <c r="L61" s="1427"/>
      <c r="M61" s="1423"/>
      <c r="N61" s="1423"/>
      <c r="O61" s="1423"/>
      <c r="P61" s="1423"/>
      <c r="Q61" s="1423"/>
      <c r="R61" s="1423"/>
      <c r="S61" s="1423"/>
      <c r="T61" s="1423"/>
      <c r="U61" s="1423"/>
      <c r="V61" s="1423"/>
      <c r="W61" s="1423"/>
      <c r="X61" s="1423"/>
      <c r="Y61" s="1423"/>
      <c r="Z61" s="1423"/>
      <c r="AA61" s="1423"/>
      <c r="AB61" s="1423"/>
      <c r="AC61" s="1423"/>
      <c r="AD61" s="1423"/>
      <c r="AF61" s="1423"/>
      <c r="AG61" s="1423"/>
      <c r="AH61" s="1423"/>
      <c r="AI61" s="1455"/>
      <c r="AJ61" s="1455"/>
      <c r="AK61" s="1423"/>
      <c r="AL61" s="748"/>
    </row>
    <row r="62" spans="1:38">
      <c r="A62" s="728">
        <v>57</v>
      </c>
      <c r="B62" s="727" t="s">
        <v>2676</v>
      </c>
      <c r="E62" s="1423">
        <f>'1501 Summary'!AD62</f>
        <v>2523.23</v>
      </c>
      <c r="F62" s="1423"/>
      <c r="G62" s="1423"/>
      <c r="H62" s="1423"/>
      <c r="I62" s="1423"/>
      <c r="J62" s="1423"/>
      <c r="K62" s="1405"/>
      <c r="L62" s="1427"/>
      <c r="M62" s="1423"/>
      <c r="N62" s="1423"/>
      <c r="O62" s="1423"/>
      <c r="P62" s="1423"/>
      <c r="Q62" s="1423"/>
      <c r="R62" s="1423"/>
      <c r="S62" s="1423"/>
      <c r="T62" s="1423"/>
      <c r="U62" s="1423"/>
      <c r="V62" s="1423"/>
      <c r="W62" s="1423"/>
      <c r="X62" s="1423"/>
      <c r="Y62" s="1423"/>
      <c r="Z62" s="1423"/>
      <c r="AA62" s="1423"/>
      <c r="AB62" s="1423"/>
      <c r="AC62" s="1423"/>
      <c r="AD62" s="1423"/>
      <c r="AF62" s="1423"/>
      <c r="AG62" s="1423"/>
      <c r="AH62" s="1423"/>
      <c r="AI62" s="1455"/>
      <c r="AJ62" s="1455"/>
      <c r="AK62" s="1423"/>
      <c r="AL62" s="748"/>
    </row>
    <row r="63" spans="1:38">
      <c r="A63" s="728">
        <v>58</v>
      </c>
      <c r="B63" s="727" t="s">
        <v>2662</v>
      </c>
      <c r="E63" s="1423">
        <f>'1501 Summary'!AD63</f>
        <v>54976.049999999996</v>
      </c>
      <c r="F63" s="1423"/>
      <c r="G63" s="1423"/>
      <c r="H63" s="1423"/>
      <c r="I63" s="1423"/>
      <c r="J63" s="1423"/>
      <c r="K63" s="1405"/>
      <c r="L63" s="1427"/>
      <c r="M63" s="1423"/>
      <c r="N63" s="1423"/>
      <c r="O63" s="1423"/>
      <c r="P63" s="1423"/>
      <c r="Q63" s="1423"/>
      <c r="R63" s="1423"/>
      <c r="S63" s="1423"/>
      <c r="T63" s="1423"/>
      <c r="U63" s="1423"/>
      <c r="V63" s="1423"/>
      <c r="W63" s="1423"/>
      <c r="X63" s="1423"/>
      <c r="Y63" s="1423"/>
      <c r="Z63" s="1423"/>
      <c r="AA63" s="1423"/>
      <c r="AB63" s="1423"/>
      <c r="AC63" s="1423"/>
      <c r="AD63" s="1423"/>
      <c r="AF63" s="1423"/>
      <c r="AG63" s="1423"/>
      <c r="AH63" s="1423"/>
      <c r="AI63" s="1455"/>
      <c r="AJ63" s="1455"/>
      <c r="AK63" s="1423"/>
      <c r="AL63" s="748"/>
    </row>
    <row r="64" spans="1:38">
      <c r="A64" s="728">
        <v>59</v>
      </c>
      <c r="B64" s="727" t="s">
        <v>2663</v>
      </c>
      <c r="E64" s="1423">
        <f>'1501 Summary'!AD64</f>
        <v>618.15000000000009</v>
      </c>
      <c r="F64" s="1423"/>
      <c r="G64" s="1423"/>
      <c r="H64" s="1423"/>
      <c r="I64" s="1423"/>
      <c r="J64" s="1423"/>
      <c r="K64" s="1405"/>
      <c r="L64" s="1427"/>
      <c r="M64" s="1423"/>
      <c r="N64" s="1423"/>
      <c r="O64" s="1423"/>
      <c r="P64" s="1423"/>
      <c r="Q64" s="1423"/>
      <c r="R64" s="1423"/>
      <c r="S64" s="1423"/>
      <c r="T64" s="1423"/>
      <c r="U64" s="1423"/>
      <c r="V64" s="1423"/>
      <c r="W64" s="1423"/>
      <c r="X64" s="1423"/>
      <c r="Y64" s="1423"/>
      <c r="Z64" s="1423"/>
      <c r="AA64" s="1423"/>
      <c r="AB64" s="1423"/>
      <c r="AC64" s="1423"/>
      <c r="AD64" s="1423"/>
      <c r="AF64" s="1423"/>
      <c r="AG64" s="1423"/>
      <c r="AH64" s="1423"/>
      <c r="AI64" s="1455"/>
      <c r="AJ64" s="1455"/>
      <c r="AK64" s="1423"/>
      <c r="AL64" s="748"/>
    </row>
    <row r="65" spans="1:38">
      <c r="A65" s="728">
        <v>60</v>
      </c>
      <c r="B65" s="727" t="s">
        <v>2664</v>
      </c>
      <c r="E65" s="1423">
        <f>'1501 Summary'!AD65</f>
        <v>-4995.1299999999992</v>
      </c>
      <c r="F65" s="1423"/>
      <c r="G65" s="1423"/>
      <c r="H65" s="1423"/>
      <c r="I65" s="1423"/>
      <c r="J65" s="1423"/>
      <c r="K65" s="1405"/>
      <c r="L65" s="1427"/>
      <c r="M65" s="1423"/>
      <c r="N65" s="1423"/>
      <c r="O65" s="1423"/>
      <c r="P65" s="1423"/>
      <c r="Q65" s="1423"/>
      <c r="R65" s="1423"/>
      <c r="S65" s="1423"/>
      <c r="T65" s="1423"/>
      <c r="U65" s="1423"/>
      <c r="V65" s="1423"/>
      <c r="W65" s="1423"/>
      <c r="X65" s="1423"/>
      <c r="Y65" s="1423"/>
      <c r="Z65" s="1423"/>
      <c r="AA65" s="1423"/>
      <c r="AB65" s="1423"/>
      <c r="AC65" s="1423"/>
      <c r="AD65" s="1423"/>
      <c r="AF65" s="1423"/>
      <c r="AG65" s="1423"/>
      <c r="AH65" s="1423"/>
      <c r="AI65" s="1455"/>
      <c r="AJ65" s="1455"/>
      <c r="AK65" s="1423"/>
      <c r="AL65" s="748"/>
    </row>
    <row r="66" spans="1:38">
      <c r="A66" s="728">
        <v>61</v>
      </c>
      <c r="B66" s="727" t="s">
        <v>2665</v>
      </c>
      <c r="E66" s="1423">
        <f>'1501 Summary'!AD66</f>
        <v>35637.360000000001</v>
      </c>
      <c r="F66" s="1423"/>
      <c r="G66" s="1423"/>
      <c r="H66" s="1423"/>
      <c r="I66" s="1423"/>
      <c r="J66" s="1423"/>
      <c r="K66" s="1405"/>
      <c r="L66" s="1427"/>
      <c r="M66" s="1423"/>
      <c r="N66" s="1423"/>
      <c r="O66" s="1423"/>
      <c r="P66" s="1423"/>
      <c r="Q66" s="1423"/>
      <c r="R66" s="1423"/>
      <c r="S66" s="1423"/>
      <c r="T66" s="1423"/>
      <c r="U66" s="1423"/>
      <c r="V66" s="1423"/>
      <c r="W66" s="1423"/>
      <c r="X66" s="1423"/>
      <c r="Y66" s="1423"/>
      <c r="Z66" s="1423"/>
      <c r="AA66" s="1423"/>
      <c r="AB66" s="1423"/>
      <c r="AC66" s="1423"/>
      <c r="AD66" s="1423"/>
      <c r="AF66" s="1423"/>
      <c r="AG66" s="1423"/>
      <c r="AH66" s="1423"/>
      <c r="AI66" s="1455"/>
      <c r="AJ66" s="1455"/>
      <c r="AK66" s="1423"/>
      <c r="AL66" s="748"/>
    </row>
    <row r="67" spans="1:38">
      <c r="A67" s="728">
        <v>62</v>
      </c>
      <c r="B67" s="1443" t="s">
        <v>2677</v>
      </c>
      <c r="E67" s="1423">
        <f>'1501 Summary'!AD67</f>
        <v>-199293.31000000003</v>
      </c>
      <c r="F67" s="1423"/>
      <c r="G67" s="1423"/>
      <c r="H67" s="1423"/>
      <c r="I67" s="1423"/>
      <c r="J67" s="1423"/>
      <c r="K67" s="1405"/>
      <c r="L67" s="1427"/>
      <c r="M67" s="1423"/>
      <c r="N67" s="1423"/>
      <c r="O67" s="1423"/>
      <c r="P67" s="1423"/>
      <c r="Q67" s="1423"/>
      <c r="R67" s="1423"/>
      <c r="S67" s="1423"/>
      <c r="T67" s="1423"/>
      <c r="U67" s="1423"/>
      <c r="V67" s="1423"/>
      <c r="W67" s="1423"/>
      <c r="X67" s="1423"/>
      <c r="Y67" s="1423"/>
      <c r="Z67" s="1423"/>
      <c r="AA67" s="1423"/>
      <c r="AB67" s="1423"/>
      <c r="AC67" s="1423"/>
      <c r="AD67" s="1423"/>
      <c r="AF67" s="1423"/>
      <c r="AG67" s="1423"/>
      <c r="AH67" s="1423"/>
      <c r="AI67" s="1455"/>
      <c r="AJ67" s="1455"/>
      <c r="AK67" s="1423"/>
      <c r="AL67" s="748"/>
    </row>
    <row r="68" spans="1:38">
      <c r="A68" s="728">
        <v>63</v>
      </c>
      <c r="B68" s="1443" t="s">
        <v>2666</v>
      </c>
      <c r="E68" s="1423">
        <f>'Revenue Reconcilliation'!Q34</f>
        <v>56044302.649999999</v>
      </c>
      <c r="F68" s="1423"/>
      <c r="G68" s="1423"/>
      <c r="H68" s="1423"/>
      <c r="I68" s="1423"/>
      <c r="J68" s="1423"/>
      <c r="K68" s="1405"/>
      <c r="L68" s="1427"/>
      <c r="M68" s="1423"/>
      <c r="N68" s="1423"/>
      <c r="O68" s="1423"/>
      <c r="P68" s="1423"/>
      <c r="Q68" s="1423"/>
      <c r="R68" s="1423"/>
      <c r="S68" s="1423"/>
      <c r="T68" s="1423"/>
      <c r="U68" s="1423"/>
      <c r="V68" s="1423"/>
      <c r="W68" s="1423"/>
      <c r="X68" s="1423"/>
      <c r="Y68" s="1423"/>
      <c r="Z68" s="1423"/>
      <c r="AA68" s="1423"/>
      <c r="AB68" s="1423"/>
      <c r="AC68" s="1423"/>
      <c r="AD68" s="1423"/>
      <c r="AF68" s="1423"/>
      <c r="AG68" s="1423"/>
      <c r="AH68" s="1423"/>
      <c r="AI68" s="1457"/>
      <c r="AJ68" s="1457"/>
      <c r="AK68" s="1423"/>
      <c r="AL68" s="748"/>
    </row>
    <row r="69" spans="1:38">
      <c r="A69" s="728">
        <v>64</v>
      </c>
      <c r="B69" s="1443" t="s">
        <v>2667</v>
      </c>
      <c r="E69" s="1423">
        <f>'Revenue Reconcilliation'!Q35</f>
        <v>-53613698.700000003</v>
      </c>
      <c r="F69" s="1423"/>
      <c r="G69" s="1423"/>
      <c r="H69" s="1423"/>
      <c r="I69" s="1423"/>
      <c r="J69" s="1423"/>
      <c r="K69" s="1405"/>
      <c r="L69" s="1427"/>
      <c r="M69" s="1423"/>
      <c r="N69" s="1423"/>
      <c r="O69" s="1423"/>
      <c r="P69" s="1423"/>
      <c r="Q69" s="1423"/>
      <c r="R69" s="1423"/>
      <c r="S69" s="1423"/>
      <c r="T69" s="1423"/>
      <c r="U69" s="1423"/>
      <c r="V69" s="1423"/>
      <c r="W69" s="1423"/>
      <c r="X69" s="1423"/>
      <c r="Y69" s="1423"/>
      <c r="Z69" s="1423"/>
      <c r="AA69" s="1423"/>
      <c r="AB69" s="1423"/>
      <c r="AC69" s="1423"/>
      <c r="AD69" s="1423"/>
      <c r="AF69" s="1423"/>
      <c r="AG69" s="1423"/>
      <c r="AH69" s="1423"/>
      <c r="AI69" s="1457"/>
      <c r="AJ69" s="1457"/>
      <c r="AK69" s="1423"/>
      <c r="AL69" s="748"/>
    </row>
    <row r="70" spans="1:38">
      <c r="A70" s="728">
        <v>65</v>
      </c>
      <c r="B70" s="1443" t="s">
        <v>2668</v>
      </c>
      <c r="E70" s="1423">
        <f>'Revenue Reconcilliation'!Q36</f>
        <v>-2042970.2999999998</v>
      </c>
      <c r="F70" s="1423"/>
      <c r="G70" s="1423"/>
      <c r="H70" s="1423"/>
      <c r="I70" s="1423"/>
      <c r="J70" s="1423"/>
      <c r="K70" s="1405"/>
      <c r="L70" s="1427"/>
      <c r="M70" s="1423"/>
      <c r="N70" s="1423"/>
      <c r="O70" s="1423"/>
      <c r="P70" s="1423"/>
      <c r="Q70" s="1423"/>
      <c r="R70" s="1423"/>
      <c r="S70" s="1423"/>
      <c r="T70" s="1423"/>
      <c r="U70" s="1423"/>
      <c r="V70" s="1423"/>
      <c r="W70" s="1423"/>
      <c r="X70" s="1423"/>
      <c r="Y70" s="1423"/>
      <c r="Z70" s="1423"/>
      <c r="AA70" s="1423"/>
      <c r="AB70" s="1423"/>
      <c r="AC70" s="1423"/>
      <c r="AD70" s="1423"/>
      <c r="AF70" s="1423"/>
      <c r="AG70" s="1423"/>
      <c r="AH70" s="1423"/>
      <c r="AI70" s="1457"/>
      <c r="AJ70" s="1457"/>
      <c r="AK70" s="1423"/>
      <c r="AL70" s="748"/>
    </row>
    <row r="71" spans="1:38">
      <c r="A71" s="728">
        <v>66</v>
      </c>
      <c r="B71" s="1443" t="s">
        <v>2669</v>
      </c>
      <c r="E71" s="1423">
        <f>'Revenue Reconcilliation'!Q37</f>
        <v>2168042.2599999998</v>
      </c>
      <c r="F71" s="1423"/>
      <c r="G71" s="1423"/>
      <c r="H71" s="1423"/>
      <c r="I71" s="1423"/>
      <c r="J71" s="1423"/>
      <c r="K71" s="1405"/>
      <c r="L71" s="1427"/>
      <c r="M71" s="1423"/>
      <c r="N71" s="1423"/>
      <c r="O71" s="1423"/>
      <c r="P71" s="1423"/>
      <c r="Q71" s="1423"/>
      <c r="R71" s="1423"/>
      <c r="S71" s="1423"/>
      <c r="T71" s="1423"/>
      <c r="U71" s="1423"/>
      <c r="V71" s="1423"/>
      <c r="W71" s="1423"/>
      <c r="X71" s="1423"/>
      <c r="Y71" s="1423"/>
      <c r="Z71" s="1423"/>
      <c r="AA71" s="1423"/>
      <c r="AB71" s="1423"/>
      <c r="AC71" s="1423"/>
      <c r="AD71" s="1423"/>
      <c r="AF71" s="1423"/>
      <c r="AG71" s="1423"/>
      <c r="AH71" s="1423"/>
      <c r="AI71" s="1457"/>
      <c r="AJ71" s="1457"/>
      <c r="AK71" s="1423"/>
      <c r="AL71" s="748"/>
    </row>
    <row r="72" spans="1:38">
      <c r="A72" s="728">
        <v>67</v>
      </c>
      <c r="B72" s="1443" t="s">
        <v>2670</v>
      </c>
      <c r="E72" s="1423">
        <f>'Revenue Reconcilliation'!Q38</f>
        <v>51429.03</v>
      </c>
      <c r="F72" s="1423"/>
      <c r="G72" s="1423"/>
      <c r="H72" s="1423"/>
      <c r="I72" s="1423"/>
      <c r="J72" s="1423"/>
      <c r="K72" s="1405"/>
      <c r="L72" s="1427"/>
      <c r="M72" s="1423"/>
      <c r="N72" s="1423"/>
      <c r="O72" s="1423"/>
      <c r="P72" s="1423"/>
      <c r="Q72" s="1423"/>
      <c r="R72" s="1423"/>
      <c r="S72" s="1423"/>
      <c r="T72" s="1423"/>
      <c r="U72" s="1423"/>
      <c r="V72" s="1423"/>
      <c r="W72" s="1423"/>
      <c r="X72" s="1423"/>
      <c r="Y72" s="1423"/>
      <c r="Z72" s="1423"/>
      <c r="AA72" s="1423"/>
      <c r="AB72" s="1423"/>
      <c r="AC72" s="1423"/>
      <c r="AD72" s="1423"/>
      <c r="AF72" s="1423"/>
      <c r="AG72" s="1423"/>
      <c r="AH72" s="1423"/>
      <c r="AI72" s="1457"/>
      <c r="AJ72" s="1457"/>
      <c r="AK72" s="1423"/>
      <c r="AL72" s="748"/>
    </row>
    <row r="73" spans="1:38">
      <c r="A73" s="728">
        <v>68</v>
      </c>
      <c r="B73" s="1458" t="s">
        <v>54</v>
      </c>
      <c r="E73" s="1423">
        <f>'Revenue Reconcilliation'!Q39</f>
        <v>2.13</v>
      </c>
      <c r="F73" s="1422"/>
      <c r="G73" s="1422"/>
      <c r="H73" s="1422"/>
      <c r="I73" s="1422"/>
      <c r="J73" s="1422"/>
      <c r="K73" s="1405"/>
      <c r="L73" s="1427"/>
      <c r="M73" s="1423"/>
      <c r="N73" s="1422"/>
      <c r="O73" s="1423"/>
      <c r="P73" s="1423"/>
      <c r="Q73" s="1423"/>
      <c r="R73" s="1422"/>
      <c r="S73" s="1423"/>
      <c r="T73" s="1423"/>
      <c r="U73" s="1423"/>
      <c r="V73" s="1422"/>
      <c r="W73" s="1422"/>
      <c r="X73" s="1422"/>
      <c r="Y73" s="1422"/>
      <c r="Z73" s="1422"/>
      <c r="AA73" s="1423"/>
      <c r="AB73" s="1423"/>
      <c r="AC73" s="1423"/>
      <c r="AD73" s="1422"/>
      <c r="AF73" s="1422"/>
      <c r="AG73" s="1422"/>
      <c r="AH73" s="1422"/>
      <c r="AI73" s="1457"/>
      <c r="AJ73" s="1457"/>
      <c r="AK73" s="1423"/>
      <c r="AL73" s="748"/>
    </row>
    <row r="74" spans="1:38">
      <c r="A74" s="728">
        <v>69</v>
      </c>
      <c r="B74" s="727" t="s">
        <v>2678</v>
      </c>
      <c r="E74" s="1423">
        <f>SUM(E52:E73)</f>
        <v>11494867.139999995</v>
      </c>
      <c r="F74" s="1423"/>
      <c r="G74" s="1423"/>
      <c r="H74" s="1423"/>
      <c r="I74" s="1423"/>
      <c r="J74" s="1423"/>
      <c r="K74" s="1405"/>
      <c r="L74" s="1427"/>
      <c r="M74" s="1423"/>
      <c r="N74" s="1423"/>
      <c r="O74" s="1423"/>
      <c r="P74" s="1423"/>
      <c r="Q74" s="1423"/>
      <c r="R74" s="1423"/>
      <c r="S74" s="1423"/>
      <c r="T74" s="1423"/>
      <c r="U74" s="1423"/>
      <c r="V74" s="1423"/>
      <c r="W74" s="1423"/>
      <c r="X74" s="1423"/>
      <c r="Y74" s="1423"/>
      <c r="Z74" s="1423"/>
      <c r="AA74" s="1423"/>
      <c r="AB74" s="1423"/>
      <c r="AC74" s="1423"/>
      <c r="AD74" s="1423"/>
      <c r="AF74" s="1423"/>
      <c r="AG74" s="1423"/>
      <c r="AH74" s="1423"/>
      <c r="AI74" s="1457"/>
      <c r="AJ74" s="1457"/>
      <c r="AK74" s="1423"/>
      <c r="AL74" s="748"/>
    </row>
    <row r="75" spans="1:38">
      <c r="A75" s="728">
        <v>70</v>
      </c>
      <c r="E75" s="1423"/>
      <c r="F75" s="1423"/>
      <c r="G75" s="1423"/>
      <c r="H75" s="1423"/>
      <c r="I75" s="1423"/>
      <c r="J75" s="1423"/>
      <c r="K75" s="1405"/>
      <c r="L75" s="1427"/>
      <c r="M75" s="1423"/>
      <c r="N75" s="1423"/>
      <c r="O75" s="1423"/>
      <c r="P75" s="1423"/>
      <c r="Q75" s="1423"/>
      <c r="R75" s="1423"/>
      <c r="S75" s="1423"/>
      <c r="T75" s="1423"/>
      <c r="U75" s="1423"/>
      <c r="V75" s="1423"/>
      <c r="W75" s="1423"/>
      <c r="X75" s="1423"/>
      <c r="Y75" s="1423"/>
      <c r="Z75" s="1423"/>
      <c r="AA75" s="1423"/>
      <c r="AB75" s="1423"/>
      <c r="AC75" s="1423"/>
      <c r="AD75" s="1423"/>
      <c r="AF75" s="1423"/>
      <c r="AG75" s="1423"/>
      <c r="AH75" s="1423"/>
      <c r="AK75" s="1423"/>
      <c r="AL75" s="748"/>
    </row>
    <row r="76" spans="1:38">
      <c r="A76" s="728">
        <v>71</v>
      </c>
      <c r="B76" s="1444" t="str">
        <f>"Total "&amp;LEFT(B42,17)&amp;" Revenue"</f>
        <v>Total Rate Schedule 504 Revenue</v>
      </c>
      <c r="C76" s="1438">
        <f>E76-'Revenue Reconcilliation'!Q42</f>
        <v>0</v>
      </c>
      <c r="D76" s="1445" t="s">
        <v>2673</v>
      </c>
      <c r="E76" s="1437">
        <f>SUM(E45,E49,E74)</f>
        <v>78482550.429999992</v>
      </c>
      <c r="F76" s="1437"/>
      <c r="G76" s="1437"/>
      <c r="H76" s="1437"/>
      <c r="I76" s="1437"/>
      <c r="J76" s="1437"/>
      <c r="K76" s="1447"/>
      <c r="L76" s="1446"/>
      <c r="M76" s="1437"/>
      <c r="N76" s="1437"/>
      <c r="O76" s="1437"/>
      <c r="P76" s="1437"/>
      <c r="Q76" s="1437"/>
      <c r="R76" s="1437"/>
      <c r="S76" s="1437"/>
      <c r="T76" s="1437"/>
      <c r="U76" s="1437"/>
      <c r="V76" s="1437"/>
      <c r="W76" s="1437"/>
      <c r="X76" s="1437"/>
      <c r="Y76" s="1437"/>
      <c r="Z76" s="1437"/>
      <c r="AA76" s="1437"/>
      <c r="AB76" s="1437"/>
      <c r="AC76" s="1437"/>
      <c r="AD76" s="1437"/>
      <c r="AE76" s="1447"/>
      <c r="AF76" s="1437"/>
      <c r="AG76" s="1437"/>
      <c r="AH76" s="1437"/>
      <c r="AI76" s="1459"/>
      <c r="AJ76" s="1459"/>
      <c r="AK76" s="1437"/>
      <c r="AL76" s="748"/>
    </row>
    <row r="77" spans="1:38">
      <c r="A77" s="728">
        <v>72</v>
      </c>
      <c r="B77" s="1448"/>
      <c r="D77" s="1450"/>
      <c r="E77" s="1429"/>
      <c r="F77" s="1429"/>
      <c r="G77" s="1429"/>
      <c r="H77" s="1429"/>
      <c r="I77" s="1429"/>
      <c r="J77" s="1429"/>
      <c r="K77" s="1405"/>
      <c r="L77" s="1427"/>
      <c r="M77" s="1423"/>
      <c r="N77" s="1429"/>
      <c r="O77" s="1423"/>
      <c r="P77" s="1423"/>
      <c r="Q77" s="1423"/>
      <c r="R77" s="1429"/>
      <c r="S77" s="1423"/>
      <c r="T77" s="1423"/>
      <c r="U77" s="1423"/>
      <c r="V77" s="1429"/>
      <c r="W77" s="1429"/>
      <c r="X77" s="1429"/>
      <c r="Y77" s="1429"/>
      <c r="Z77" s="1429"/>
      <c r="AD77" s="1429"/>
      <c r="AF77" s="1429"/>
      <c r="AG77" s="1429"/>
      <c r="AH77" s="1429"/>
      <c r="AL77" s="748"/>
    </row>
    <row r="78" spans="1:38">
      <c r="A78" s="728">
        <v>73</v>
      </c>
      <c r="K78" s="1405"/>
      <c r="L78" s="1427"/>
      <c r="M78" s="1423"/>
      <c r="O78" s="1423"/>
      <c r="P78" s="1423"/>
      <c r="Q78" s="1423"/>
      <c r="S78" s="1423"/>
      <c r="T78" s="1423"/>
      <c r="U78" s="1423"/>
      <c r="AL78" s="748"/>
    </row>
    <row r="79" spans="1:38">
      <c r="A79" s="728">
        <v>74</v>
      </c>
      <c r="B79" s="1420" t="s">
        <v>2679</v>
      </c>
      <c r="G79" s="1404" t="s">
        <v>2680</v>
      </c>
      <c r="K79" s="1405"/>
      <c r="L79" s="1427"/>
      <c r="M79" s="1423"/>
      <c r="O79" s="1423"/>
      <c r="P79" s="1423"/>
      <c r="Q79" s="1423"/>
      <c r="S79" s="1423"/>
      <c r="T79" s="1423"/>
      <c r="U79" s="1423"/>
      <c r="AL79" s="748"/>
    </row>
    <row r="80" spans="1:38">
      <c r="A80" s="728">
        <v>75</v>
      </c>
      <c r="B80" s="727" t="s">
        <v>2462</v>
      </c>
      <c r="C80" s="1405">
        <f>E80/D80</f>
        <v>5771</v>
      </c>
      <c r="D80" s="1422">
        <v>60</v>
      </c>
      <c r="E80" s="1423">
        <f>'1501 Summary'!AD101</f>
        <v>346260</v>
      </c>
      <c r="F80" s="1423"/>
      <c r="G80" s="1460">
        <f>-G216</f>
        <v>12</v>
      </c>
      <c r="H80" s="746">
        <f>D80</f>
        <v>60</v>
      </c>
      <c r="I80" s="1362">
        <f>H80*G80</f>
        <v>720</v>
      </c>
      <c r="J80" s="1423"/>
      <c r="K80" s="1405">
        <f>C80+G80</f>
        <v>5783</v>
      </c>
      <c r="L80" s="1422">
        <f>D80</f>
        <v>60</v>
      </c>
      <c r="M80" s="1423">
        <f>L80*K80</f>
        <v>346980</v>
      </c>
      <c r="N80" s="1423"/>
      <c r="O80" s="1405"/>
      <c r="P80" s="1423"/>
      <c r="Q80" s="1423"/>
      <c r="R80" s="1423"/>
      <c r="S80" s="1405">
        <f>'End of Period Calculations'!AB102</f>
        <v>5856</v>
      </c>
      <c r="T80" s="1423">
        <f>S80*L80</f>
        <v>351360</v>
      </c>
      <c r="U80" s="1423">
        <f>T80-M80</f>
        <v>4380</v>
      </c>
      <c r="V80" s="1423"/>
      <c r="W80" s="1423"/>
      <c r="X80" s="1423"/>
      <c r="Y80" s="1423"/>
      <c r="Z80" s="1423"/>
      <c r="AA80" s="1425"/>
      <c r="AB80" s="1425"/>
      <c r="AC80" s="1425"/>
      <c r="AD80" s="1423"/>
      <c r="AE80" s="1405">
        <f>IF($AM$3="No", S80, 'End of Period Calculations'!AD102)</f>
        <v>5856</v>
      </c>
      <c r="AF80" s="1423">
        <f>AE80*L80</f>
        <v>351360</v>
      </c>
      <c r="AG80" s="1422">
        <f>AF80-T80</f>
        <v>0</v>
      </c>
      <c r="AH80" s="1423"/>
      <c r="AI80" s="1430">
        <f>'Exh 18, Class Rates'!H21</f>
        <v>60</v>
      </c>
      <c r="AJ80" s="1425">
        <f>AI80*AE80</f>
        <v>351360</v>
      </c>
      <c r="AK80" s="1425">
        <f>AJ80-AF80</f>
        <v>0</v>
      </c>
      <c r="AL80" s="748"/>
    </row>
    <row r="81" spans="1:38">
      <c r="A81" s="728">
        <v>76</v>
      </c>
      <c r="B81" s="727" t="s">
        <v>2681</v>
      </c>
      <c r="C81" s="1405">
        <f>E81/D81</f>
        <v>1772804.1566298807</v>
      </c>
      <c r="D81" s="1361">
        <v>0.17851</v>
      </c>
      <c r="E81" s="1423">
        <f>'1501 Summary'!AD102</f>
        <v>316463.27</v>
      </c>
      <c r="F81" s="1423"/>
      <c r="G81" s="1460">
        <f>-G217</f>
        <v>1747.0729931096298</v>
      </c>
      <c r="H81" s="746">
        <f>D81</f>
        <v>0.17851</v>
      </c>
      <c r="I81" s="1362">
        <f>H81*G81</f>
        <v>311.87</v>
      </c>
      <c r="J81" s="1423"/>
      <c r="K81" s="1405">
        <f>C81+G81</f>
        <v>1774551.2296229904</v>
      </c>
      <c r="L81" s="1427">
        <v>0.20175999999999999</v>
      </c>
      <c r="M81" s="1423">
        <f>L81*K81</f>
        <v>358033.4560887345</v>
      </c>
      <c r="N81" s="1423"/>
      <c r="O81" s="1424"/>
      <c r="P81" s="1423"/>
      <c r="Q81" s="1423"/>
      <c r="R81" s="1423"/>
      <c r="S81" s="1424">
        <f>'End of Period Calculations'!AA102</f>
        <v>1796054.322900241</v>
      </c>
      <c r="T81" s="1423">
        <f>S81*L81</f>
        <v>362371.92018835264</v>
      </c>
      <c r="U81" s="1423">
        <f>T81-M81</f>
        <v>4338.4640996181406</v>
      </c>
      <c r="V81" s="1423"/>
      <c r="W81" s="1423"/>
      <c r="X81" s="1423"/>
      <c r="Y81" s="1423"/>
      <c r="Z81" s="1423"/>
      <c r="AA81" s="1405">
        <f>+'End of Period Calculations'!AA102</f>
        <v>1796054.322900241</v>
      </c>
      <c r="AB81" s="1428">
        <v>1.9E-3</v>
      </c>
      <c r="AC81" s="1425">
        <f>AB81*AA81</f>
        <v>3412.503213510458</v>
      </c>
      <c r="AD81" s="1423"/>
      <c r="AE81" s="1405">
        <f>IF($AM$3="No", S81, 'End of Period Calculations'!AA129)</f>
        <v>1796054.322900241</v>
      </c>
      <c r="AF81" s="1423">
        <f>AE81*L81</f>
        <v>362371.92018835264</v>
      </c>
      <c r="AG81" s="1422">
        <f>AF81-T81</f>
        <v>0</v>
      </c>
      <c r="AH81" s="1423"/>
      <c r="AI81" s="1428">
        <f>'Exh 18, Class Rates'!H22</f>
        <v>0.20081193187828683</v>
      </c>
      <c r="AJ81" s="1425">
        <f>AI81*AE81</f>
        <v>360669.13833994576</v>
      </c>
      <c r="AK81" s="1425">
        <f>AJ81-AF81</f>
        <v>-1702.7818484068848</v>
      </c>
      <c r="AL81" s="748"/>
    </row>
    <row r="82" spans="1:38">
      <c r="A82" s="728">
        <v>77</v>
      </c>
      <c r="B82" s="727" t="s">
        <v>2682</v>
      </c>
      <c r="C82" s="1405">
        <f>E82/D82</f>
        <v>5885874.0402573152</v>
      </c>
      <c r="D82" s="1361">
        <v>0.14457</v>
      </c>
      <c r="E82" s="1423">
        <f>'1501 Summary'!AD103</f>
        <v>850920.81</v>
      </c>
      <c r="F82" s="1423"/>
      <c r="G82" s="1460">
        <f>-G218</f>
        <v>621.01404164072767</v>
      </c>
      <c r="H82" s="746">
        <f>D82</f>
        <v>0.14457</v>
      </c>
      <c r="I82" s="1362">
        <f>H82*G82</f>
        <v>89.78</v>
      </c>
      <c r="J82" s="1423"/>
      <c r="K82" s="1405">
        <f>C82+G82</f>
        <v>5886495.0542989559</v>
      </c>
      <c r="L82" s="1427">
        <v>0.16481000000000001</v>
      </c>
      <c r="M82" s="1423">
        <f>L82*K82</f>
        <v>970153.24989901099</v>
      </c>
      <c r="N82" s="1423"/>
      <c r="O82" s="1424"/>
      <c r="P82" s="1423"/>
      <c r="Q82" s="1423"/>
      <c r="R82" s="1423"/>
      <c r="S82" s="1424">
        <f>'End of Period Calculations'!AA103</f>
        <v>5955588.143686397</v>
      </c>
      <c r="T82" s="1423">
        <f>S82*L82</f>
        <v>981540.48196095519</v>
      </c>
      <c r="U82" s="1423">
        <f>T82-M82</f>
        <v>11387.232061944203</v>
      </c>
      <c r="V82" s="1423"/>
      <c r="W82" s="1423"/>
      <c r="X82" s="1423"/>
      <c r="Y82" s="1423"/>
      <c r="Z82" s="1423"/>
      <c r="AA82" s="1405">
        <f>+'End of Period Calculations'!AA103</f>
        <v>5955588.143686397</v>
      </c>
      <c r="AB82" s="1428">
        <v>1.9E-3</v>
      </c>
      <c r="AC82" s="1425">
        <f>AB82*AA82</f>
        <v>11315.617473004155</v>
      </c>
      <c r="AD82" s="1423"/>
      <c r="AE82" s="1405">
        <f>IF($AM$3="No", S82, 'End of Period Calculations'!AA130)</f>
        <v>5955588.143686397</v>
      </c>
      <c r="AF82" s="1423">
        <f>AE82*L82</f>
        <v>981540.48196095519</v>
      </c>
      <c r="AG82" s="1422">
        <f>AF82-T82</f>
        <v>0</v>
      </c>
      <c r="AH82" s="1423"/>
      <c r="AI82" s="1428">
        <f>'Exh 18, Class Rates'!H23</f>
        <v>0.16403555954034724</v>
      </c>
      <c r="AJ82" s="1425">
        <f>AI82*AE82</f>
        <v>976928.23354145605</v>
      </c>
      <c r="AK82" s="1425">
        <f>AJ82-AF82</f>
        <v>-4612.2484194991412</v>
      </c>
      <c r="AL82" s="748"/>
    </row>
    <row r="83" spans="1:38">
      <c r="A83" s="728">
        <v>78</v>
      </c>
      <c r="B83" s="1453" t="s">
        <v>2683</v>
      </c>
      <c r="C83" s="1405">
        <f>E83/D83</f>
        <v>5495418.3161216285</v>
      </c>
      <c r="D83" s="1361">
        <v>0.13944000000000001</v>
      </c>
      <c r="E83" s="1423">
        <f>'1501 Summary'!AD104</f>
        <v>766281.12999999989</v>
      </c>
      <c r="F83" s="1423"/>
      <c r="G83" s="1460">
        <f>-G219</f>
        <v>0</v>
      </c>
      <c r="H83" s="746">
        <f>D83</f>
        <v>0.13944000000000001</v>
      </c>
      <c r="I83" s="1461">
        <f>H83*G83</f>
        <v>0</v>
      </c>
      <c r="J83" s="1423"/>
      <c r="K83" s="1405">
        <f>C83+G83</f>
        <v>5495418.3161216285</v>
      </c>
      <c r="L83" s="1427">
        <v>0.15923000000000001</v>
      </c>
      <c r="M83" s="1437">
        <f>L83*K83</f>
        <v>875035.45847604692</v>
      </c>
      <c r="N83" s="1423"/>
      <c r="O83" s="1424"/>
      <c r="P83" s="1437"/>
      <c r="Q83" s="1437"/>
      <c r="R83" s="1423"/>
      <c r="S83" s="1424">
        <f>'End of Period Calculations'!AA104</f>
        <v>5561734.9161735196</v>
      </c>
      <c r="T83" s="1437">
        <f>S83*L83</f>
        <v>885595.05070230959</v>
      </c>
      <c r="U83" s="1437">
        <f>T83-M83</f>
        <v>10559.59222626267</v>
      </c>
      <c r="V83" s="1423"/>
      <c r="W83" s="1423"/>
      <c r="X83" s="1423"/>
      <c r="Y83" s="1423"/>
      <c r="Z83" s="1423"/>
      <c r="AA83" s="1405">
        <f>+'End of Period Calculations'!AA104</f>
        <v>5561734.9161735196</v>
      </c>
      <c r="AB83" s="1428">
        <v>1.9E-3</v>
      </c>
      <c r="AC83" s="1440">
        <f>AB83*AA83</f>
        <v>10567.296340729687</v>
      </c>
      <c r="AD83" s="1423"/>
      <c r="AE83" s="1405">
        <f>IF($AM$3="No", S83, 'End of Period Calculations'!AA131)</f>
        <v>5561734.9161735196</v>
      </c>
      <c r="AF83" s="1437">
        <f>AE83*L83</f>
        <v>885595.05070230959</v>
      </c>
      <c r="AG83" s="1438">
        <f>AF83-T83</f>
        <v>0</v>
      </c>
      <c r="AH83" s="1423"/>
      <c r="AI83" s="1428">
        <f>'Exh 18, Class Rates'!H24</f>
        <v>0.15848177990176257</v>
      </c>
      <c r="AJ83" s="1425">
        <f>AI83*AE83</f>
        <v>881433.64885695965</v>
      </c>
      <c r="AK83" s="1440">
        <f>AJ83-AF83</f>
        <v>-4161.4018453499302</v>
      </c>
      <c r="AL83" s="748"/>
    </row>
    <row r="84" spans="1:38">
      <c r="A84" s="728">
        <v>79</v>
      </c>
      <c r="B84" s="727" t="s">
        <v>2648</v>
      </c>
      <c r="E84" s="1431">
        <f>SUM(E80:E83)</f>
        <v>2279925.21</v>
      </c>
      <c r="F84" s="1423"/>
      <c r="G84" s="1423"/>
      <c r="H84" s="1423"/>
      <c r="I84" s="1423">
        <f>SUM(I80:I83)</f>
        <v>1121.6499999999999</v>
      </c>
      <c r="J84" s="1423"/>
      <c r="K84" s="1405"/>
      <c r="L84" s="1427"/>
      <c r="M84" s="1423">
        <f>SUM(M80:M83)</f>
        <v>2550202.1644637925</v>
      </c>
      <c r="N84" s="1423"/>
      <c r="O84" s="1423"/>
      <c r="P84" s="1423"/>
      <c r="Q84" s="1423"/>
      <c r="R84" s="1423"/>
      <c r="S84" s="1423"/>
      <c r="T84" s="1423">
        <f>SUM(T80:T83)</f>
        <v>2580867.4528516177</v>
      </c>
      <c r="U84" s="1423">
        <f>T84-M84</f>
        <v>30665.288387825247</v>
      </c>
      <c r="V84" s="1423"/>
      <c r="W84" s="1423"/>
      <c r="X84" s="1423"/>
      <c r="Y84" s="1423"/>
      <c r="Z84" s="1423"/>
      <c r="AA84" s="1425"/>
      <c r="AB84" s="1425"/>
      <c r="AC84" s="1425">
        <f>SUM(AC81:AC83)</f>
        <v>25295.417027244301</v>
      </c>
      <c r="AD84" s="1423"/>
      <c r="AF84" s="1423">
        <f>SUM(AF80:AF83)</f>
        <v>2580867.4528516177</v>
      </c>
      <c r="AG84" s="1423">
        <f>SUM(AG80:AG83)</f>
        <v>0</v>
      </c>
      <c r="AH84" s="1423"/>
      <c r="AI84" s="1430"/>
      <c r="AJ84" s="1425">
        <f>SUM(AJ80:AJ83)</f>
        <v>2570391.0207383614</v>
      </c>
      <c r="AK84" s="1425">
        <f>SUM(AK80:AK83)</f>
        <v>-10476.432113255956</v>
      </c>
      <c r="AL84" s="748"/>
    </row>
    <row r="85" spans="1:38">
      <c r="A85" s="728">
        <v>80</v>
      </c>
      <c r="K85" s="1405"/>
      <c r="L85" s="1427"/>
      <c r="M85" s="1423"/>
      <c r="O85" s="1423"/>
      <c r="P85" s="1423"/>
      <c r="Q85" s="1423"/>
      <c r="S85" s="1423"/>
      <c r="T85" s="1423"/>
      <c r="U85" s="1423"/>
      <c r="AL85" s="748"/>
    </row>
    <row r="86" spans="1:38">
      <c r="A86" s="728">
        <v>81</v>
      </c>
      <c r="B86" s="727" t="s">
        <v>2650</v>
      </c>
      <c r="E86" s="1423">
        <f>'1501 Summary'!AD105</f>
        <v>5522381.8900000006</v>
      </c>
      <c r="F86" s="1423"/>
      <c r="G86" s="1423"/>
      <c r="H86" s="1423"/>
      <c r="I86" s="1423"/>
      <c r="J86" s="1423"/>
      <c r="K86" s="1405"/>
      <c r="L86" s="1427"/>
      <c r="M86" s="1423"/>
      <c r="N86" s="1423"/>
      <c r="O86" s="1423"/>
      <c r="P86" s="1423"/>
      <c r="Q86" s="1423"/>
      <c r="R86" s="1423"/>
      <c r="S86" s="1423"/>
      <c r="T86" s="1423"/>
      <c r="U86" s="1423"/>
      <c r="V86" s="1423"/>
      <c r="W86" s="1423"/>
      <c r="X86" s="1423"/>
      <c r="Y86" s="1423"/>
      <c r="Z86" s="1423"/>
      <c r="AD86" s="1423"/>
      <c r="AF86" s="1423"/>
      <c r="AG86" s="1423"/>
      <c r="AH86" s="1423"/>
      <c r="AL86" s="748"/>
    </row>
    <row r="87" spans="1:38">
      <c r="A87" s="728">
        <v>82</v>
      </c>
      <c r="K87" s="1405"/>
      <c r="L87" s="1427"/>
      <c r="M87" s="1423"/>
      <c r="O87" s="1423"/>
      <c r="P87" s="1423"/>
      <c r="Q87" s="1423"/>
      <c r="S87" s="1423"/>
      <c r="T87" s="1423"/>
      <c r="U87" s="1423"/>
      <c r="AL87" s="748"/>
    </row>
    <row r="88" spans="1:38">
      <c r="A88" s="728">
        <v>83</v>
      </c>
      <c r="B88" s="1421" t="s">
        <v>2651</v>
      </c>
      <c r="K88" s="1405"/>
      <c r="L88" s="1427"/>
      <c r="M88" s="1423"/>
      <c r="O88" s="1423"/>
      <c r="P88" s="1423"/>
      <c r="Q88" s="1423"/>
      <c r="S88" s="1423"/>
      <c r="T88" s="1423"/>
      <c r="U88" s="1423"/>
      <c r="AL88" s="748"/>
    </row>
    <row r="89" spans="1:38">
      <c r="A89" s="728">
        <v>84</v>
      </c>
      <c r="B89" s="727" t="s">
        <v>2652</v>
      </c>
      <c r="E89" s="1454">
        <f>'1501 Summary'!AD106</f>
        <v>656984.07999999996</v>
      </c>
      <c r="K89" s="1405"/>
      <c r="L89" s="1427"/>
      <c r="M89" s="1423"/>
      <c r="O89" s="1423"/>
      <c r="P89" s="1423"/>
      <c r="Q89" s="1423"/>
      <c r="S89" s="1423"/>
      <c r="T89" s="1423"/>
      <c r="U89" s="1423"/>
      <c r="AL89" s="748"/>
    </row>
    <row r="90" spans="1:38">
      <c r="A90" s="728">
        <v>85</v>
      </c>
      <c r="B90" s="1421" t="s">
        <v>2653</v>
      </c>
      <c r="E90" s="1454">
        <f>'1501 Summary'!AD107</f>
        <v>22304.93</v>
      </c>
      <c r="F90" s="1423"/>
      <c r="G90" s="1423"/>
      <c r="H90" s="1423"/>
      <c r="I90" s="1423"/>
      <c r="J90" s="1423"/>
      <c r="K90" s="1405"/>
      <c r="L90" s="1427"/>
      <c r="M90" s="1423"/>
      <c r="N90" s="1423"/>
      <c r="O90" s="1423"/>
      <c r="P90" s="1423"/>
      <c r="Q90" s="1423"/>
      <c r="R90" s="1423"/>
      <c r="S90" s="1423"/>
      <c r="T90" s="1423"/>
      <c r="U90" s="1423"/>
      <c r="V90" s="1423"/>
      <c r="W90" s="1423"/>
      <c r="X90" s="1423"/>
      <c r="Y90" s="1423"/>
      <c r="Z90" s="1423"/>
      <c r="AA90" s="727"/>
      <c r="AB90" s="727"/>
      <c r="AC90" s="727"/>
      <c r="AD90" s="1423"/>
      <c r="AF90" s="1423"/>
      <c r="AG90" s="1423"/>
      <c r="AH90" s="1423"/>
      <c r="AK90" s="727"/>
      <c r="AL90" s="748"/>
    </row>
    <row r="91" spans="1:38">
      <c r="A91" s="728">
        <v>86</v>
      </c>
      <c r="B91" s="1421" t="s">
        <v>2654</v>
      </c>
      <c r="E91" s="1454">
        <f>'1501 Summary'!AD108</f>
        <v>92918.6</v>
      </c>
      <c r="F91" s="1423"/>
      <c r="G91" s="1423"/>
      <c r="H91" s="1423"/>
      <c r="I91" s="1423"/>
      <c r="J91" s="1423"/>
      <c r="K91" s="1405"/>
      <c r="L91" s="1427"/>
      <c r="M91" s="1423"/>
      <c r="N91" s="1423"/>
      <c r="O91" s="1423"/>
      <c r="P91" s="1423"/>
      <c r="Q91" s="1423"/>
      <c r="R91" s="1423"/>
      <c r="S91" s="1423"/>
      <c r="T91" s="1423"/>
      <c r="U91" s="1423"/>
      <c r="V91" s="1423"/>
      <c r="W91" s="1423"/>
      <c r="X91" s="1423"/>
      <c r="Y91" s="1423"/>
      <c r="Z91" s="1423"/>
      <c r="AA91" s="727"/>
      <c r="AB91" s="727"/>
      <c r="AC91" s="727"/>
      <c r="AD91" s="1423"/>
      <c r="AF91" s="1423"/>
      <c r="AG91" s="1423"/>
      <c r="AH91" s="1423"/>
      <c r="AK91" s="727"/>
      <c r="AL91" s="748"/>
    </row>
    <row r="92" spans="1:38">
      <c r="A92" s="728">
        <v>87</v>
      </c>
      <c r="B92" s="1421" t="s">
        <v>2655</v>
      </c>
      <c r="E92" s="1454">
        <f>'1501 Summary'!AD109</f>
        <v>26527.780000000002</v>
      </c>
      <c r="F92" s="1423"/>
      <c r="G92" s="1423"/>
      <c r="H92" s="1423"/>
      <c r="I92" s="1423"/>
      <c r="J92" s="1423"/>
      <c r="K92" s="1405"/>
      <c r="L92" s="1427"/>
      <c r="M92" s="1423"/>
      <c r="N92" s="1423"/>
      <c r="O92" s="1423"/>
      <c r="P92" s="1423"/>
      <c r="Q92" s="1423"/>
      <c r="R92" s="1423"/>
      <c r="S92" s="1423"/>
      <c r="T92" s="1423"/>
      <c r="U92" s="1423"/>
      <c r="V92" s="1423"/>
      <c r="W92" s="1423"/>
      <c r="X92" s="1423"/>
      <c r="Y92" s="1423"/>
      <c r="Z92" s="1423"/>
      <c r="AA92" s="727"/>
      <c r="AB92" s="727"/>
      <c r="AC92" s="727"/>
      <c r="AD92" s="1423"/>
      <c r="AF92" s="1423"/>
      <c r="AG92" s="1423"/>
      <c r="AH92" s="1423"/>
      <c r="AK92" s="727"/>
      <c r="AL92" s="748"/>
    </row>
    <row r="93" spans="1:38">
      <c r="A93" s="728">
        <v>88</v>
      </c>
      <c r="B93" s="1421" t="s">
        <v>2656</v>
      </c>
      <c r="E93" s="1454">
        <f>'1501 Summary'!AD110</f>
        <v>88407.780000000028</v>
      </c>
      <c r="F93" s="1423"/>
      <c r="G93" s="1423"/>
      <c r="H93" s="1423"/>
      <c r="I93" s="1423"/>
      <c r="J93" s="1423"/>
      <c r="K93" s="1405"/>
      <c r="L93" s="1427"/>
      <c r="M93" s="1423"/>
      <c r="N93" s="1423"/>
      <c r="O93" s="1423"/>
      <c r="P93" s="1423"/>
      <c r="Q93" s="1423"/>
      <c r="R93" s="1423"/>
      <c r="S93" s="1423"/>
      <c r="T93" s="1423"/>
      <c r="U93" s="1423"/>
      <c r="V93" s="1423"/>
      <c r="W93" s="1423"/>
      <c r="X93" s="1423"/>
      <c r="Y93" s="1423"/>
      <c r="Z93" s="1423"/>
      <c r="AA93" s="727"/>
      <c r="AB93" s="727"/>
      <c r="AC93" s="727"/>
      <c r="AD93" s="1423"/>
      <c r="AF93" s="1423"/>
      <c r="AG93" s="1423"/>
      <c r="AH93" s="1423"/>
      <c r="AK93" s="727"/>
      <c r="AL93" s="748"/>
    </row>
    <row r="94" spans="1:38">
      <c r="A94" s="728">
        <v>89</v>
      </c>
      <c r="B94" s="1421" t="s">
        <v>2657</v>
      </c>
      <c r="E94" s="1454">
        <f>'1501 Summary'!AD111</f>
        <v>360112.04000000004</v>
      </c>
      <c r="F94" s="1423"/>
      <c r="G94" s="1423"/>
      <c r="H94" s="1423"/>
      <c r="I94" s="1423"/>
      <c r="J94" s="1423"/>
      <c r="K94" s="1405"/>
      <c r="L94" s="1427"/>
      <c r="M94" s="1423"/>
      <c r="N94" s="1423"/>
      <c r="O94" s="1423"/>
      <c r="P94" s="1423"/>
      <c r="Q94" s="1423"/>
      <c r="R94" s="1423"/>
      <c r="S94" s="1423"/>
      <c r="T94" s="1423"/>
      <c r="U94" s="1423"/>
      <c r="V94" s="1423"/>
      <c r="W94" s="1423"/>
      <c r="X94" s="1423"/>
      <c r="Y94" s="1423"/>
      <c r="Z94" s="1423"/>
      <c r="AA94" s="727"/>
      <c r="AB94" s="727"/>
      <c r="AC94" s="727"/>
      <c r="AD94" s="1423"/>
      <c r="AF94" s="1423"/>
      <c r="AG94" s="1423"/>
      <c r="AH94" s="1423"/>
      <c r="AK94" s="727"/>
      <c r="AL94" s="748"/>
    </row>
    <row r="95" spans="1:38">
      <c r="A95" s="728">
        <v>90</v>
      </c>
      <c r="B95" s="1462" t="s">
        <v>2658</v>
      </c>
      <c r="E95" s="1454">
        <f>'1501 Summary'!AD112</f>
        <v>-46651.72</v>
      </c>
      <c r="F95" s="1423"/>
      <c r="G95" s="1423"/>
      <c r="H95" s="1423"/>
      <c r="I95" s="1423"/>
      <c r="J95" s="1423"/>
      <c r="K95" s="1405"/>
      <c r="L95" s="1427"/>
      <c r="M95" s="1423"/>
      <c r="N95" s="1423"/>
      <c r="O95" s="1423"/>
      <c r="P95" s="1423"/>
      <c r="Q95" s="1423"/>
      <c r="R95" s="1423"/>
      <c r="S95" s="1423"/>
      <c r="T95" s="1423"/>
      <c r="U95" s="1423"/>
      <c r="V95" s="1423"/>
      <c r="W95" s="1423"/>
      <c r="X95" s="1423"/>
      <c r="Y95" s="1423"/>
      <c r="Z95" s="1423"/>
      <c r="AA95" s="1463"/>
      <c r="AB95" s="1463"/>
      <c r="AC95" s="1463"/>
      <c r="AD95" s="1423"/>
      <c r="AF95" s="1423"/>
      <c r="AG95" s="1423"/>
      <c r="AH95" s="1423"/>
      <c r="AK95" s="1456"/>
      <c r="AL95" s="748"/>
    </row>
    <row r="96" spans="1:38">
      <c r="A96" s="728">
        <v>91</v>
      </c>
      <c r="B96" s="1462" t="s">
        <v>2659</v>
      </c>
      <c r="E96" s="1454">
        <f>'1501 Summary'!AD113</f>
        <v>-21028.46</v>
      </c>
      <c r="F96" s="1423"/>
      <c r="G96" s="1423"/>
      <c r="H96" s="1423"/>
      <c r="I96" s="1423"/>
      <c r="J96" s="1423"/>
      <c r="K96" s="1405"/>
      <c r="L96" s="1427"/>
      <c r="M96" s="1423"/>
      <c r="N96" s="1423"/>
      <c r="O96" s="1423"/>
      <c r="P96" s="1423"/>
      <c r="Q96" s="1423"/>
      <c r="R96" s="1423"/>
      <c r="S96" s="1423"/>
      <c r="T96" s="1423"/>
      <c r="U96" s="1423"/>
      <c r="V96" s="1423"/>
      <c r="W96" s="1423"/>
      <c r="X96" s="1423"/>
      <c r="Y96" s="1423"/>
      <c r="Z96" s="1423"/>
      <c r="AA96" s="1463"/>
      <c r="AB96" s="1463"/>
      <c r="AC96" s="1463"/>
      <c r="AD96" s="1423"/>
      <c r="AF96" s="1423"/>
      <c r="AG96" s="1423"/>
      <c r="AH96" s="1423"/>
      <c r="AK96" s="1456"/>
      <c r="AL96" s="748"/>
    </row>
    <row r="97" spans="1:38">
      <c r="A97" s="728">
        <v>92</v>
      </c>
      <c r="B97" s="1462" t="s">
        <v>2660</v>
      </c>
      <c r="E97" s="1454">
        <f>'1501 Summary'!AD114</f>
        <v>-33921.570000000007</v>
      </c>
      <c r="F97" s="1423"/>
      <c r="G97" s="1423"/>
      <c r="H97" s="1423"/>
      <c r="I97" s="1423"/>
      <c r="J97" s="1423"/>
      <c r="K97" s="1405"/>
      <c r="L97" s="1427"/>
      <c r="M97" s="1423"/>
      <c r="N97" s="1423"/>
      <c r="O97" s="1423"/>
      <c r="P97" s="1423"/>
      <c r="Q97" s="1423"/>
      <c r="R97" s="1423"/>
      <c r="S97" s="1423"/>
      <c r="T97" s="1423"/>
      <c r="U97" s="1423"/>
      <c r="V97" s="1423"/>
      <c r="W97" s="1423"/>
      <c r="X97" s="1423"/>
      <c r="Y97" s="1423"/>
      <c r="Z97" s="1423"/>
      <c r="AA97" s="1463"/>
      <c r="AB97" s="1463"/>
      <c r="AC97" s="1463"/>
      <c r="AD97" s="1423"/>
      <c r="AF97" s="1423"/>
      <c r="AG97" s="1423"/>
      <c r="AH97" s="1423"/>
      <c r="AK97" s="1456"/>
      <c r="AL97" s="748"/>
    </row>
    <row r="98" spans="1:38">
      <c r="A98" s="728">
        <v>93</v>
      </c>
      <c r="B98" s="1421" t="s">
        <v>2661</v>
      </c>
      <c r="E98" s="1454">
        <f>'1501 Summary'!AD115</f>
        <v>346994.70999999996</v>
      </c>
      <c r="F98" s="1423"/>
      <c r="G98" s="1423"/>
      <c r="H98" s="1423"/>
      <c r="I98" s="1423"/>
      <c r="J98" s="1423"/>
      <c r="K98" s="1405"/>
      <c r="L98" s="1427"/>
      <c r="M98" s="1423"/>
      <c r="N98" s="1423"/>
      <c r="O98" s="1423"/>
      <c r="P98" s="1423"/>
      <c r="Q98" s="1423"/>
      <c r="R98" s="1423"/>
      <c r="S98" s="1423"/>
      <c r="T98" s="1423"/>
      <c r="U98" s="1423"/>
      <c r="V98" s="1423"/>
      <c r="W98" s="1423"/>
      <c r="X98" s="1423"/>
      <c r="Y98" s="1423"/>
      <c r="Z98" s="1423"/>
      <c r="AA98" s="727"/>
      <c r="AB98" s="727"/>
      <c r="AC98" s="727"/>
      <c r="AD98" s="1423"/>
      <c r="AF98" s="1423"/>
      <c r="AG98" s="1423"/>
      <c r="AH98" s="1423"/>
      <c r="AK98" s="727"/>
      <c r="AL98" s="748"/>
    </row>
    <row r="99" spans="1:38">
      <c r="A99" s="728">
        <v>94</v>
      </c>
      <c r="B99" s="1421" t="s">
        <v>2676</v>
      </c>
      <c r="E99" s="1454">
        <f>'1501 Summary'!AD116</f>
        <v>808.46999999999991</v>
      </c>
      <c r="F99" s="1423"/>
      <c r="G99" s="1423"/>
      <c r="H99" s="1423"/>
      <c r="I99" s="1423"/>
      <c r="J99" s="1423"/>
      <c r="K99" s="1405"/>
      <c r="L99" s="1427"/>
      <c r="M99" s="1423"/>
      <c r="N99" s="1423"/>
      <c r="O99" s="1423"/>
      <c r="P99" s="1423"/>
      <c r="Q99" s="1423"/>
      <c r="R99" s="1423"/>
      <c r="S99" s="1423"/>
      <c r="T99" s="1423"/>
      <c r="U99" s="1423"/>
      <c r="V99" s="1423"/>
      <c r="W99" s="1423"/>
      <c r="X99" s="1423"/>
      <c r="Y99" s="1423"/>
      <c r="Z99" s="1423"/>
      <c r="AA99" s="727"/>
      <c r="AB99" s="727"/>
      <c r="AC99" s="727"/>
      <c r="AD99" s="1423"/>
      <c r="AF99" s="1423"/>
      <c r="AG99" s="1423"/>
      <c r="AH99" s="1423"/>
      <c r="AK99" s="727"/>
      <c r="AL99" s="748"/>
    </row>
    <row r="100" spans="1:38">
      <c r="A100" s="728">
        <v>95</v>
      </c>
      <c r="B100" s="1421" t="s">
        <v>2684</v>
      </c>
      <c r="E100" s="1454">
        <f>'1501 Summary'!AD117</f>
        <v>780</v>
      </c>
      <c r="F100" s="1423"/>
      <c r="G100" s="1423"/>
      <c r="H100" s="1423"/>
      <c r="I100" s="1423"/>
      <c r="J100" s="1423"/>
      <c r="K100" s="1405"/>
      <c r="L100" s="1427"/>
      <c r="M100" s="1423"/>
      <c r="N100" s="1423"/>
      <c r="O100" s="1423"/>
      <c r="P100" s="1423"/>
      <c r="Q100" s="1423"/>
      <c r="R100" s="1423"/>
      <c r="S100" s="1423"/>
      <c r="T100" s="1423"/>
      <c r="U100" s="1423"/>
      <c r="V100" s="1423"/>
      <c r="W100" s="1423"/>
      <c r="X100" s="1423"/>
      <c r="Y100" s="1423"/>
      <c r="Z100" s="1423"/>
      <c r="AA100" s="727"/>
      <c r="AB100" s="727"/>
      <c r="AC100" s="727"/>
      <c r="AD100" s="1423"/>
      <c r="AF100" s="1423"/>
      <c r="AG100" s="1423"/>
      <c r="AH100" s="1423"/>
      <c r="AK100" s="727"/>
      <c r="AL100" s="748"/>
    </row>
    <row r="101" spans="1:38">
      <c r="A101" s="728">
        <v>96</v>
      </c>
      <c r="B101" s="1421" t="s">
        <v>2662</v>
      </c>
      <c r="E101" s="1454">
        <f>'1501 Summary'!AD118</f>
        <v>893.96999999999991</v>
      </c>
      <c r="F101" s="1423"/>
      <c r="G101" s="1423"/>
      <c r="H101" s="1423"/>
      <c r="I101" s="1423"/>
      <c r="J101" s="1423"/>
      <c r="K101" s="1405"/>
      <c r="L101" s="1427"/>
      <c r="M101" s="1423"/>
      <c r="N101" s="1423"/>
      <c r="O101" s="1423"/>
      <c r="P101" s="1423"/>
      <c r="Q101" s="1423"/>
      <c r="R101" s="1423"/>
      <c r="S101" s="1423"/>
      <c r="T101" s="1423"/>
      <c r="U101" s="1423"/>
      <c r="V101" s="1423"/>
      <c r="W101" s="1423"/>
      <c r="X101" s="1423"/>
      <c r="Y101" s="1423"/>
      <c r="Z101" s="1423"/>
      <c r="AA101" s="727"/>
      <c r="AB101" s="727"/>
      <c r="AC101" s="727"/>
      <c r="AD101" s="1423"/>
      <c r="AF101" s="1423"/>
      <c r="AG101" s="1423"/>
      <c r="AH101" s="1423"/>
      <c r="AK101" s="727"/>
      <c r="AL101" s="748"/>
    </row>
    <row r="102" spans="1:38">
      <c r="A102" s="728">
        <v>97</v>
      </c>
      <c r="B102" s="1421" t="s">
        <v>2663</v>
      </c>
      <c r="E102" s="1454">
        <f>'1501 Summary'!AD119</f>
        <v>1371.67</v>
      </c>
      <c r="F102" s="1423"/>
      <c r="G102" s="1423"/>
      <c r="H102" s="1423"/>
      <c r="I102" s="1423"/>
      <c r="J102" s="1423"/>
      <c r="K102" s="1405"/>
      <c r="L102" s="1427"/>
      <c r="M102" s="1423"/>
      <c r="N102" s="1423"/>
      <c r="O102" s="1423"/>
      <c r="P102" s="1423"/>
      <c r="Q102" s="1423"/>
      <c r="R102" s="1423"/>
      <c r="S102" s="1423"/>
      <c r="T102" s="1423"/>
      <c r="U102" s="1423"/>
      <c r="V102" s="1423"/>
      <c r="W102" s="1423"/>
      <c r="X102" s="1423"/>
      <c r="Y102" s="1423"/>
      <c r="Z102" s="1423"/>
      <c r="AA102" s="727"/>
      <c r="AB102" s="727"/>
      <c r="AC102" s="727"/>
      <c r="AD102" s="1423"/>
      <c r="AF102" s="1423"/>
      <c r="AG102" s="1423"/>
      <c r="AH102" s="1423"/>
      <c r="AK102" s="727"/>
      <c r="AL102" s="748"/>
    </row>
    <row r="103" spans="1:38">
      <c r="A103" s="728">
        <v>98</v>
      </c>
      <c r="B103" s="1421" t="s">
        <v>2665</v>
      </c>
      <c r="E103" s="1454">
        <f>'1501 Summary'!AD120</f>
        <v>15526.04</v>
      </c>
      <c r="F103" s="1423"/>
      <c r="G103" s="1423"/>
      <c r="H103" s="1423"/>
      <c r="I103" s="1423"/>
      <c r="J103" s="1423"/>
      <c r="K103" s="1405"/>
      <c r="L103" s="1427"/>
      <c r="M103" s="1423"/>
      <c r="N103" s="1423"/>
      <c r="O103" s="1423"/>
      <c r="P103" s="1423"/>
      <c r="Q103" s="1423"/>
      <c r="R103" s="1423"/>
      <c r="S103" s="1423"/>
      <c r="T103" s="1423"/>
      <c r="U103" s="1423"/>
      <c r="V103" s="1423"/>
      <c r="W103" s="1423"/>
      <c r="X103" s="1423"/>
      <c r="Y103" s="1423"/>
      <c r="Z103" s="1423"/>
      <c r="AA103" s="727"/>
      <c r="AB103" s="727"/>
      <c r="AC103" s="727"/>
      <c r="AD103" s="1423"/>
      <c r="AF103" s="1423"/>
      <c r="AG103" s="1423"/>
      <c r="AH103" s="1423"/>
      <c r="AK103" s="727"/>
      <c r="AL103" s="748"/>
    </row>
    <row r="104" spans="1:38">
      <c r="A104" s="728">
        <v>99</v>
      </c>
      <c r="B104" s="1421" t="s">
        <v>54</v>
      </c>
      <c r="E104" s="1454">
        <f>'1501 Summary'!AD121</f>
        <v>-63.6</v>
      </c>
      <c r="F104" s="1423"/>
      <c r="G104" s="1423"/>
      <c r="H104" s="1423"/>
      <c r="I104" s="1423"/>
      <c r="J104" s="1423"/>
      <c r="K104" s="1405"/>
      <c r="L104" s="1427"/>
      <c r="M104" s="1423"/>
      <c r="N104" s="1423"/>
      <c r="O104" s="1423"/>
      <c r="P104" s="1423"/>
      <c r="Q104" s="1423"/>
      <c r="R104" s="1423"/>
      <c r="S104" s="1423"/>
      <c r="T104" s="1423"/>
      <c r="U104" s="1423"/>
      <c r="V104" s="1423"/>
      <c r="W104" s="1423"/>
      <c r="X104" s="1423"/>
      <c r="Y104" s="1423"/>
      <c r="Z104" s="1423"/>
      <c r="AA104" s="727"/>
      <c r="AB104" s="727"/>
      <c r="AC104" s="727"/>
      <c r="AD104" s="1423"/>
      <c r="AF104" s="1423"/>
      <c r="AG104" s="1423"/>
      <c r="AH104" s="1423"/>
      <c r="AK104" s="727"/>
      <c r="AL104" s="748"/>
    </row>
    <row r="105" spans="1:38">
      <c r="A105" s="728">
        <v>100</v>
      </c>
      <c r="B105" s="1443" t="s">
        <v>2666</v>
      </c>
      <c r="E105" s="1423">
        <f>'Revenue Reconcilliation'!Q74</f>
        <v>0</v>
      </c>
      <c r="F105" s="1423"/>
      <c r="G105" s="1423"/>
      <c r="H105" s="1423"/>
      <c r="I105" s="1423"/>
      <c r="J105" s="1423"/>
      <c r="K105" s="1405"/>
      <c r="L105" s="1427"/>
      <c r="M105" s="1423"/>
      <c r="N105" s="1423"/>
      <c r="O105" s="1423"/>
      <c r="P105" s="1423"/>
      <c r="Q105" s="1423"/>
      <c r="R105" s="1423"/>
      <c r="S105" s="1423"/>
      <c r="T105" s="1423"/>
      <c r="U105" s="1423"/>
      <c r="V105" s="1423"/>
      <c r="W105" s="1423"/>
      <c r="X105" s="1423"/>
      <c r="Y105" s="1423"/>
      <c r="Z105" s="1423"/>
      <c r="AA105" s="727"/>
      <c r="AB105" s="727"/>
      <c r="AC105" s="727"/>
      <c r="AD105" s="1423"/>
      <c r="AF105" s="1423"/>
      <c r="AG105" s="1423"/>
      <c r="AH105" s="1423"/>
      <c r="AK105" s="727"/>
      <c r="AL105" s="748"/>
    </row>
    <row r="106" spans="1:38">
      <c r="A106" s="728">
        <v>101</v>
      </c>
      <c r="B106" s="1443" t="s">
        <v>2667</v>
      </c>
      <c r="E106" s="1423">
        <f>'Revenue Reconcilliation'!Q75</f>
        <v>0</v>
      </c>
      <c r="F106" s="1423"/>
      <c r="G106" s="1423"/>
      <c r="H106" s="1423"/>
      <c r="I106" s="1423"/>
      <c r="J106" s="1423"/>
      <c r="K106" s="1405"/>
      <c r="L106" s="1427"/>
      <c r="M106" s="1423"/>
      <c r="N106" s="1423"/>
      <c r="O106" s="1423"/>
      <c r="P106" s="1423"/>
      <c r="Q106" s="1423"/>
      <c r="R106" s="1423"/>
      <c r="S106" s="1423"/>
      <c r="T106" s="1423"/>
      <c r="U106" s="1423"/>
      <c r="V106" s="1423"/>
      <c r="W106" s="1423"/>
      <c r="X106" s="1423"/>
      <c r="Y106" s="1423"/>
      <c r="Z106" s="1423"/>
      <c r="AA106" s="727"/>
      <c r="AB106" s="727"/>
      <c r="AC106" s="727"/>
      <c r="AD106" s="1423"/>
      <c r="AF106" s="1423"/>
      <c r="AG106" s="1423"/>
      <c r="AH106" s="1423"/>
      <c r="AK106" s="727"/>
      <c r="AL106" s="748"/>
    </row>
    <row r="107" spans="1:38">
      <c r="A107" s="728">
        <v>102</v>
      </c>
      <c r="B107" s="1443" t="s">
        <v>2668</v>
      </c>
      <c r="E107" s="1423">
        <f>'Revenue Reconcilliation'!Q76</f>
        <v>-197881.5</v>
      </c>
      <c r="F107" s="1423"/>
      <c r="G107" s="1423"/>
      <c r="H107" s="1423"/>
      <c r="I107" s="1423"/>
      <c r="J107" s="1423"/>
      <c r="K107" s="1405"/>
      <c r="L107" s="1427"/>
      <c r="M107" s="1423"/>
      <c r="N107" s="1423"/>
      <c r="O107" s="1423"/>
      <c r="P107" s="1423"/>
      <c r="Q107" s="1423"/>
      <c r="R107" s="1423"/>
      <c r="S107" s="1423"/>
      <c r="T107" s="1423"/>
      <c r="U107" s="1423"/>
      <c r="V107" s="1423"/>
      <c r="W107" s="1423"/>
      <c r="X107" s="1423"/>
      <c r="Y107" s="1423"/>
      <c r="Z107" s="1423"/>
      <c r="AA107" s="727"/>
      <c r="AB107" s="727"/>
      <c r="AC107" s="727"/>
      <c r="AD107" s="1423"/>
      <c r="AF107" s="1423"/>
      <c r="AG107" s="1423"/>
      <c r="AH107" s="1423"/>
      <c r="AK107" s="727"/>
      <c r="AL107" s="748"/>
    </row>
    <row r="108" spans="1:38">
      <c r="A108" s="728">
        <v>103</v>
      </c>
      <c r="B108" s="1443" t="s">
        <v>2669</v>
      </c>
      <c r="E108" s="1423">
        <f>'Revenue Reconcilliation'!Q77</f>
        <v>-47418.52</v>
      </c>
      <c r="F108" s="1423"/>
      <c r="G108" s="1423"/>
      <c r="H108" s="1423"/>
      <c r="I108" s="1423"/>
      <c r="J108" s="1423"/>
      <c r="K108" s="1405"/>
      <c r="L108" s="1427"/>
      <c r="M108" s="1423"/>
      <c r="N108" s="1423"/>
      <c r="O108" s="1423"/>
      <c r="P108" s="1423"/>
      <c r="Q108" s="1423"/>
      <c r="R108" s="1423"/>
      <c r="S108" s="1423"/>
      <c r="T108" s="1423"/>
      <c r="U108" s="1423"/>
      <c r="V108" s="1423"/>
      <c r="W108" s="1423"/>
      <c r="X108" s="1423"/>
      <c r="Y108" s="1423"/>
      <c r="Z108" s="1423"/>
      <c r="AA108" s="727"/>
      <c r="AB108" s="727"/>
      <c r="AC108" s="727"/>
      <c r="AD108" s="1423"/>
      <c r="AF108" s="1423"/>
      <c r="AG108" s="1423"/>
      <c r="AH108" s="1423"/>
      <c r="AK108" s="727"/>
      <c r="AL108" s="748"/>
    </row>
    <row r="109" spans="1:38">
      <c r="A109" s="728">
        <v>104</v>
      </c>
      <c r="B109" s="1443" t="s">
        <v>2670</v>
      </c>
      <c r="E109" s="1423">
        <f>'Revenue Reconcilliation'!Q78</f>
        <v>0</v>
      </c>
      <c r="F109" s="1423"/>
      <c r="G109" s="1423"/>
      <c r="H109" s="1423"/>
      <c r="I109" s="1423"/>
      <c r="J109" s="1423"/>
      <c r="K109" s="1405"/>
      <c r="L109" s="1427"/>
      <c r="M109" s="1423"/>
      <c r="N109" s="1423"/>
      <c r="O109" s="1423"/>
      <c r="P109" s="1423"/>
      <c r="Q109" s="1423"/>
      <c r="R109" s="1423"/>
      <c r="S109" s="1423"/>
      <c r="T109" s="1423"/>
      <c r="U109" s="1423"/>
      <c r="V109" s="1423"/>
      <c r="W109" s="1423"/>
      <c r="X109" s="1423"/>
      <c r="Y109" s="1423"/>
      <c r="Z109" s="1423"/>
      <c r="AA109" s="1423"/>
      <c r="AB109" s="1423"/>
      <c r="AC109" s="1423"/>
      <c r="AD109" s="1423"/>
      <c r="AF109" s="1423"/>
      <c r="AG109" s="1423"/>
      <c r="AH109" s="1423"/>
      <c r="AK109" s="1423"/>
      <c r="AL109" s="748"/>
    </row>
    <row r="110" spans="1:38">
      <c r="A110" s="728">
        <v>105</v>
      </c>
      <c r="B110" s="727" t="s">
        <v>2678</v>
      </c>
      <c r="E110" s="1423">
        <f>SUM(E89:E109)</f>
        <v>1266664.6999999997</v>
      </c>
      <c r="F110" s="1423"/>
      <c r="G110" s="1423"/>
      <c r="H110" s="1423"/>
      <c r="I110" s="1423"/>
      <c r="J110" s="1423"/>
      <c r="K110" s="1405"/>
      <c r="L110" s="1427"/>
      <c r="M110" s="1423"/>
      <c r="N110" s="1423"/>
      <c r="O110" s="1423"/>
      <c r="P110" s="1423"/>
      <c r="Q110" s="1423"/>
      <c r="R110" s="1423"/>
      <c r="S110" s="1423"/>
      <c r="T110" s="1423"/>
      <c r="U110" s="1423"/>
      <c r="V110" s="1423"/>
      <c r="W110" s="1423"/>
      <c r="X110" s="1423"/>
      <c r="Y110" s="1423"/>
      <c r="Z110" s="1423"/>
      <c r="AA110" s="1423"/>
      <c r="AB110" s="1423"/>
      <c r="AC110" s="1423"/>
      <c r="AD110" s="1423"/>
      <c r="AF110" s="1423"/>
      <c r="AG110" s="1423"/>
      <c r="AH110" s="1423"/>
      <c r="AK110" s="1423"/>
      <c r="AL110" s="748"/>
    </row>
    <row r="111" spans="1:38">
      <c r="A111" s="728">
        <v>106</v>
      </c>
      <c r="B111" s="1448" t="str">
        <f>"Total "&amp;LEFT(B79,17)&amp;" Revenue"</f>
        <v>Total Rate Schedule 505 Revenue</v>
      </c>
      <c r="E111" s="1423"/>
      <c r="F111" s="1423"/>
      <c r="G111" s="1423"/>
      <c r="H111" s="1423"/>
      <c r="I111" s="1423"/>
      <c r="J111" s="1423"/>
      <c r="K111" s="1405"/>
      <c r="L111" s="1427"/>
      <c r="M111" s="1423"/>
      <c r="N111" s="1423"/>
      <c r="O111" s="1423"/>
      <c r="P111" s="1423"/>
      <c r="Q111" s="1423"/>
      <c r="R111" s="1423"/>
      <c r="S111" s="1423"/>
      <c r="T111" s="1423"/>
      <c r="U111" s="1423"/>
      <c r="V111" s="1423"/>
      <c r="W111" s="1423"/>
      <c r="X111" s="1423"/>
      <c r="Y111" s="1423"/>
      <c r="Z111" s="1423"/>
      <c r="AA111" s="1423"/>
      <c r="AB111" s="1423"/>
      <c r="AC111" s="1423"/>
      <c r="AD111" s="1423"/>
      <c r="AF111" s="1423"/>
      <c r="AG111" s="1423"/>
      <c r="AH111" s="1423"/>
      <c r="AK111" s="1423"/>
      <c r="AL111" s="748"/>
    </row>
    <row r="112" spans="1:38">
      <c r="A112" s="728">
        <v>107</v>
      </c>
      <c r="B112" s="1444"/>
      <c r="C112" s="1438">
        <f>E112-'Revenue Reconcilliation'!Q82</f>
        <v>0</v>
      </c>
      <c r="D112" s="1464" t="s">
        <v>2673</v>
      </c>
      <c r="E112" s="1465">
        <f>SUM(E84,E86,E110)</f>
        <v>9068971.8000000007</v>
      </c>
      <c r="F112" s="1465"/>
      <c r="G112" s="1465"/>
      <c r="H112" s="1465"/>
      <c r="I112" s="1465"/>
      <c r="J112" s="1465"/>
      <c r="K112" s="1447"/>
      <c r="L112" s="1446"/>
      <c r="M112" s="1437"/>
      <c r="N112" s="1465"/>
      <c r="O112" s="1437"/>
      <c r="P112" s="1437"/>
      <c r="Q112" s="1437"/>
      <c r="R112" s="1465"/>
      <c r="S112" s="1437"/>
      <c r="T112" s="1437"/>
      <c r="U112" s="1437"/>
      <c r="V112" s="1465"/>
      <c r="W112" s="1465"/>
      <c r="X112" s="1465"/>
      <c r="Y112" s="1465"/>
      <c r="Z112" s="1465"/>
      <c r="AA112" s="1445"/>
      <c r="AB112" s="1445"/>
      <c r="AC112" s="1445"/>
      <c r="AD112" s="1465"/>
      <c r="AE112" s="1447"/>
      <c r="AF112" s="1465"/>
      <c r="AG112" s="1465"/>
      <c r="AH112" s="1465"/>
      <c r="AI112" s="1438"/>
      <c r="AJ112" s="1438"/>
      <c r="AK112" s="1445"/>
      <c r="AL112" s="748"/>
    </row>
    <row r="113" spans="1:38">
      <c r="A113" s="728">
        <v>108</v>
      </c>
      <c r="K113" s="1405"/>
      <c r="L113" s="1427"/>
      <c r="M113" s="1423"/>
      <c r="O113" s="1423"/>
      <c r="P113" s="1423"/>
      <c r="Q113" s="1423"/>
      <c r="S113" s="1423"/>
      <c r="T113" s="1423"/>
      <c r="U113" s="1423"/>
      <c r="AL113" s="748"/>
    </row>
    <row r="114" spans="1:38">
      <c r="A114" s="728">
        <v>109</v>
      </c>
      <c r="B114" s="1420" t="s">
        <v>2685</v>
      </c>
      <c r="G114" s="1421" t="s">
        <v>2686</v>
      </c>
      <c r="K114" s="1405"/>
      <c r="L114" s="1427"/>
      <c r="M114" s="1423"/>
      <c r="O114" s="1423"/>
      <c r="P114" s="1423"/>
      <c r="Q114" s="1423"/>
      <c r="S114" s="1423"/>
      <c r="T114" s="1423"/>
      <c r="U114" s="1423"/>
      <c r="W114" s="1404" t="s">
        <v>2687</v>
      </c>
      <c r="AL114" s="748"/>
    </row>
    <row r="115" spans="1:38">
      <c r="A115" s="728">
        <v>110</v>
      </c>
      <c r="B115" s="727" t="s">
        <v>2462</v>
      </c>
      <c r="C115" s="1405">
        <f>E115/D115</f>
        <v>893</v>
      </c>
      <c r="D115" s="1422">
        <v>125</v>
      </c>
      <c r="E115" s="1425">
        <f>'1501 Summary'!AD128</f>
        <v>111625</v>
      </c>
      <c r="F115" s="1430"/>
      <c r="G115" s="1466">
        <f>-G249-G150</f>
        <v>173</v>
      </c>
      <c r="H115" s="1422">
        <f>D115</f>
        <v>125</v>
      </c>
      <c r="I115" s="1423">
        <f>H115*G115</f>
        <v>21625</v>
      </c>
      <c r="J115" s="1430"/>
      <c r="K115" s="1405">
        <f>C115+G115</f>
        <v>1066</v>
      </c>
      <c r="L115" s="1422">
        <f>D115</f>
        <v>125</v>
      </c>
      <c r="M115" s="1423">
        <f>L115*K115</f>
        <v>133250</v>
      </c>
      <c r="N115" s="1430"/>
      <c r="O115" s="1405"/>
      <c r="P115" s="1430"/>
      <c r="Q115" s="1423"/>
      <c r="R115" s="1430"/>
      <c r="S115" s="1405">
        <f>'End of Period Calculations'!AB107</f>
        <v>1080</v>
      </c>
      <c r="T115" s="1425">
        <f>S115*L115</f>
        <v>135000</v>
      </c>
      <c r="U115" s="1423">
        <f>T115-M115</f>
        <v>1750</v>
      </c>
      <c r="V115" s="1430"/>
      <c r="W115" s="1424"/>
      <c r="X115" s="1422"/>
      <c r="Y115" s="1422"/>
      <c r="Z115" s="1430"/>
      <c r="AA115" s="1425"/>
      <c r="AB115" s="1425"/>
      <c r="AC115" s="1425"/>
      <c r="AD115" s="1430"/>
      <c r="AE115" s="1405">
        <f>IF($AM$3="No", S115, 'End of Period Calculations'!AD107)</f>
        <v>1080</v>
      </c>
      <c r="AF115" s="1425">
        <f>AE115*L115</f>
        <v>135000</v>
      </c>
      <c r="AG115" s="1441">
        <f>AF115-T115-Y115</f>
        <v>0</v>
      </c>
      <c r="AH115" s="1430"/>
      <c r="AI115" s="1430">
        <f>'Exh 18, Class Rates'!H29</f>
        <v>125</v>
      </c>
      <c r="AJ115" s="1425">
        <f>AI115*AE115</f>
        <v>135000</v>
      </c>
      <c r="AK115" s="1425">
        <f>AJ115-AF115</f>
        <v>0</v>
      </c>
      <c r="AL115" s="748"/>
    </row>
    <row r="116" spans="1:38">
      <c r="A116" s="728">
        <v>111</v>
      </c>
      <c r="B116" s="727" t="s">
        <v>2688</v>
      </c>
      <c r="C116" s="1405">
        <f>E116/D116</f>
        <v>7343669.364968596</v>
      </c>
      <c r="D116" s="1361">
        <v>0.14330000000000001</v>
      </c>
      <c r="E116" s="1425">
        <f>'1501 Summary'!AD129</f>
        <v>1052347.8199999998</v>
      </c>
      <c r="F116" s="1430"/>
      <c r="G116" s="1466">
        <f>-G250-G151</f>
        <v>2109805.1639916259</v>
      </c>
      <c r="H116" s="1467">
        <f>D116</f>
        <v>0.14330000000000001</v>
      </c>
      <c r="I116" s="1423">
        <f>H116*G116</f>
        <v>302335.08</v>
      </c>
      <c r="J116" s="1430"/>
      <c r="K116" s="1405">
        <f>C116+G116</f>
        <v>9453474.5289602224</v>
      </c>
      <c r="L116" s="1427">
        <v>0.16113</v>
      </c>
      <c r="M116" s="1423">
        <f>L116*K116</f>
        <v>1523238.3508513605</v>
      </c>
      <c r="N116" s="1430"/>
      <c r="O116" s="1405"/>
      <c r="P116" s="1425"/>
      <c r="Q116" s="1423"/>
      <c r="R116" s="1430"/>
      <c r="S116" s="1405">
        <f>'End of Period Calculations'!AA107</f>
        <v>9393316.614548726</v>
      </c>
      <c r="T116" s="1425">
        <f>S116*L116</f>
        <v>1513545.1061022361</v>
      </c>
      <c r="U116" s="1423">
        <f>T116-M116</f>
        <v>-9693.2447491243947</v>
      </c>
      <c r="V116" s="1430"/>
      <c r="W116" s="1424">
        <f>-SUM('End of Period Calculations'!X26,'End of Period Calculations'!Z26)</f>
        <v>-267361.96789951145</v>
      </c>
      <c r="X116" s="1427">
        <f>L116</f>
        <v>0.16113</v>
      </c>
      <c r="Y116" s="1422">
        <f>W116*X116</f>
        <v>-43080.033887648278</v>
      </c>
      <c r="Z116" s="1430"/>
      <c r="AA116" s="1405">
        <f>+S116</f>
        <v>9393316.614548726</v>
      </c>
      <c r="AB116" s="1428">
        <v>1.2600000000000001E-3</v>
      </c>
      <c r="AC116" s="1425">
        <f>AB116*AA116</f>
        <v>11835.578934331395</v>
      </c>
      <c r="AD116" s="1430"/>
      <c r="AE116" s="1405">
        <f>IF($AM$3="No", S116+W116, 'End of Period Calculations'!AA134)</f>
        <v>9125954.6466492154</v>
      </c>
      <c r="AF116" s="1425">
        <f>AE116*L116</f>
        <v>1470465.0722145881</v>
      </c>
      <c r="AG116" s="1441">
        <f>AF116-T116-Y116</f>
        <v>2.5465851649641991E-10</v>
      </c>
      <c r="AH116" s="1430"/>
      <c r="AI116" s="1428">
        <f>'Exh 18, Class Rates'!H30</f>
        <v>0.16037285182171074</v>
      </c>
      <c r="AJ116" s="1425">
        <f>AI116*AE116</f>
        <v>1463555.3722787271</v>
      </c>
      <c r="AK116" s="1425">
        <f>AJ116-AF116</f>
        <v>-6909.6999358609319</v>
      </c>
      <c r="AL116" s="748"/>
    </row>
    <row r="117" spans="1:38">
      <c r="A117" s="728">
        <v>112</v>
      </c>
      <c r="B117" s="727" t="s">
        <v>2689</v>
      </c>
      <c r="C117" s="1405">
        <f>E117/D117</f>
        <v>2835268.1172614717</v>
      </c>
      <c r="D117" s="1361">
        <v>0.10983999999999999</v>
      </c>
      <c r="E117" s="1425">
        <f>'1501 Summary'!AD130</f>
        <v>311425.85000000003</v>
      </c>
      <c r="F117" s="1430"/>
      <c r="G117" s="1468">
        <f>-G152-G251</f>
        <v>2640205.0254916246</v>
      </c>
      <c r="H117" s="1467">
        <f>D117</f>
        <v>0.10983999999999999</v>
      </c>
      <c r="I117" s="1423">
        <f>H117*G117</f>
        <v>290000.12000000005</v>
      </c>
      <c r="J117" s="1430"/>
      <c r="K117" s="1405">
        <f>C117+G117</f>
        <v>5475473.1427530963</v>
      </c>
      <c r="L117" s="1427">
        <v>0.12471</v>
      </c>
      <c r="M117" s="1423">
        <f>L117*K117</f>
        <v>682846.2556327387</v>
      </c>
      <c r="N117" s="1430"/>
      <c r="O117" s="1405"/>
      <c r="P117" s="1425"/>
      <c r="Q117" s="1423"/>
      <c r="R117" s="1430"/>
      <c r="S117" s="1405">
        <f>'End of Period Calculations'!AA108</f>
        <v>4907613.8275464717</v>
      </c>
      <c r="T117" s="1425">
        <f>S117*L117</f>
        <v>612028.52043332055</v>
      </c>
      <c r="U117" s="1423">
        <f>T117-M117</f>
        <v>-70817.735199418152</v>
      </c>
      <c r="V117" s="1430"/>
      <c r="W117" s="1424">
        <f>-SUM('End of Period Calculations'!X27,'End of Period Calculations'!Z27)</f>
        <v>-681100.96504005836</v>
      </c>
      <c r="X117" s="1427">
        <f>L117</f>
        <v>0.12471</v>
      </c>
      <c r="Y117" s="1422">
        <f>W117*X117</f>
        <v>-84940.101350145676</v>
      </c>
      <c r="Z117" s="1430"/>
      <c r="AA117" s="1405">
        <f>+S117</f>
        <v>4907613.8275464717</v>
      </c>
      <c r="AB117" s="1428">
        <v>1.2600000000000001E-3</v>
      </c>
      <c r="AC117" s="1425">
        <f>AB117*AA117</f>
        <v>6183.5934227085545</v>
      </c>
      <c r="AD117" s="1430"/>
      <c r="AE117" s="1405">
        <f>IF($AM$3="No", S117+W117, 'End of Period Calculations'!AA135)</f>
        <v>4226512.8625064138</v>
      </c>
      <c r="AF117" s="1425">
        <f>AE117*L117</f>
        <v>527088.4190831749</v>
      </c>
      <c r="AG117" s="1441">
        <f>AF117-T117-Y117</f>
        <v>0</v>
      </c>
      <c r="AH117" s="1430"/>
      <c r="AI117" s="1428">
        <f>'Exh 18, Class Rates'!H31</f>
        <v>0.12412398901933561</v>
      </c>
      <c r="AJ117" s="1425">
        <f>AI117*AE117</f>
        <v>524611.63613582682</v>
      </c>
      <c r="AK117" s="1425">
        <f>AJ117-AF117</f>
        <v>-2476.7829473480815</v>
      </c>
      <c r="AL117" s="748"/>
    </row>
    <row r="118" spans="1:38">
      <c r="A118" s="728">
        <v>113</v>
      </c>
      <c r="B118" s="1453" t="s">
        <v>2690</v>
      </c>
      <c r="C118" s="1405">
        <f>E118/D118</f>
        <v>818695.09043927654</v>
      </c>
      <c r="D118" s="1361">
        <v>2.7089999999999999E-2</v>
      </c>
      <c r="E118" s="1425">
        <f>'1501 Summary'!AD131</f>
        <v>22178.45</v>
      </c>
      <c r="F118" s="1430"/>
      <c r="G118" s="1468">
        <f>-G153-G252</f>
        <v>2263075.673680325</v>
      </c>
      <c r="H118" s="1467">
        <f>D118</f>
        <v>2.7089999999999999E-2</v>
      </c>
      <c r="I118" s="1423">
        <f>H118*G118</f>
        <v>61306.720000000001</v>
      </c>
      <c r="J118" s="1430"/>
      <c r="K118" s="1405">
        <f>C118+G118</f>
        <v>3081770.7641196018</v>
      </c>
      <c r="L118" s="1427">
        <v>3.4639999999999997E-2</v>
      </c>
      <c r="M118" s="1437">
        <f>L118*K118</f>
        <v>106752.539269103</v>
      </c>
      <c r="N118" s="1430"/>
      <c r="O118" s="1405"/>
      <c r="P118" s="1440"/>
      <c r="Q118" s="1437"/>
      <c r="R118" s="1430"/>
      <c r="S118" s="1405">
        <f>'End of Period Calculations'!AA109</f>
        <v>1204028.6422506776</v>
      </c>
      <c r="T118" s="1440">
        <f>S118*L118</f>
        <v>41707.552167563466</v>
      </c>
      <c r="U118" s="1437">
        <f>T118-M118</f>
        <v>-65044.987101539533</v>
      </c>
      <c r="V118" s="1430"/>
      <c r="W118" s="1469">
        <f>-SUM('End of Period Calculations'!X28,'End of Period Calculations'!Z28)</f>
        <v>-1897641.5651531932</v>
      </c>
      <c r="X118" s="1427">
        <f>L118</f>
        <v>3.4639999999999997E-2</v>
      </c>
      <c r="Y118" s="1438">
        <f>W118*X118</f>
        <v>-65734.303816906613</v>
      </c>
      <c r="Z118" s="1430"/>
      <c r="AA118" s="1405">
        <f>+'End of Period Calculations'!AA109+W118</f>
        <v>-693612.92290251562</v>
      </c>
      <c r="AB118" s="1428">
        <v>1.2600000000000001E-3</v>
      </c>
      <c r="AC118" s="1440">
        <f>AB118*AA118</f>
        <v>-873.95228285716973</v>
      </c>
      <c r="AD118" s="1430"/>
      <c r="AE118" s="1405">
        <f>IF($AM$3="No", S118+W118, 'End of Period Calculations'!AA136)</f>
        <v>-693612.92290251562</v>
      </c>
      <c r="AF118" s="1440">
        <f>AE118*L118</f>
        <v>-24026.751649343139</v>
      </c>
      <c r="AG118" s="1470">
        <f>AF118-T118-Y118</f>
        <v>0</v>
      </c>
      <c r="AH118" s="1430"/>
      <c r="AI118" s="1428">
        <f>'Exh 18, Class Rates'!H32</f>
        <v>3.4477227003686835E-2</v>
      </c>
      <c r="AJ118" s="1425">
        <f>AI118*AE118</f>
        <v>-23913.850195600768</v>
      </c>
      <c r="AK118" s="1440">
        <f>AJ118-AF118</f>
        <v>112.90145374237181</v>
      </c>
      <c r="AL118" s="748"/>
    </row>
    <row r="119" spans="1:38">
      <c r="A119" s="728">
        <v>114</v>
      </c>
      <c r="B119" s="727" t="s">
        <v>2648</v>
      </c>
      <c r="E119" s="1471">
        <f>SUM(E115:E118)</f>
        <v>1497577.1199999999</v>
      </c>
      <c r="F119" s="1430"/>
      <c r="G119" s="1430"/>
      <c r="H119" s="1430"/>
      <c r="I119" s="1472"/>
      <c r="J119" s="1430"/>
      <c r="K119" s="1405"/>
      <c r="L119" s="1427"/>
      <c r="M119" s="1423">
        <f>SUM(M115:M118)</f>
        <v>2446087.1457532025</v>
      </c>
      <c r="N119" s="1430"/>
      <c r="O119" s="1430"/>
      <c r="P119" s="1425"/>
      <c r="Q119" s="1423"/>
      <c r="R119" s="1430"/>
      <c r="S119" s="1430"/>
      <c r="T119" s="1425">
        <f>SUM(T115:T118)</f>
        <v>2302281.17870312</v>
      </c>
      <c r="U119" s="1423">
        <f>T119-M119</f>
        <v>-143805.96705008252</v>
      </c>
      <c r="V119" s="1430"/>
      <c r="W119" s="1424">
        <f>SUM(W116:W118)</f>
        <v>-2846104.4980927631</v>
      </c>
      <c r="X119" s="1422"/>
      <c r="Y119" s="1422">
        <f>SUM(Y115:Y118)</f>
        <v>-193754.43905470058</v>
      </c>
      <c r="Z119" s="1430"/>
      <c r="AA119" s="1423"/>
      <c r="AB119" s="1423"/>
      <c r="AC119" s="1423">
        <f>SUM(AC116:AC118)</f>
        <v>17145.22007418278</v>
      </c>
      <c r="AD119" s="1430"/>
      <c r="AF119" s="1425">
        <f>SUM(AF115:AF118)</f>
        <v>2108526.7396484199</v>
      </c>
      <c r="AG119" s="1425">
        <f>SUM(AG115:AG118)</f>
        <v>2.5465851649641991E-10</v>
      </c>
      <c r="AH119" s="1430"/>
      <c r="AJ119" s="1441">
        <f>SUM(AJ115:AJ118)</f>
        <v>2099253.1582189533</v>
      </c>
      <c r="AK119" s="1441">
        <f>SUM(AK116:AK118)</f>
        <v>-9273.5814294666416</v>
      </c>
      <c r="AL119" s="748"/>
    </row>
    <row r="120" spans="1:38">
      <c r="A120" s="728">
        <v>115</v>
      </c>
      <c r="K120" s="1405"/>
      <c r="L120" s="1427"/>
      <c r="M120" s="1422"/>
      <c r="O120" s="1423"/>
      <c r="P120" s="1423"/>
      <c r="Q120" s="1423"/>
      <c r="S120" s="1423"/>
      <c r="T120" s="1423"/>
      <c r="U120" s="1423"/>
      <c r="AL120" s="748"/>
    </row>
    <row r="121" spans="1:38">
      <c r="A121" s="728">
        <v>116</v>
      </c>
      <c r="B121" s="727" t="s">
        <v>2650</v>
      </c>
      <c r="E121" s="1423">
        <f>'1501 Summary'!AD132</f>
        <v>4617515.54</v>
      </c>
      <c r="F121" s="1422"/>
      <c r="G121" s="1422"/>
      <c r="H121" s="1422"/>
      <c r="I121" s="1422"/>
      <c r="J121" s="1422"/>
      <c r="K121" s="1405"/>
      <c r="L121" s="1427"/>
      <c r="M121" s="1422"/>
      <c r="N121" s="1422"/>
      <c r="O121" s="1423"/>
      <c r="P121" s="1423"/>
      <c r="Q121" s="1423"/>
      <c r="R121" s="1422"/>
      <c r="S121" s="1423"/>
      <c r="T121" s="1423"/>
      <c r="U121" s="1423"/>
      <c r="V121" s="1422"/>
      <c r="W121" s="1422"/>
      <c r="X121" s="1422"/>
      <c r="Y121" s="1422"/>
      <c r="Z121" s="1422"/>
      <c r="AD121" s="1422"/>
      <c r="AF121" s="1422"/>
      <c r="AG121" s="1422"/>
      <c r="AH121" s="1422"/>
      <c r="AL121" s="748"/>
    </row>
    <row r="122" spans="1:38">
      <c r="A122" s="728">
        <v>117</v>
      </c>
      <c r="E122" s="1423"/>
      <c r="K122" s="1405"/>
      <c r="L122" s="1427"/>
      <c r="M122" s="1422"/>
      <c r="O122" s="1423"/>
      <c r="P122" s="1423"/>
      <c r="Q122" s="1423"/>
      <c r="S122" s="1423"/>
      <c r="T122" s="1423"/>
      <c r="U122" s="1423"/>
      <c r="AL122" s="748"/>
    </row>
    <row r="123" spans="1:38">
      <c r="A123" s="728">
        <v>118</v>
      </c>
      <c r="B123" s="727" t="s">
        <v>2651</v>
      </c>
      <c r="E123" s="1423"/>
      <c r="K123" s="1405"/>
      <c r="L123" s="1427"/>
      <c r="M123" s="1422"/>
      <c r="O123" s="1423"/>
      <c r="P123" s="1423"/>
      <c r="Q123" s="1423"/>
      <c r="S123" s="1423"/>
      <c r="T123" s="1423"/>
      <c r="U123" s="1423"/>
      <c r="AJ123" s="1441"/>
      <c r="AL123" s="748"/>
    </row>
    <row r="124" spans="1:38">
      <c r="A124" s="728">
        <v>119</v>
      </c>
      <c r="B124" s="727" t="s">
        <v>2652</v>
      </c>
      <c r="E124" s="1423">
        <f>'1501 Summary'!AD133</f>
        <v>518628.11</v>
      </c>
      <c r="K124" s="1405"/>
      <c r="L124" s="1427"/>
      <c r="M124" s="1422"/>
      <c r="O124" s="1423"/>
      <c r="P124" s="1423"/>
      <c r="Q124" s="1423"/>
      <c r="S124" s="1423"/>
      <c r="T124" s="1423"/>
      <c r="U124" s="1423"/>
      <c r="AJ124" s="1441"/>
      <c r="AL124" s="748"/>
    </row>
    <row r="125" spans="1:38">
      <c r="A125" s="728">
        <v>120</v>
      </c>
      <c r="B125" s="727" t="s">
        <v>2653</v>
      </c>
      <c r="E125" s="1423">
        <f>'1501 Summary'!AD134</f>
        <v>15781.58</v>
      </c>
      <c r="F125" s="1422"/>
      <c r="G125" s="1422"/>
      <c r="H125" s="1422"/>
      <c r="I125" s="1422"/>
      <c r="J125" s="1422"/>
      <c r="K125" s="1405"/>
      <c r="L125" s="1427"/>
      <c r="M125" s="1422"/>
      <c r="N125" s="1422"/>
      <c r="O125" s="1423"/>
      <c r="P125" s="1423"/>
      <c r="Q125" s="1423"/>
      <c r="R125" s="1422"/>
      <c r="S125" s="1423"/>
      <c r="T125" s="1423"/>
      <c r="U125" s="1423"/>
      <c r="V125" s="1422"/>
      <c r="W125" s="1422"/>
      <c r="X125" s="1422"/>
      <c r="Y125" s="1422"/>
      <c r="Z125" s="1422"/>
      <c r="AD125" s="1422"/>
      <c r="AF125" s="1422"/>
      <c r="AG125" s="1422"/>
      <c r="AH125" s="1422"/>
      <c r="AL125" s="748"/>
    </row>
    <row r="126" spans="1:38">
      <c r="A126" s="728">
        <v>121</v>
      </c>
      <c r="B126" s="727" t="s">
        <v>2654</v>
      </c>
      <c r="E126" s="1423">
        <f>'1501 Summary'!AD135</f>
        <v>53560.69</v>
      </c>
      <c r="F126" s="1422"/>
      <c r="G126" s="1422"/>
      <c r="H126" s="1422"/>
      <c r="I126" s="1422"/>
      <c r="J126" s="1422"/>
      <c r="K126" s="1405"/>
      <c r="L126" s="1427"/>
      <c r="M126" s="1422"/>
      <c r="N126" s="1422"/>
      <c r="O126" s="1423"/>
      <c r="P126" s="1423"/>
      <c r="Q126" s="1423"/>
      <c r="R126" s="1422"/>
      <c r="S126" s="1423"/>
      <c r="T126" s="1423"/>
      <c r="U126" s="1423"/>
      <c r="V126" s="1422"/>
      <c r="W126" s="1422"/>
      <c r="X126" s="1422"/>
      <c r="Y126" s="1422"/>
      <c r="Z126" s="1422"/>
      <c r="AD126" s="1422"/>
      <c r="AF126" s="1422"/>
      <c r="AG126" s="1422"/>
      <c r="AH126" s="1422"/>
      <c r="AL126" s="748"/>
    </row>
    <row r="127" spans="1:38">
      <c r="A127" s="728">
        <v>122</v>
      </c>
      <c r="B127" s="727" t="s">
        <v>2655</v>
      </c>
      <c r="E127" s="1423">
        <f>'1501 Summary'!AD136</f>
        <v>-506821.72</v>
      </c>
      <c r="F127" s="1422"/>
      <c r="G127" s="1422"/>
      <c r="H127" s="1422"/>
      <c r="I127" s="1422"/>
      <c r="J127" s="1422"/>
      <c r="K127" s="1405"/>
      <c r="L127" s="1427"/>
      <c r="M127" s="1422"/>
      <c r="N127" s="1422"/>
      <c r="O127" s="1423"/>
      <c r="P127" s="1423"/>
      <c r="Q127" s="1423"/>
      <c r="R127" s="1422"/>
      <c r="S127" s="1423"/>
      <c r="T127" s="1423"/>
      <c r="U127" s="1423"/>
      <c r="V127" s="1422"/>
      <c r="W127" s="1422"/>
      <c r="X127" s="1422"/>
      <c r="Y127" s="1422"/>
      <c r="Z127" s="1422"/>
      <c r="AD127" s="1422"/>
      <c r="AF127" s="1422"/>
      <c r="AG127" s="1422"/>
      <c r="AH127" s="1422"/>
      <c r="AL127" s="748"/>
    </row>
    <row r="128" spans="1:38">
      <c r="A128" s="728">
        <v>123</v>
      </c>
      <c r="B128" s="727" t="s">
        <v>2656</v>
      </c>
      <c r="E128" s="1423">
        <f>'1501 Summary'!AD137</f>
        <v>72560.12999999999</v>
      </c>
      <c r="F128" s="1422"/>
      <c r="G128" s="1422"/>
      <c r="H128" s="1422"/>
      <c r="I128" s="1422"/>
      <c r="J128" s="1422"/>
      <c r="K128" s="1405"/>
      <c r="L128" s="1427"/>
      <c r="M128" s="1422"/>
      <c r="N128" s="1422"/>
      <c r="O128" s="1423"/>
      <c r="P128" s="1423"/>
      <c r="Q128" s="1423"/>
      <c r="R128" s="1422"/>
      <c r="S128" s="1423"/>
      <c r="T128" s="1423"/>
      <c r="U128" s="1423"/>
      <c r="V128" s="1422"/>
      <c r="W128" s="1422"/>
      <c r="X128" s="1422"/>
      <c r="Y128" s="1422"/>
      <c r="Z128" s="1422"/>
      <c r="AD128" s="1422"/>
      <c r="AF128" s="1422"/>
      <c r="AG128" s="1422"/>
      <c r="AH128" s="1422"/>
      <c r="AL128" s="748"/>
    </row>
    <row r="129" spans="1:38">
      <c r="A129" s="728">
        <v>124</v>
      </c>
      <c r="B129" s="727" t="s">
        <v>2657</v>
      </c>
      <c r="E129" s="1423">
        <f>'1501 Summary'!AD138</f>
        <v>300862.33</v>
      </c>
      <c r="F129" s="1422"/>
      <c r="G129" s="1422"/>
      <c r="H129" s="1422"/>
      <c r="I129" s="1422"/>
      <c r="J129" s="1422"/>
      <c r="K129" s="1405"/>
      <c r="L129" s="1427"/>
      <c r="M129" s="1422"/>
      <c r="N129" s="1422"/>
      <c r="O129" s="1423"/>
      <c r="P129" s="1423"/>
      <c r="Q129" s="1423"/>
      <c r="R129" s="1422"/>
      <c r="S129" s="1423"/>
      <c r="T129" s="1423"/>
      <c r="U129" s="1423"/>
      <c r="V129" s="1422"/>
      <c r="W129" s="1422"/>
      <c r="X129" s="1422"/>
      <c r="Y129" s="1422"/>
      <c r="Z129" s="1422"/>
      <c r="AD129" s="1422"/>
      <c r="AF129" s="1422"/>
      <c r="AG129" s="1422"/>
      <c r="AH129" s="1422"/>
      <c r="AL129" s="748"/>
    </row>
    <row r="130" spans="1:38">
      <c r="A130" s="728">
        <v>125</v>
      </c>
      <c r="B130" s="1463" t="s">
        <v>2658</v>
      </c>
      <c r="E130" s="1423">
        <f>'1501 Summary'!AD139</f>
        <v>-32021.25</v>
      </c>
      <c r="F130" s="1422"/>
      <c r="G130" s="1422"/>
      <c r="H130" s="1422"/>
      <c r="I130" s="1422"/>
      <c r="J130" s="1422"/>
      <c r="K130" s="1405"/>
      <c r="L130" s="1427"/>
      <c r="M130" s="1422"/>
      <c r="N130" s="1422"/>
      <c r="O130" s="1423"/>
      <c r="P130" s="1423"/>
      <c r="Q130" s="1423"/>
      <c r="R130" s="1422"/>
      <c r="S130" s="1423"/>
      <c r="T130" s="1423"/>
      <c r="U130" s="1423"/>
      <c r="V130" s="1422"/>
      <c r="W130" s="1422"/>
      <c r="X130" s="1422"/>
      <c r="Y130" s="1422"/>
      <c r="Z130" s="1422"/>
      <c r="AD130" s="1422"/>
      <c r="AF130" s="1422"/>
      <c r="AG130" s="1422"/>
      <c r="AH130" s="1422"/>
      <c r="AL130" s="748"/>
    </row>
    <row r="131" spans="1:38">
      <c r="A131" s="728">
        <v>126</v>
      </c>
      <c r="B131" s="1463" t="s">
        <v>2659</v>
      </c>
      <c r="E131" s="1423">
        <f>'1501 Summary'!AD140</f>
        <v>-14411.18</v>
      </c>
      <c r="F131" s="1422"/>
      <c r="G131" s="1422"/>
      <c r="H131" s="1422"/>
      <c r="I131" s="1422"/>
      <c r="J131" s="1422"/>
      <c r="K131" s="1405"/>
      <c r="L131" s="1427"/>
      <c r="M131" s="1422"/>
      <c r="N131" s="1422"/>
      <c r="O131" s="1423"/>
      <c r="P131" s="1423"/>
      <c r="Q131" s="1423"/>
      <c r="R131" s="1422"/>
      <c r="S131" s="1423"/>
      <c r="T131" s="1423"/>
      <c r="U131" s="1423"/>
      <c r="V131" s="1422"/>
      <c r="W131" s="1422"/>
      <c r="X131" s="1422"/>
      <c r="Y131" s="1422"/>
      <c r="Z131" s="1422"/>
      <c r="AD131" s="1422"/>
      <c r="AF131" s="1422"/>
      <c r="AG131" s="1422"/>
      <c r="AH131" s="1422"/>
      <c r="AL131" s="748"/>
    </row>
    <row r="132" spans="1:38">
      <c r="A132" s="728">
        <v>127</v>
      </c>
      <c r="B132" s="1463" t="s">
        <v>2660</v>
      </c>
      <c r="E132" s="1423">
        <f>'1501 Summary'!AD141</f>
        <v>-22780.489999999998</v>
      </c>
      <c r="F132" s="1422"/>
      <c r="G132" s="1422"/>
      <c r="H132" s="1422"/>
      <c r="I132" s="1422"/>
      <c r="J132" s="1422"/>
      <c r="K132" s="1405"/>
      <c r="L132" s="1427"/>
      <c r="M132" s="1422"/>
      <c r="N132" s="1422"/>
      <c r="O132" s="1423"/>
      <c r="P132" s="1423"/>
      <c r="Q132" s="1423"/>
      <c r="R132" s="1422"/>
      <c r="S132" s="1423"/>
      <c r="T132" s="1423"/>
      <c r="U132" s="1423"/>
      <c r="V132" s="1422"/>
      <c r="W132" s="1422"/>
      <c r="X132" s="1422"/>
      <c r="Y132" s="1422"/>
      <c r="Z132" s="1422"/>
      <c r="AD132" s="1422"/>
      <c r="AF132" s="1422"/>
      <c r="AG132" s="1422"/>
      <c r="AH132" s="1422"/>
      <c r="AL132" s="748"/>
    </row>
    <row r="133" spans="1:38">
      <c r="A133" s="728">
        <v>128</v>
      </c>
      <c r="B133" s="727" t="s">
        <v>2661</v>
      </c>
      <c r="E133" s="1423">
        <f>'1501 Summary'!AD142</f>
        <v>280112.87</v>
      </c>
      <c r="F133" s="1422"/>
      <c r="G133" s="1422"/>
      <c r="H133" s="1422"/>
      <c r="I133" s="1422"/>
      <c r="J133" s="1422"/>
      <c r="K133" s="1405"/>
      <c r="L133" s="1427"/>
      <c r="M133" s="1422"/>
      <c r="N133" s="1422"/>
      <c r="O133" s="1423"/>
      <c r="P133" s="1423"/>
      <c r="Q133" s="1423"/>
      <c r="R133" s="1422"/>
      <c r="S133" s="1423"/>
      <c r="T133" s="1423"/>
      <c r="U133" s="1423"/>
      <c r="V133" s="1422"/>
      <c r="W133" s="1422"/>
      <c r="X133" s="1422"/>
      <c r="Y133" s="1422"/>
      <c r="Z133" s="1422"/>
      <c r="AD133" s="1422"/>
      <c r="AF133" s="1422"/>
      <c r="AG133" s="1422"/>
      <c r="AH133" s="1422"/>
      <c r="AL133" s="748"/>
    </row>
    <row r="134" spans="1:38">
      <c r="A134" s="728">
        <v>129</v>
      </c>
      <c r="B134" s="727" t="s">
        <v>2676</v>
      </c>
      <c r="E134" s="1423">
        <f>'1501 Summary'!AD143</f>
        <v>3444.3500000000004</v>
      </c>
      <c r="F134" s="1422"/>
      <c r="G134" s="1422"/>
      <c r="H134" s="1422"/>
      <c r="I134" s="1422"/>
      <c r="J134" s="1422"/>
      <c r="K134" s="1405"/>
      <c r="L134" s="1427"/>
      <c r="M134" s="1422"/>
      <c r="N134" s="1422"/>
      <c r="O134" s="1423"/>
      <c r="P134" s="1423"/>
      <c r="Q134" s="1423"/>
      <c r="R134" s="1422"/>
      <c r="S134" s="1423"/>
      <c r="T134" s="1423"/>
      <c r="U134" s="1423"/>
      <c r="V134" s="1422"/>
      <c r="W134" s="1422"/>
      <c r="X134" s="1422"/>
      <c r="Y134" s="1422"/>
      <c r="Z134" s="1422"/>
      <c r="AD134" s="1422"/>
      <c r="AF134" s="1422"/>
      <c r="AG134" s="1422"/>
      <c r="AH134" s="1422"/>
      <c r="AL134" s="748"/>
    </row>
    <row r="135" spans="1:38">
      <c r="A135" s="728">
        <v>130</v>
      </c>
      <c r="B135" s="727" t="s">
        <v>2665</v>
      </c>
      <c r="E135" s="1423">
        <f>'1501 Summary'!AD144</f>
        <v>0</v>
      </c>
      <c r="F135" s="1422"/>
      <c r="G135" s="1422"/>
      <c r="H135" s="1422"/>
      <c r="I135" s="1422"/>
      <c r="J135" s="1422"/>
      <c r="K135" s="1405"/>
      <c r="L135" s="1427"/>
      <c r="M135" s="1422"/>
      <c r="N135" s="1422"/>
      <c r="O135" s="1423"/>
      <c r="P135" s="1423"/>
      <c r="Q135" s="1423"/>
      <c r="R135" s="1422"/>
      <c r="S135" s="1423"/>
      <c r="T135" s="1423"/>
      <c r="U135" s="1423"/>
      <c r="V135" s="1422"/>
      <c r="W135" s="1422"/>
      <c r="X135" s="1422"/>
      <c r="Y135" s="1422"/>
      <c r="Z135" s="1422"/>
      <c r="AD135" s="1422"/>
      <c r="AF135" s="1422"/>
      <c r="AG135" s="1422"/>
      <c r="AH135" s="1422"/>
      <c r="AL135" s="748"/>
    </row>
    <row r="136" spans="1:38">
      <c r="A136" s="728">
        <v>131</v>
      </c>
      <c r="B136" s="727" t="s">
        <v>54</v>
      </c>
      <c r="E136" s="1423">
        <f>'1501 Summary'!AD145</f>
        <v>0</v>
      </c>
      <c r="F136" s="1422"/>
      <c r="G136" s="1422"/>
      <c r="H136" s="1422"/>
      <c r="I136" s="1422"/>
      <c r="J136" s="1422"/>
      <c r="K136" s="1405"/>
      <c r="L136" s="1427"/>
      <c r="M136" s="1422"/>
      <c r="N136" s="1422"/>
      <c r="O136" s="1423"/>
      <c r="P136" s="1423"/>
      <c r="Q136" s="1423"/>
      <c r="R136" s="1422"/>
      <c r="S136" s="1423"/>
      <c r="T136" s="1423"/>
      <c r="U136" s="1423"/>
      <c r="V136" s="1422"/>
      <c r="W136" s="1422"/>
      <c r="X136" s="1422"/>
      <c r="Y136" s="1422"/>
      <c r="Z136" s="1422"/>
      <c r="AD136" s="1422"/>
      <c r="AF136" s="1422"/>
      <c r="AG136" s="1422"/>
      <c r="AH136" s="1422"/>
      <c r="AL136" s="748"/>
    </row>
    <row r="137" spans="1:38">
      <c r="A137" s="728">
        <v>132</v>
      </c>
      <c r="B137" s="727" t="s">
        <v>2662</v>
      </c>
      <c r="E137" s="1423">
        <f>'1501 Summary'!AD146</f>
        <v>8114.71</v>
      </c>
      <c r="F137" s="1422"/>
      <c r="G137" s="1422"/>
      <c r="H137" s="1422"/>
      <c r="I137" s="1422"/>
      <c r="J137" s="1422"/>
      <c r="K137" s="1405"/>
      <c r="L137" s="1427"/>
      <c r="M137" s="1422"/>
      <c r="N137" s="1422"/>
      <c r="O137" s="1423"/>
      <c r="P137" s="1423"/>
      <c r="Q137" s="1423"/>
      <c r="R137" s="1422"/>
      <c r="S137" s="1423"/>
      <c r="T137" s="1423"/>
      <c r="U137" s="1423"/>
      <c r="V137" s="1422"/>
      <c r="W137" s="1422"/>
      <c r="X137" s="1422"/>
      <c r="Y137" s="1422"/>
      <c r="Z137" s="1422"/>
      <c r="AD137" s="1422"/>
      <c r="AF137" s="1422"/>
      <c r="AG137" s="1422"/>
      <c r="AH137" s="1422"/>
      <c r="AL137" s="748"/>
    </row>
    <row r="138" spans="1:38">
      <c r="A138" s="728">
        <v>133</v>
      </c>
      <c r="B138" s="727" t="s">
        <v>2664</v>
      </c>
      <c r="E138" s="1423">
        <f>'1501 Summary'!AD147</f>
        <v>-15086.62</v>
      </c>
      <c r="F138" s="1422"/>
      <c r="G138" s="1422"/>
      <c r="H138" s="1422"/>
      <c r="I138" s="1422"/>
      <c r="J138" s="1422"/>
      <c r="K138" s="1405"/>
      <c r="L138" s="1427"/>
      <c r="M138" s="1422"/>
      <c r="N138" s="1422"/>
      <c r="O138" s="1423"/>
      <c r="P138" s="1423"/>
      <c r="Q138" s="1423"/>
      <c r="R138" s="1422"/>
      <c r="S138" s="1423"/>
      <c r="T138" s="1423"/>
      <c r="U138" s="1423"/>
      <c r="V138" s="1422"/>
      <c r="W138" s="1422"/>
      <c r="X138" s="1422"/>
      <c r="Y138" s="1422"/>
      <c r="Z138" s="1422"/>
      <c r="AD138" s="1422"/>
      <c r="AF138" s="1422"/>
      <c r="AG138" s="1422"/>
      <c r="AH138" s="1422"/>
      <c r="AL138" s="748"/>
    </row>
    <row r="139" spans="1:38">
      <c r="A139" s="728">
        <v>134</v>
      </c>
      <c r="B139" s="1443" t="s">
        <v>2666</v>
      </c>
      <c r="E139" s="1423">
        <f>'Revenue Reconcilliation'!Q94</f>
        <v>0</v>
      </c>
      <c r="F139" s="1422"/>
      <c r="G139" s="1422"/>
      <c r="H139" s="1422"/>
      <c r="I139" s="1422"/>
      <c r="J139" s="1422"/>
      <c r="K139" s="1405"/>
      <c r="L139" s="1427"/>
      <c r="M139" s="1422"/>
      <c r="N139" s="1422"/>
      <c r="O139" s="1423"/>
      <c r="P139" s="1423"/>
      <c r="Q139" s="1423"/>
      <c r="R139" s="1422"/>
      <c r="S139" s="1423"/>
      <c r="T139" s="1423"/>
      <c r="U139" s="1423"/>
      <c r="V139" s="1422"/>
      <c r="W139" s="1422"/>
      <c r="X139" s="1422"/>
      <c r="Y139" s="1422"/>
      <c r="Z139" s="1422"/>
      <c r="AD139" s="1422"/>
      <c r="AF139" s="1422"/>
      <c r="AG139" s="1422"/>
      <c r="AH139" s="1422"/>
      <c r="AL139" s="748"/>
    </row>
    <row r="140" spans="1:38">
      <c r="A140" s="728">
        <v>135</v>
      </c>
      <c r="B140" s="1443" t="s">
        <v>2667</v>
      </c>
      <c r="E140" s="1423">
        <f>'Revenue Reconcilliation'!Q95</f>
        <v>0</v>
      </c>
      <c r="F140" s="1422"/>
      <c r="G140" s="1422"/>
      <c r="H140" s="1422"/>
      <c r="I140" s="1422"/>
      <c r="J140" s="1422"/>
      <c r="K140" s="1405"/>
      <c r="L140" s="1427"/>
      <c r="M140" s="1422"/>
      <c r="N140" s="1422"/>
      <c r="O140" s="1423"/>
      <c r="P140" s="1423"/>
      <c r="Q140" s="1423"/>
      <c r="R140" s="1422"/>
      <c r="S140" s="1423"/>
      <c r="T140" s="1423"/>
      <c r="U140" s="1423"/>
      <c r="V140" s="1422"/>
      <c r="W140" s="1422"/>
      <c r="X140" s="1422"/>
      <c r="Y140" s="1422"/>
      <c r="Z140" s="1422"/>
      <c r="AA140" s="1423"/>
      <c r="AB140" s="1423"/>
      <c r="AC140" s="1423"/>
      <c r="AD140" s="1422"/>
      <c r="AF140" s="1422"/>
      <c r="AG140" s="1422"/>
      <c r="AH140" s="1422"/>
      <c r="AK140" s="1423"/>
      <c r="AL140" s="748"/>
    </row>
    <row r="141" spans="1:38">
      <c r="A141" s="728">
        <v>136</v>
      </c>
      <c r="B141" s="1443" t="s">
        <v>2668</v>
      </c>
      <c r="E141" s="1423">
        <f>'Revenue Reconcilliation'!Q96</f>
        <v>-278715.31999999995</v>
      </c>
      <c r="F141" s="1422"/>
      <c r="G141" s="1422"/>
      <c r="H141" s="1422"/>
      <c r="I141" s="1422"/>
      <c r="J141" s="1422"/>
      <c r="K141" s="1405"/>
      <c r="L141" s="1427"/>
      <c r="M141" s="1422"/>
      <c r="N141" s="1422"/>
      <c r="O141" s="1423"/>
      <c r="P141" s="1423"/>
      <c r="Q141" s="1423"/>
      <c r="R141" s="1422"/>
      <c r="S141" s="1423"/>
      <c r="T141" s="1423"/>
      <c r="U141" s="1423"/>
      <c r="V141" s="1422"/>
      <c r="W141" s="1422"/>
      <c r="X141" s="1422"/>
      <c r="Y141" s="1422"/>
      <c r="Z141" s="1422"/>
      <c r="AA141" s="1423"/>
      <c r="AB141" s="1423"/>
      <c r="AC141" s="1423"/>
      <c r="AD141" s="1422"/>
      <c r="AF141" s="1422"/>
      <c r="AG141" s="1422"/>
      <c r="AH141" s="1422"/>
      <c r="AK141" s="1423"/>
      <c r="AL141" s="748"/>
    </row>
    <row r="142" spans="1:38">
      <c r="A142" s="728">
        <v>137</v>
      </c>
      <c r="B142" s="1443" t="s">
        <v>2669</v>
      </c>
      <c r="E142" s="1423">
        <f>'Revenue Reconcilliation'!Q97</f>
        <v>616598.78000000014</v>
      </c>
      <c r="F142" s="1422"/>
      <c r="G142" s="1422"/>
      <c r="H142" s="1422"/>
      <c r="I142" s="1422"/>
      <c r="J142" s="1422"/>
      <c r="K142" s="1405"/>
      <c r="L142" s="1427"/>
      <c r="M142" s="1422"/>
      <c r="N142" s="1422"/>
      <c r="O142" s="1423"/>
      <c r="P142" s="1423"/>
      <c r="Q142" s="1423"/>
      <c r="R142" s="1422"/>
      <c r="S142" s="1423"/>
      <c r="T142" s="1423"/>
      <c r="U142" s="1423"/>
      <c r="V142" s="1422"/>
      <c r="W142" s="1422"/>
      <c r="X142" s="1422"/>
      <c r="Y142" s="1422"/>
      <c r="Z142" s="1422"/>
      <c r="AA142" s="1423"/>
      <c r="AB142" s="1423"/>
      <c r="AC142" s="1423"/>
      <c r="AD142" s="1422"/>
      <c r="AF142" s="1422"/>
      <c r="AG142" s="1422"/>
      <c r="AH142" s="1422"/>
      <c r="AK142" s="1423"/>
      <c r="AL142" s="748"/>
    </row>
    <row r="143" spans="1:38">
      <c r="A143" s="728">
        <v>138</v>
      </c>
      <c r="B143" s="1443" t="s">
        <v>2670</v>
      </c>
      <c r="E143" s="1423">
        <f>'Revenue Reconcilliation'!Q98</f>
        <v>0</v>
      </c>
      <c r="F143" s="1422"/>
      <c r="G143" s="1422"/>
      <c r="H143" s="1422"/>
      <c r="I143" s="1422"/>
      <c r="J143" s="1422"/>
      <c r="K143" s="1405"/>
      <c r="L143" s="1427"/>
      <c r="M143" s="1422"/>
      <c r="N143" s="1422"/>
      <c r="O143" s="1423"/>
      <c r="P143" s="1423"/>
      <c r="Q143" s="1423"/>
      <c r="R143" s="1422"/>
      <c r="S143" s="1423"/>
      <c r="T143" s="1423"/>
      <c r="U143" s="1423"/>
      <c r="V143" s="1422"/>
      <c r="W143" s="1422"/>
      <c r="X143" s="1422"/>
      <c r="Y143" s="1422"/>
      <c r="Z143" s="1422"/>
      <c r="AA143" s="1423"/>
      <c r="AB143" s="1423"/>
      <c r="AC143" s="1423"/>
      <c r="AD143" s="1422"/>
      <c r="AF143" s="1422"/>
      <c r="AG143" s="1422"/>
      <c r="AH143" s="1422"/>
      <c r="AK143" s="1423"/>
      <c r="AL143" s="748"/>
    </row>
    <row r="144" spans="1:38">
      <c r="A144" s="728">
        <v>139</v>
      </c>
      <c r="B144" s="1443" t="s">
        <v>2678</v>
      </c>
      <c r="E144" s="1431">
        <f>SUM(E124:E143)</f>
        <v>999826.97000000009</v>
      </c>
      <c r="F144" s="1422"/>
      <c r="G144" s="1422"/>
      <c r="H144" s="1422"/>
      <c r="I144" s="1422"/>
      <c r="J144" s="1422"/>
      <c r="K144" s="1405"/>
      <c r="L144" s="1427"/>
      <c r="M144" s="1422"/>
      <c r="N144" s="1422"/>
      <c r="O144" s="1423"/>
      <c r="P144" s="1423"/>
      <c r="Q144" s="1423"/>
      <c r="R144" s="1422"/>
      <c r="S144" s="1423"/>
      <c r="T144" s="1423"/>
      <c r="U144" s="1423"/>
      <c r="V144" s="1422"/>
      <c r="W144" s="1422"/>
      <c r="X144" s="1422"/>
      <c r="Y144" s="1422"/>
      <c r="Z144" s="1422"/>
      <c r="AA144" s="1423"/>
      <c r="AB144" s="1423"/>
      <c r="AC144" s="1423"/>
      <c r="AD144" s="1422"/>
      <c r="AF144" s="1422"/>
      <c r="AG144" s="1422"/>
      <c r="AH144" s="1422"/>
      <c r="AK144" s="1423"/>
      <c r="AL144" s="748"/>
    </row>
    <row r="145" spans="1:38">
      <c r="A145" s="728">
        <v>140</v>
      </c>
      <c r="B145" s="727" t="s">
        <v>2678</v>
      </c>
      <c r="E145" s="1362"/>
      <c r="F145" s="727"/>
      <c r="G145" s="727"/>
      <c r="H145" s="727"/>
      <c r="I145" s="727"/>
      <c r="J145" s="727"/>
      <c r="K145" s="1405"/>
      <c r="L145" s="1427"/>
      <c r="M145" s="1422"/>
      <c r="N145" s="727"/>
      <c r="O145" s="1423"/>
      <c r="P145" s="1473"/>
      <c r="Q145" s="1423"/>
      <c r="R145" s="727"/>
      <c r="S145" s="1423"/>
      <c r="T145" s="1473"/>
      <c r="U145" s="1423"/>
      <c r="V145" s="727"/>
      <c r="W145" s="727"/>
      <c r="X145" s="727"/>
      <c r="Y145" s="727"/>
      <c r="Z145" s="727"/>
      <c r="AA145" s="1423"/>
      <c r="AB145" s="1423"/>
      <c r="AC145" s="1423"/>
      <c r="AD145" s="727"/>
      <c r="AE145" s="1474"/>
      <c r="AF145" s="727"/>
      <c r="AG145" s="727"/>
      <c r="AH145" s="727"/>
      <c r="AK145" s="1423"/>
      <c r="AL145" s="748"/>
    </row>
    <row r="146" spans="1:38">
      <c r="A146" s="728">
        <v>141</v>
      </c>
      <c r="E146" s="1423"/>
      <c r="F146" s="1423"/>
      <c r="G146" s="1423"/>
      <c r="H146" s="1423"/>
      <c r="I146" s="1423"/>
      <c r="J146" s="1423"/>
      <c r="K146" s="1405"/>
      <c r="L146" s="1427"/>
      <c r="M146" s="1422"/>
      <c r="N146" s="1423"/>
      <c r="O146" s="1423"/>
      <c r="P146" s="1423"/>
      <c r="Q146" s="1423"/>
      <c r="R146" s="1423"/>
      <c r="S146" s="1423"/>
      <c r="T146" s="1423"/>
      <c r="U146" s="1423"/>
      <c r="V146" s="1423"/>
      <c r="W146" s="1423"/>
      <c r="X146" s="1423"/>
      <c r="Y146" s="1423"/>
      <c r="Z146" s="1423"/>
      <c r="AA146" s="1423"/>
      <c r="AB146" s="1423"/>
      <c r="AC146" s="1423"/>
      <c r="AD146" s="1423"/>
      <c r="AF146" s="1423"/>
      <c r="AG146" s="1423"/>
      <c r="AH146" s="1423"/>
      <c r="AK146" s="1423"/>
      <c r="AL146" s="748"/>
    </row>
    <row r="147" spans="1:38">
      <c r="A147" s="728">
        <v>142</v>
      </c>
      <c r="B147" s="1444" t="s">
        <v>2691</v>
      </c>
      <c r="C147" s="1438">
        <f>E147-'Revenue Reconcilliation'!Q102</f>
        <v>0</v>
      </c>
      <c r="D147" s="1445" t="s">
        <v>2673</v>
      </c>
      <c r="E147" s="1437">
        <f>SUM(E119,E121,E144)</f>
        <v>7114919.6299999999</v>
      </c>
      <c r="F147" s="1438"/>
      <c r="G147" s="1438"/>
      <c r="H147" s="1438"/>
      <c r="I147" s="1438"/>
      <c r="J147" s="1438"/>
      <c r="K147" s="1447"/>
      <c r="L147" s="1446"/>
      <c r="M147" s="1438"/>
      <c r="N147" s="1438"/>
      <c r="O147" s="1437"/>
      <c r="P147" s="1437"/>
      <c r="Q147" s="1437"/>
      <c r="R147" s="1438"/>
      <c r="S147" s="1437"/>
      <c r="T147" s="1437"/>
      <c r="U147" s="1437"/>
      <c r="V147" s="1438"/>
      <c r="W147" s="1438"/>
      <c r="X147" s="1438"/>
      <c r="Y147" s="1438"/>
      <c r="Z147" s="1438"/>
      <c r="AA147" s="1437"/>
      <c r="AB147" s="1437"/>
      <c r="AC147" s="1437"/>
      <c r="AD147" s="1438"/>
      <c r="AE147" s="1447"/>
      <c r="AF147" s="1438"/>
      <c r="AG147" s="1438"/>
      <c r="AH147" s="1438"/>
      <c r="AI147" s="1459"/>
      <c r="AJ147" s="1459"/>
      <c r="AK147" s="1437"/>
      <c r="AL147" s="748"/>
    </row>
    <row r="148" spans="1:38">
      <c r="A148" s="728">
        <v>143</v>
      </c>
      <c r="B148" s="1448"/>
      <c r="C148" s="1475"/>
      <c r="E148" s="1423"/>
      <c r="F148" s="1422"/>
      <c r="G148" s="1422"/>
      <c r="H148" s="1422"/>
      <c r="I148" s="1422"/>
      <c r="J148" s="1422"/>
      <c r="K148" s="1405"/>
      <c r="L148" s="1427"/>
      <c r="M148" s="1422"/>
      <c r="N148" s="1422"/>
      <c r="O148" s="1423"/>
      <c r="P148" s="1423"/>
      <c r="Q148" s="1423"/>
      <c r="R148" s="1422"/>
      <c r="S148" s="1423"/>
      <c r="T148" s="1423"/>
      <c r="U148" s="1423"/>
      <c r="V148" s="1422"/>
      <c r="W148" s="1422"/>
      <c r="X148" s="1422"/>
      <c r="Y148" s="1422"/>
      <c r="Z148" s="1422"/>
      <c r="AA148" s="1423"/>
      <c r="AB148" s="1423"/>
      <c r="AC148" s="1423"/>
      <c r="AD148" s="1422"/>
      <c r="AF148" s="1422"/>
      <c r="AG148" s="1422"/>
      <c r="AH148" s="1422"/>
      <c r="AI148" s="1449"/>
      <c r="AJ148" s="1449"/>
      <c r="AK148" s="1423"/>
      <c r="AL148" s="748"/>
    </row>
    <row r="149" spans="1:38">
      <c r="A149" s="728">
        <v>144</v>
      </c>
      <c r="B149" s="1420" t="s">
        <v>2692</v>
      </c>
      <c r="C149" s="1475"/>
      <c r="E149" s="1423"/>
      <c r="F149" s="1422"/>
      <c r="G149" s="1476" t="s">
        <v>2693</v>
      </c>
      <c r="H149" s="1422"/>
      <c r="I149" s="1422"/>
      <c r="J149" s="1422"/>
      <c r="K149" s="1405"/>
      <c r="L149" s="1427"/>
      <c r="M149" s="1422"/>
      <c r="N149" s="1422"/>
      <c r="O149" s="1423"/>
      <c r="P149" s="1423"/>
      <c r="Q149" s="1423"/>
      <c r="R149" s="1422"/>
      <c r="S149" s="1423"/>
      <c r="T149" s="1423"/>
      <c r="U149" s="1423"/>
      <c r="V149" s="1422"/>
      <c r="W149" s="1422"/>
      <c r="X149" s="1422"/>
      <c r="Y149" s="1422"/>
      <c r="Z149" s="1422"/>
      <c r="AA149" s="1423"/>
      <c r="AB149" s="1423"/>
      <c r="AC149" s="1423"/>
      <c r="AD149" s="1422"/>
      <c r="AF149" s="1422"/>
      <c r="AG149" s="1422"/>
      <c r="AH149" s="1422"/>
      <c r="AI149" s="1449"/>
      <c r="AJ149" s="1449"/>
      <c r="AK149" s="1423"/>
      <c r="AL149" s="748"/>
    </row>
    <row r="150" spans="1:38">
      <c r="A150" s="728">
        <v>145</v>
      </c>
      <c r="B150" s="727" t="s">
        <v>2462</v>
      </c>
      <c r="C150" s="1424">
        <f>E150/D150</f>
        <v>159</v>
      </c>
      <c r="D150" s="1422">
        <v>125</v>
      </c>
      <c r="E150" s="1423">
        <f>'1501 Summary'!AD154</f>
        <v>19875</v>
      </c>
      <c r="F150" s="1422"/>
      <c r="G150" s="1424">
        <f>-C150</f>
        <v>-159</v>
      </c>
      <c r="H150" s="1422">
        <f>D150</f>
        <v>125</v>
      </c>
      <c r="I150" s="1423">
        <f>H150*G150</f>
        <v>-19875</v>
      </c>
      <c r="J150" s="1422"/>
      <c r="K150" s="1405">
        <f>C150+G150</f>
        <v>0</v>
      </c>
      <c r="L150" s="1422">
        <f>D150</f>
        <v>125</v>
      </c>
      <c r="M150" s="1423">
        <f>L150*K150</f>
        <v>0</v>
      </c>
      <c r="N150" s="1422"/>
      <c r="O150" s="1423"/>
      <c r="P150" s="1423"/>
      <c r="Q150" s="1423"/>
      <c r="R150" s="1422"/>
      <c r="S150" s="1423"/>
      <c r="T150" s="1423"/>
      <c r="U150" s="1423"/>
      <c r="V150" s="1422"/>
      <c r="W150" s="1422"/>
      <c r="X150" s="1422"/>
      <c r="Y150" s="1422"/>
      <c r="Z150" s="1422"/>
      <c r="AA150" s="1423"/>
      <c r="AB150" s="1423"/>
      <c r="AC150" s="1423"/>
      <c r="AD150" s="1422"/>
      <c r="AF150" s="1422"/>
      <c r="AG150" s="1422"/>
      <c r="AH150" s="1422"/>
      <c r="AI150" s="1449"/>
      <c r="AJ150" s="1449"/>
      <c r="AK150" s="1423"/>
      <c r="AL150" s="748"/>
    </row>
    <row r="151" spans="1:38">
      <c r="A151" s="728">
        <v>146</v>
      </c>
      <c r="B151" s="727" t="s">
        <v>2688</v>
      </c>
      <c r="C151" s="1424">
        <f>E151/D151</f>
        <v>1842443.1960921143</v>
      </c>
      <c r="D151" s="1361">
        <v>0.14330000000000001</v>
      </c>
      <c r="E151" s="1423">
        <f>'1501 Summary'!AD155</f>
        <v>264022.11</v>
      </c>
      <c r="F151" s="1423"/>
      <c r="G151" s="1424">
        <f>-C151</f>
        <v>-1842443.1960921143</v>
      </c>
      <c r="H151" s="1422">
        <f>D151</f>
        <v>0.14330000000000001</v>
      </c>
      <c r="I151" s="1423">
        <f>H151*G151</f>
        <v>-264022.11</v>
      </c>
      <c r="J151" s="1423"/>
      <c r="K151" s="1405">
        <f>C151+G151</f>
        <v>0</v>
      </c>
      <c r="L151" s="1427">
        <v>0.16113</v>
      </c>
      <c r="M151" s="1423">
        <f>L151*K151</f>
        <v>0</v>
      </c>
      <c r="N151" s="1423"/>
      <c r="O151" s="1423"/>
      <c r="P151" s="1423"/>
      <c r="Q151" s="1423"/>
      <c r="R151" s="1423"/>
      <c r="S151" s="1423"/>
      <c r="T151" s="1423"/>
      <c r="U151" s="1423"/>
      <c r="V151" s="1423"/>
      <c r="W151" s="1423"/>
      <c r="X151" s="1423"/>
      <c r="Y151" s="1423"/>
      <c r="Z151" s="1423"/>
      <c r="AA151" s="1423"/>
      <c r="AB151" s="1423"/>
      <c r="AC151" s="1423"/>
      <c r="AD151" s="1423"/>
      <c r="AF151" s="1423"/>
      <c r="AG151" s="1423"/>
      <c r="AH151" s="1423"/>
      <c r="AK151" s="1423"/>
      <c r="AL151" s="748"/>
    </row>
    <row r="152" spans="1:38">
      <c r="A152" s="728">
        <v>147</v>
      </c>
      <c r="B152" s="727" t="s">
        <v>2689</v>
      </c>
      <c r="C152" s="1424">
        <f>E152/D152</f>
        <v>1959104.0604515662</v>
      </c>
      <c r="D152" s="1361">
        <v>0.10983999999999999</v>
      </c>
      <c r="E152" s="1423">
        <f>'1501 Summary'!AD156</f>
        <v>215187.99000000002</v>
      </c>
      <c r="F152" s="1422"/>
      <c r="G152" s="1424">
        <f>-C152</f>
        <v>-1959104.0604515662</v>
      </c>
      <c r="H152" s="1422">
        <f>D152</f>
        <v>0.10983999999999999</v>
      </c>
      <c r="I152" s="1423">
        <f>H152*G152</f>
        <v>-215187.99000000002</v>
      </c>
      <c r="J152" s="1422"/>
      <c r="K152" s="1405">
        <f>C152+G152</f>
        <v>0</v>
      </c>
      <c r="L152" s="1427">
        <v>0.12471</v>
      </c>
      <c r="M152" s="1423">
        <f>L152*K152</f>
        <v>0</v>
      </c>
      <c r="N152" s="1422"/>
      <c r="O152" s="1423"/>
      <c r="P152" s="1423"/>
      <c r="Q152" s="1423"/>
      <c r="R152" s="1422"/>
      <c r="S152" s="1423"/>
      <c r="T152" s="1423"/>
      <c r="U152" s="1423"/>
      <c r="V152" s="1422"/>
      <c r="W152" s="1422"/>
      <c r="X152" s="1422"/>
      <c r="Y152" s="1422"/>
      <c r="Z152" s="1422"/>
      <c r="AA152" s="1423"/>
      <c r="AB152" s="1423"/>
      <c r="AC152" s="1423"/>
      <c r="AD152" s="1422"/>
      <c r="AF152" s="1422"/>
      <c r="AG152" s="1422"/>
      <c r="AH152" s="1422"/>
      <c r="AI152" s="1449"/>
      <c r="AJ152" s="1449"/>
      <c r="AK152" s="1423"/>
      <c r="AL152" s="748"/>
    </row>
    <row r="153" spans="1:38">
      <c r="A153" s="728">
        <v>148</v>
      </c>
      <c r="B153" s="1453" t="s">
        <v>2690</v>
      </c>
      <c r="C153" s="1424">
        <f>E153/D153</f>
        <v>365434.10852713173</v>
      </c>
      <c r="D153" s="1361">
        <v>2.7089999999999999E-2</v>
      </c>
      <c r="E153" s="1437">
        <f>'1501 Summary'!AD157</f>
        <v>9899.6099999999988</v>
      </c>
      <c r="F153" s="1422"/>
      <c r="G153" s="1424">
        <f>-C153</f>
        <v>-365434.10852713173</v>
      </c>
      <c r="H153" s="1422">
        <f>D153</f>
        <v>2.7089999999999999E-2</v>
      </c>
      <c r="I153" s="1423">
        <f>H153*G153</f>
        <v>-9899.6099999999988</v>
      </c>
      <c r="J153" s="1422"/>
      <c r="K153" s="1405">
        <f>C153+G153</f>
        <v>0</v>
      </c>
      <c r="L153" s="1427">
        <v>3.4639999999999997E-2</v>
      </c>
      <c r="M153" s="1437">
        <f>L153*K153</f>
        <v>0</v>
      </c>
      <c r="N153" s="1422"/>
      <c r="O153" s="1423"/>
      <c r="P153" s="1423"/>
      <c r="Q153" s="1423"/>
      <c r="R153" s="1422"/>
      <c r="S153" s="1423"/>
      <c r="T153" s="1423"/>
      <c r="U153" s="1423"/>
      <c r="V153" s="1422"/>
      <c r="W153" s="1422"/>
      <c r="X153" s="1422"/>
      <c r="Y153" s="1422"/>
      <c r="Z153" s="1422"/>
      <c r="AA153" s="1423"/>
      <c r="AB153" s="1423"/>
      <c r="AC153" s="1423"/>
      <c r="AD153" s="1422"/>
      <c r="AF153" s="1422"/>
      <c r="AG153" s="1422"/>
      <c r="AH153" s="1422"/>
      <c r="AI153" s="1449"/>
      <c r="AJ153" s="1449"/>
      <c r="AK153" s="1423"/>
      <c r="AL153" s="748"/>
    </row>
    <row r="154" spans="1:38">
      <c r="A154" s="728">
        <v>149</v>
      </c>
      <c r="B154" s="727" t="s">
        <v>2648</v>
      </c>
      <c r="C154" s="1475"/>
      <c r="E154" s="1423">
        <f>SUM(E150:E153)</f>
        <v>508984.70999999996</v>
      </c>
      <c r="F154" s="1422"/>
      <c r="G154" s="1422"/>
      <c r="H154" s="1422"/>
      <c r="I154" s="1422"/>
      <c r="J154" s="1422"/>
      <c r="K154" s="1405"/>
      <c r="L154" s="1427"/>
      <c r="M154" s="1423">
        <f>SUM(M150:M153)</f>
        <v>0</v>
      </c>
      <c r="N154" s="1422"/>
      <c r="O154" s="1423"/>
      <c r="P154" s="1423"/>
      <c r="Q154" s="1423"/>
      <c r="R154" s="1422"/>
      <c r="S154" s="1423"/>
      <c r="T154" s="1423"/>
      <c r="U154" s="1423"/>
      <c r="V154" s="1422"/>
      <c r="W154" s="1422"/>
      <c r="X154" s="1422"/>
      <c r="Y154" s="1422"/>
      <c r="Z154" s="1422"/>
      <c r="AA154" s="1423"/>
      <c r="AB154" s="1423"/>
      <c r="AC154" s="1423"/>
      <c r="AD154" s="1422"/>
      <c r="AF154" s="1422"/>
      <c r="AG154" s="1422"/>
      <c r="AH154" s="1422"/>
      <c r="AI154" s="1449"/>
      <c r="AJ154" s="1449"/>
      <c r="AK154" s="1423"/>
      <c r="AL154" s="748"/>
    </row>
    <row r="155" spans="1:38">
      <c r="A155" s="728">
        <v>150</v>
      </c>
      <c r="C155" s="1475"/>
      <c r="E155" s="1423"/>
      <c r="F155" s="1422"/>
      <c r="G155" s="1422"/>
      <c r="H155" s="1422"/>
      <c r="I155" s="1422"/>
      <c r="J155" s="1422"/>
      <c r="K155" s="1405"/>
      <c r="L155" s="1427"/>
      <c r="M155" s="1422"/>
      <c r="N155" s="1422"/>
      <c r="O155" s="1423"/>
      <c r="P155" s="1423"/>
      <c r="Q155" s="1423"/>
      <c r="R155" s="1422"/>
      <c r="S155" s="1423"/>
      <c r="T155" s="1423"/>
      <c r="U155" s="1423"/>
      <c r="V155" s="1422"/>
      <c r="W155" s="1422"/>
      <c r="X155" s="1422"/>
      <c r="Y155" s="1422"/>
      <c r="Z155" s="1422"/>
      <c r="AA155" s="1423"/>
      <c r="AB155" s="1423"/>
      <c r="AC155" s="1423"/>
      <c r="AD155" s="1422"/>
      <c r="AF155" s="1422"/>
      <c r="AG155" s="1422"/>
      <c r="AH155" s="1422"/>
      <c r="AI155" s="1449"/>
      <c r="AJ155" s="1449"/>
      <c r="AK155" s="1423"/>
      <c r="AL155" s="748"/>
    </row>
    <row r="156" spans="1:38">
      <c r="A156" s="728">
        <v>151</v>
      </c>
      <c r="B156" s="727" t="s">
        <v>2650</v>
      </c>
      <c r="E156" s="1423">
        <f>'1501 Summary'!AD158</f>
        <v>1749542.2000000002</v>
      </c>
      <c r="F156" s="1423"/>
      <c r="G156" s="1423"/>
      <c r="H156" s="1423"/>
      <c r="I156" s="1423"/>
      <c r="J156" s="1423"/>
      <c r="K156" s="1405"/>
      <c r="L156" s="1427"/>
      <c r="M156" s="1422"/>
      <c r="N156" s="1423"/>
      <c r="O156" s="1423"/>
      <c r="P156" s="1423"/>
      <c r="Q156" s="1423"/>
      <c r="R156" s="1423"/>
      <c r="S156" s="1423"/>
      <c r="T156" s="1423"/>
      <c r="U156" s="1423"/>
      <c r="V156" s="1423"/>
      <c r="W156" s="1423"/>
      <c r="X156" s="1423"/>
      <c r="Y156" s="1423"/>
      <c r="Z156" s="1423"/>
      <c r="AA156" s="1423"/>
      <c r="AB156" s="1423"/>
      <c r="AC156" s="1423"/>
      <c r="AD156" s="1423"/>
      <c r="AF156" s="1423"/>
      <c r="AG156" s="1423"/>
      <c r="AH156" s="1423"/>
      <c r="AK156" s="1423"/>
      <c r="AL156" s="748"/>
    </row>
    <row r="157" spans="1:38">
      <c r="A157" s="728">
        <v>152</v>
      </c>
      <c r="C157" s="1475"/>
      <c r="E157" s="1423"/>
      <c r="F157" s="1422"/>
      <c r="G157" s="1422"/>
      <c r="H157" s="1422"/>
      <c r="I157" s="1422"/>
      <c r="J157" s="1422"/>
      <c r="K157" s="1405"/>
      <c r="L157" s="1427"/>
      <c r="M157" s="1422"/>
      <c r="N157" s="1422"/>
      <c r="O157" s="1423"/>
      <c r="P157" s="1423"/>
      <c r="Q157" s="1423"/>
      <c r="R157" s="1422"/>
      <c r="S157" s="1423"/>
      <c r="T157" s="1423"/>
      <c r="U157" s="1423"/>
      <c r="V157" s="1422"/>
      <c r="W157" s="1422"/>
      <c r="X157" s="1422"/>
      <c r="Y157" s="1422"/>
      <c r="Z157" s="1422"/>
      <c r="AA157" s="1423"/>
      <c r="AB157" s="1423"/>
      <c r="AC157" s="1423"/>
      <c r="AD157" s="1422"/>
      <c r="AF157" s="1422"/>
      <c r="AG157" s="1422"/>
      <c r="AH157" s="1422"/>
      <c r="AI157" s="1449"/>
      <c r="AJ157" s="1449"/>
      <c r="AK157" s="1423"/>
      <c r="AL157" s="748"/>
    </row>
    <row r="158" spans="1:38">
      <c r="A158" s="728">
        <v>153</v>
      </c>
      <c r="B158" s="727" t="s">
        <v>2651</v>
      </c>
      <c r="C158" s="1475"/>
      <c r="E158" s="1423"/>
      <c r="F158" s="1422"/>
      <c r="G158" s="1422"/>
      <c r="H158" s="1422"/>
      <c r="I158" s="1422"/>
      <c r="J158" s="1422"/>
      <c r="K158" s="1405"/>
      <c r="L158" s="1427"/>
      <c r="M158" s="1422"/>
      <c r="N158" s="1422"/>
      <c r="O158" s="1423"/>
      <c r="P158" s="1423"/>
      <c r="Q158" s="1423"/>
      <c r="R158" s="1422"/>
      <c r="S158" s="1423"/>
      <c r="T158" s="1423"/>
      <c r="U158" s="1423"/>
      <c r="V158" s="1422"/>
      <c r="W158" s="1422"/>
      <c r="X158" s="1422"/>
      <c r="Y158" s="1422"/>
      <c r="Z158" s="1422"/>
      <c r="AA158" s="1423"/>
      <c r="AB158" s="1423"/>
      <c r="AC158" s="1423"/>
      <c r="AD158" s="1422"/>
      <c r="AF158" s="1422"/>
      <c r="AG158" s="1422"/>
      <c r="AH158" s="1422"/>
      <c r="AI158" s="1449"/>
      <c r="AJ158" s="1449"/>
      <c r="AK158" s="1423"/>
      <c r="AL158" s="748"/>
    </row>
    <row r="159" spans="1:38">
      <c r="A159" s="728">
        <v>154</v>
      </c>
      <c r="B159" s="727" t="s">
        <v>2652</v>
      </c>
      <c r="C159" s="1475"/>
      <c r="E159" s="1423">
        <f>'1501 Summary'!AD159</f>
        <v>258358.53</v>
      </c>
      <c r="F159" s="1422"/>
      <c r="G159" s="1422"/>
      <c r="H159" s="1422"/>
      <c r="I159" s="1422"/>
      <c r="J159" s="1422"/>
      <c r="K159" s="1405"/>
      <c r="L159" s="1427"/>
      <c r="M159" s="1422"/>
      <c r="N159" s="1422"/>
      <c r="O159" s="1423"/>
      <c r="P159" s="1423"/>
      <c r="Q159" s="1423"/>
      <c r="R159" s="1422"/>
      <c r="S159" s="1423"/>
      <c r="T159" s="1423"/>
      <c r="U159" s="1423"/>
      <c r="V159" s="1422"/>
      <c r="W159" s="1422"/>
      <c r="X159" s="1422"/>
      <c r="Y159" s="1422"/>
      <c r="Z159" s="1422"/>
      <c r="AA159" s="1423"/>
      <c r="AB159" s="1423"/>
      <c r="AC159" s="1423"/>
      <c r="AD159" s="1422"/>
      <c r="AF159" s="1422"/>
      <c r="AG159" s="1422"/>
      <c r="AH159" s="1422"/>
      <c r="AI159" s="1449"/>
      <c r="AJ159" s="1449"/>
      <c r="AK159" s="1423"/>
      <c r="AL159" s="748"/>
    </row>
    <row r="160" spans="1:38">
      <c r="A160" s="728">
        <v>155</v>
      </c>
      <c r="B160" s="727" t="s">
        <v>2653</v>
      </c>
      <c r="E160" s="1423">
        <f>'1501 Summary'!AD160</f>
        <v>5981.64</v>
      </c>
      <c r="F160" s="1423"/>
      <c r="G160" s="1423"/>
      <c r="H160" s="1423"/>
      <c r="I160" s="1423"/>
      <c r="J160" s="1423"/>
      <c r="K160" s="1405"/>
      <c r="L160" s="1427"/>
      <c r="M160" s="1422"/>
      <c r="N160" s="1423"/>
      <c r="O160" s="1423"/>
      <c r="P160" s="1423"/>
      <c r="Q160" s="1423"/>
      <c r="R160" s="1423"/>
      <c r="S160" s="1423"/>
      <c r="T160" s="1423"/>
      <c r="U160" s="1423"/>
      <c r="V160" s="1423"/>
      <c r="W160" s="1423"/>
      <c r="X160" s="1423"/>
      <c r="Y160" s="1423"/>
      <c r="Z160" s="1423"/>
      <c r="AA160" s="1423"/>
      <c r="AB160" s="1423"/>
      <c r="AC160" s="1423"/>
      <c r="AD160" s="1423"/>
      <c r="AF160" s="1423"/>
      <c r="AG160" s="1423"/>
      <c r="AH160" s="1423"/>
      <c r="AK160" s="1423"/>
      <c r="AL160" s="748"/>
    </row>
    <row r="161" spans="1:38">
      <c r="A161" s="728">
        <v>156</v>
      </c>
      <c r="B161" s="727" t="s">
        <v>2654</v>
      </c>
      <c r="C161" s="1475"/>
      <c r="E161" s="1423">
        <f>'1501 Summary'!AD161</f>
        <v>20284.32</v>
      </c>
      <c r="F161" s="1422"/>
      <c r="G161" s="1422"/>
      <c r="H161" s="1422"/>
      <c r="I161" s="1422"/>
      <c r="J161" s="1422"/>
      <c r="K161" s="1405"/>
      <c r="L161" s="1427"/>
      <c r="M161" s="1422"/>
      <c r="N161" s="1422"/>
      <c r="O161" s="1423"/>
      <c r="P161" s="1423"/>
      <c r="Q161" s="1423"/>
      <c r="R161" s="1422"/>
      <c r="S161" s="1423"/>
      <c r="T161" s="1423"/>
      <c r="U161" s="1423"/>
      <c r="V161" s="1422"/>
      <c r="W161" s="1422"/>
      <c r="X161" s="1422"/>
      <c r="Y161" s="1422"/>
      <c r="Z161" s="1422"/>
      <c r="AA161" s="1423"/>
      <c r="AB161" s="1423"/>
      <c r="AC161" s="1423"/>
      <c r="AD161" s="1422"/>
      <c r="AF161" s="1422"/>
      <c r="AG161" s="1422"/>
      <c r="AH161" s="1422"/>
      <c r="AI161" s="1449"/>
      <c r="AJ161" s="1449"/>
      <c r="AK161" s="1423"/>
      <c r="AL161" s="748"/>
    </row>
    <row r="162" spans="1:38">
      <c r="A162" s="728">
        <v>157</v>
      </c>
      <c r="B162" s="727" t="s">
        <v>2655</v>
      </c>
      <c r="C162" s="1475"/>
      <c r="E162" s="1423">
        <f>'1501 Summary'!AD162</f>
        <v>-192352.21999999997</v>
      </c>
      <c r="F162" s="1422"/>
      <c r="G162" s="1422"/>
      <c r="H162" s="1422"/>
      <c r="I162" s="1422"/>
      <c r="J162" s="1422"/>
      <c r="K162" s="1405"/>
      <c r="L162" s="1427"/>
      <c r="M162" s="1422"/>
      <c r="N162" s="1422"/>
      <c r="O162" s="1423"/>
      <c r="P162" s="1423"/>
      <c r="Q162" s="1423"/>
      <c r="R162" s="1422"/>
      <c r="S162" s="1423"/>
      <c r="T162" s="1423"/>
      <c r="U162" s="1423"/>
      <c r="V162" s="1422"/>
      <c r="W162" s="1422"/>
      <c r="X162" s="1422"/>
      <c r="Y162" s="1422"/>
      <c r="Z162" s="1422"/>
      <c r="AA162" s="1423"/>
      <c r="AB162" s="1423"/>
      <c r="AC162" s="1423"/>
      <c r="AD162" s="1422"/>
      <c r="AF162" s="1422"/>
      <c r="AG162" s="1422"/>
      <c r="AH162" s="1422"/>
      <c r="AI162" s="1449"/>
      <c r="AJ162" s="1449"/>
      <c r="AK162" s="1423"/>
      <c r="AL162" s="748"/>
    </row>
    <row r="163" spans="1:38">
      <c r="A163" s="728">
        <v>158</v>
      </c>
      <c r="B163" s="727" t="s">
        <v>2656</v>
      </c>
      <c r="C163" s="1475"/>
      <c r="E163" s="1423">
        <f>'1501 Summary'!AD163</f>
        <v>27572.06</v>
      </c>
      <c r="F163" s="1422"/>
      <c r="G163" s="1422"/>
      <c r="H163" s="1422"/>
      <c r="I163" s="1422"/>
      <c r="J163" s="1422"/>
      <c r="K163" s="1405"/>
      <c r="L163" s="1427"/>
      <c r="M163" s="1422"/>
      <c r="N163" s="1422"/>
      <c r="O163" s="1423"/>
      <c r="P163" s="1423"/>
      <c r="Q163" s="1423"/>
      <c r="R163" s="1422"/>
      <c r="S163" s="1423"/>
      <c r="T163" s="1423"/>
      <c r="U163" s="1423"/>
      <c r="V163" s="1422"/>
      <c r="W163" s="1422"/>
      <c r="X163" s="1422"/>
      <c r="Y163" s="1422"/>
      <c r="Z163" s="1422"/>
      <c r="AA163" s="1423"/>
      <c r="AB163" s="1423"/>
      <c r="AC163" s="1423"/>
      <c r="AD163" s="1422"/>
      <c r="AF163" s="1422"/>
      <c r="AG163" s="1422"/>
      <c r="AH163" s="1422"/>
      <c r="AI163" s="1449"/>
      <c r="AJ163" s="1449"/>
      <c r="AK163" s="1423"/>
      <c r="AL163" s="748"/>
    </row>
    <row r="164" spans="1:38">
      <c r="A164" s="728">
        <v>159</v>
      </c>
      <c r="B164" s="727" t="s">
        <v>2657</v>
      </c>
      <c r="E164" s="1423">
        <f>'1501 Summary'!AD164</f>
        <v>114008.81</v>
      </c>
      <c r="F164" s="1423"/>
      <c r="G164" s="1423"/>
      <c r="H164" s="1423"/>
      <c r="I164" s="1423"/>
      <c r="J164" s="1423"/>
      <c r="K164" s="1405"/>
      <c r="L164" s="1427"/>
      <c r="M164" s="1422"/>
      <c r="N164" s="1423"/>
      <c r="O164" s="1423"/>
      <c r="P164" s="1423"/>
      <c r="Q164" s="1423"/>
      <c r="R164" s="1423"/>
      <c r="S164" s="1423"/>
      <c r="T164" s="1423"/>
      <c r="U164" s="1423"/>
      <c r="V164" s="1423"/>
      <c r="W164" s="1423"/>
      <c r="X164" s="1423"/>
      <c r="Y164" s="1423"/>
      <c r="Z164" s="1423"/>
      <c r="AA164" s="1423"/>
      <c r="AB164" s="1423"/>
      <c r="AC164" s="1423"/>
      <c r="AD164" s="1423"/>
      <c r="AF164" s="1423"/>
      <c r="AG164" s="1423"/>
      <c r="AH164" s="1423"/>
      <c r="AK164" s="1423"/>
      <c r="AL164" s="748"/>
    </row>
    <row r="165" spans="1:38">
      <c r="A165" s="728">
        <v>160</v>
      </c>
      <c r="B165" s="1463" t="s">
        <v>2658</v>
      </c>
      <c r="C165" s="1475"/>
      <c r="E165" s="1423">
        <f>'1501 Summary'!AD165</f>
        <v>-12129.24</v>
      </c>
      <c r="F165" s="1422"/>
      <c r="G165" s="1422"/>
      <c r="H165" s="1422"/>
      <c r="I165" s="1422"/>
      <c r="J165" s="1422"/>
      <c r="K165" s="1405"/>
      <c r="L165" s="1427"/>
      <c r="M165" s="1422"/>
      <c r="N165" s="1422"/>
      <c r="O165" s="1423"/>
      <c r="P165" s="1423"/>
      <c r="Q165" s="1423"/>
      <c r="R165" s="1422"/>
      <c r="S165" s="1423"/>
      <c r="T165" s="1423"/>
      <c r="U165" s="1423"/>
      <c r="V165" s="1422"/>
      <c r="W165" s="1422"/>
      <c r="X165" s="1422"/>
      <c r="Y165" s="1422"/>
      <c r="Z165" s="1422"/>
      <c r="AA165" s="1423"/>
      <c r="AB165" s="1423"/>
      <c r="AC165" s="1423"/>
      <c r="AD165" s="1422"/>
      <c r="AF165" s="1422"/>
      <c r="AG165" s="1422"/>
      <c r="AH165" s="1422"/>
      <c r="AI165" s="1449"/>
      <c r="AJ165" s="1449"/>
      <c r="AK165" s="1423"/>
      <c r="AL165" s="748"/>
    </row>
    <row r="166" spans="1:38">
      <c r="A166" s="728">
        <v>161</v>
      </c>
      <c r="B166" s="1463" t="s">
        <v>2659</v>
      </c>
      <c r="C166" s="1475"/>
      <c r="E166" s="1423">
        <f>'1501 Summary'!AD166</f>
        <v>-5461.6900000000005</v>
      </c>
      <c r="F166" s="1422"/>
      <c r="G166" s="1422"/>
      <c r="H166" s="1422"/>
      <c r="I166" s="1422"/>
      <c r="J166" s="1422"/>
      <c r="K166" s="1405"/>
      <c r="L166" s="1427"/>
      <c r="M166" s="1422"/>
      <c r="N166" s="1422"/>
      <c r="O166" s="1423"/>
      <c r="P166" s="1423"/>
      <c r="Q166" s="1423"/>
      <c r="R166" s="1422"/>
      <c r="S166" s="1423"/>
      <c r="T166" s="1423"/>
      <c r="U166" s="1423"/>
      <c r="V166" s="1422"/>
      <c r="W166" s="1422"/>
      <c r="X166" s="1422"/>
      <c r="Y166" s="1422"/>
      <c r="Z166" s="1422"/>
      <c r="AA166" s="1423"/>
      <c r="AB166" s="1423"/>
      <c r="AC166" s="1423"/>
      <c r="AD166" s="1422"/>
      <c r="AF166" s="1422"/>
      <c r="AG166" s="1422"/>
      <c r="AH166" s="1422"/>
      <c r="AI166" s="1449"/>
      <c r="AJ166" s="1449"/>
      <c r="AK166" s="1423"/>
      <c r="AL166" s="748"/>
    </row>
    <row r="167" spans="1:38">
      <c r="A167" s="728">
        <v>162</v>
      </c>
      <c r="B167" s="1463" t="s">
        <v>2660</v>
      </c>
      <c r="C167" s="1475"/>
      <c r="E167" s="1423">
        <f>'1501 Summary'!AD167</f>
        <v>-8656.2999999999993</v>
      </c>
      <c r="F167" s="1422"/>
      <c r="G167" s="1422"/>
      <c r="H167" s="1422"/>
      <c r="I167" s="1422"/>
      <c r="J167" s="1422"/>
      <c r="K167" s="1405"/>
      <c r="L167" s="1427"/>
      <c r="M167" s="1422"/>
      <c r="N167" s="1422"/>
      <c r="O167" s="1423"/>
      <c r="P167" s="1423"/>
      <c r="Q167" s="1423"/>
      <c r="R167" s="1422"/>
      <c r="S167" s="1423"/>
      <c r="T167" s="1423"/>
      <c r="U167" s="1423"/>
      <c r="V167" s="1422"/>
      <c r="W167" s="1422"/>
      <c r="X167" s="1422"/>
      <c r="Y167" s="1422"/>
      <c r="Z167" s="1422"/>
      <c r="AA167" s="1423"/>
      <c r="AB167" s="1423"/>
      <c r="AC167" s="1423"/>
      <c r="AD167" s="1422"/>
      <c r="AF167" s="1422"/>
      <c r="AG167" s="1422"/>
      <c r="AH167" s="1422"/>
      <c r="AI167" s="1449"/>
      <c r="AJ167" s="1449"/>
      <c r="AK167" s="1423"/>
      <c r="AL167" s="748"/>
    </row>
    <row r="168" spans="1:38">
      <c r="A168" s="728">
        <v>163</v>
      </c>
      <c r="B168" s="727" t="s">
        <v>2661</v>
      </c>
      <c r="C168" s="1475"/>
      <c r="E168" s="1423">
        <f>'1501 Summary'!AD168</f>
        <v>76548.090000000011</v>
      </c>
      <c r="F168" s="1422"/>
      <c r="G168" s="1422"/>
      <c r="H168" s="1422"/>
      <c r="I168" s="1422"/>
      <c r="J168" s="1422"/>
      <c r="K168" s="1405"/>
      <c r="L168" s="1427"/>
      <c r="M168" s="1422"/>
      <c r="N168" s="1422"/>
      <c r="O168" s="1423"/>
      <c r="P168" s="1423"/>
      <c r="Q168" s="1423"/>
      <c r="R168" s="1422"/>
      <c r="S168" s="1423"/>
      <c r="T168" s="1423"/>
      <c r="U168" s="1423"/>
      <c r="V168" s="1422"/>
      <c r="W168" s="1422"/>
      <c r="X168" s="1422"/>
      <c r="Y168" s="1422"/>
      <c r="Z168" s="1422"/>
      <c r="AA168" s="1423"/>
      <c r="AB168" s="1423"/>
      <c r="AC168" s="1423"/>
      <c r="AD168" s="1422"/>
      <c r="AF168" s="1422"/>
      <c r="AG168" s="1422"/>
      <c r="AH168" s="1422"/>
      <c r="AI168" s="1449"/>
      <c r="AJ168" s="1449"/>
      <c r="AK168" s="1423"/>
      <c r="AL168" s="748"/>
    </row>
    <row r="169" spans="1:38">
      <c r="A169" s="728">
        <v>164</v>
      </c>
      <c r="B169" s="727" t="s">
        <v>2676</v>
      </c>
      <c r="C169" s="1475"/>
      <c r="E169" s="1423">
        <f>'1501 Summary'!AD169</f>
        <v>423.57000000000005</v>
      </c>
      <c r="F169" s="1422"/>
      <c r="G169" s="1422"/>
      <c r="H169" s="1422"/>
      <c r="I169" s="1422"/>
      <c r="J169" s="1422"/>
      <c r="K169" s="1405"/>
      <c r="L169" s="1427"/>
      <c r="M169" s="1422"/>
      <c r="N169" s="1422"/>
      <c r="O169" s="1423"/>
      <c r="P169" s="1423"/>
      <c r="Q169" s="1423"/>
      <c r="R169" s="1422"/>
      <c r="S169" s="1423"/>
      <c r="T169" s="1423"/>
      <c r="U169" s="1423"/>
      <c r="V169" s="1422"/>
      <c r="W169" s="1422"/>
      <c r="X169" s="1422"/>
      <c r="Y169" s="1422"/>
      <c r="Z169" s="1422"/>
      <c r="AA169" s="1423"/>
      <c r="AB169" s="1423"/>
      <c r="AC169" s="1423"/>
      <c r="AD169" s="1422"/>
      <c r="AF169" s="1422"/>
      <c r="AG169" s="1422"/>
      <c r="AH169" s="1422"/>
      <c r="AI169" s="1449"/>
      <c r="AJ169" s="1449"/>
      <c r="AK169" s="1423"/>
      <c r="AL169" s="748"/>
    </row>
    <row r="170" spans="1:38">
      <c r="A170" s="728">
        <v>165</v>
      </c>
      <c r="B170" s="727" t="s">
        <v>2665</v>
      </c>
      <c r="E170" s="1423">
        <f>'1501 Summary'!AD170</f>
        <v>4026.1800000000003</v>
      </c>
      <c r="F170" s="1423"/>
      <c r="G170" s="1423"/>
      <c r="H170" s="1423"/>
      <c r="I170" s="1423"/>
      <c r="J170" s="1423"/>
      <c r="K170" s="1405"/>
      <c r="L170" s="1427"/>
      <c r="M170" s="1422"/>
      <c r="N170" s="1423"/>
      <c r="O170" s="1423"/>
      <c r="P170" s="1423"/>
      <c r="Q170" s="1423"/>
      <c r="R170" s="1423"/>
      <c r="S170" s="1423"/>
      <c r="T170" s="1423"/>
      <c r="U170" s="1423"/>
      <c r="V170" s="1423"/>
      <c r="W170" s="1423"/>
      <c r="X170" s="1423"/>
      <c r="Y170" s="1423"/>
      <c r="Z170" s="1423"/>
      <c r="AA170" s="1423"/>
      <c r="AB170" s="1423"/>
      <c r="AC170" s="1423"/>
      <c r="AD170" s="1423"/>
      <c r="AF170" s="1423"/>
      <c r="AG170" s="1423"/>
      <c r="AH170" s="1423"/>
      <c r="AK170" s="1423"/>
      <c r="AL170" s="748"/>
    </row>
    <row r="171" spans="1:38">
      <c r="A171" s="728">
        <v>166</v>
      </c>
      <c r="B171" s="727" t="s">
        <v>54</v>
      </c>
      <c r="C171" s="1475"/>
      <c r="E171" s="1423">
        <f>'1501 Summary'!AD171</f>
        <v>-26855.59</v>
      </c>
      <c r="F171" s="1422"/>
      <c r="G171" s="1422"/>
      <c r="H171" s="1422"/>
      <c r="I171" s="1422"/>
      <c r="J171" s="1422"/>
      <c r="K171" s="1405"/>
      <c r="L171" s="1427"/>
      <c r="M171" s="1422"/>
      <c r="N171" s="1422"/>
      <c r="O171" s="1423"/>
      <c r="P171" s="1423"/>
      <c r="Q171" s="1423"/>
      <c r="R171" s="1422"/>
      <c r="S171" s="1423"/>
      <c r="T171" s="1423"/>
      <c r="U171" s="1423"/>
      <c r="V171" s="1422"/>
      <c r="W171" s="1422"/>
      <c r="X171" s="1422"/>
      <c r="Y171" s="1422"/>
      <c r="Z171" s="1422"/>
      <c r="AA171" s="1423"/>
      <c r="AB171" s="1423"/>
      <c r="AC171" s="1423"/>
      <c r="AD171" s="1422"/>
      <c r="AF171" s="1422"/>
      <c r="AG171" s="1422"/>
      <c r="AH171" s="1422"/>
      <c r="AI171" s="1449"/>
      <c r="AJ171" s="1449"/>
      <c r="AK171" s="1423"/>
      <c r="AL171" s="748"/>
    </row>
    <row r="172" spans="1:38">
      <c r="A172" s="728">
        <v>167</v>
      </c>
      <c r="B172" s="727" t="s">
        <v>2662</v>
      </c>
      <c r="C172" s="1475"/>
      <c r="E172" s="1423">
        <f>'1501 Summary'!AD172</f>
        <v>0</v>
      </c>
      <c r="F172" s="1422"/>
      <c r="G172" s="1422"/>
      <c r="H172" s="1422"/>
      <c r="I172" s="1422"/>
      <c r="J172" s="1422"/>
      <c r="K172" s="1405"/>
      <c r="L172" s="1427"/>
      <c r="M172" s="1422"/>
      <c r="N172" s="1422"/>
      <c r="O172" s="1423"/>
      <c r="P172" s="1423"/>
      <c r="Q172" s="1423"/>
      <c r="R172" s="1422"/>
      <c r="S172" s="1423"/>
      <c r="T172" s="1423"/>
      <c r="U172" s="1423"/>
      <c r="V172" s="1422"/>
      <c r="W172" s="1422"/>
      <c r="X172" s="1422"/>
      <c r="Y172" s="1422"/>
      <c r="Z172" s="1422"/>
      <c r="AA172" s="1423"/>
      <c r="AB172" s="1423"/>
      <c r="AC172" s="1423"/>
      <c r="AD172" s="1422"/>
      <c r="AF172" s="1422"/>
      <c r="AG172" s="1422"/>
      <c r="AH172" s="1422"/>
      <c r="AI172" s="1449"/>
      <c r="AJ172" s="1449"/>
      <c r="AK172" s="1423"/>
      <c r="AL172" s="748"/>
    </row>
    <row r="173" spans="1:38">
      <c r="A173" s="728">
        <v>168</v>
      </c>
      <c r="B173" s="727" t="s">
        <v>2664</v>
      </c>
      <c r="C173" s="1475"/>
      <c r="E173" s="1423">
        <f>'1501 Summary'!AD173</f>
        <v>-4468.9799999999996</v>
      </c>
      <c r="F173" s="1422"/>
      <c r="G173" s="1422"/>
      <c r="H173" s="1422"/>
      <c r="I173" s="1422"/>
      <c r="J173" s="1422"/>
      <c r="K173" s="1405"/>
      <c r="L173" s="1427"/>
      <c r="M173" s="1422"/>
      <c r="N173" s="1422"/>
      <c r="O173" s="1423"/>
      <c r="P173" s="1423"/>
      <c r="Q173" s="1423"/>
      <c r="R173" s="1422"/>
      <c r="S173" s="1423"/>
      <c r="T173" s="1423"/>
      <c r="U173" s="1423"/>
      <c r="V173" s="1422"/>
      <c r="W173" s="1422"/>
      <c r="X173" s="1422"/>
      <c r="Y173" s="1422"/>
      <c r="Z173" s="1422"/>
      <c r="AA173" s="1423"/>
      <c r="AB173" s="1423"/>
      <c r="AC173" s="1423"/>
      <c r="AD173" s="1422"/>
      <c r="AF173" s="1422"/>
      <c r="AG173" s="1422"/>
      <c r="AH173" s="1422"/>
      <c r="AI173" s="1449"/>
      <c r="AJ173" s="1449"/>
      <c r="AK173" s="1423"/>
      <c r="AL173" s="748"/>
    </row>
    <row r="174" spans="1:38">
      <c r="A174" s="728">
        <v>169</v>
      </c>
      <c r="B174" s="1443" t="s">
        <v>2666</v>
      </c>
      <c r="E174" s="1423">
        <f>'Revenue Reconcilliation'!Q114</f>
        <v>0</v>
      </c>
      <c r="F174" s="1423"/>
      <c r="G174" s="1423"/>
      <c r="H174" s="1423"/>
      <c r="I174" s="1423"/>
      <c r="J174" s="1423"/>
      <c r="K174" s="1405"/>
      <c r="L174" s="1427"/>
      <c r="M174" s="1422"/>
      <c r="N174" s="1423"/>
      <c r="O174" s="1423"/>
      <c r="P174" s="1423"/>
      <c r="Q174" s="1423"/>
      <c r="R174" s="1423"/>
      <c r="S174" s="1423"/>
      <c r="T174" s="1423"/>
      <c r="U174" s="1423"/>
      <c r="V174" s="1423"/>
      <c r="W174" s="1423"/>
      <c r="X174" s="1423"/>
      <c r="Y174" s="1423"/>
      <c r="Z174" s="1423"/>
      <c r="AA174" s="1423"/>
      <c r="AB174" s="1423"/>
      <c r="AC174" s="1423"/>
      <c r="AD174" s="1423"/>
      <c r="AF174" s="1423"/>
      <c r="AG174" s="1423"/>
      <c r="AH174" s="1423"/>
      <c r="AK174" s="1423"/>
      <c r="AL174" s="748"/>
    </row>
    <row r="175" spans="1:38">
      <c r="A175" s="728">
        <v>170</v>
      </c>
      <c r="B175" s="1443" t="s">
        <v>2667</v>
      </c>
      <c r="C175" s="1475"/>
      <c r="E175" s="1423">
        <f>'Revenue Reconcilliation'!Q115</f>
        <v>0</v>
      </c>
      <c r="F175" s="1422"/>
      <c r="G175" s="1422"/>
      <c r="H175" s="1422"/>
      <c r="I175" s="1422"/>
      <c r="J175" s="1422"/>
      <c r="K175" s="1405"/>
      <c r="L175" s="1427"/>
      <c r="M175" s="1422"/>
      <c r="N175" s="1422"/>
      <c r="O175" s="1423"/>
      <c r="P175" s="1423"/>
      <c r="Q175" s="1423"/>
      <c r="R175" s="1422"/>
      <c r="S175" s="1423"/>
      <c r="T175" s="1423"/>
      <c r="U175" s="1423"/>
      <c r="V175" s="1422"/>
      <c r="W175" s="1422"/>
      <c r="X175" s="1422"/>
      <c r="Y175" s="1422"/>
      <c r="Z175" s="1422"/>
      <c r="AA175" s="1423"/>
      <c r="AB175" s="1423"/>
      <c r="AC175" s="1423"/>
      <c r="AD175" s="1422"/>
      <c r="AF175" s="1422"/>
      <c r="AG175" s="1422"/>
      <c r="AH175" s="1422"/>
      <c r="AI175" s="1449"/>
      <c r="AJ175" s="1449"/>
      <c r="AK175" s="1423"/>
      <c r="AL175" s="748"/>
    </row>
    <row r="176" spans="1:38">
      <c r="A176" s="728">
        <v>171</v>
      </c>
      <c r="B176" s="1443" t="s">
        <v>2668</v>
      </c>
      <c r="C176" s="1475"/>
      <c r="E176" s="1423">
        <f>'Revenue Reconcilliation'!Q116</f>
        <v>-291315.95999999996</v>
      </c>
      <c r="F176" s="1422"/>
      <c r="G176" s="1422"/>
      <c r="H176" s="1422"/>
      <c r="I176" s="1422"/>
      <c r="J176" s="1422"/>
      <c r="K176" s="1405"/>
      <c r="L176" s="1427"/>
      <c r="M176" s="1422"/>
      <c r="N176" s="1422"/>
      <c r="O176" s="1423"/>
      <c r="P176" s="1423"/>
      <c r="Q176" s="1423"/>
      <c r="R176" s="1422"/>
      <c r="S176" s="1423"/>
      <c r="T176" s="1423"/>
      <c r="U176" s="1423"/>
      <c r="V176" s="1422"/>
      <c r="W176" s="1422"/>
      <c r="X176" s="1422"/>
      <c r="Y176" s="1422"/>
      <c r="Z176" s="1422"/>
      <c r="AA176" s="1423"/>
      <c r="AB176" s="1423"/>
      <c r="AC176" s="1423"/>
      <c r="AD176" s="1422"/>
      <c r="AF176" s="1422"/>
      <c r="AG176" s="1422"/>
      <c r="AH176" s="1422"/>
      <c r="AI176" s="1449"/>
      <c r="AJ176" s="1449"/>
      <c r="AK176" s="1423"/>
      <c r="AL176" s="748"/>
    </row>
    <row r="177" spans="1:38">
      <c r="A177" s="728">
        <v>172</v>
      </c>
      <c r="B177" s="1443" t="s">
        <v>2669</v>
      </c>
      <c r="C177" s="1475"/>
      <c r="E177" s="1423">
        <f>'Revenue Reconcilliation'!Q117</f>
        <v>185978.68</v>
      </c>
      <c r="F177" s="1422"/>
      <c r="G177" s="1422"/>
      <c r="H177" s="1422"/>
      <c r="I177" s="1422"/>
      <c r="J177" s="1422"/>
      <c r="K177" s="1405"/>
      <c r="L177" s="1427"/>
      <c r="M177" s="1422"/>
      <c r="N177" s="1422"/>
      <c r="O177" s="1423"/>
      <c r="P177" s="1423"/>
      <c r="Q177" s="1423"/>
      <c r="R177" s="1422"/>
      <c r="S177" s="1423"/>
      <c r="T177" s="1423"/>
      <c r="U177" s="1423"/>
      <c r="V177" s="1422"/>
      <c r="W177" s="1422"/>
      <c r="X177" s="1422"/>
      <c r="Y177" s="1422"/>
      <c r="Z177" s="1422"/>
      <c r="AA177" s="1423"/>
      <c r="AB177" s="1423"/>
      <c r="AC177" s="1423"/>
      <c r="AD177" s="1422"/>
      <c r="AF177" s="1422"/>
      <c r="AG177" s="1422"/>
      <c r="AH177" s="1422"/>
      <c r="AI177" s="1449"/>
      <c r="AJ177" s="1449"/>
      <c r="AK177" s="1423"/>
      <c r="AL177" s="748"/>
    </row>
    <row r="178" spans="1:38">
      <c r="A178" s="728">
        <v>173</v>
      </c>
      <c r="B178" s="1443" t="s">
        <v>2670</v>
      </c>
      <c r="E178" s="1423">
        <f>'Revenue Reconcilliation'!Q118</f>
        <v>0</v>
      </c>
      <c r="F178" s="1423"/>
      <c r="G178" s="1423"/>
      <c r="H178" s="1423"/>
      <c r="I178" s="1423"/>
      <c r="J178" s="1423"/>
      <c r="K178" s="1405"/>
      <c r="L178" s="1427"/>
      <c r="M178" s="1422"/>
      <c r="N178" s="1423"/>
      <c r="O178" s="1423"/>
      <c r="P178" s="1423"/>
      <c r="Q178" s="1423"/>
      <c r="R178" s="1423"/>
      <c r="S178" s="1423"/>
      <c r="T178" s="1423"/>
      <c r="U178" s="1423"/>
      <c r="V178" s="1423"/>
      <c r="W178" s="1423"/>
      <c r="X178" s="1423"/>
      <c r="Y178" s="1423"/>
      <c r="Z178" s="1423"/>
      <c r="AA178" s="1423"/>
      <c r="AB178" s="1423"/>
      <c r="AC178" s="1423"/>
      <c r="AD178" s="1423"/>
      <c r="AF178" s="1423"/>
      <c r="AG178" s="1423"/>
      <c r="AH178" s="1423"/>
      <c r="AK178" s="1423"/>
      <c r="AL178" s="748"/>
    </row>
    <row r="179" spans="1:38">
      <c r="A179" s="728">
        <v>174</v>
      </c>
      <c r="B179" s="1443" t="s">
        <v>2678</v>
      </c>
      <c r="C179" s="1475"/>
      <c r="E179" s="1437">
        <f>'Revenue Reconcilliation'!Q119</f>
        <v>0</v>
      </c>
      <c r="F179" s="1422"/>
      <c r="G179" s="1422"/>
      <c r="H179" s="1422"/>
      <c r="I179" s="1422"/>
      <c r="J179" s="1422"/>
      <c r="K179" s="1405"/>
      <c r="L179" s="1427"/>
      <c r="M179" s="1422"/>
      <c r="N179" s="1422"/>
      <c r="O179" s="1423"/>
      <c r="P179" s="1423"/>
      <c r="Q179" s="1423"/>
      <c r="R179" s="1422"/>
      <c r="S179" s="1423"/>
      <c r="T179" s="1423"/>
      <c r="U179" s="1423"/>
      <c r="V179" s="1422"/>
      <c r="W179" s="1422"/>
      <c r="X179" s="1422"/>
      <c r="Y179" s="1422"/>
      <c r="Z179" s="1422"/>
      <c r="AA179" s="1423"/>
      <c r="AB179" s="1423"/>
      <c r="AC179" s="1423"/>
      <c r="AD179" s="1422"/>
      <c r="AF179" s="1422"/>
      <c r="AG179" s="1422"/>
      <c r="AH179" s="1422"/>
      <c r="AI179" s="1449"/>
      <c r="AJ179" s="1449"/>
      <c r="AK179" s="1423"/>
      <c r="AL179" s="748"/>
    </row>
    <row r="180" spans="1:38">
      <c r="A180" s="728">
        <v>175</v>
      </c>
      <c r="C180" s="1475"/>
      <c r="E180" s="1423">
        <f>SUM(E159:E179)</f>
        <v>151941.90000000008</v>
      </c>
      <c r="F180" s="1422"/>
      <c r="G180" s="1422"/>
      <c r="H180" s="1422"/>
      <c r="I180" s="1422"/>
      <c r="J180" s="1422"/>
      <c r="K180" s="1405"/>
      <c r="L180" s="1427"/>
      <c r="M180" s="1422"/>
      <c r="N180" s="1422"/>
      <c r="O180" s="1423"/>
      <c r="P180" s="1423"/>
      <c r="Q180" s="1423"/>
      <c r="R180" s="1422"/>
      <c r="S180" s="1423"/>
      <c r="T180" s="1423"/>
      <c r="U180" s="1423"/>
      <c r="V180" s="1422"/>
      <c r="W180" s="1422"/>
      <c r="X180" s="1422"/>
      <c r="Y180" s="1422"/>
      <c r="Z180" s="1422"/>
      <c r="AA180" s="1423"/>
      <c r="AB180" s="1423"/>
      <c r="AC180" s="1423"/>
      <c r="AD180" s="1422"/>
      <c r="AF180" s="1422"/>
      <c r="AG180" s="1422"/>
      <c r="AH180" s="1422"/>
      <c r="AI180" s="1449"/>
      <c r="AJ180" s="1449"/>
      <c r="AK180" s="1423"/>
      <c r="AL180" s="748"/>
    </row>
    <row r="181" spans="1:38">
      <c r="A181" s="728">
        <v>176</v>
      </c>
      <c r="C181" s="1475"/>
      <c r="E181" s="1423"/>
      <c r="F181" s="1422"/>
      <c r="G181" s="1422"/>
      <c r="H181" s="1422"/>
      <c r="I181" s="1422"/>
      <c r="J181" s="1422"/>
      <c r="K181" s="1405"/>
      <c r="L181" s="1427"/>
      <c r="M181" s="1422"/>
      <c r="N181" s="1422"/>
      <c r="O181" s="1423"/>
      <c r="P181" s="1423"/>
      <c r="Q181" s="1423"/>
      <c r="R181" s="1422"/>
      <c r="S181" s="1423"/>
      <c r="T181" s="1423"/>
      <c r="U181" s="1423"/>
      <c r="V181" s="1422"/>
      <c r="W181" s="1422"/>
      <c r="X181" s="1422"/>
      <c r="Y181" s="1422"/>
      <c r="Z181" s="1422"/>
      <c r="AA181" s="1423"/>
      <c r="AB181" s="1423"/>
      <c r="AC181" s="1423"/>
      <c r="AD181" s="1422"/>
      <c r="AF181" s="1422"/>
      <c r="AG181" s="1422"/>
      <c r="AH181" s="1422"/>
      <c r="AI181" s="1449"/>
      <c r="AJ181" s="1449"/>
      <c r="AK181" s="1423"/>
      <c r="AL181" s="748"/>
    </row>
    <row r="182" spans="1:38">
      <c r="A182" s="728">
        <v>177</v>
      </c>
      <c r="B182" s="1444" t="s">
        <v>2691</v>
      </c>
      <c r="C182" s="1423">
        <f>E182-'Revenue Reconcilliation'!Q122</f>
        <v>0</v>
      </c>
      <c r="D182" s="1404" t="s">
        <v>2673</v>
      </c>
      <c r="E182" s="1423">
        <f>SUM(E154,E156,E180)</f>
        <v>2410468.81</v>
      </c>
      <c r="F182" s="1423"/>
      <c r="G182" s="1423"/>
      <c r="H182" s="1423"/>
      <c r="I182" s="1423"/>
      <c r="J182" s="1423"/>
      <c r="K182" s="1405"/>
      <c r="L182" s="1427"/>
      <c r="M182" s="1422"/>
      <c r="N182" s="1423"/>
      <c r="O182" s="1423"/>
      <c r="P182" s="1423"/>
      <c r="Q182" s="1423"/>
      <c r="R182" s="1423"/>
      <c r="S182" s="1423"/>
      <c r="T182" s="1423"/>
      <c r="U182" s="1423"/>
      <c r="V182" s="1423"/>
      <c r="W182" s="1423"/>
      <c r="X182" s="1423"/>
      <c r="Y182" s="1423"/>
      <c r="Z182" s="1423"/>
      <c r="AA182" s="1423"/>
      <c r="AB182" s="1423"/>
      <c r="AC182" s="1423"/>
      <c r="AD182" s="1423"/>
      <c r="AF182" s="1423"/>
      <c r="AG182" s="1423"/>
      <c r="AH182" s="1423"/>
      <c r="AK182" s="1423"/>
      <c r="AL182" s="748"/>
    </row>
    <row r="183" spans="1:38">
      <c r="A183" s="728">
        <v>178</v>
      </c>
      <c r="B183" s="1448"/>
      <c r="E183" s="1423"/>
      <c r="F183" s="1423"/>
      <c r="G183" s="1423"/>
      <c r="H183" s="1423"/>
      <c r="I183" s="1423"/>
      <c r="J183" s="1423"/>
      <c r="K183" s="1405"/>
      <c r="L183" s="1427"/>
      <c r="M183" s="1422"/>
      <c r="N183" s="1423"/>
      <c r="O183" s="1423"/>
      <c r="P183" s="1423"/>
      <c r="Q183" s="1423"/>
      <c r="R183" s="1423"/>
      <c r="S183" s="1423"/>
      <c r="T183" s="1423"/>
      <c r="U183" s="1423"/>
      <c r="V183" s="1423"/>
      <c r="W183" s="1423"/>
      <c r="X183" s="1423"/>
      <c r="Y183" s="1423"/>
      <c r="Z183" s="1423"/>
      <c r="AA183" s="1423"/>
      <c r="AB183" s="1423"/>
      <c r="AC183" s="1423"/>
      <c r="AD183" s="1423"/>
      <c r="AF183" s="1423"/>
      <c r="AG183" s="1423"/>
      <c r="AH183" s="1423"/>
      <c r="AK183" s="1423"/>
      <c r="AL183" s="748"/>
    </row>
    <row r="184" spans="1:38">
      <c r="A184" s="728">
        <v>179</v>
      </c>
      <c r="B184" s="1420" t="s">
        <v>2694</v>
      </c>
      <c r="E184" s="1423"/>
      <c r="F184" s="1423"/>
      <c r="G184" s="1423" t="s">
        <v>2695</v>
      </c>
      <c r="H184" s="1423"/>
      <c r="I184" s="1423"/>
      <c r="J184" s="1423"/>
      <c r="K184" s="1405"/>
      <c r="L184" s="1427"/>
      <c r="M184" s="1422"/>
      <c r="N184" s="1423"/>
      <c r="O184" s="1423"/>
      <c r="P184" s="1423"/>
      <c r="Q184" s="1423"/>
      <c r="R184" s="1423"/>
      <c r="S184" s="1423"/>
      <c r="T184" s="1423"/>
      <c r="U184" s="1423"/>
      <c r="V184" s="1423"/>
      <c r="W184" s="1423"/>
      <c r="X184" s="1423"/>
      <c r="Y184" s="1423"/>
      <c r="Z184" s="1423"/>
      <c r="AA184" s="1423"/>
      <c r="AB184" s="1423"/>
      <c r="AC184" s="1423"/>
      <c r="AD184" s="1423"/>
      <c r="AF184" s="1423"/>
      <c r="AG184" s="1423"/>
      <c r="AH184" s="1423"/>
      <c r="AK184" s="1423"/>
      <c r="AL184" s="748"/>
    </row>
    <row r="185" spans="1:38">
      <c r="A185" s="728">
        <v>180</v>
      </c>
      <c r="B185" s="727" t="s">
        <v>2462</v>
      </c>
      <c r="C185" s="1477">
        <f>E185/D185</f>
        <v>12</v>
      </c>
      <c r="D185" s="1422">
        <v>13</v>
      </c>
      <c r="E185" s="1423">
        <f>'1501 Summary'!AD30</f>
        <v>156</v>
      </c>
      <c r="F185" s="1422"/>
      <c r="G185" s="1424">
        <f>-C185</f>
        <v>-12</v>
      </c>
      <c r="H185" s="1422">
        <f>D185</f>
        <v>13</v>
      </c>
      <c r="I185" s="1423">
        <f>H185*G185</f>
        <v>-156</v>
      </c>
      <c r="J185" s="1422"/>
      <c r="K185" s="1405">
        <f>C185+G185</f>
        <v>0</v>
      </c>
      <c r="L185" s="1422">
        <f>D185</f>
        <v>13</v>
      </c>
      <c r="M185" s="1423">
        <f>L185*K185</f>
        <v>0</v>
      </c>
      <c r="N185" s="1422"/>
      <c r="O185" s="1423"/>
      <c r="P185" s="1423"/>
      <c r="Q185" s="1423"/>
      <c r="R185" s="1422"/>
      <c r="S185" s="1423"/>
      <c r="T185" s="1423"/>
      <c r="U185" s="1423"/>
      <c r="V185" s="1422"/>
      <c r="W185" s="1422"/>
      <c r="X185" s="1422"/>
      <c r="Y185" s="1422"/>
      <c r="Z185" s="1422"/>
      <c r="AA185" s="1425"/>
      <c r="AB185" s="1425"/>
      <c r="AC185" s="1425"/>
      <c r="AD185" s="1422"/>
      <c r="AF185" s="1422"/>
      <c r="AG185" s="1422"/>
      <c r="AH185" s="1422"/>
      <c r="AI185" s="1405"/>
      <c r="AJ185" s="1405"/>
      <c r="AK185" s="1425"/>
      <c r="AL185" s="748"/>
    </row>
    <row r="186" spans="1:38">
      <c r="A186" s="728">
        <v>181</v>
      </c>
      <c r="B186" s="1453" t="s">
        <v>2696</v>
      </c>
      <c r="C186" s="1477">
        <f>E186/D186</f>
        <v>29649.079595540581</v>
      </c>
      <c r="D186" s="1361">
        <v>0.23141999999999999</v>
      </c>
      <c r="E186" s="1437">
        <f>'1501 Summary'!AD31</f>
        <v>6861.3900000000012</v>
      </c>
      <c r="F186" s="1422"/>
      <c r="G186" s="1424">
        <f>-C186</f>
        <v>-29649.079595540581</v>
      </c>
      <c r="H186" s="1422">
        <f>D186</f>
        <v>0.23141999999999999</v>
      </c>
      <c r="I186" s="1437">
        <f>H186*G186</f>
        <v>-6861.3900000000012</v>
      </c>
      <c r="J186" s="1422"/>
      <c r="K186" s="1405">
        <f>C186+G186</f>
        <v>0</v>
      </c>
      <c r="L186" s="1427">
        <v>0.26179999999999998</v>
      </c>
      <c r="M186" s="1437">
        <f>L186*K186</f>
        <v>0</v>
      </c>
      <c r="N186" s="1422"/>
      <c r="O186" s="1423"/>
      <c r="P186" s="1423"/>
      <c r="Q186" s="1423"/>
      <c r="R186" s="1422"/>
      <c r="S186" s="1423"/>
      <c r="T186" s="1423"/>
      <c r="U186" s="1423"/>
      <c r="V186" s="1422"/>
      <c r="W186" s="1422"/>
      <c r="X186" s="1422"/>
      <c r="Y186" s="1422"/>
      <c r="Z186" s="1422"/>
      <c r="AA186" s="1425"/>
      <c r="AB186" s="1425"/>
      <c r="AC186" s="1425"/>
      <c r="AD186" s="1422"/>
      <c r="AF186" s="1422"/>
      <c r="AG186" s="1422"/>
      <c r="AH186" s="1422"/>
      <c r="AI186" s="1405"/>
      <c r="AJ186" s="1405"/>
      <c r="AK186" s="1425"/>
      <c r="AL186" s="748"/>
    </row>
    <row r="187" spans="1:38">
      <c r="A187" s="728">
        <v>182</v>
      </c>
      <c r="B187" s="727" t="s">
        <v>2648</v>
      </c>
      <c r="E187" s="1423">
        <f>SUM(E185:E186)</f>
        <v>7017.3900000000012</v>
      </c>
      <c r="F187" s="1422"/>
      <c r="G187" s="1422"/>
      <c r="H187" s="1422"/>
      <c r="I187" s="1423">
        <f>SUM(I185:I186)</f>
        <v>-7017.3900000000012</v>
      </c>
      <c r="J187" s="1422"/>
      <c r="K187" s="1405"/>
      <c r="L187" s="1427"/>
      <c r="M187" s="1423">
        <f>SUM(M185:M186)</f>
        <v>0</v>
      </c>
      <c r="N187" s="1422"/>
      <c r="O187" s="1423"/>
      <c r="P187" s="1423"/>
      <c r="Q187" s="1423"/>
      <c r="R187" s="1422"/>
      <c r="S187" s="1423"/>
      <c r="T187" s="1423"/>
      <c r="U187" s="1423"/>
      <c r="V187" s="1422"/>
      <c r="W187" s="1422"/>
      <c r="X187" s="1422"/>
      <c r="Y187" s="1422"/>
      <c r="Z187" s="1422"/>
      <c r="AA187" s="1425"/>
      <c r="AB187" s="1425"/>
      <c r="AC187" s="1425"/>
      <c r="AD187" s="1422"/>
      <c r="AF187" s="1422"/>
      <c r="AG187" s="1422"/>
      <c r="AH187" s="1422"/>
      <c r="AK187" s="1425"/>
      <c r="AL187" s="748"/>
    </row>
    <row r="188" spans="1:38">
      <c r="A188" s="728">
        <v>183</v>
      </c>
      <c r="E188" s="1423"/>
      <c r="F188" s="1423"/>
      <c r="G188" s="1423"/>
      <c r="H188" s="1423"/>
      <c r="I188" s="1423"/>
      <c r="J188" s="1423"/>
      <c r="K188" s="1405"/>
      <c r="L188" s="1427"/>
      <c r="M188" s="1423"/>
      <c r="N188" s="1423"/>
      <c r="O188" s="1423"/>
      <c r="P188" s="1423"/>
      <c r="Q188" s="1423"/>
      <c r="R188" s="1423"/>
      <c r="S188" s="1423"/>
      <c r="T188" s="1423"/>
      <c r="U188" s="1423"/>
      <c r="V188" s="1423"/>
      <c r="W188" s="1423"/>
      <c r="X188" s="1423"/>
      <c r="Y188" s="1423"/>
      <c r="Z188" s="1423"/>
      <c r="AA188" s="1423"/>
      <c r="AB188" s="1423"/>
      <c r="AC188" s="1423"/>
      <c r="AD188" s="1423"/>
      <c r="AF188" s="1423"/>
      <c r="AG188" s="1423"/>
      <c r="AH188" s="1423"/>
      <c r="AK188" s="1423"/>
      <c r="AL188" s="748"/>
    </row>
    <row r="189" spans="1:38">
      <c r="A189" s="728">
        <v>184</v>
      </c>
      <c r="B189" s="727" t="s">
        <v>2650</v>
      </c>
      <c r="E189" s="1423">
        <f>'1501 Summary'!AD32</f>
        <v>12851.83</v>
      </c>
      <c r="F189" s="1423"/>
      <c r="G189" s="1423"/>
      <c r="H189" s="1423"/>
      <c r="I189" s="1423"/>
      <c r="J189" s="1423"/>
      <c r="K189" s="1405"/>
      <c r="L189" s="1427"/>
      <c r="M189" s="1423"/>
      <c r="N189" s="1423"/>
      <c r="O189" s="1423"/>
      <c r="P189" s="1423"/>
      <c r="Q189" s="1423"/>
      <c r="R189" s="1423"/>
      <c r="S189" s="1423"/>
      <c r="T189" s="1423"/>
      <c r="U189" s="1423"/>
      <c r="V189" s="1423"/>
      <c r="W189" s="1423"/>
      <c r="X189" s="1423"/>
      <c r="Y189" s="1423"/>
      <c r="Z189" s="1423"/>
      <c r="AA189" s="1423"/>
      <c r="AB189" s="1423"/>
      <c r="AC189" s="1423"/>
      <c r="AD189" s="1423"/>
      <c r="AF189" s="1423"/>
      <c r="AG189" s="1423"/>
      <c r="AH189" s="1423"/>
      <c r="AK189" s="1423"/>
      <c r="AL189" s="748"/>
    </row>
    <row r="190" spans="1:38">
      <c r="A190" s="728">
        <v>185</v>
      </c>
      <c r="E190" s="1423"/>
      <c r="F190" s="1423"/>
      <c r="G190" s="1423"/>
      <c r="H190" s="1423"/>
      <c r="I190" s="1423"/>
      <c r="J190" s="1423"/>
      <c r="K190" s="1405"/>
      <c r="L190" s="1427"/>
      <c r="M190" s="1423"/>
      <c r="N190" s="1423"/>
      <c r="O190" s="1423"/>
      <c r="P190" s="1423"/>
      <c r="Q190" s="1423"/>
      <c r="R190" s="1423"/>
      <c r="S190" s="1423"/>
      <c r="T190" s="1423"/>
      <c r="U190" s="1423"/>
      <c r="V190" s="1423"/>
      <c r="W190" s="1423"/>
      <c r="X190" s="1423"/>
      <c r="Y190" s="1423"/>
      <c r="Z190" s="1423"/>
      <c r="AA190" s="1423"/>
      <c r="AB190" s="1423"/>
      <c r="AC190" s="1423"/>
      <c r="AD190" s="1423"/>
      <c r="AF190" s="1423"/>
      <c r="AG190" s="1423"/>
      <c r="AH190" s="1423"/>
      <c r="AK190" s="1423"/>
      <c r="AL190" s="748"/>
    </row>
    <row r="191" spans="1:38">
      <c r="A191" s="728">
        <v>186</v>
      </c>
      <c r="B191" s="727" t="s">
        <v>2651</v>
      </c>
      <c r="E191" s="1423"/>
      <c r="F191" s="1423"/>
      <c r="G191" s="1423"/>
      <c r="H191" s="1423"/>
      <c r="I191" s="1423"/>
      <c r="J191" s="1423"/>
      <c r="K191" s="1405"/>
      <c r="L191" s="1427"/>
      <c r="M191" s="1423"/>
      <c r="N191" s="1423"/>
      <c r="O191" s="1423"/>
      <c r="P191" s="1423"/>
      <c r="Q191" s="1423"/>
      <c r="R191" s="1423"/>
      <c r="S191" s="1423"/>
      <c r="T191" s="1423"/>
      <c r="U191" s="1423"/>
      <c r="V191" s="1423"/>
      <c r="W191" s="1423"/>
      <c r="X191" s="1423"/>
      <c r="Y191" s="1423"/>
      <c r="Z191" s="1423"/>
      <c r="AA191" s="1423"/>
      <c r="AB191" s="1423"/>
      <c r="AC191" s="1423"/>
      <c r="AD191" s="1423"/>
      <c r="AF191" s="1423"/>
      <c r="AG191" s="1423"/>
      <c r="AH191" s="1423"/>
      <c r="AK191" s="1423"/>
      <c r="AL191" s="748"/>
    </row>
    <row r="192" spans="1:38">
      <c r="A192" s="728">
        <v>187</v>
      </c>
      <c r="B192" s="727" t="s">
        <v>2652</v>
      </c>
      <c r="E192" s="1423">
        <f>'1501 Summary'!AD33</f>
        <v>1079.01</v>
      </c>
      <c r="F192" s="1423"/>
      <c r="G192" s="1423"/>
      <c r="H192" s="1423"/>
      <c r="I192" s="1423"/>
      <c r="J192" s="1423"/>
      <c r="K192" s="1405"/>
      <c r="L192" s="1427"/>
      <c r="M192" s="1423"/>
      <c r="N192" s="1423"/>
      <c r="O192" s="1423"/>
      <c r="P192" s="1423"/>
      <c r="Q192" s="1423"/>
      <c r="R192" s="1423"/>
      <c r="S192" s="1423"/>
      <c r="T192" s="1423"/>
      <c r="U192" s="1423"/>
      <c r="V192" s="1423"/>
      <c r="W192" s="1423"/>
      <c r="X192" s="1423"/>
      <c r="Y192" s="1423"/>
      <c r="Z192" s="1423"/>
      <c r="AA192" s="1423"/>
      <c r="AB192" s="1423"/>
      <c r="AC192" s="1423"/>
      <c r="AD192" s="1423"/>
      <c r="AF192" s="1423"/>
      <c r="AG192" s="1423"/>
      <c r="AH192" s="1423"/>
      <c r="AK192" s="1423"/>
      <c r="AL192" s="748"/>
    </row>
    <row r="193" spans="1:38">
      <c r="A193" s="728">
        <v>188</v>
      </c>
      <c r="B193" s="727" t="s">
        <v>2653</v>
      </c>
      <c r="E193" s="1423">
        <f>'1501 Summary'!AD34</f>
        <v>81.060000000000016</v>
      </c>
      <c r="F193" s="1422"/>
      <c r="G193" s="1422"/>
      <c r="H193" s="1422"/>
      <c r="I193" s="1422"/>
      <c r="J193" s="1422"/>
      <c r="K193" s="1405"/>
      <c r="L193" s="1427"/>
      <c r="M193" s="1423"/>
      <c r="N193" s="1422"/>
      <c r="O193" s="1423"/>
      <c r="P193" s="1423"/>
      <c r="Q193" s="1423"/>
      <c r="R193" s="1422"/>
      <c r="S193" s="1423"/>
      <c r="T193" s="1423"/>
      <c r="U193" s="1423"/>
      <c r="V193" s="1422"/>
      <c r="W193" s="1422"/>
      <c r="X193" s="1422"/>
      <c r="Y193" s="1422"/>
      <c r="Z193" s="1422"/>
      <c r="AA193" s="727"/>
      <c r="AB193" s="727"/>
      <c r="AC193" s="727"/>
      <c r="AD193" s="1422"/>
      <c r="AF193" s="1422"/>
      <c r="AG193" s="1422"/>
      <c r="AH193" s="1422"/>
      <c r="AK193" s="727"/>
      <c r="AL193" s="748"/>
    </row>
    <row r="194" spans="1:38">
      <c r="A194" s="728">
        <v>189</v>
      </c>
      <c r="B194" s="727" t="s">
        <v>2654</v>
      </c>
      <c r="E194" s="1423">
        <f>'1501 Summary'!AD35</f>
        <v>273.79000000000002</v>
      </c>
      <c r="F194" s="1422"/>
      <c r="G194" s="1422"/>
      <c r="H194" s="1422"/>
      <c r="I194" s="1422"/>
      <c r="J194" s="1422"/>
      <c r="K194" s="1405"/>
      <c r="L194" s="1427"/>
      <c r="M194" s="1423"/>
      <c r="N194" s="1422"/>
      <c r="O194" s="1423"/>
      <c r="P194" s="1423"/>
      <c r="Q194" s="1423"/>
      <c r="R194" s="1422"/>
      <c r="S194" s="1423"/>
      <c r="T194" s="1423"/>
      <c r="U194" s="1423"/>
      <c r="V194" s="1422"/>
      <c r="W194" s="1422"/>
      <c r="X194" s="1422"/>
      <c r="Y194" s="1422"/>
      <c r="Z194" s="1422"/>
      <c r="AA194" s="1443"/>
      <c r="AB194" s="1443"/>
      <c r="AC194" s="1443"/>
      <c r="AD194" s="1422"/>
      <c r="AF194" s="1422"/>
      <c r="AG194" s="1422"/>
      <c r="AH194" s="1422"/>
      <c r="AK194" s="1443"/>
      <c r="AL194" s="748"/>
    </row>
    <row r="195" spans="1:38">
      <c r="A195" s="728">
        <v>190</v>
      </c>
      <c r="B195" s="727" t="s">
        <v>2655</v>
      </c>
      <c r="E195" s="1423">
        <f>'1501 Summary'!AD36</f>
        <v>-779.09</v>
      </c>
      <c r="F195" s="1422"/>
      <c r="G195" s="1422"/>
      <c r="H195" s="1422"/>
      <c r="I195" s="1422"/>
      <c r="J195" s="1422"/>
      <c r="K195" s="1405"/>
      <c r="L195" s="1427"/>
      <c r="M195" s="1423"/>
      <c r="N195" s="1422"/>
      <c r="O195" s="1423"/>
      <c r="P195" s="1423"/>
      <c r="Q195" s="1423"/>
      <c r="R195" s="1422"/>
      <c r="S195" s="1423"/>
      <c r="T195" s="1423"/>
      <c r="U195" s="1423"/>
      <c r="V195" s="1422"/>
      <c r="W195" s="1422"/>
      <c r="X195" s="1422"/>
      <c r="Y195" s="1422"/>
      <c r="Z195" s="1422"/>
      <c r="AA195" s="1443"/>
      <c r="AB195" s="1443"/>
      <c r="AC195" s="1443"/>
      <c r="AD195" s="1422"/>
      <c r="AF195" s="1422"/>
      <c r="AG195" s="1422"/>
      <c r="AH195" s="1422"/>
      <c r="AK195" s="1443"/>
      <c r="AL195" s="748"/>
    </row>
    <row r="196" spans="1:38">
      <c r="A196" s="728">
        <v>191</v>
      </c>
      <c r="B196" s="727" t="s">
        <v>2656</v>
      </c>
      <c r="E196" s="1423">
        <f>'1501 Summary'!AD37</f>
        <v>198.85</v>
      </c>
      <c r="F196" s="1422"/>
      <c r="G196" s="1422"/>
      <c r="H196" s="1422"/>
      <c r="I196" s="1422"/>
      <c r="J196" s="1422"/>
      <c r="K196" s="1405"/>
      <c r="L196" s="1427"/>
      <c r="M196" s="1423"/>
      <c r="N196" s="1422"/>
      <c r="O196" s="1423"/>
      <c r="P196" s="1423"/>
      <c r="Q196" s="1423"/>
      <c r="R196" s="1422"/>
      <c r="S196" s="1423"/>
      <c r="T196" s="1423"/>
      <c r="U196" s="1423"/>
      <c r="V196" s="1422"/>
      <c r="W196" s="1422"/>
      <c r="X196" s="1422"/>
      <c r="Y196" s="1422"/>
      <c r="Z196" s="1422"/>
      <c r="AA196" s="1443"/>
      <c r="AB196" s="1443"/>
      <c r="AC196" s="1443"/>
      <c r="AD196" s="1422"/>
      <c r="AF196" s="1422"/>
      <c r="AG196" s="1422"/>
      <c r="AH196" s="1422"/>
      <c r="AK196" s="1443"/>
      <c r="AL196" s="748"/>
    </row>
    <row r="197" spans="1:38">
      <c r="A197" s="728">
        <v>192</v>
      </c>
      <c r="B197" s="727" t="s">
        <v>2657</v>
      </c>
      <c r="E197" s="1423">
        <f>'1501 Summary'!AD38</f>
        <v>811.63</v>
      </c>
      <c r="F197" s="1422"/>
      <c r="G197" s="1422"/>
      <c r="H197" s="1422"/>
      <c r="I197" s="1422"/>
      <c r="J197" s="1422"/>
      <c r="K197" s="1405"/>
      <c r="L197" s="1427"/>
      <c r="M197" s="1423"/>
      <c r="N197" s="1422"/>
      <c r="O197" s="1423"/>
      <c r="P197" s="1423"/>
      <c r="Q197" s="1423"/>
      <c r="R197" s="1422"/>
      <c r="S197" s="1423"/>
      <c r="T197" s="1423"/>
      <c r="U197" s="1423"/>
      <c r="V197" s="1422"/>
      <c r="W197" s="1422"/>
      <c r="X197" s="1422"/>
      <c r="Y197" s="1422"/>
      <c r="Z197" s="1422"/>
      <c r="AA197" s="1443"/>
      <c r="AB197" s="1443"/>
      <c r="AC197" s="1443"/>
      <c r="AD197" s="1422"/>
      <c r="AF197" s="1422"/>
      <c r="AG197" s="1422"/>
      <c r="AH197" s="1422"/>
      <c r="AK197" s="1443"/>
      <c r="AL197" s="748"/>
    </row>
    <row r="198" spans="1:38">
      <c r="A198" s="728">
        <v>193</v>
      </c>
      <c r="B198" s="1478" t="s">
        <v>2658</v>
      </c>
      <c r="E198" s="1423">
        <f>'1501 Summary'!AD39</f>
        <v>-166.03999999999996</v>
      </c>
      <c r="F198" s="1422"/>
      <c r="G198" s="1422"/>
      <c r="H198" s="1422"/>
      <c r="I198" s="1422"/>
      <c r="J198" s="1422"/>
      <c r="K198" s="1405"/>
      <c r="L198" s="1427"/>
      <c r="M198" s="1423"/>
      <c r="N198" s="1422"/>
      <c r="O198" s="1423"/>
      <c r="P198" s="1423"/>
      <c r="Q198" s="1423"/>
      <c r="R198" s="1422"/>
      <c r="S198" s="1423"/>
      <c r="T198" s="1423"/>
      <c r="U198" s="1423"/>
      <c r="V198" s="1422"/>
      <c r="W198" s="1422"/>
      <c r="X198" s="1422"/>
      <c r="Y198" s="1422"/>
      <c r="Z198" s="1422"/>
      <c r="AA198" s="1479"/>
      <c r="AB198" s="1479"/>
      <c r="AC198" s="1479"/>
      <c r="AD198" s="1422"/>
      <c r="AF198" s="1422"/>
      <c r="AG198" s="1422"/>
      <c r="AH198" s="1422"/>
      <c r="AK198" s="1480"/>
      <c r="AL198" s="748"/>
    </row>
    <row r="199" spans="1:38">
      <c r="A199" s="728">
        <v>194</v>
      </c>
      <c r="B199" s="1478" t="s">
        <v>2659</v>
      </c>
      <c r="E199" s="1423">
        <f>'1501 Summary'!AD40</f>
        <v>-74.87</v>
      </c>
      <c r="F199" s="1422"/>
      <c r="G199" s="1422"/>
      <c r="H199" s="1422"/>
      <c r="I199" s="1422"/>
      <c r="J199" s="1422"/>
      <c r="K199" s="1405"/>
      <c r="L199" s="1427"/>
      <c r="M199" s="1423"/>
      <c r="N199" s="1422"/>
      <c r="O199" s="1423"/>
      <c r="P199" s="1423"/>
      <c r="Q199" s="1423"/>
      <c r="R199" s="1422"/>
      <c r="S199" s="1423"/>
      <c r="T199" s="1423"/>
      <c r="U199" s="1423"/>
      <c r="V199" s="1422"/>
      <c r="W199" s="1422"/>
      <c r="X199" s="1422"/>
      <c r="Y199" s="1422"/>
      <c r="Z199" s="1422"/>
      <c r="AA199" s="1479"/>
      <c r="AB199" s="1479"/>
      <c r="AC199" s="1479"/>
      <c r="AD199" s="1422"/>
      <c r="AF199" s="1422"/>
      <c r="AG199" s="1422"/>
      <c r="AH199" s="1422"/>
      <c r="AK199" s="1480"/>
      <c r="AL199" s="748"/>
    </row>
    <row r="200" spans="1:38">
      <c r="A200" s="728">
        <v>195</v>
      </c>
      <c r="B200" s="1478" t="s">
        <v>2660</v>
      </c>
      <c r="E200" s="1423">
        <f>'1501 Summary'!AD41</f>
        <v>-120.50000000000003</v>
      </c>
      <c r="F200" s="1422"/>
      <c r="G200" s="1422"/>
      <c r="H200" s="1422"/>
      <c r="I200" s="1422"/>
      <c r="J200" s="1422"/>
      <c r="K200" s="1405"/>
      <c r="L200" s="1427"/>
      <c r="M200" s="1423"/>
      <c r="N200" s="1422"/>
      <c r="O200" s="1423"/>
      <c r="P200" s="1423"/>
      <c r="Q200" s="1423"/>
      <c r="R200" s="1422"/>
      <c r="S200" s="1423"/>
      <c r="T200" s="1423"/>
      <c r="U200" s="1423"/>
      <c r="V200" s="1422"/>
      <c r="W200" s="1422"/>
      <c r="X200" s="1422"/>
      <c r="Y200" s="1422"/>
      <c r="Z200" s="1422"/>
      <c r="AA200" s="1479"/>
      <c r="AB200" s="1479"/>
      <c r="AC200" s="1479"/>
      <c r="AD200" s="1422"/>
      <c r="AF200" s="1422"/>
      <c r="AG200" s="1422"/>
      <c r="AH200" s="1422"/>
      <c r="AK200" s="1480"/>
      <c r="AL200" s="748"/>
    </row>
    <row r="201" spans="1:38">
      <c r="A201" s="728">
        <v>196</v>
      </c>
      <c r="B201" s="727" t="s">
        <v>2661</v>
      </c>
      <c r="E201" s="1423">
        <f>'1501 Summary'!AD42</f>
        <v>1270.4000000000001</v>
      </c>
      <c r="F201" s="1422"/>
      <c r="G201" s="1422"/>
      <c r="H201" s="1422"/>
      <c r="I201" s="1422"/>
      <c r="J201" s="1422"/>
      <c r="K201" s="1405"/>
      <c r="L201" s="1427"/>
      <c r="M201" s="1423"/>
      <c r="N201" s="1422"/>
      <c r="O201" s="1423"/>
      <c r="P201" s="1423"/>
      <c r="Q201" s="1423"/>
      <c r="R201" s="1422"/>
      <c r="S201" s="1423"/>
      <c r="T201" s="1423"/>
      <c r="U201" s="1423"/>
      <c r="V201" s="1422"/>
      <c r="W201" s="1422"/>
      <c r="X201" s="1422"/>
      <c r="Y201" s="1422"/>
      <c r="Z201" s="1422"/>
      <c r="AA201" s="1443"/>
      <c r="AB201" s="1443"/>
      <c r="AC201" s="1443"/>
      <c r="AD201" s="1422"/>
      <c r="AF201" s="1422"/>
      <c r="AG201" s="1422"/>
      <c r="AH201" s="1422"/>
      <c r="AK201" s="1443"/>
      <c r="AL201" s="748"/>
    </row>
    <row r="202" spans="1:38">
      <c r="A202" s="728">
        <v>197</v>
      </c>
      <c r="B202" s="727" t="s">
        <v>54</v>
      </c>
      <c r="E202" s="1423"/>
      <c r="F202" s="1422"/>
      <c r="G202" s="1422"/>
      <c r="H202" s="1422"/>
      <c r="I202" s="1422"/>
      <c r="J202" s="1422"/>
      <c r="K202" s="1405"/>
      <c r="L202" s="1427"/>
      <c r="M202" s="1423"/>
      <c r="N202" s="1422"/>
      <c r="O202" s="1423"/>
      <c r="P202" s="1423"/>
      <c r="Q202" s="1423"/>
      <c r="R202" s="1422"/>
      <c r="S202" s="1423"/>
      <c r="T202" s="1423"/>
      <c r="U202" s="1423"/>
      <c r="V202" s="1422"/>
      <c r="W202" s="1422"/>
      <c r="X202" s="1422"/>
      <c r="Y202" s="1422"/>
      <c r="Z202" s="1422"/>
      <c r="AA202" s="1478"/>
      <c r="AB202" s="1478"/>
      <c r="AC202" s="1478"/>
      <c r="AD202" s="1422"/>
      <c r="AF202" s="1422"/>
      <c r="AG202" s="1422"/>
      <c r="AH202" s="1422"/>
      <c r="AK202" s="1481"/>
      <c r="AL202" s="748"/>
    </row>
    <row r="203" spans="1:38">
      <c r="A203" s="728">
        <v>198</v>
      </c>
      <c r="B203" s="727" t="s">
        <v>2666</v>
      </c>
      <c r="E203" s="1423">
        <f>'Revenue Reconcilliation'!Q134</f>
        <v>0</v>
      </c>
      <c r="F203" s="1422"/>
      <c r="G203" s="1422"/>
      <c r="H203" s="1422"/>
      <c r="I203" s="1422"/>
      <c r="J203" s="1422"/>
      <c r="K203" s="1405"/>
      <c r="L203" s="1427"/>
      <c r="M203" s="1423"/>
      <c r="N203" s="1422"/>
      <c r="O203" s="1423"/>
      <c r="P203" s="1423"/>
      <c r="Q203" s="1423"/>
      <c r="R203" s="1422"/>
      <c r="S203" s="1423"/>
      <c r="T203" s="1423"/>
      <c r="U203" s="1423"/>
      <c r="V203" s="1422"/>
      <c r="W203" s="1422"/>
      <c r="X203" s="1422"/>
      <c r="Y203" s="1422"/>
      <c r="Z203" s="1422"/>
      <c r="AA203" s="1478"/>
      <c r="AB203" s="1478"/>
      <c r="AC203" s="1478"/>
      <c r="AD203" s="1422"/>
      <c r="AF203" s="1422"/>
      <c r="AG203" s="1422"/>
      <c r="AH203" s="1422"/>
      <c r="AK203" s="1481"/>
      <c r="AL203" s="748"/>
    </row>
    <row r="204" spans="1:38">
      <c r="A204" s="728">
        <v>199</v>
      </c>
      <c r="B204" s="727" t="s">
        <v>2667</v>
      </c>
      <c r="E204" s="1423">
        <f>'Revenue Reconcilliation'!Q135</f>
        <v>0</v>
      </c>
      <c r="F204" s="1422"/>
      <c r="G204" s="1422"/>
      <c r="H204" s="1422"/>
      <c r="I204" s="1422"/>
      <c r="J204" s="1422"/>
      <c r="K204" s="1405"/>
      <c r="L204" s="1427"/>
      <c r="M204" s="1423"/>
      <c r="N204" s="1422"/>
      <c r="O204" s="1423"/>
      <c r="P204" s="1423"/>
      <c r="Q204" s="1423"/>
      <c r="R204" s="1422"/>
      <c r="S204" s="1423"/>
      <c r="T204" s="1423"/>
      <c r="U204" s="1423"/>
      <c r="V204" s="1422"/>
      <c r="W204" s="1422"/>
      <c r="X204" s="1422"/>
      <c r="Y204" s="1422"/>
      <c r="Z204" s="1422"/>
      <c r="AA204" s="727"/>
      <c r="AB204" s="727"/>
      <c r="AC204" s="727"/>
      <c r="AD204" s="1422"/>
      <c r="AF204" s="1422"/>
      <c r="AG204" s="1422"/>
      <c r="AH204" s="1422"/>
      <c r="AK204" s="727"/>
      <c r="AL204" s="748"/>
    </row>
    <row r="205" spans="1:38">
      <c r="A205" s="728">
        <v>200</v>
      </c>
      <c r="B205" s="727" t="s">
        <v>2668</v>
      </c>
      <c r="E205" s="1423">
        <f>'Revenue Reconcilliation'!Q136</f>
        <v>-6019.84</v>
      </c>
      <c r="F205" s="1422"/>
      <c r="G205" s="1422"/>
      <c r="H205" s="1422"/>
      <c r="I205" s="1422"/>
      <c r="J205" s="1422"/>
      <c r="K205" s="1405"/>
      <c r="L205" s="1427"/>
      <c r="M205" s="1423"/>
      <c r="N205" s="1422"/>
      <c r="O205" s="1423"/>
      <c r="P205" s="1423"/>
      <c r="Q205" s="1423"/>
      <c r="R205" s="1422"/>
      <c r="S205" s="1423"/>
      <c r="T205" s="1423"/>
      <c r="U205" s="1423"/>
      <c r="V205" s="1422"/>
      <c r="W205" s="1422"/>
      <c r="X205" s="1422"/>
      <c r="Y205" s="1422"/>
      <c r="Z205" s="1422"/>
      <c r="AA205" s="1423"/>
      <c r="AB205" s="1423"/>
      <c r="AC205" s="1423"/>
      <c r="AD205" s="1422"/>
      <c r="AF205" s="1422"/>
      <c r="AG205" s="1422"/>
      <c r="AH205" s="1422"/>
      <c r="AK205" s="1423"/>
      <c r="AL205" s="748"/>
    </row>
    <row r="206" spans="1:38">
      <c r="A206" s="728">
        <v>201</v>
      </c>
      <c r="B206" s="727" t="s">
        <v>2669</v>
      </c>
      <c r="E206" s="1423">
        <f>'Revenue Reconcilliation'!Q137</f>
        <v>548.26</v>
      </c>
      <c r="F206" s="1422"/>
      <c r="G206" s="1422"/>
      <c r="H206" s="1422"/>
      <c r="I206" s="1422"/>
      <c r="J206" s="1422"/>
      <c r="K206" s="1405"/>
      <c r="L206" s="1427"/>
      <c r="M206" s="1423"/>
      <c r="N206" s="1422"/>
      <c r="O206" s="1423"/>
      <c r="P206" s="1423"/>
      <c r="Q206" s="1423"/>
      <c r="R206" s="1422"/>
      <c r="S206" s="1423"/>
      <c r="T206" s="1423"/>
      <c r="U206" s="1423"/>
      <c r="V206" s="1422"/>
      <c r="W206" s="1422"/>
      <c r="X206" s="1422"/>
      <c r="Y206" s="1422"/>
      <c r="Z206" s="1422"/>
      <c r="AA206" s="1423"/>
      <c r="AB206" s="1423"/>
      <c r="AC206" s="1423"/>
      <c r="AD206" s="1422"/>
      <c r="AF206" s="1422"/>
      <c r="AG206" s="1422"/>
      <c r="AH206" s="1422"/>
      <c r="AK206" s="1423"/>
      <c r="AL206" s="748"/>
    </row>
    <row r="207" spans="1:38">
      <c r="A207" s="728">
        <v>202</v>
      </c>
      <c r="B207" s="727" t="s">
        <v>2670</v>
      </c>
      <c r="E207" s="1423">
        <f>'Revenue Reconcilliation'!Q138</f>
        <v>0</v>
      </c>
      <c r="F207" s="1422"/>
      <c r="G207" s="1422"/>
      <c r="H207" s="1422"/>
      <c r="I207" s="1422"/>
      <c r="J207" s="1422"/>
      <c r="K207" s="1405"/>
      <c r="L207" s="1427"/>
      <c r="M207" s="1423"/>
      <c r="N207" s="1422"/>
      <c r="O207" s="1423"/>
      <c r="P207" s="1423"/>
      <c r="Q207" s="1423"/>
      <c r="R207" s="1422"/>
      <c r="S207" s="1423"/>
      <c r="T207" s="1423"/>
      <c r="U207" s="1423"/>
      <c r="V207" s="1422"/>
      <c r="W207" s="1422"/>
      <c r="X207" s="1422"/>
      <c r="Y207" s="1422"/>
      <c r="Z207" s="1422"/>
      <c r="AA207" s="1423"/>
      <c r="AB207" s="1423"/>
      <c r="AC207" s="1423"/>
      <c r="AD207" s="1422"/>
      <c r="AF207" s="1422"/>
      <c r="AG207" s="1422"/>
      <c r="AH207" s="1422"/>
      <c r="AK207" s="1423"/>
      <c r="AL207" s="748"/>
    </row>
    <row r="208" spans="1:38">
      <c r="A208" s="728">
        <v>203</v>
      </c>
      <c r="B208" s="1482" t="s">
        <v>2451</v>
      </c>
      <c r="E208" s="1423">
        <f>'Revenue Reconcilliation'!Q139</f>
        <v>0</v>
      </c>
      <c r="F208" s="1422"/>
      <c r="G208" s="1422"/>
      <c r="H208" s="1422"/>
      <c r="I208" s="1422"/>
      <c r="J208" s="1422"/>
      <c r="K208" s="1405"/>
      <c r="L208" s="1427"/>
      <c r="M208" s="1423"/>
      <c r="N208" s="1422"/>
      <c r="O208" s="1423"/>
      <c r="P208" s="1423"/>
      <c r="Q208" s="1423"/>
      <c r="R208" s="1422"/>
      <c r="S208" s="1423"/>
      <c r="T208" s="1423"/>
      <c r="U208" s="1423"/>
      <c r="V208" s="1422"/>
      <c r="W208" s="1422"/>
      <c r="X208" s="1422"/>
      <c r="Y208" s="1422"/>
      <c r="Z208" s="1422"/>
      <c r="AA208" s="1423"/>
      <c r="AB208" s="1423"/>
      <c r="AC208" s="1423"/>
      <c r="AD208" s="1422"/>
      <c r="AF208" s="1422"/>
      <c r="AG208" s="1422"/>
      <c r="AH208" s="1422"/>
      <c r="AK208" s="1423"/>
      <c r="AL208" s="748"/>
    </row>
    <row r="209" spans="1:38">
      <c r="A209" s="728">
        <v>204</v>
      </c>
      <c r="B209" s="1482" t="s">
        <v>2697</v>
      </c>
      <c r="E209" s="1423">
        <f>'Revenue Reconcilliation'!Q140</f>
        <v>-22362.400000000001</v>
      </c>
      <c r="F209" s="1422"/>
      <c r="G209" s="1422"/>
      <c r="H209" s="1422"/>
      <c r="I209" s="1422"/>
      <c r="J209" s="1422"/>
      <c r="K209" s="1405"/>
      <c r="L209" s="1427"/>
      <c r="M209" s="1423"/>
      <c r="N209" s="1422"/>
      <c r="O209" s="1423"/>
      <c r="P209" s="1423"/>
      <c r="Q209" s="1423"/>
      <c r="R209" s="1422"/>
      <c r="S209" s="1423"/>
      <c r="T209" s="1423"/>
      <c r="U209" s="1423"/>
      <c r="V209" s="1422"/>
      <c r="W209" s="1422"/>
      <c r="X209" s="1422"/>
      <c r="Y209" s="1422"/>
      <c r="Z209" s="1422"/>
      <c r="AA209" s="1423"/>
      <c r="AB209" s="1423"/>
      <c r="AC209" s="1423"/>
      <c r="AD209" s="1422"/>
      <c r="AF209" s="1422"/>
      <c r="AG209" s="1422"/>
      <c r="AH209" s="1422"/>
      <c r="AK209" s="1423"/>
      <c r="AL209" s="748"/>
    </row>
    <row r="210" spans="1:38">
      <c r="A210" s="728">
        <v>205</v>
      </c>
      <c r="B210" s="1482" t="s">
        <v>2698</v>
      </c>
      <c r="E210" s="1423">
        <f>'Revenue Reconcilliation'!Q141</f>
        <v>22904.080000000002</v>
      </c>
      <c r="F210" s="1422"/>
      <c r="G210" s="1422"/>
      <c r="H210" s="1422"/>
      <c r="I210" s="1422"/>
      <c r="J210" s="1422"/>
      <c r="K210" s="1405"/>
      <c r="L210" s="1427"/>
      <c r="M210" s="1423"/>
      <c r="N210" s="1422"/>
      <c r="O210" s="1423"/>
      <c r="P210" s="1423"/>
      <c r="Q210" s="1423"/>
      <c r="R210" s="1422"/>
      <c r="S210" s="1423"/>
      <c r="T210" s="1423"/>
      <c r="U210" s="1423"/>
      <c r="V210" s="1422"/>
      <c r="W210" s="1422"/>
      <c r="X210" s="1422"/>
      <c r="Y210" s="1422"/>
      <c r="Z210" s="1422"/>
      <c r="AA210" s="1423"/>
      <c r="AB210" s="1423"/>
      <c r="AC210" s="1423"/>
      <c r="AD210" s="1422"/>
      <c r="AF210" s="1422"/>
      <c r="AG210" s="1422"/>
      <c r="AH210" s="1422"/>
      <c r="AK210" s="1423"/>
      <c r="AL210" s="748"/>
    </row>
    <row r="211" spans="1:38">
      <c r="A211" s="728">
        <v>206</v>
      </c>
      <c r="B211" s="727" t="s">
        <v>2678</v>
      </c>
      <c r="E211" s="1423">
        <f>SUM(E192:E210)</f>
        <v>-2355.66</v>
      </c>
      <c r="F211" s="1422"/>
      <c r="G211" s="1422"/>
      <c r="H211" s="1422"/>
      <c r="I211" s="1422"/>
      <c r="J211" s="1422"/>
      <c r="K211" s="1405"/>
      <c r="L211" s="1427"/>
      <c r="M211" s="1423"/>
      <c r="N211" s="1422"/>
      <c r="O211" s="1423"/>
      <c r="P211" s="1423"/>
      <c r="Q211" s="1423"/>
      <c r="R211" s="1422"/>
      <c r="S211" s="1423"/>
      <c r="T211" s="1423"/>
      <c r="U211" s="1423"/>
      <c r="V211" s="1422"/>
      <c r="W211" s="1422"/>
      <c r="X211" s="1422"/>
      <c r="Y211" s="1422"/>
      <c r="Z211" s="1422"/>
      <c r="AA211" s="1423"/>
      <c r="AB211" s="1423"/>
      <c r="AC211" s="1423"/>
      <c r="AD211" s="1422"/>
      <c r="AF211" s="1422"/>
      <c r="AG211" s="1422"/>
      <c r="AH211" s="1422"/>
      <c r="AK211" s="1423"/>
      <c r="AL211" s="748"/>
    </row>
    <row r="212" spans="1:38">
      <c r="A212" s="728">
        <v>207</v>
      </c>
      <c r="E212" s="1423"/>
      <c r="F212" s="1422"/>
      <c r="G212" s="1422"/>
      <c r="H212" s="1422"/>
      <c r="I212" s="1422"/>
      <c r="J212" s="1422"/>
      <c r="K212" s="1405"/>
      <c r="L212" s="1427"/>
      <c r="M212" s="1423"/>
      <c r="N212" s="1422"/>
      <c r="O212" s="1423"/>
      <c r="P212" s="1423"/>
      <c r="Q212" s="1423"/>
      <c r="R212" s="1422"/>
      <c r="S212" s="1423"/>
      <c r="T212" s="1423"/>
      <c r="U212" s="1423"/>
      <c r="V212" s="1422"/>
      <c r="W212" s="1422"/>
      <c r="X212" s="1422"/>
      <c r="Y212" s="1422"/>
      <c r="Z212" s="1422"/>
      <c r="AA212" s="1423"/>
      <c r="AB212" s="1423"/>
      <c r="AC212" s="1423"/>
      <c r="AD212" s="1422"/>
      <c r="AF212" s="1422"/>
      <c r="AG212" s="1422"/>
      <c r="AH212" s="1422"/>
      <c r="AK212" s="1423"/>
      <c r="AL212" s="748"/>
    </row>
    <row r="213" spans="1:38">
      <c r="A213" s="728">
        <v>208</v>
      </c>
      <c r="B213" s="1444" t="s">
        <v>2699</v>
      </c>
      <c r="C213" s="1438">
        <f>E213-'Revenue Reconcilliation'!Q142</f>
        <v>0</v>
      </c>
      <c r="D213" s="1445" t="s">
        <v>2673</v>
      </c>
      <c r="E213" s="1437">
        <f>SUM(E187,E189,E211)</f>
        <v>17513.560000000001</v>
      </c>
      <c r="F213" s="1438"/>
      <c r="G213" s="1438"/>
      <c r="H213" s="1438"/>
      <c r="I213" s="1438"/>
      <c r="J213" s="1438"/>
      <c r="K213" s="1447"/>
      <c r="L213" s="1446"/>
      <c r="M213" s="1437"/>
      <c r="N213" s="1438"/>
      <c r="O213" s="1437"/>
      <c r="P213" s="1437"/>
      <c r="Q213" s="1437"/>
      <c r="R213" s="1438"/>
      <c r="S213" s="1437"/>
      <c r="T213" s="1437"/>
      <c r="U213" s="1437"/>
      <c r="V213" s="1438"/>
      <c r="W213" s="1438"/>
      <c r="X213" s="1438"/>
      <c r="Y213" s="1438"/>
      <c r="Z213" s="1438"/>
      <c r="AA213" s="1437"/>
      <c r="AB213" s="1437"/>
      <c r="AC213" s="1437"/>
      <c r="AD213" s="1438"/>
      <c r="AE213" s="1447"/>
      <c r="AF213" s="1438"/>
      <c r="AG213" s="1438"/>
      <c r="AH213" s="1438"/>
      <c r="AI213" s="1483"/>
      <c r="AJ213" s="1483"/>
      <c r="AK213" s="1437"/>
      <c r="AL213" s="748"/>
    </row>
    <row r="214" spans="1:38">
      <c r="A214" s="728">
        <v>209</v>
      </c>
      <c r="B214" s="1448"/>
      <c r="C214" s="1422"/>
      <c r="E214" s="1423"/>
      <c r="F214" s="1422"/>
      <c r="G214" s="1422"/>
      <c r="H214" s="1422"/>
      <c r="I214" s="1422"/>
      <c r="J214" s="1422"/>
      <c r="K214" s="1405"/>
      <c r="L214" s="1427"/>
      <c r="M214" s="1423"/>
      <c r="N214" s="1422"/>
      <c r="O214" s="1423"/>
      <c r="P214" s="1423"/>
      <c r="Q214" s="1423"/>
      <c r="R214" s="1422"/>
      <c r="S214" s="1423"/>
      <c r="T214" s="1423"/>
      <c r="U214" s="1423"/>
      <c r="V214" s="1422"/>
      <c r="W214" s="1422"/>
      <c r="X214" s="1422"/>
      <c r="Y214" s="1422"/>
      <c r="Z214" s="1422"/>
      <c r="AA214" s="1423"/>
      <c r="AB214" s="1423"/>
      <c r="AC214" s="1423"/>
      <c r="AD214" s="1422"/>
      <c r="AF214" s="1422"/>
      <c r="AG214" s="1422"/>
      <c r="AH214" s="1422"/>
      <c r="AI214" s="1484"/>
      <c r="AJ214" s="1484"/>
      <c r="AK214" s="1423"/>
      <c r="AL214" s="748"/>
    </row>
    <row r="215" spans="1:38">
      <c r="A215" s="728">
        <v>210</v>
      </c>
      <c r="B215" s="1420" t="s">
        <v>2700</v>
      </c>
      <c r="C215" s="1475"/>
      <c r="E215" s="1423"/>
      <c r="F215" s="1422"/>
      <c r="G215" s="1422" t="s">
        <v>2701</v>
      </c>
      <c r="H215" s="1422"/>
      <c r="I215" s="1422"/>
      <c r="J215" s="1422"/>
      <c r="K215" s="1405"/>
      <c r="L215" s="1427"/>
      <c r="M215" s="1423"/>
      <c r="N215" s="1422"/>
      <c r="O215" s="1423"/>
      <c r="P215" s="1423"/>
      <c r="Q215" s="1423"/>
      <c r="R215" s="1422"/>
      <c r="S215" s="1423"/>
      <c r="T215" s="1423"/>
      <c r="U215" s="1423"/>
      <c r="V215" s="1422"/>
      <c r="W215" s="1422"/>
      <c r="X215" s="1422"/>
      <c r="Y215" s="1422"/>
      <c r="Z215" s="1422"/>
      <c r="AA215" s="1423"/>
      <c r="AB215" s="1423"/>
      <c r="AC215" s="1423"/>
      <c r="AD215" s="1422"/>
      <c r="AF215" s="1422"/>
      <c r="AG215" s="1422"/>
      <c r="AH215" s="1422"/>
      <c r="AI215" s="1484"/>
      <c r="AJ215" s="1484"/>
      <c r="AK215" s="1423"/>
      <c r="AL215" s="748"/>
    </row>
    <row r="216" spans="1:38">
      <c r="A216" s="728">
        <v>211</v>
      </c>
      <c r="B216" s="727" t="s">
        <v>2462</v>
      </c>
      <c r="C216" s="1477">
        <f>E216/D216</f>
        <v>12</v>
      </c>
      <c r="D216" s="1422">
        <v>60</v>
      </c>
      <c r="E216" s="1423">
        <f>'1501 Summary'!AD180</f>
        <v>720</v>
      </c>
      <c r="F216" s="1422"/>
      <c r="G216" s="1424">
        <f>-C216</f>
        <v>-12</v>
      </c>
      <c r="H216" s="1422">
        <f>D216</f>
        <v>60</v>
      </c>
      <c r="I216" s="1423">
        <f>H216*G216</f>
        <v>-720</v>
      </c>
      <c r="J216" s="1422"/>
      <c r="K216" s="1405">
        <f>C216+G216</f>
        <v>0</v>
      </c>
      <c r="L216" s="1422">
        <f>D216</f>
        <v>60</v>
      </c>
      <c r="M216" s="1423">
        <f>L216*K216</f>
        <v>0</v>
      </c>
      <c r="N216" s="1422"/>
      <c r="O216" s="1423"/>
      <c r="P216" s="1423"/>
      <c r="Q216" s="1423"/>
      <c r="R216" s="1422"/>
      <c r="S216" s="1423"/>
      <c r="T216" s="1423"/>
      <c r="U216" s="1423"/>
      <c r="V216" s="1422"/>
      <c r="W216" s="1422"/>
      <c r="X216" s="1422"/>
      <c r="Y216" s="1422"/>
      <c r="Z216" s="1422"/>
      <c r="AA216" s="1423"/>
      <c r="AB216" s="1423"/>
      <c r="AC216" s="1423"/>
      <c r="AD216" s="1422"/>
      <c r="AF216" s="1422"/>
      <c r="AG216" s="1422"/>
      <c r="AH216" s="1422"/>
      <c r="AI216" s="1484"/>
      <c r="AJ216" s="1484"/>
      <c r="AK216" s="1423"/>
      <c r="AL216" s="748"/>
    </row>
    <row r="217" spans="1:38">
      <c r="A217" s="728">
        <v>212</v>
      </c>
      <c r="B217" s="727" t="s">
        <v>2702</v>
      </c>
      <c r="C217" s="1477">
        <f>E217/D217</f>
        <v>1747.0729931096298</v>
      </c>
      <c r="D217" s="1361">
        <v>0.17851</v>
      </c>
      <c r="E217" s="1423">
        <f>'1501 Summary'!AD181</f>
        <v>311.87</v>
      </c>
      <c r="F217" s="1422"/>
      <c r="G217" s="1424">
        <f>-C217</f>
        <v>-1747.0729931096298</v>
      </c>
      <c r="H217" s="1422">
        <f>D217</f>
        <v>0.17851</v>
      </c>
      <c r="I217" s="1423">
        <f>H217*G217</f>
        <v>-311.87</v>
      </c>
      <c r="J217" s="1422"/>
      <c r="K217" s="1405">
        <f>C217+G217</f>
        <v>0</v>
      </c>
      <c r="L217" s="1427">
        <v>0.20175999999999999</v>
      </c>
      <c r="M217" s="1423">
        <f>L217*K217</f>
        <v>0</v>
      </c>
      <c r="N217" s="1422"/>
      <c r="O217" s="1423"/>
      <c r="P217" s="1423"/>
      <c r="Q217" s="1423"/>
      <c r="R217" s="1422"/>
      <c r="S217" s="1423"/>
      <c r="T217" s="1423"/>
      <c r="U217" s="1423"/>
      <c r="V217" s="1422"/>
      <c r="W217" s="1422"/>
      <c r="X217" s="1422"/>
      <c r="Y217" s="1422"/>
      <c r="Z217" s="1422"/>
      <c r="AA217" s="1423"/>
      <c r="AB217" s="1423"/>
      <c r="AC217" s="1423"/>
      <c r="AD217" s="1422"/>
      <c r="AF217" s="1422"/>
      <c r="AG217" s="1422"/>
      <c r="AH217" s="1422"/>
      <c r="AI217" s="1484"/>
      <c r="AJ217" s="1484"/>
      <c r="AK217" s="1423"/>
      <c r="AL217" s="748"/>
    </row>
    <row r="218" spans="1:38">
      <c r="A218" s="728">
        <v>213</v>
      </c>
      <c r="B218" s="727" t="s">
        <v>2703</v>
      </c>
      <c r="C218" s="1477">
        <f>E218/D218</f>
        <v>621.01404164072767</v>
      </c>
      <c r="D218" s="1361">
        <v>0.14457</v>
      </c>
      <c r="E218" s="1423">
        <f>'1501 Summary'!AD182</f>
        <v>89.78</v>
      </c>
      <c r="F218" s="1422"/>
      <c r="G218" s="1424">
        <f>-C218</f>
        <v>-621.01404164072767</v>
      </c>
      <c r="H218" s="1422">
        <f>D218</f>
        <v>0.14457</v>
      </c>
      <c r="I218" s="1423">
        <f>H218*G218</f>
        <v>-89.78</v>
      </c>
      <c r="J218" s="1422"/>
      <c r="K218" s="1405">
        <f>C218+G218</f>
        <v>0</v>
      </c>
      <c r="L218" s="1427">
        <v>0.16481000000000001</v>
      </c>
      <c r="M218" s="1423">
        <f>L218*K218</f>
        <v>0</v>
      </c>
      <c r="N218" s="1422"/>
      <c r="O218" s="1423"/>
      <c r="P218" s="1423"/>
      <c r="Q218" s="1423"/>
      <c r="R218" s="1422"/>
      <c r="S218" s="1423"/>
      <c r="T218" s="1423"/>
      <c r="U218" s="1423"/>
      <c r="V218" s="1422"/>
      <c r="W218" s="1422"/>
      <c r="X218" s="1422"/>
      <c r="Y218" s="1422"/>
      <c r="Z218" s="1422"/>
      <c r="AA218" s="1423"/>
      <c r="AB218" s="1423"/>
      <c r="AC218" s="1423"/>
      <c r="AD218" s="1422"/>
      <c r="AF218" s="1422"/>
      <c r="AG218" s="1422"/>
      <c r="AH218" s="1422"/>
      <c r="AI218" s="1484"/>
      <c r="AJ218" s="1484"/>
      <c r="AK218" s="1423"/>
      <c r="AL218" s="748"/>
    </row>
    <row r="219" spans="1:38">
      <c r="A219" s="728">
        <v>214</v>
      </c>
      <c r="B219" s="1453" t="s">
        <v>2683</v>
      </c>
      <c r="C219" s="1477">
        <f>E219/D219</f>
        <v>0</v>
      </c>
      <c r="D219" s="1361">
        <v>0.13944000000000001</v>
      </c>
      <c r="E219" s="1437">
        <v>0</v>
      </c>
      <c r="F219" s="1422"/>
      <c r="G219" s="1424">
        <f>-C219</f>
        <v>0</v>
      </c>
      <c r="H219" s="1422">
        <f>D219</f>
        <v>0.13944000000000001</v>
      </c>
      <c r="I219" s="1437">
        <f>H219*G219</f>
        <v>0</v>
      </c>
      <c r="J219" s="1422"/>
      <c r="K219" s="1405">
        <f>C219+G219</f>
        <v>0</v>
      </c>
      <c r="L219" s="1427">
        <v>0.15923000000000001</v>
      </c>
      <c r="M219" s="1437">
        <f>L219*K219</f>
        <v>0</v>
      </c>
      <c r="N219" s="1422"/>
      <c r="O219" s="1423"/>
      <c r="P219" s="1423"/>
      <c r="Q219" s="1423"/>
      <c r="R219" s="1422"/>
      <c r="S219" s="1423"/>
      <c r="T219" s="1423"/>
      <c r="U219" s="1423"/>
      <c r="V219" s="1422"/>
      <c r="W219" s="1422"/>
      <c r="X219" s="1422"/>
      <c r="Y219" s="1422"/>
      <c r="Z219" s="1422"/>
      <c r="AA219" s="1423"/>
      <c r="AB219" s="1423"/>
      <c r="AC219" s="1423"/>
      <c r="AD219" s="1422"/>
      <c r="AF219" s="1422"/>
      <c r="AG219" s="1422"/>
      <c r="AH219" s="1422"/>
      <c r="AI219" s="1484"/>
      <c r="AJ219" s="1484"/>
      <c r="AK219" s="1423"/>
      <c r="AL219" s="748"/>
    </row>
    <row r="220" spans="1:38">
      <c r="A220" s="728">
        <v>215</v>
      </c>
      <c r="B220" s="727" t="s">
        <v>2648</v>
      </c>
      <c r="C220" s="1422"/>
      <c r="E220" s="1423">
        <f>SUM(E216:E219)</f>
        <v>1121.6499999999999</v>
      </c>
      <c r="F220" s="1422"/>
      <c r="G220" s="1422"/>
      <c r="H220" s="1422"/>
      <c r="I220" s="1423">
        <f>SUM(I216:I219)</f>
        <v>-1121.6499999999999</v>
      </c>
      <c r="J220" s="1422"/>
      <c r="K220" s="1405"/>
      <c r="L220" s="1427"/>
      <c r="M220" s="1423">
        <f>SUM(M216:M219)</f>
        <v>0</v>
      </c>
      <c r="N220" s="1422"/>
      <c r="O220" s="1423"/>
      <c r="P220" s="1423"/>
      <c r="Q220" s="1423"/>
      <c r="R220" s="1422"/>
      <c r="S220" s="1423"/>
      <c r="T220" s="1423"/>
      <c r="U220" s="1423"/>
      <c r="V220" s="1422"/>
      <c r="W220" s="1422"/>
      <c r="X220" s="1422"/>
      <c r="Y220" s="1422"/>
      <c r="Z220" s="1422"/>
      <c r="AA220" s="1423"/>
      <c r="AB220" s="1423"/>
      <c r="AC220" s="1423"/>
      <c r="AD220" s="1422"/>
      <c r="AF220" s="1422"/>
      <c r="AG220" s="1422"/>
      <c r="AH220" s="1422"/>
      <c r="AI220" s="1484"/>
      <c r="AJ220" s="1484"/>
      <c r="AK220" s="1423"/>
      <c r="AL220" s="748"/>
    </row>
    <row r="221" spans="1:38">
      <c r="A221" s="728">
        <v>216</v>
      </c>
      <c r="C221" s="1475"/>
      <c r="E221" s="1423"/>
      <c r="F221" s="1422"/>
      <c r="G221" s="1422"/>
      <c r="H221" s="1422"/>
      <c r="I221" s="1422"/>
      <c r="J221" s="1422"/>
      <c r="K221" s="1405"/>
      <c r="L221" s="1427"/>
      <c r="M221" s="1423"/>
      <c r="N221" s="1422"/>
      <c r="O221" s="1423"/>
      <c r="P221" s="1423"/>
      <c r="Q221" s="1423"/>
      <c r="R221" s="1422"/>
      <c r="S221" s="1423"/>
      <c r="T221" s="1423"/>
      <c r="U221" s="1423"/>
      <c r="V221" s="1422"/>
      <c r="W221" s="1422"/>
      <c r="X221" s="1422"/>
      <c r="Y221" s="1422"/>
      <c r="Z221" s="1422"/>
      <c r="AA221" s="1423"/>
      <c r="AB221" s="1423"/>
      <c r="AC221" s="1423"/>
      <c r="AD221" s="1422"/>
      <c r="AF221" s="1422"/>
      <c r="AG221" s="1422"/>
      <c r="AH221" s="1422"/>
      <c r="AI221" s="1484"/>
      <c r="AJ221" s="1484"/>
      <c r="AK221" s="1423"/>
      <c r="AL221" s="748"/>
    </row>
    <row r="222" spans="1:38">
      <c r="A222" s="728">
        <v>217</v>
      </c>
      <c r="B222" s="727" t="s">
        <v>2650</v>
      </c>
      <c r="C222" s="1422"/>
      <c r="E222" s="1423">
        <f>'1501 Summary'!AD183</f>
        <v>654.19000000000005</v>
      </c>
      <c r="F222" s="1422"/>
      <c r="G222" s="1422"/>
      <c r="H222" s="1422"/>
      <c r="I222" s="1422"/>
      <c r="J222" s="1422"/>
      <c r="K222" s="1405"/>
      <c r="L222" s="1427"/>
      <c r="M222" s="1423"/>
      <c r="N222" s="1422"/>
      <c r="O222" s="1423"/>
      <c r="P222" s="1423"/>
      <c r="Q222" s="1423"/>
      <c r="R222" s="1422"/>
      <c r="S222" s="1423"/>
      <c r="T222" s="1423"/>
      <c r="U222" s="1423"/>
      <c r="V222" s="1422"/>
      <c r="W222" s="1422"/>
      <c r="X222" s="1422"/>
      <c r="Y222" s="1422"/>
      <c r="Z222" s="1422"/>
      <c r="AA222" s="1423"/>
      <c r="AB222" s="1423"/>
      <c r="AC222" s="1423"/>
      <c r="AD222" s="1422"/>
      <c r="AF222" s="1422"/>
      <c r="AG222" s="1422"/>
      <c r="AH222" s="1422"/>
      <c r="AI222" s="1484"/>
      <c r="AJ222" s="1484"/>
      <c r="AK222" s="1423"/>
      <c r="AL222" s="748"/>
    </row>
    <row r="223" spans="1:38">
      <c r="A223" s="728">
        <v>218</v>
      </c>
      <c r="C223" s="1475"/>
      <c r="E223" s="1423"/>
      <c r="F223" s="1422"/>
      <c r="G223" s="1422"/>
      <c r="H223" s="1422"/>
      <c r="I223" s="1422"/>
      <c r="J223" s="1422"/>
      <c r="K223" s="1405"/>
      <c r="L223" s="1427"/>
      <c r="M223" s="1423"/>
      <c r="N223" s="1422"/>
      <c r="O223" s="1423"/>
      <c r="P223" s="1423"/>
      <c r="Q223" s="1423"/>
      <c r="R223" s="1422"/>
      <c r="S223" s="1423"/>
      <c r="T223" s="1423"/>
      <c r="U223" s="1423"/>
      <c r="V223" s="1422"/>
      <c r="W223" s="1422"/>
      <c r="X223" s="1422"/>
      <c r="Y223" s="1422"/>
      <c r="Z223" s="1422"/>
      <c r="AA223" s="1423"/>
      <c r="AB223" s="1423"/>
      <c r="AC223" s="1423"/>
      <c r="AD223" s="1422"/>
      <c r="AF223" s="1422"/>
      <c r="AG223" s="1422"/>
      <c r="AH223" s="1422"/>
      <c r="AI223" s="1484"/>
      <c r="AJ223" s="1484"/>
      <c r="AK223" s="1423"/>
      <c r="AL223" s="748"/>
    </row>
    <row r="224" spans="1:38">
      <c r="A224" s="728">
        <v>219</v>
      </c>
      <c r="B224" s="727" t="s">
        <v>2651</v>
      </c>
      <c r="C224" s="1422"/>
      <c r="E224" s="1423"/>
      <c r="F224" s="1422"/>
      <c r="G224" s="1422"/>
      <c r="H224" s="1422"/>
      <c r="I224" s="1422"/>
      <c r="J224" s="1422"/>
      <c r="K224" s="1405"/>
      <c r="L224" s="1427"/>
      <c r="M224" s="1423"/>
      <c r="N224" s="1422"/>
      <c r="O224" s="1423"/>
      <c r="P224" s="1423"/>
      <c r="Q224" s="1423"/>
      <c r="R224" s="1422"/>
      <c r="S224" s="1423"/>
      <c r="T224" s="1423"/>
      <c r="U224" s="1423"/>
      <c r="V224" s="1422"/>
      <c r="W224" s="1422"/>
      <c r="X224" s="1422"/>
      <c r="Y224" s="1422"/>
      <c r="Z224" s="1422"/>
      <c r="AA224" s="1423"/>
      <c r="AB224" s="1423"/>
      <c r="AC224" s="1423"/>
      <c r="AD224" s="1422"/>
      <c r="AF224" s="1422"/>
      <c r="AG224" s="1422"/>
      <c r="AH224" s="1422"/>
      <c r="AI224" s="1484"/>
      <c r="AJ224" s="1484"/>
      <c r="AK224" s="1423"/>
      <c r="AL224" s="748"/>
    </row>
    <row r="225" spans="1:38">
      <c r="A225" s="728">
        <v>220</v>
      </c>
      <c r="B225" s="727" t="s">
        <v>2652</v>
      </c>
      <c r="C225" s="1475"/>
      <c r="E225" s="1423">
        <f>'1501 Summary'!AD184</f>
        <v>145.78</v>
      </c>
      <c r="F225" s="1422"/>
      <c r="G225" s="1422"/>
      <c r="H225" s="1422"/>
      <c r="I225" s="1422"/>
      <c r="J225" s="1422"/>
      <c r="K225" s="1405"/>
      <c r="L225" s="1427"/>
      <c r="M225" s="1423"/>
      <c r="N225" s="1422"/>
      <c r="O225" s="1423"/>
      <c r="P225" s="1423"/>
      <c r="Q225" s="1423"/>
      <c r="R225" s="1422"/>
      <c r="S225" s="1423"/>
      <c r="T225" s="1423"/>
      <c r="U225" s="1423"/>
      <c r="V225" s="1422"/>
      <c r="W225" s="1422"/>
      <c r="X225" s="1422"/>
      <c r="Y225" s="1422"/>
      <c r="Z225" s="1422"/>
      <c r="AA225" s="1423"/>
      <c r="AB225" s="1423"/>
      <c r="AC225" s="1423"/>
      <c r="AD225" s="1422"/>
      <c r="AF225" s="1422"/>
      <c r="AG225" s="1422"/>
      <c r="AH225" s="1422"/>
      <c r="AI225" s="1484"/>
      <c r="AJ225" s="1484"/>
      <c r="AK225" s="1423"/>
      <c r="AL225" s="748"/>
    </row>
    <row r="226" spans="1:38">
      <c r="A226" s="728">
        <v>221</v>
      </c>
      <c r="B226" s="727" t="s">
        <v>2653</v>
      </c>
      <c r="C226" s="1422"/>
      <c r="E226" s="1423">
        <f>'1501 Summary'!AD185</f>
        <v>3.4099999999999997</v>
      </c>
      <c r="F226" s="1422"/>
      <c r="G226" s="1422"/>
      <c r="H226" s="1422"/>
      <c r="I226" s="1422"/>
      <c r="J226" s="1422"/>
      <c r="K226" s="1405"/>
      <c r="L226" s="1427"/>
      <c r="M226" s="1423"/>
      <c r="N226" s="1422"/>
      <c r="O226" s="1423"/>
      <c r="P226" s="1423"/>
      <c r="Q226" s="1423"/>
      <c r="R226" s="1422"/>
      <c r="S226" s="1423"/>
      <c r="T226" s="1423"/>
      <c r="U226" s="1423"/>
      <c r="V226" s="1422"/>
      <c r="W226" s="1422"/>
      <c r="X226" s="1422"/>
      <c r="Y226" s="1422"/>
      <c r="Z226" s="1422"/>
      <c r="AA226" s="1423"/>
      <c r="AB226" s="1423"/>
      <c r="AC226" s="1423"/>
      <c r="AD226" s="1422"/>
      <c r="AF226" s="1422"/>
      <c r="AG226" s="1422"/>
      <c r="AH226" s="1422"/>
      <c r="AI226" s="1484"/>
      <c r="AJ226" s="1484"/>
      <c r="AK226" s="1423"/>
      <c r="AL226" s="748"/>
    </row>
    <row r="227" spans="1:38">
      <c r="A227" s="728">
        <v>222</v>
      </c>
      <c r="B227" s="727" t="s">
        <v>2654</v>
      </c>
      <c r="C227" s="1475"/>
      <c r="E227" s="1423">
        <f>'1501 Summary'!AD186</f>
        <v>12.46</v>
      </c>
      <c r="F227" s="1422"/>
      <c r="G227" s="1422"/>
      <c r="H227" s="1422"/>
      <c r="I227" s="1422"/>
      <c r="J227" s="1422"/>
      <c r="K227" s="1405"/>
      <c r="L227" s="1427"/>
      <c r="M227" s="1423"/>
      <c r="N227" s="1422"/>
      <c r="O227" s="1423"/>
      <c r="P227" s="1423"/>
      <c r="Q227" s="1423"/>
      <c r="R227" s="1422"/>
      <c r="S227" s="1423"/>
      <c r="T227" s="1423"/>
      <c r="U227" s="1423"/>
      <c r="V227" s="1422"/>
      <c r="W227" s="1422"/>
      <c r="X227" s="1422"/>
      <c r="Y227" s="1422"/>
      <c r="Z227" s="1422"/>
      <c r="AA227" s="1423"/>
      <c r="AB227" s="1423"/>
      <c r="AC227" s="1423"/>
      <c r="AD227" s="1422"/>
      <c r="AF227" s="1422"/>
      <c r="AG227" s="1422"/>
      <c r="AH227" s="1422"/>
      <c r="AI227" s="1484"/>
      <c r="AJ227" s="1484"/>
      <c r="AK227" s="1423"/>
      <c r="AL227" s="748"/>
    </row>
    <row r="228" spans="1:38">
      <c r="A228" s="728">
        <v>223</v>
      </c>
      <c r="B228" s="727" t="s">
        <v>2655</v>
      </c>
      <c r="C228" s="1422"/>
      <c r="E228" s="1423">
        <f>'1501 Summary'!AD187</f>
        <v>1.54</v>
      </c>
      <c r="F228" s="1422"/>
      <c r="G228" s="1422"/>
      <c r="H228" s="1422"/>
      <c r="I228" s="1422"/>
      <c r="J228" s="1422"/>
      <c r="K228" s="1405"/>
      <c r="L228" s="1427"/>
      <c r="M228" s="1423"/>
      <c r="N228" s="1422"/>
      <c r="O228" s="1423"/>
      <c r="P228" s="1423"/>
      <c r="Q228" s="1423"/>
      <c r="R228" s="1422"/>
      <c r="S228" s="1423"/>
      <c r="T228" s="1423"/>
      <c r="U228" s="1423"/>
      <c r="V228" s="1422"/>
      <c r="W228" s="1422"/>
      <c r="X228" s="1422"/>
      <c r="Y228" s="1422"/>
      <c r="Z228" s="1422"/>
      <c r="AA228" s="1423"/>
      <c r="AB228" s="1423"/>
      <c r="AC228" s="1423"/>
      <c r="AD228" s="1422"/>
      <c r="AF228" s="1422"/>
      <c r="AG228" s="1422"/>
      <c r="AH228" s="1422"/>
      <c r="AI228" s="1484"/>
      <c r="AJ228" s="1484"/>
      <c r="AK228" s="1423"/>
      <c r="AL228" s="748"/>
    </row>
    <row r="229" spans="1:38">
      <c r="A229" s="728">
        <v>224</v>
      </c>
      <c r="B229" s="727" t="s">
        <v>2656</v>
      </c>
      <c r="C229" s="1475"/>
      <c r="E229" s="1423">
        <f>'1501 Summary'!AD188</f>
        <v>11.420000000000002</v>
      </c>
      <c r="F229" s="1422"/>
      <c r="G229" s="1422"/>
      <c r="H229" s="1422"/>
      <c r="I229" s="1422"/>
      <c r="J229" s="1422"/>
      <c r="K229" s="1405"/>
      <c r="L229" s="1427"/>
      <c r="M229" s="1423"/>
      <c r="N229" s="1422"/>
      <c r="O229" s="1423"/>
      <c r="P229" s="1423"/>
      <c r="Q229" s="1423"/>
      <c r="R229" s="1422"/>
      <c r="S229" s="1423"/>
      <c r="T229" s="1423"/>
      <c r="U229" s="1423"/>
      <c r="V229" s="1422"/>
      <c r="W229" s="1422"/>
      <c r="X229" s="1422"/>
      <c r="Y229" s="1422"/>
      <c r="Z229" s="1422"/>
      <c r="AA229" s="1423"/>
      <c r="AB229" s="1423"/>
      <c r="AC229" s="1423"/>
      <c r="AD229" s="1422"/>
      <c r="AF229" s="1422"/>
      <c r="AG229" s="1422"/>
      <c r="AH229" s="1422"/>
      <c r="AI229" s="1484"/>
      <c r="AJ229" s="1484"/>
      <c r="AK229" s="1423"/>
      <c r="AL229" s="748"/>
    </row>
    <row r="230" spans="1:38">
      <c r="A230" s="728">
        <v>225</v>
      </c>
      <c r="B230" s="727" t="s">
        <v>2657</v>
      </c>
      <c r="C230" s="1422"/>
      <c r="E230" s="1423">
        <f>'1501 Summary'!AD189</f>
        <v>44.84</v>
      </c>
      <c r="F230" s="1422"/>
      <c r="G230" s="1422"/>
      <c r="H230" s="1422"/>
      <c r="I230" s="1422"/>
      <c r="J230" s="1422"/>
      <c r="K230" s="1405"/>
      <c r="L230" s="1427"/>
      <c r="M230" s="1423"/>
      <c r="N230" s="1422"/>
      <c r="O230" s="1423"/>
      <c r="P230" s="1423"/>
      <c r="Q230" s="1423"/>
      <c r="R230" s="1422"/>
      <c r="S230" s="1423"/>
      <c r="T230" s="1423"/>
      <c r="U230" s="1423"/>
      <c r="V230" s="1422"/>
      <c r="W230" s="1422"/>
      <c r="X230" s="1422"/>
      <c r="Y230" s="1422"/>
      <c r="Z230" s="1422"/>
      <c r="AA230" s="1423"/>
      <c r="AB230" s="1423"/>
      <c r="AC230" s="1423"/>
      <c r="AD230" s="1422"/>
      <c r="AF230" s="1422"/>
      <c r="AG230" s="1422"/>
      <c r="AH230" s="1422"/>
      <c r="AI230" s="1484"/>
      <c r="AJ230" s="1484"/>
      <c r="AK230" s="1423"/>
      <c r="AL230" s="748"/>
    </row>
    <row r="231" spans="1:38">
      <c r="A231" s="728">
        <v>226</v>
      </c>
      <c r="B231" s="1478" t="s">
        <v>2658</v>
      </c>
      <c r="C231" s="1475"/>
      <c r="E231" s="1423">
        <f>'1501 Summary'!AD190</f>
        <v>-6.15</v>
      </c>
      <c r="F231" s="1422"/>
      <c r="G231" s="1422"/>
      <c r="H231" s="1422"/>
      <c r="I231" s="1422"/>
      <c r="J231" s="1422"/>
      <c r="K231" s="1405"/>
      <c r="L231" s="1427"/>
      <c r="M231" s="1423"/>
      <c r="N231" s="1422"/>
      <c r="O231" s="1423"/>
      <c r="P231" s="1423"/>
      <c r="Q231" s="1423"/>
      <c r="R231" s="1422"/>
      <c r="S231" s="1423"/>
      <c r="T231" s="1423"/>
      <c r="U231" s="1423"/>
      <c r="V231" s="1422"/>
      <c r="W231" s="1422"/>
      <c r="X231" s="1422"/>
      <c r="Y231" s="1422"/>
      <c r="Z231" s="1422"/>
      <c r="AA231" s="1423"/>
      <c r="AB231" s="1423"/>
      <c r="AC231" s="1423"/>
      <c r="AD231" s="1422"/>
      <c r="AF231" s="1422"/>
      <c r="AG231" s="1422"/>
      <c r="AH231" s="1422"/>
      <c r="AI231" s="1484"/>
      <c r="AJ231" s="1484"/>
      <c r="AK231" s="1423"/>
      <c r="AL231" s="748"/>
    </row>
    <row r="232" spans="1:38">
      <c r="A232" s="728">
        <v>227</v>
      </c>
      <c r="B232" s="1478" t="s">
        <v>2659</v>
      </c>
      <c r="C232" s="1422"/>
      <c r="E232" s="1423">
        <f>'1501 Summary'!AD191</f>
        <v>-2.8599999999999994</v>
      </c>
      <c r="F232" s="1422"/>
      <c r="G232" s="1422"/>
      <c r="H232" s="1422"/>
      <c r="I232" s="1422"/>
      <c r="J232" s="1422"/>
      <c r="K232" s="1405"/>
      <c r="L232" s="1427"/>
      <c r="M232" s="1423"/>
      <c r="N232" s="1422"/>
      <c r="O232" s="1423"/>
      <c r="P232" s="1423"/>
      <c r="Q232" s="1423"/>
      <c r="R232" s="1422"/>
      <c r="S232" s="1423"/>
      <c r="T232" s="1423"/>
      <c r="U232" s="1423"/>
      <c r="V232" s="1422"/>
      <c r="W232" s="1422"/>
      <c r="X232" s="1422"/>
      <c r="Y232" s="1422"/>
      <c r="Z232" s="1422"/>
      <c r="AA232" s="1423"/>
      <c r="AB232" s="1423"/>
      <c r="AC232" s="1423"/>
      <c r="AD232" s="1422"/>
      <c r="AF232" s="1422"/>
      <c r="AG232" s="1422"/>
      <c r="AH232" s="1422"/>
      <c r="AI232" s="1484"/>
      <c r="AJ232" s="1484"/>
      <c r="AK232" s="1423"/>
      <c r="AL232" s="748"/>
    </row>
    <row r="233" spans="1:38">
      <c r="A233" s="728">
        <v>228</v>
      </c>
      <c r="B233" s="1478" t="s">
        <v>2660</v>
      </c>
      <c r="C233" s="1475"/>
      <c r="E233" s="1423">
        <f>'1501 Summary'!AD192</f>
        <v>-3.47</v>
      </c>
      <c r="F233" s="1422"/>
      <c r="G233" s="1422"/>
      <c r="H233" s="1422"/>
      <c r="I233" s="1422"/>
      <c r="J233" s="1422"/>
      <c r="K233" s="1405"/>
      <c r="L233" s="1427"/>
      <c r="M233" s="1423"/>
      <c r="N233" s="1422"/>
      <c r="O233" s="1423"/>
      <c r="P233" s="1423"/>
      <c r="Q233" s="1423"/>
      <c r="R233" s="1422"/>
      <c r="S233" s="1423"/>
      <c r="T233" s="1423"/>
      <c r="U233" s="1423"/>
      <c r="V233" s="1422"/>
      <c r="W233" s="1422"/>
      <c r="X233" s="1422"/>
      <c r="Y233" s="1422"/>
      <c r="Z233" s="1422"/>
      <c r="AA233" s="1423"/>
      <c r="AB233" s="1423"/>
      <c r="AC233" s="1423"/>
      <c r="AD233" s="1422"/>
      <c r="AF233" s="1422"/>
      <c r="AG233" s="1422"/>
      <c r="AH233" s="1422"/>
      <c r="AI233" s="1484"/>
      <c r="AJ233" s="1484"/>
      <c r="AK233" s="1423"/>
      <c r="AL233" s="748"/>
    </row>
    <row r="234" spans="1:38">
      <c r="A234" s="728">
        <v>229</v>
      </c>
      <c r="B234" s="727" t="s">
        <v>2661</v>
      </c>
      <c r="C234" s="1422"/>
      <c r="E234" s="1423"/>
      <c r="F234" s="1422"/>
      <c r="G234" s="1422"/>
      <c r="H234" s="1422"/>
      <c r="I234" s="1422"/>
      <c r="J234" s="1422"/>
      <c r="K234" s="1405"/>
      <c r="L234" s="1427"/>
      <c r="M234" s="1423"/>
      <c r="N234" s="1422"/>
      <c r="O234" s="1423"/>
      <c r="P234" s="1423"/>
      <c r="Q234" s="1423"/>
      <c r="R234" s="1422"/>
      <c r="S234" s="1423"/>
      <c r="T234" s="1423"/>
      <c r="U234" s="1423"/>
      <c r="V234" s="1422"/>
      <c r="W234" s="1422"/>
      <c r="X234" s="1422"/>
      <c r="Y234" s="1422"/>
      <c r="Z234" s="1422"/>
      <c r="AA234" s="1423"/>
      <c r="AB234" s="1423"/>
      <c r="AC234" s="1423"/>
      <c r="AD234" s="1422"/>
      <c r="AF234" s="1422"/>
      <c r="AG234" s="1422"/>
      <c r="AH234" s="1422"/>
      <c r="AI234" s="1484"/>
      <c r="AJ234" s="1484"/>
      <c r="AK234" s="1423"/>
      <c r="AL234" s="748"/>
    </row>
    <row r="235" spans="1:38">
      <c r="A235" s="728">
        <v>230</v>
      </c>
      <c r="B235" s="727" t="s">
        <v>54</v>
      </c>
      <c r="C235" s="1475"/>
      <c r="E235" s="1423"/>
      <c r="F235" s="1422"/>
      <c r="G235" s="1422"/>
      <c r="H235" s="1422"/>
      <c r="I235" s="1422"/>
      <c r="J235" s="1422"/>
      <c r="K235" s="1405"/>
      <c r="L235" s="1427"/>
      <c r="M235" s="1423"/>
      <c r="N235" s="1422"/>
      <c r="O235" s="1423"/>
      <c r="P235" s="1423"/>
      <c r="Q235" s="1423"/>
      <c r="R235" s="1422"/>
      <c r="S235" s="1423"/>
      <c r="T235" s="1423"/>
      <c r="U235" s="1423"/>
      <c r="V235" s="1422"/>
      <c r="W235" s="1422"/>
      <c r="X235" s="1422"/>
      <c r="Y235" s="1422"/>
      <c r="Z235" s="1422"/>
      <c r="AA235" s="1423"/>
      <c r="AB235" s="1423"/>
      <c r="AC235" s="1423"/>
      <c r="AD235" s="1422"/>
      <c r="AF235" s="1422"/>
      <c r="AG235" s="1422"/>
      <c r="AH235" s="1422"/>
      <c r="AI235" s="1484"/>
      <c r="AJ235" s="1484"/>
      <c r="AK235" s="1423"/>
      <c r="AL235" s="748"/>
    </row>
    <row r="236" spans="1:38">
      <c r="A236" s="728">
        <v>231</v>
      </c>
      <c r="B236" s="727" t="s">
        <v>2666</v>
      </c>
      <c r="C236" s="1422"/>
      <c r="E236" s="1423">
        <f>'Revenue Reconcilliation'!Q154</f>
        <v>0</v>
      </c>
      <c r="F236" s="1422"/>
      <c r="G236" s="1422"/>
      <c r="H236" s="1422"/>
      <c r="I236" s="1422"/>
      <c r="J236" s="1422"/>
      <c r="K236" s="1405"/>
      <c r="L236" s="1427"/>
      <c r="M236" s="1423"/>
      <c r="N236" s="1422"/>
      <c r="O236" s="1423"/>
      <c r="P236" s="1423"/>
      <c r="Q236" s="1423"/>
      <c r="R236" s="1422"/>
      <c r="S236" s="1423"/>
      <c r="T236" s="1423"/>
      <c r="U236" s="1423"/>
      <c r="V236" s="1422"/>
      <c r="W236" s="1422"/>
      <c r="X236" s="1422"/>
      <c r="Y236" s="1422"/>
      <c r="Z236" s="1422"/>
      <c r="AA236" s="1423"/>
      <c r="AB236" s="1423"/>
      <c r="AC236" s="1423"/>
      <c r="AD236" s="1422"/>
      <c r="AF236" s="1422"/>
      <c r="AG236" s="1422"/>
      <c r="AH236" s="1422"/>
      <c r="AI236" s="1484"/>
      <c r="AJ236" s="1484"/>
      <c r="AK236" s="1423"/>
      <c r="AL236" s="748"/>
    </row>
    <row r="237" spans="1:38">
      <c r="A237" s="728">
        <v>232</v>
      </c>
      <c r="B237" s="727" t="s">
        <v>2667</v>
      </c>
      <c r="C237" s="1475"/>
      <c r="E237" s="1423">
        <f>'Revenue Reconcilliation'!Q155</f>
        <v>0</v>
      </c>
      <c r="F237" s="1422"/>
      <c r="G237" s="1422"/>
      <c r="H237" s="1422"/>
      <c r="I237" s="1422"/>
      <c r="J237" s="1422"/>
      <c r="K237" s="1405"/>
      <c r="L237" s="1427"/>
      <c r="M237" s="1423"/>
      <c r="N237" s="1422"/>
      <c r="O237" s="1423"/>
      <c r="P237" s="1423"/>
      <c r="Q237" s="1423"/>
      <c r="R237" s="1422"/>
      <c r="S237" s="1423"/>
      <c r="T237" s="1423"/>
      <c r="U237" s="1423"/>
      <c r="V237" s="1422"/>
      <c r="W237" s="1422"/>
      <c r="X237" s="1422"/>
      <c r="Y237" s="1422"/>
      <c r="Z237" s="1422"/>
      <c r="AA237" s="1423"/>
      <c r="AB237" s="1423"/>
      <c r="AC237" s="1423"/>
      <c r="AD237" s="1422"/>
      <c r="AF237" s="1422"/>
      <c r="AG237" s="1422"/>
      <c r="AH237" s="1422"/>
      <c r="AI237" s="1484"/>
      <c r="AJ237" s="1484"/>
      <c r="AK237" s="1423"/>
      <c r="AL237" s="748"/>
    </row>
    <row r="238" spans="1:38">
      <c r="A238" s="728">
        <v>233</v>
      </c>
      <c r="B238" s="727" t="s">
        <v>2668</v>
      </c>
      <c r="C238" s="1422"/>
      <c r="E238" s="1423">
        <f>'Revenue Reconcilliation'!Q156</f>
        <v>3356.48</v>
      </c>
      <c r="F238" s="1422"/>
      <c r="G238" s="1422"/>
      <c r="H238" s="1422"/>
      <c r="I238" s="1422"/>
      <c r="J238" s="1422"/>
      <c r="K238" s="1405"/>
      <c r="L238" s="1427"/>
      <c r="M238" s="1423"/>
      <c r="N238" s="1422"/>
      <c r="O238" s="1423"/>
      <c r="P238" s="1423"/>
      <c r="Q238" s="1423"/>
      <c r="R238" s="1422"/>
      <c r="S238" s="1423"/>
      <c r="T238" s="1423"/>
      <c r="U238" s="1423"/>
      <c r="V238" s="1422"/>
      <c r="W238" s="1422"/>
      <c r="X238" s="1422"/>
      <c r="Y238" s="1422"/>
      <c r="Z238" s="1422"/>
      <c r="AA238" s="1423"/>
      <c r="AB238" s="1423"/>
      <c r="AC238" s="1423"/>
      <c r="AD238" s="1422"/>
      <c r="AF238" s="1422"/>
      <c r="AG238" s="1422"/>
      <c r="AH238" s="1422"/>
      <c r="AI238" s="1484"/>
      <c r="AJ238" s="1484"/>
      <c r="AK238" s="1423"/>
      <c r="AL238" s="748"/>
    </row>
    <row r="239" spans="1:38">
      <c r="A239" s="728">
        <v>234</v>
      </c>
      <c r="B239" s="727" t="s">
        <v>2669</v>
      </c>
      <c r="C239" s="1475"/>
      <c r="E239" s="1423">
        <f>'Revenue Reconcilliation'!Q157</f>
        <v>-2.1899999999999995</v>
      </c>
      <c r="F239" s="1422"/>
      <c r="G239" s="1422"/>
      <c r="H239" s="1422"/>
      <c r="I239" s="1422"/>
      <c r="J239" s="1422"/>
      <c r="K239" s="1405"/>
      <c r="L239" s="1427"/>
      <c r="M239" s="1423"/>
      <c r="N239" s="1422"/>
      <c r="O239" s="1423"/>
      <c r="P239" s="1423"/>
      <c r="Q239" s="1423"/>
      <c r="R239" s="1422"/>
      <c r="S239" s="1423"/>
      <c r="T239" s="1423"/>
      <c r="U239" s="1423"/>
      <c r="V239" s="1422"/>
      <c r="W239" s="1422"/>
      <c r="X239" s="1422"/>
      <c r="Y239" s="1422"/>
      <c r="Z239" s="1422"/>
      <c r="AA239" s="1423"/>
      <c r="AB239" s="1423"/>
      <c r="AC239" s="1423"/>
      <c r="AD239" s="1422"/>
      <c r="AF239" s="1422"/>
      <c r="AG239" s="1422"/>
      <c r="AH239" s="1422"/>
      <c r="AI239" s="1484"/>
      <c r="AJ239" s="1484"/>
      <c r="AK239" s="1423"/>
      <c r="AL239" s="748"/>
    </row>
    <row r="240" spans="1:38">
      <c r="A240" s="728">
        <v>235</v>
      </c>
      <c r="B240" s="727" t="s">
        <v>2670</v>
      </c>
      <c r="C240" s="1422"/>
      <c r="E240" s="1423">
        <f>'Revenue Reconcilliation'!Q158</f>
        <v>0</v>
      </c>
      <c r="F240" s="1422"/>
      <c r="G240" s="1422"/>
      <c r="H240" s="1422"/>
      <c r="I240" s="1422"/>
      <c r="J240" s="1422"/>
      <c r="K240" s="1405"/>
      <c r="L240" s="1427"/>
      <c r="M240" s="1423"/>
      <c r="N240" s="1422"/>
      <c r="O240" s="1423"/>
      <c r="P240" s="1423"/>
      <c r="Q240" s="1423"/>
      <c r="R240" s="1422"/>
      <c r="S240" s="1423"/>
      <c r="T240" s="1423"/>
      <c r="U240" s="1423"/>
      <c r="V240" s="1422"/>
      <c r="W240" s="1422"/>
      <c r="X240" s="1422"/>
      <c r="Y240" s="1422"/>
      <c r="Z240" s="1422"/>
      <c r="AA240" s="1423"/>
      <c r="AB240" s="1423"/>
      <c r="AC240" s="1423"/>
      <c r="AD240" s="1422"/>
      <c r="AF240" s="1422"/>
      <c r="AG240" s="1422"/>
      <c r="AH240" s="1422"/>
      <c r="AI240" s="1484"/>
      <c r="AJ240" s="1484"/>
      <c r="AK240" s="1423"/>
      <c r="AL240" s="748"/>
    </row>
    <row r="241" spans="1:38">
      <c r="A241" s="728">
        <v>236</v>
      </c>
      <c r="B241" s="1482" t="s">
        <v>2451</v>
      </c>
      <c r="C241" s="1475"/>
      <c r="E241" s="1423">
        <f>'Revenue Reconcilliation'!Q159</f>
        <v>0</v>
      </c>
      <c r="F241" s="1422"/>
      <c r="G241" s="1422"/>
      <c r="H241" s="1422"/>
      <c r="I241" s="1422"/>
      <c r="J241" s="1422"/>
      <c r="K241" s="1405"/>
      <c r="L241" s="1427"/>
      <c r="M241" s="1423"/>
      <c r="N241" s="1422"/>
      <c r="O241" s="1423"/>
      <c r="P241" s="1423"/>
      <c r="Q241" s="1423"/>
      <c r="R241" s="1422"/>
      <c r="S241" s="1423"/>
      <c r="T241" s="1423"/>
      <c r="U241" s="1423"/>
      <c r="V241" s="1422"/>
      <c r="W241" s="1422"/>
      <c r="X241" s="1422"/>
      <c r="Y241" s="1422"/>
      <c r="Z241" s="1422"/>
      <c r="AA241" s="1423"/>
      <c r="AB241" s="1423"/>
      <c r="AC241" s="1423"/>
      <c r="AD241" s="1422"/>
      <c r="AF241" s="1422"/>
      <c r="AG241" s="1422"/>
      <c r="AH241" s="1422"/>
      <c r="AI241" s="1484"/>
      <c r="AJ241" s="1484"/>
      <c r="AK241" s="1423"/>
      <c r="AL241" s="748"/>
    </row>
    <row r="242" spans="1:38">
      <c r="A242" s="728">
        <v>237</v>
      </c>
      <c r="B242" s="1482" t="s">
        <v>2697</v>
      </c>
      <c r="C242" s="1422"/>
      <c r="E242" s="1423">
        <f>'Revenue Reconcilliation'!Q160</f>
        <v>-1979.85</v>
      </c>
      <c r="F242" s="1422"/>
      <c r="G242" s="1422"/>
      <c r="H242" s="1422"/>
      <c r="I242" s="1422"/>
      <c r="J242" s="1422"/>
      <c r="K242" s="1405"/>
      <c r="L242" s="1427"/>
      <c r="M242" s="1423"/>
      <c r="N242" s="1422"/>
      <c r="O242" s="1423"/>
      <c r="P242" s="1423"/>
      <c r="Q242" s="1423"/>
      <c r="R242" s="1422"/>
      <c r="S242" s="1423"/>
      <c r="T242" s="1423"/>
      <c r="U242" s="1423"/>
      <c r="V242" s="1422"/>
      <c r="W242" s="1422"/>
      <c r="X242" s="1422"/>
      <c r="Y242" s="1422"/>
      <c r="Z242" s="1422"/>
      <c r="AA242" s="1423"/>
      <c r="AB242" s="1423"/>
      <c r="AC242" s="1423"/>
      <c r="AD242" s="1422"/>
      <c r="AF242" s="1422"/>
      <c r="AG242" s="1422"/>
      <c r="AH242" s="1422"/>
      <c r="AI242" s="1484"/>
      <c r="AJ242" s="1484"/>
      <c r="AK242" s="1423"/>
      <c r="AL242" s="748"/>
    </row>
    <row r="243" spans="1:38">
      <c r="A243" s="728">
        <v>238</v>
      </c>
      <c r="B243" s="1482" t="s">
        <v>2698</v>
      </c>
      <c r="C243" s="1475"/>
      <c r="E243" s="1437">
        <f>'Revenue Reconcilliation'!Q161</f>
        <v>2127.86</v>
      </c>
      <c r="F243" s="1422"/>
      <c r="G243" s="1422"/>
      <c r="H243" s="1422"/>
      <c r="I243" s="1422"/>
      <c r="J243" s="1422"/>
      <c r="K243" s="1405"/>
      <c r="L243" s="1427"/>
      <c r="M243" s="1423"/>
      <c r="N243" s="1422"/>
      <c r="O243" s="1423"/>
      <c r="P243" s="1423"/>
      <c r="Q243" s="1423"/>
      <c r="R243" s="1422"/>
      <c r="S243" s="1423"/>
      <c r="T243" s="1423"/>
      <c r="U243" s="1423"/>
      <c r="V243" s="1422"/>
      <c r="W243" s="1422"/>
      <c r="X243" s="1422"/>
      <c r="Y243" s="1422"/>
      <c r="Z243" s="1422"/>
      <c r="AA243" s="1423"/>
      <c r="AB243" s="1423"/>
      <c r="AC243" s="1423"/>
      <c r="AD243" s="1422"/>
      <c r="AF243" s="1422"/>
      <c r="AG243" s="1422"/>
      <c r="AH243" s="1422"/>
      <c r="AI243" s="1484"/>
      <c r="AJ243" s="1484"/>
      <c r="AK243" s="1423"/>
      <c r="AL243" s="748"/>
    </row>
    <row r="244" spans="1:38">
      <c r="A244" s="728">
        <v>239</v>
      </c>
      <c r="B244" s="727" t="s">
        <v>2678</v>
      </c>
      <c r="C244" s="1422"/>
      <c r="E244" s="1423">
        <f>SUM(E225:E243)</f>
        <v>3709.27</v>
      </c>
      <c r="F244" s="1422"/>
      <c r="G244" s="1422"/>
      <c r="H244" s="1422"/>
      <c r="I244" s="1422"/>
      <c r="J244" s="1422"/>
      <c r="K244" s="1405"/>
      <c r="L244" s="1427"/>
      <c r="M244" s="1423"/>
      <c r="N244" s="1422"/>
      <c r="O244" s="1423"/>
      <c r="P244" s="1423"/>
      <c r="Q244" s="1423"/>
      <c r="R244" s="1422"/>
      <c r="S244" s="1423"/>
      <c r="T244" s="1423"/>
      <c r="U244" s="1423"/>
      <c r="V244" s="1422"/>
      <c r="W244" s="1422"/>
      <c r="X244" s="1422"/>
      <c r="Y244" s="1422"/>
      <c r="Z244" s="1422"/>
      <c r="AA244" s="1423"/>
      <c r="AB244" s="1423"/>
      <c r="AC244" s="1423"/>
      <c r="AD244" s="1422"/>
      <c r="AF244" s="1422"/>
      <c r="AG244" s="1422"/>
      <c r="AH244" s="1422"/>
      <c r="AI244" s="1484"/>
      <c r="AJ244" s="1484"/>
      <c r="AK244" s="1423"/>
      <c r="AL244" s="748"/>
    </row>
    <row r="245" spans="1:38">
      <c r="A245" s="728">
        <v>240</v>
      </c>
      <c r="C245" s="1475"/>
      <c r="E245" s="1423"/>
      <c r="F245" s="1422"/>
      <c r="G245" s="1422"/>
      <c r="H245" s="1422"/>
      <c r="I245" s="1422"/>
      <c r="J245" s="1422"/>
      <c r="K245" s="1405"/>
      <c r="L245" s="1427"/>
      <c r="M245" s="1423"/>
      <c r="N245" s="1422"/>
      <c r="O245" s="1423"/>
      <c r="P245" s="1423"/>
      <c r="Q245" s="1423"/>
      <c r="R245" s="1422"/>
      <c r="S245" s="1423"/>
      <c r="T245" s="1423"/>
      <c r="U245" s="1423"/>
      <c r="V245" s="1422"/>
      <c r="W245" s="1422"/>
      <c r="X245" s="1422"/>
      <c r="Y245" s="1422"/>
      <c r="Z245" s="1422"/>
      <c r="AA245" s="1423"/>
      <c r="AB245" s="1423"/>
      <c r="AC245" s="1423"/>
      <c r="AD245" s="1422"/>
      <c r="AF245" s="1422"/>
      <c r="AG245" s="1422"/>
      <c r="AH245" s="1422"/>
      <c r="AI245" s="1484"/>
      <c r="AJ245" s="1484"/>
      <c r="AK245" s="1423"/>
      <c r="AL245" s="748"/>
    </row>
    <row r="246" spans="1:38">
      <c r="A246" s="728">
        <v>241</v>
      </c>
      <c r="B246" s="1444" t="s">
        <v>2704</v>
      </c>
      <c r="C246" s="1422">
        <f>E246-'Revenue Reconcilliation'!Q162</f>
        <v>0</v>
      </c>
      <c r="D246" s="1404" t="s">
        <v>2673</v>
      </c>
      <c r="E246" s="1423">
        <f>SUM(E220,E222,E244)</f>
        <v>5485.11</v>
      </c>
      <c r="F246" s="1422"/>
      <c r="G246" s="1422"/>
      <c r="H246" s="1422"/>
      <c r="I246" s="1422"/>
      <c r="J246" s="1422"/>
      <c r="K246" s="1405"/>
      <c r="L246" s="1427"/>
      <c r="M246" s="1423"/>
      <c r="N246" s="1422"/>
      <c r="O246" s="1423"/>
      <c r="P246" s="1423"/>
      <c r="Q246" s="1423"/>
      <c r="R246" s="1422"/>
      <c r="S246" s="1423"/>
      <c r="T246" s="1423"/>
      <c r="U246" s="1423"/>
      <c r="V246" s="1422"/>
      <c r="W246" s="1422"/>
      <c r="X246" s="1422"/>
      <c r="Y246" s="1422"/>
      <c r="Z246" s="1422"/>
      <c r="AA246" s="1423"/>
      <c r="AB246" s="1423"/>
      <c r="AC246" s="1423"/>
      <c r="AD246" s="1422"/>
      <c r="AF246" s="1422"/>
      <c r="AG246" s="1422"/>
      <c r="AH246" s="1422"/>
      <c r="AI246" s="1484"/>
      <c r="AJ246" s="1484"/>
      <c r="AK246" s="1423"/>
      <c r="AL246" s="748"/>
    </row>
    <row r="247" spans="1:38">
      <c r="A247" s="728">
        <v>242</v>
      </c>
      <c r="B247" s="1448"/>
      <c r="C247" s="1475"/>
      <c r="E247" s="1423"/>
      <c r="F247" s="1422"/>
      <c r="G247" s="1422"/>
      <c r="H247" s="1422"/>
      <c r="I247" s="1422"/>
      <c r="J247" s="1422"/>
      <c r="K247" s="1405"/>
      <c r="L247" s="1427"/>
      <c r="M247" s="1423"/>
      <c r="N247" s="1422"/>
      <c r="O247" s="1423"/>
      <c r="P247" s="1423"/>
      <c r="Q247" s="1423"/>
      <c r="R247" s="1422"/>
      <c r="S247" s="1423"/>
      <c r="T247" s="1423"/>
      <c r="U247" s="1423"/>
      <c r="V247" s="1422"/>
      <c r="W247" s="1422"/>
      <c r="X247" s="1422"/>
      <c r="Y247" s="1422"/>
      <c r="Z247" s="1422"/>
      <c r="AA247" s="1423"/>
      <c r="AB247" s="1423"/>
      <c r="AC247" s="1423"/>
      <c r="AD247" s="1422"/>
      <c r="AF247" s="1422"/>
      <c r="AG247" s="1422"/>
      <c r="AH247" s="1422"/>
      <c r="AI247" s="1484"/>
      <c r="AJ247" s="1484"/>
      <c r="AK247" s="1423"/>
      <c r="AL247" s="748"/>
    </row>
    <row r="248" spans="1:38">
      <c r="A248" s="728">
        <v>243</v>
      </c>
      <c r="B248" s="1420" t="s">
        <v>2705</v>
      </c>
      <c r="E248" s="1423"/>
      <c r="F248" s="1423"/>
      <c r="G248" s="1476" t="s">
        <v>2706</v>
      </c>
      <c r="H248" s="1423"/>
      <c r="I248" s="1423"/>
      <c r="J248" s="1423"/>
      <c r="K248" s="1405"/>
      <c r="L248" s="1427"/>
      <c r="M248" s="1423"/>
      <c r="N248" s="1423"/>
      <c r="P248" s="1423"/>
      <c r="Q248" s="1423"/>
      <c r="R248" s="1423"/>
      <c r="T248" s="1423"/>
      <c r="U248" s="1423"/>
      <c r="V248" s="1423"/>
      <c r="W248" s="1423"/>
      <c r="X248" s="1423"/>
      <c r="Y248" s="1423"/>
      <c r="Z248" s="1423"/>
      <c r="AD248" s="1423"/>
      <c r="AF248" s="1423"/>
      <c r="AG248" s="1423"/>
      <c r="AH248" s="1423"/>
      <c r="AL248" s="748"/>
    </row>
    <row r="249" spans="1:38">
      <c r="A249" s="728">
        <v>244</v>
      </c>
      <c r="B249" s="727" t="s">
        <v>2462</v>
      </c>
      <c r="C249" s="1477">
        <f>E249/D249</f>
        <v>14</v>
      </c>
      <c r="D249" s="1430">
        <v>125</v>
      </c>
      <c r="E249" s="1423">
        <f>'1501 Summary'!AD74</f>
        <v>1750</v>
      </c>
      <c r="F249" s="1422"/>
      <c r="G249" s="1424">
        <f>-C249</f>
        <v>-14</v>
      </c>
      <c r="H249" s="1422">
        <f>D249</f>
        <v>125</v>
      </c>
      <c r="I249" s="1423">
        <f>H249*G249</f>
        <v>-1750</v>
      </c>
      <c r="J249" s="1422"/>
      <c r="K249" s="1405">
        <f>C249+G249</f>
        <v>0</v>
      </c>
      <c r="L249" s="1422">
        <f>D249</f>
        <v>125</v>
      </c>
      <c r="M249" s="1423">
        <f>L249*K249</f>
        <v>0</v>
      </c>
      <c r="N249" s="1422"/>
      <c r="P249" s="1423"/>
      <c r="Q249" s="1423"/>
      <c r="R249" s="1422"/>
      <c r="T249" s="1423"/>
      <c r="U249" s="1423"/>
      <c r="V249" s="1422"/>
      <c r="Z249" s="1422"/>
      <c r="AA249" s="1423"/>
      <c r="AB249" s="1423"/>
      <c r="AC249" s="1423"/>
      <c r="AD249" s="1422"/>
      <c r="AF249" s="1422"/>
      <c r="AG249" s="1422"/>
      <c r="AH249" s="1422"/>
      <c r="AI249" s="1484"/>
      <c r="AJ249" s="1484"/>
      <c r="AK249" s="1423"/>
      <c r="AL249" s="748"/>
    </row>
    <row r="250" spans="1:38">
      <c r="A250" s="728">
        <v>245</v>
      </c>
      <c r="B250" s="727" t="s">
        <v>2688</v>
      </c>
      <c r="C250" s="1477">
        <f>E250/D250</f>
        <v>267361.96789951151</v>
      </c>
      <c r="D250" s="1428">
        <v>0.14330000000000001</v>
      </c>
      <c r="E250" s="1423">
        <f>'1501 Summary'!AD75</f>
        <v>38312.97</v>
      </c>
      <c r="F250" s="1423"/>
      <c r="G250" s="1424">
        <f>-C250</f>
        <v>-267361.96789951151</v>
      </c>
      <c r="H250" s="1422">
        <f>D250</f>
        <v>0.14330000000000001</v>
      </c>
      <c r="I250" s="1423">
        <f>H250*G250</f>
        <v>-38312.97</v>
      </c>
      <c r="J250" s="1423"/>
      <c r="K250" s="1405">
        <f>C250+G250</f>
        <v>0</v>
      </c>
      <c r="L250" s="1427">
        <v>0.16113</v>
      </c>
      <c r="M250" s="1437">
        <f>L250*K250</f>
        <v>0</v>
      </c>
      <c r="N250" s="1423"/>
      <c r="P250" s="1423"/>
      <c r="Q250" s="1423"/>
      <c r="R250" s="1423"/>
      <c r="T250" s="1423"/>
      <c r="U250" s="1423"/>
      <c r="V250" s="1423"/>
      <c r="Z250" s="1423"/>
      <c r="AD250" s="1423"/>
      <c r="AF250" s="1423"/>
      <c r="AG250" s="1423"/>
      <c r="AH250" s="1423"/>
      <c r="AL250" s="748"/>
    </row>
    <row r="251" spans="1:38">
      <c r="A251" s="728">
        <v>246</v>
      </c>
      <c r="B251" s="727" t="s">
        <v>2689</v>
      </c>
      <c r="C251" s="1477">
        <f>E251/D251</f>
        <v>681100.96504005836</v>
      </c>
      <c r="D251" s="1361">
        <v>0.10983999999999999</v>
      </c>
      <c r="E251" s="1423">
        <f>'1501 Summary'!AD76</f>
        <v>74812.13</v>
      </c>
      <c r="F251" s="1423"/>
      <c r="G251" s="1424">
        <f>-C251</f>
        <v>-681100.96504005836</v>
      </c>
      <c r="H251" s="1422">
        <f>D251</f>
        <v>0.10983999999999999</v>
      </c>
      <c r="I251" s="1423">
        <f>H251*G251</f>
        <v>-74812.13</v>
      </c>
      <c r="J251" s="1423"/>
      <c r="K251" s="1405"/>
      <c r="L251" s="1427"/>
      <c r="M251" s="1423"/>
      <c r="N251" s="1423"/>
      <c r="P251" s="1423"/>
      <c r="Q251" s="1423"/>
      <c r="R251" s="1423"/>
      <c r="T251" s="1423"/>
      <c r="U251" s="1423"/>
      <c r="V251" s="1423"/>
      <c r="Z251" s="1423"/>
      <c r="AD251" s="1423"/>
      <c r="AF251" s="1423"/>
      <c r="AG251" s="1423"/>
      <c r="AH251" s="1423"/>
      <c r="AL251" s="748"/>
    </row>
    <row r="252" spans="1:38">
      <c r="A252" s="728">
        <v>247</v>
      </c>
      <c r="B252" s="1453" t="s">
        <v>2690</v>
      </c>
      <c r="C252" s="1485">
        <f>E252/D252</f>
        <v>1897641.5651531932</v>
      </c>
      <c r="D252" s="1361">
        <v>2.7089999999999999E-2</v>
      </c>
      <c r="E252" s="1437">
        <f>'1501 Summary'!AD77</f>
        <v>51407.11</v>
      </c>
      <c r="F252" s="1423"/>
      <c r="G252" s="1424">
        <f>-C252</f>
        <v>-1897641.5651531932</v>
      </c>
      <c r="H252" s="1422">
        <f>D252</f>
        <v>2.7089999999999999E-2</v>
      </c>
      <c r="I252" s="1423">
        <f>H252*G252</f>
        <v>-51407.11</v>
      </c>
      <c r="J252" s="1423"/>
      <c r="K252" s="1405"/>
      <c r="L252" s="1427"/>
      <c r="M252" s="1423"/>
      <c r="N252" s="1423"/>
      <c r="P252" s="1423"/>
      <c r="Q252" s="1423"/>
      <c r="R252" s="1423"/>
      <c r="T252" s="1423"/>
      <c r="U252" s="1423"/>
      <c r="V252" s="1423"/>
      <c r="Z252" s="1423"/>
      <c r="AD252" s="1423"/>
      <c r="AF252" s="1423"/>
      <c r="AG252" s="1423"/>
      <c r="AH252" s="1423"/>
      <c r="AL252" s="748"/>
    </row>
    <row r="253" spans="1:38">
      <c r="A253" s="728">
        <v>248</v>
      </c>
      <c r="C253" s="1424">
        <f>SUM(C250:C252)</f>
        <v>2846104.4980927631</v>
      </c>
      <c r="E253" s="1423">
        <f>SUM(E249:E252)</f>
        <v>166282.21000000002</v>
      </c>
      <c r="F253" s="1422"/>
      <c r="G253" s="1486">
        <f>-C253</f>
        <v>-2846104.4980927631</v>
      </c>
      <c r="H253" s="1422"/>
      <c r="I253" s="1422">
        <f>SUM(I249:I252)</f>
        <v>-166282.21000000002</v>
      </c>
      <c r="J253" s="1422"/>
      <c r="K253" s="1422"/>
      <c r="M253" s="1423">
        <f>SUM(M249:M250)</f>
        <v>0</v>
      </c>
      <c r="N253" s="1422"/>
      <c r="P253" s="1423"/>
      <c r="Q253" s="1423"/>
      <c r="R253" s="1422"/>
      <c r="T253" s="1423"/>
      <c r="U253" s="1423"/>
      <c r="V253" s="1422"/>
      <c r="Z253" s="1422"/>
      <c r="AA253" s="1423"/>
      <c r="AB253" s="1423"/>
      <c r="AC253" s="1423"/>
      <c r="AD253" s="1422"/>
      <c r="AF253" s="1422"/>
      <c r="AG253" s="1422"/>
      <c r="AH253" s="1422"/>
      <c r="AI253" s="1484"/>
      <c r="AJ253" s="1484"/>
      <c r="AK253" s="1423"/>
      <c r="AL253" s="748"/>
    </row>
    <row r="254" spans="1:38">
      <c r="A254" s="728">
        <v>249</v>
      </c>
      <c r="E254" s="1423"/>
      <c r="F254" s="1423"/>
      <c r="G254" s="1423"/>
      <c r="H254" s="1423"/>
      <c r="I254" s="1423"/>
      <c r="J254" s="1423"/>
      <c r="K254" s="1405"/>
      <c r="L254" s="1427"/>
      <c r="M254" s="1423"/>
      <c r="N254" s="1423"/>
      <c r="O254" s="1423"/>
      <c r="P254" s="1423"/>
      <c r="Q254" s="1423"/>
      <c r="R254" s="1423"/>
      <c r="S254" s="1423"/>
      <c r="T254" s="1423"/>
      <c r="U254" s="1423"/>
      <c r="V254" s="1423"/>
      <c r="W254" s="1423"/>
      <c r="X254" s="1423"/>
      <c r="Y254" s="1423"/>
      <c r="Z254" s="1423"/>
      <c r="AD254" s="1423"/>
      <c r="AF254" s="1423"/>
      <c r="AG254" s="1423"/>
      <c r="AH254" s="1423"/>
      <c r="AL254" s="748"/>
    </row>
    <row r="255" spans="1:38">
      <c r="A255" s="728">
        <v>250</v>
      </c>
      <c r="B255" s="727" t="s">
        <v>2650</v>
      </c>
      <c r="C255" s="1475"/>
      <c r="E255" s="1423">
        <f>'1501 Summary'!AD78</f>
        <v>1197642.52</v>
      </c>
      <c r="F255" s="1422"/>
      <c r="G255" s="1422"/>
      <c r="H255" s="1422"/>
      <c r="I255" s="1422"/>
      <c r="J255" s="1422"/>
      <c r="K255" s="1405"/>
      <c r="L255" s="1427"/>
      <c r="M255" s="1423"/>
      <c r="N255" s="1422"/>
      <c r="O255" s="1423"/>
      <c r="P255" s="1423"/>
      <c r="Q255" s="1423"/>
      <c r="R255" s="1422"/>
      <c r="S255" s="1423"/>
      <c r="T255" s="1423"/>
      <c r="U255" s="1423"/>
      <c r="V255" s="1422"/>
      <c r="W255" s="1422"/>
      <c r="X255" s="1422"/>
      <c r="Y255" s="1422"/>
      <c r="Z255" s="1422"/>
      <c r="AA255" s="1423"/>
      <c r="AB255" s="1423"/>
      <c r="AC255" s="1423"/>
      <c r="AD255" s="1422"/>
      <c r="AF255" s="1422"/>
      <c r="AG255" s="1422"/>
      <c r="AH255" s="1422"/>
      <c r="AI255" s="1484"/>
      <c r="AJ255" s="1484"/>
      <c r="AK255" s="1423"/>
      <c r="AL255" s="748"/>
    </row>
    <row r="256" spans="1:38">
      <c r="A256" s="728">
        <v>251</v>
      </c>
      <c r="E256" s="1423"/>
      <c r="F256" s="1423"/>
      <c r="G256" s="1423"/>
      <c r="H256" s="1423"/>
      <c r="I256" s="1423"/>
      <c r="J256" s="1423"/>
      <c r="K256" s="1405"/>
      <c r="L256" s="1427"/>
      <c r="M256" s="1423"/>
      <c r="N256" s="1423"/>
      <c r="O256" s="1423"/>
      <c r="P256" s="1423"/>
      <c r="Q256" s="1423"/>
      <c r="R256" s="1423"/>
      <c r="S256" s="1423"/>
      <c r="T256" s="1423"/>
      <c r="U256" s="1423"/>
      <c r="V256" s="1423"/>
      <c r="W256" s="1423"/>
      <c r="X256" s="1423"/>
      <c r="Y256" s="1423"/>
      <c r="Z256" s="1423"/>
      <c r="AD256" s="1423"/>
      <c r="AF256" s="1423"/>
      <c r="AG256" s="1423"/>
      <c r="AH256" s="1423"/>
      <c r="AL256" s="748"/>
    </row>
    <row r="257" spans="1:38">
      <c r="A257" s="728">
        <v>252</v>
      </c>
      <c r="B257" s="727" t="s">
        <v>2651</v>
      </c>
      <c r="C257" s="1475"/>
      <c r="E257" s="1423"/>
      <c r="F257" s="1422"/>
      <c r="G257" s="1422"/>
      <c r="H257" s="1422"/>
      <c r="I257" s="1422"/>
      <c r="J257" s="1422"/>
      <c r="K257" s="1405"/>
      <c r="L257" s="1427"/>
      <c r="M257" s="1423"/>
      <c r="N257" s="1422"/>
      <c r="O257" s="1423"/>
      <c r="P257" s="1423"/>
      <c r="Q257" s="1423"/>
      <c r="R257" s="1422"/>
      <c r="S257" s="1423"/>
      <c r="T257" s="1423"/>
      <c r="U257" s="1423"/>
      <c r="V257" s="1422"/>
      <c r="W257" s="1422"/>
      <c r="X257" s="1422"/>
      <c r="Y257" s="1422"/>
      <c r="Z257" s="1422"/>
      <c r="AA257" s="1423"/>
      <c r="AB257" s="1423"/>
      <c r="AC257" s="1423"/>
      <c r="AD257" s="1422"/>
      <c r="AF257" s="1422"/>
      <c r="AG257" s="1422"/>
      <c r="AH257" s="1422"/>
      <c r="AI257" s="1484"/>
      <c r="AJ257" s="1484"/>
      <c r="AK257" s="1423"/>
      <c r="AL257" s="748"/>
    </row>
    <row r="258" spans="1:38">
      <c r="A258" s="728">
        <v>253</v>
      </c>
      <c r="B258" s="727" t="s">
        <v>2652</v>
      </c>
      <c r="E258" s="1423">
        <f>'1501 Summary'!AD79</f>
        <v>305381.45999999996</v>
      </c>
      <c r="F258" s="1423"/>
      <c r="G258" s="1423"/>
      <c r="H258" s="1423"/>
      <c r="I258" s="1423"/>
      <c r="J258" s="1423"/>
      <c r="K258" s="1405"/>
      <c r="L258" s="1427"/>
      <c r="M258" s="1423"/>
      <c r="N258" s="1423"/>
      <c r="O258" s="1423"/>
      <c r="P258" s="1423"/>
      <c r="Q258" s="1423"/>
      <c r="R258" s="1423"/>
      <c r="S258" s="1423"/>
      <c r="T258" s="1423"/>
      <c r="U258" s="1423"/>
      <c r="V258" s="1423"/>
      <c r="W258" s="1423"/>
      <c r="X258" s="1423"/>
      <c r="Y258" s="1423"/>
      <c r="Z258" s="1423"/>
      <c r="AD258" s="1423"/>
      <c r="AF258" s="1423"/>
      <c r="AG258" s="1423"/>
      <c r="AH258" s="1423"/>
      <c r="AL258" s="748"/>
    </row>
    <row r="259" spans="1:38">
      <c r="A259" s="728">
        <v>254</v>
      </c>
      <c r="B259" s="727" t="s">
        <v>2653</v>
      </c>
      <c r="C259" s="1475"/>
      <c r="E259" s="1423">
        <f>'1501 Summary'!AD80</f>
        <v>4053.45</v>
      </c>
      <c r="F259" s="1422"/>
      <c r="G259" s="1422"/>
      <c r="H259" s="1422"/>
      <c r="I259" s="1422"/>
      <c r="J259" s="1422"/>
      <c r="K259" s="1405"/>
      <c r="L259" s="1427"/>
      <c r="M259" s="1423"/>
      <c r="N259" s="1422"/>
      <c r="O259" s="1423"/>
      <c r="P259" s="1423"/>
      <c r="Q259" s="1423"/>
      <c r="R259" s="1422"/>
      <c r="S259" s="1423"/>
      <c r="T259" s="1423"/>
      <c r="U259" s="1423"/>
      <c r="V259" s="1422"/>
      <c r="W259" s="1422"/>
      <c r="X259" s="1422"/>
      <c r="Y259" s="1422"/>
      <c r="Z259" s="1422"/>
      <c r="AA259" s="1423"/>
      <c r="AB259" s="1423"/>
      <c r="AC259" s="1423"/>
      <c r="AD259" s="1422"/>
      <c r="AF259" s="1422"/>
      <c r="AG259" s="1422"/>
      <c r="AH259" s="1422"/>
      <c r="AI259" s="1484"/>
      <c r="AJ259" s="1484"/>
      <c r="AK259" s="1423"/>
      <c r="AL259" s="748"/>
    </row>
    <row r="260" spans="1:38">
      <c r="A260" s="728">
        <v>255</v>
      </c>
      <c r="B260" s="727" t="s">
        <v>2654</v>
      </c>
      <c r="E260" s="1423">
        <f>'1501 Summary'!AD81</f>
        <v>14885.89</v>
      </c>
      <c r="F260" s="1423"/>
      <c r="G260" s="1423"/>
      <c r="H260" s="1423"/>
      <c r="I260" s="1423"/>
      <c r="J260" s="1423"/>
      <c r="K260" s="1405"/>
      <c r="L260" s="1427"/>
      <c r="M260" s="1423"/>
      <c r="N260" s="1423"/>
      <c r="O260" s="1423"/>
      <c r="P260" s="1423"/>
      <c r="Q260" s="1423"/>
      <c r="R260" s="1423"/>
      <c r="S260" s="1423"/>
      <c r="T260" s="1423"/>
      <c r="U260" s="1423"/>
      <c r="V260" s="1423"/>
      <c r="W260" s="1423"/>
      <c r="X260" s="1423"/>
      <c r="Y260" s="1423"/>
      <c r="Z260" s="1423"/>
      <c r="AD260" s="1423"/>
      <c r="AF260" s="1423"/>
      <c r="AG260" s="1423"/>
      <c r="AH260" s="1423"/>
      <c r="AL260" s="748"/>
    </row>
    <row r="261" spans="1:38">
      <c r="A261" s="728">
        <v>256</v>
      </c>
      <c r="B261" s="727" t="s">
        <v>2655</v>
      </c>
      <c r="C261" s="1475"/>
      <c r="E261" s="1423">
        <f>'1501 Summary'!AD82</f>
        <v>-97569.7</v>
      </c>
      <c r="F261" s="1422"/>
      <c r="G261" s="1422"/>
      <c r="H261" s="1422"/>
      <c r="I261" s="1422"/>
      <c r="J261" s="1422"/>
      <c r="K261" s="1405"/>
      <c r="L261" s="1427"/>
      <c r="M261" s="1423"/>
      <c r="N261" s="1422"/>
      <c r="O261" s="1423"/>
      <c r="P261" s="1423"/>
      <c r="Q261" s="1423"/>
      <c r="R261" s="1422"/>
      <c r="S261" s="1423"/>
      <c r="T261" s="1423"/>
      <c r="U261" s="1423"/>
      <c r="V261" s="1422"/>
      <c r="W261" s="1422"/>
      <c r="X261" s="1422"/>
      <c r="Y261" s="1422"/>
      <c r="Z261" s="1422"/>
      <c r="AA261" s="1423"/>
      <c r="AB261" s="1423"/>
      <c r="AC261" s="1423"/>
      <c r="AD261" s="1422"/>
      <c r="AF261" s="1422"/>
      <c r="AG261" s="1422"/>
      <c r="AH261" s="1422"/>
      <c r="AI261" s="1484"/>
      <c r="AJ261" s="1484"/>
      <c r="AK261" s="1423"/>
      <c r="AL261" s="748"/>
    </row>
    <row r="262" spans="1:38">
      <c r="A262" s="728">
        <v>257</v>
      </c>
      <c r="B262" s="727" t="s">
        <v>2656</v>
      </c>
      <c r="E262" s="1423">
        <f>'1501 Summary'!AD83</f>
        <v>10428.570000000002</v>
      </c>
      <c r="F262" s="1423"/>
      <c r="G262" s="1423"/>
      <c r="H262" s="1423"/>
      <c r="I262" s="1423"/>
      <c r="J262" s="1423"/>
      <c r="K262" s="1405"/>
      <c r="L262" s="1427"/>
      <c r="M262" s="1423"/>
      <c r="N262" s="1423"/>
      <c r="O262" s="1423"/>
      <c r="P262" s="1423"/>
      <c r="Q262" s="1423"/>
      <c r="R262" s="1423"/>
      <c r="S262" s="1423"/>
      <c r="T262" s="1423"/>
      <c r="U262" s="1423"/>
      <c r="V262" s="1423"/>
      <c r="W262" s="1423"/>
      <c r="X262" s="1423"/>
      <c r="Y262" s="1423"/>
      <c r="Z262" s="1423"/>
      <c r="AD262" s="1423"/>
      <c r="AF262" s="1423"/>
      <c r="AG262" s="1423"/>
      <c r="AH262" s="1423"/>
      <c r="AL262" s="748"/>
    </row>
    <row r="263" spans="1:38">
      <c r="A263" s="728">
        <v>258</v>
      </c>
      <c r="B263" s="727" t="s">
        <v>2657</v>
      </c>
      <c r="C263" s="1475"/>
      <c r="E263" s="1423">
        <f>'1501 Summary'!AD84</f>
        <v>76523.260000000009</v>
      </c>
      <c r="F263" s="1422"/>
      <c r="G263" s="1422"/>
      <c r="H263" s="1422"/>
      <c r="I263" s="1422"/>
      <c r="J263" s="1422"/>
      <c r="K263" s="1405"/>
      <c r="L263" s="1427"/>
      <c r="M263" s="1423"/>
      <c r="N263" s="1422"/>
      <c r="O263" s="1423"/>
      <c r="P263" s="1423"/>
      <c r="Q263" s="1423"/>
      <c r="R263" s="1422"/>
      <c r="S263" s="1423"/>
      <c r="T263" s="1423"/>
      <c r="U263" s="1423"/>
      <c r="V263" s="1422"/>
      <c r="W263" s="1422"/>
      <c r="X263" s="1422"/>
      <c r="Y263" s="1422"/>
      <c r="Z263" s="1422"/>
      <c r="AA263" s="1423"/>
      <c r="AB263" s="1423"/>
      <c r="AC263" s="1423"/>
      <c r="AD263" s="1422"/>
      <c r="AF263" s="1422"/>
      <c r="AG263" s="1422"/>
      <c r="AH263" s="1422"/>
      <c r="AI263" s="1484"/>
      <c r="AJ263" s="1484"/>
      <c r="AK263" s="1423"/>
      <c r="AL263" s="748"/>
    </row>
    <row r="264" spans="1:38">
      <c r="A264" s="728">
        <v>259</v>
      </c>
      <c r="B264" s="1478" t="s">
        <v>2658</v>
      </c>
      <c r="E264" s="1423">
        <f>'1501 Summary'!AD85</f>
        <v>-8664.41</v>
      </c>
      <c r="F264" s="1423"/>
      <c r="G264" s="1423"/>
      <c r="H264" s="1423"/>
      <c r="I264" s="1423"/>
      <c r="J264" s="1423"/>
      <c r="K264" s="1405"/>
      <c r="L264" s="1427"/>
      <c r="M264" s="1423"/>
      <c r="N264" s="1423"/>
      <c r="O264" s="1423"/>
      <c r="P264" s="1423"/>
      <c r="Q264" s="1423"/>
      <c r="R264" s="1423"/>
      <c r="S264" s="1423"/>
      <c r="T264" s="1423"/>
      <c r="U264" s="1423"/>
      <c r="V264" s="1423"/>
      <c r="W264" s="1423"/>
      <c r="X264" s="1423"/>
      <c r="Y264" s="1423"/>
      <c r="Z264" s="1423"/>
      <c r="AD264" s="1423"/>
      <c r="AF264" s="1423"/>
      <c r="AG264" s="1423"/>
      <c r="AH264" s="1423"/>
      <c r="AL264" s="748"/>
    </row>
    <row r="265" spans="1:38">
      <c r="A265" s="728">
        <v>260</v>
      </c>
      <c r="B265" s="1478" t="s">
        <v>2659</v>
      </c>
      <c r="C265" s="1475"/>
      <c r="E265" s="1423">
        <f>'1501 Summary'!AD86</f>
        <v>-3585.9799999999996</v>
      </c>
      <c r="F265" s="1422"/>
      <c r="G265" s="1422"/>
      <c r="H265" s="1422"/>
      <c r="I265" s="1422"/>
      <c r="J265" s="1422"/>
      <c r="K265" s="1405"/>
      <c r="L265" s="1427"/>
      <c r="M265" s="1423"/>
      <c r="N265" s="1422"/>
      <c r="O265" s="1423"/>
      <c r="P265" s="1423"/>
      <c r="Q265" s="1423"/>
      <c r="R265" s="1422"/>
      <c r="S265" s="1423"/>
      <c r="T265" s="1423"/>
      <c r="U265" s="1423"/>
      <c r="V265" s="1422"/>
      <c r="W265" s="1422"/>
      <c r="X265" s="1422"/>
      <c r="Y265" s="1422"/>
      <c r="Z265" s="1422"/>
      <c r="AA265" s="1423"/>
      <c r="AB265" s="1423"/>
      <c r="AC265" s="1423"/>
      <c r="AD265" s="1422"/>
      <c r="AF265" s="1422"/>
      <c r="AG265" s="1422"/>
      <c r="AH265" s="1422"/>
      <c r="AI265" s="1484"/>
      <c r="AJ265" s="1484"/>
      <c r="AK265" s="1423"/>
      <c r="AL265" s="748"/>
    </row>
    <row r="266" spans="1:38">
      <c r="A266" s="728">
        <v>261</v>
      </c>
      <c r="B266" s="1478" t="s">
        <v>2660</v>
      </c>
      <c r="E266" s="1423">
        <f>'1501 Summary'!AD87</f>
        <v>-3274.0999999999995</v>
      </c>
      <c r="F266" s="1423"/>
      <c r="G266" s="1423"/>
      <c r="H266" s="1423"/>
      <c r="I266" s="1423"/>
      <c r="J266" s="1423"/>
      <c r="K266" s="1405"/>
      <c r="L266" s="1427"/>
      <c r="M266" s="1423"/>
      <c r="N266" s="1423"/>
      <c r="O266" s="1423"/>
      <c r="P266" s="1423"/>
      <c r="Q266" s="1423"/>
      <c r="R266" s="1423"/>
      <c r="S266" s="1423"/>
      <c r="T266" s="1423"/>
      <c r="U266" s="1423"/>
      <c r="V266" s="1423"/>
      <c r="W266" s="1423"/>
      <c r="X266" s="1423"/>
      <c r="Y266" s="1423"/>
      <c r="Z266" s="1423"/>
      <c r="AD266" s="1423"/>
      <c r="AF266" s="1423"/>
      <c r="AG266" s="1423"/>
      <c r="AH266" s="1423"/>
      <c r="AL266" s="748"/>
    </row>
    <row r="267" spans="1:38">
      <c r="A267" s="728">
        <v>262</v>
      </c>
      <c r="B267" s="727" t="s">
        <v>2661</v>
      </c>
      <c r="C267" s="1475"/>
      <c r="E267" s="1423">
        <f>'1501 Summary'!AD88</f>
        <v>64837.789999999994</v>
      </c>
      <c r="F267" s="1422"/>
      <c r="G267" s="1422"/>
      <c r="H267" s="1422"/>
      <c r="I267" s="1422"/>
      <c r="J267" s="1422"/>
      <c r="K267" s="1405"/>
      <c r="L267" s="1427"/>
      <c r="M267" s="1423"/>
      <c r="N267" s="1422"/>
      <c r="O267" s="1423"/>
      <c r="P267" s="1423"/>
      <c r="Q267" s="1423"/>
      <c r="R267" s="1422"/>
      <c r="S267" s="1423"/>
      <c r="T267" s="1423"/>
      <c r="U267" s="1423"/>
      <c r="V267" s="1422"/>
      <c r="W267" s="1422"/>
      <c r="X267" s="1422"/>
      <c r="Y267" s="1422"/>
      <c r="Z267" s="1422"/>
      <c r="AA267" s="1423"/>
      <c r="AB267" s="1423"/>
      <c r="AC267" s="1423"/>
      <c r="AD267" s="1422"/>
      <c r="AF267" s="1422"/>
      <c r="AG267" s="1422"/>
      <c r="AH267" s="1422"/>
      <c r="AI267" s="1484"/>
      <c r="AJ267" s="1484"/>
      <c r="AK267" s="1423"/>
      <c r="AL267" s="748"/>
    </row>
    <row r="268" spans="1:38">
      <c r="A268" s="728">
        <v>263</v>
      </c>
      <c r="B268" s="727" t="s">
        <v>54</v>
      </c>
      <c r="E268" s="1423">
        <f>'1501 Summary'!AD89</f>
        <v>0</v>
      </c>
      <c r="F268" s="1423"/>
      <c r="G268" s="1423"/>
      <c r="H268" s="1423"/>
      <c r="I268" s="1423"/>
      <c r="J268" s="1423"/>
      <c r="K268" s="1405"/>
      <c r="L268" s="1427"/>
      <c r="M268" s="1423"/>
      <c r="N268" s="1423"/>
      <c r="O268" s="1423"/>
      <c r="P268" s="1423"/>
      <c r="Q268" s="1423"/>
      <c r="R268" s="1423"/>
      <c r="S268" s="1423"/>
      <c r="T268" s="1423"/>
      <c r="U268" s="1423"/>
      <c r="V268" s="1423"/>
      <c r="W268" s="1423"/>
      <c r="X268" s="1423"/>
      <c r="Y268" s="1423"/>
      <c r="Z268" s="1423"/>
      <c r="AD268" s="1423"/>
      <c r="AF268" s="1423"/>
      <c r="AG268" s="1423"/>
      <c r="AH268" s="1423"/>
      <c r="AL268" s="748"/>
    </row>
    <row r="269" spans="1:38">
      <c r="A269" s="728">
        <v>264</v>
      </c>
      <c r="B269" s="727" t="s">
        <v>2666</v>
      </c>
      <c r="C269" s="1475"/>
      <c r="E269" s="1423">
        <f>'Revenue Reconcilliation'!Q54</f>
        <v>0</v>
      </c>
      <c r="F269" s="1422"/>
      <c r="G269" s="1422"/>
      <c r="H269" s="1422"/>
      <c r="I269" s="1422"/>
      <c r="J269" s="1422"/>
      <c r="K269" s="1405"/>
      <c r="L269" s="1427"/>
      <c r="M269" s="1423"/>
      <c r="N269" s="1422"/>
      <c r="O269" s="1423"/>
      <c r="P269" s="1423"/>
      <c r="Q269" s="1423"/>
      <c r="R269" s="1422"/>
      <c r="S269" s="1423"/>
      <c r="T269" s="1423"/>
      <c r="U269" s="1423"/>
      <c r="V269" s="1422"/>
      <c r="W269" s="1422"/>
      <c r="X269" s="1422"/>
      <c r="Y269" s="1422"/>
      <c r="Z269" s="1422"/>
      <c r="AA269" s="1423"/>
      <c r="AB269" s="1423"/>
      <c r="AC269" s="1423"/>
      <c r="AD269" s="1422"/>
      <c r="AF269" s="1422"/>
      <c r="AG269" s="1422"/>
      <c r="AH269" s="1422"/>
      <c r="AI269" s="1484"/>
      <c r="AJ269" s="1484"/>
      <c r="AK269" s="1423"/>
      <c r="AL269" s="748"/>
    </row>
    <row r="270" spans="1:38">
      <c r="A270" s="728">
        <v>265</v>
      </c>
      <c r="B270" s="727" t="s">
        <v>2667</v>
      </c>
      <c r="E270" s="1423">
        <f>'Revenue Reconcilliation'!Q55</f>
        <v>0</v>
      </c>
      <c r="F270" s="1423"/>
      <c r="G270" s="1423"/>
      <c r="H270" s="1423"/>
      <c r="I270" s="1423"/>
      <c r="J270" s="1423"/>
      <c r="K270" s="1405"/>
      <c r="L270" s="1427"/>
      <c r="M270" s="1423"/>
      <c r="N270" s="1423"/>
      <c r="O270" s="1423"/>
      <c r="P270" s="1423"/>
      <c r="Q270" s="1423"/>
      <c r="R270" s="1423"/>
      <c r="S270" s="1423"/>
      <c r="T270" s="1423"/>
      <c r="U270" s="1423"/>
      <c r="V270" s="1423"/>
      <c r="W270" s="1423"/>
      <c r="X270" s="1423"/>
      <c r="Y270" s="1423"/>
      <c r="Z270" s="1423"/>
      <c r="AD270" s="1423"/>
      <c r="AF270" s="1423"/>
      <c r="AG270" s="1423"/>
      <c r="AH270" s="1423"/>
      <c r="AL270" s="748"/>
    </row>
    <row r="271" spans="1:38">
      <c r="A271" s="728">
        <v>266</v>
      </c>
      <c r="B271" s="727" t="s">
        <v>2668</v>
      </c>
      <c r="C271" s="1475"/>
      <c r="E271" s="1423">
        <f>'Revenue Reconcilliation'!Q56</f>
        <v>-230570.27000000002</v>
      </c>
      <c r="F271" s="1422"/>
      <c r="G271" s="1422"/>
      <c r="H271" s="1422"/>
      <c r="I271" s="1422"/>
      <c r="J271" s="1422"/>
      <c r="K271" s="1405"/>
      <c r="L271" s="1427"/>
      <c r="M271" s="1423"/>
      <c r="N271" s="1422"/>
      <c r="O271" s="1423"/>
      <c r="P271" s="1423"/>
      <c r="Q271" s="1423"/>
      <c r="R271" s="1422"/>
      <c r="S271" s="1423"/>
      <c r="T271" s="1423"/>
      <c r="U271" s="1423"/>
      <c r="V271" s="1422"/>
      <c r="W271" s="1422"/>
      <c r="X271" s="1422"/>
      <c r="Y271" s="1422"/>
      <c r="Z271" s="1422"/>
      <c r="AA271" s="1423"/>
      <c r="AB271" s="1423"/>
      <c r="AC271" s="1423"/>
      <c r="AD271" s="1422"/>
      <c r="AF271" s="1422"/>
      <c r="AG271" s="1422"/>
      <c r="AH271" s="1422"/>
      <c r="AI271" s="1484"/>
      <c r="AJ271" s="1484"/>
      <c r="AK271" s="1423"/>
      <c r="AL271" s="748"/>
    </row>
    <row r="272" spans="1:38">
      <c r="A272" s="728">
        <v>267</v>
      </c>
      <c r="B272" s="727" t="s">
        <v>2669</v>
      </c>
      <c r="E272" s="1423">
        <f>'Revenue Reconcilliation'!Q57</f>
        <v>0</v>
      </c>
      <c r="F272" s="1423"/>
      <c r="G272" s="1423"/>
      <c r="H272" s="1423"/>
      <c r="I272" s="1423"/>
      <c r="J272" s="1423"/>
      <c r="K272" s="1405"/>
      <c r="L272" s="1427"/>
      <c r="M272" s="1423"/>
      <c r="N272" s="1423"/>
      <c r="O272" s="1423"/>
      <c r="P272" s="1423"/>
      <c r="Q272" s="1423"/>
      <c r="R272" s="1423"/>
      <c r="S272" s="1423"/>
      <c r="T272" s="1423"/>
      <c r="U272" s="1423"/>
      <c r="V272" s="1423"/>
      <c r="W272" s="1423"/>
      <c r="X272" s="1423"/>
      <c r="Y272" s="1423"/>
      <c r="Z272" s="1423"/>
      <c r="AD272" s="1423"/>
      <c r="AF272" s="1423"/>
      <c r="AG272" s="1423"/>
      <c r="AH272" s="1423"/>
      <c r="AL272" s="748"/>
    </row>
    <row r="273" spans="1:38">
      <c r="A273" s="728">
        <v>268</v>
      </c>
      <c r="B273" s="727" t="s">
        <v>2670</v>
      </c>
      <c r="C273" s="1475"/>
      <c r="E273" s="1423">
        <f>'Revenue Reconcilliation'!Q58</f>
        <v>0</v>
      </c>
      <c r="F273" s="1422"/>
      <c r="G273" s="1422"/>
      <c r="H273" s="1422"/>
      <c r="I273" s="1422"/>
      <c r="J273" s="1422"/>
      <c r="K273" s="1405"/>
      <c r="L273" s="1427"/>
      <c r="M273" s="1423"/>
      <c r="N273" s="1422"/>
      <c r="O273" s="1423"/>
      <c r="P273" s="1423"/>
      <c r="Q273" s="1423"/>
      <c r="R273" s="1422"/>
      <c r="S273" s="1423"/>
      <c r="T273" s="1423"/>
      <c r="U273" s="1423"/>
      <c r="V273" s="1422"/>
      <c r="W273" s="1422"/>
      <c r="X273" s="1422"/>
      <c r="Y273" s="1422"/>
      <c r="Z273" s="1422"/>
      <c r="AA273" s="1423"/>
      <c r="AB273" s="1423"/>
      <c r="AC273" s="1423"/>
      <c r="AD273" s="1422"/>
      <c r="AF273" s="1422"/>
      <c r="AG273" s="1422"/>
      <c r="AH273" s="1422"/>
      <c r="AI273" s="1484"/>
      <c r="AJ273" s="1484"/>
      <c r="AK273" s="1423"/>
      <c r="AL273" s="748"/>
    </row>
    <row r="274" spans="1:38">
      <c r="A274" s="728">
        <v>269</v>
      </c>
      <c r="B274" s="1482" t="s">
        <v>2451</v>
      </c>
      <c r="E274" s="1423">
        <f>'Revenue Reconcilliation'!Q59</f>
        <v>0</v>
      </c>
      <c r="F274" s="1423"/>
      <c r="G274" s="1423"/>
      <c r="H274" s="1423"/>
      <c r="I274" s="1423"/>
      <c r="J274" s="1423"/>
      <c r="K274" s="1405"/>
      <c r="L274" s="1427"/>
      <c r="M274" s="1423"/>
      <c r="N274" s="1423"/>
      <c r="O274" s="1423"/>
      <c r="P274" s="1423"/>
      <c r="Q274" s="1423"/>
      <c r="R274" s="1423"/>
      <c r="S274" s="1423"/>
      <c r="T274" s="1423"/>
      <c r="U274" s="1423"/>
      <c r="V274" s="1423"/>
      <c r="W274" s="1423"/>
      <c r="X274" s="1423"/>
      <c r="Y274" s="1423"/>
      <c r="Z274" s="1423"/>
      <c r="AD274" s="1423"/>
      <c r="AF274" s="1423"/>
      <c r="AG274" s="1423"/>
      <c r="AH274" s="1423"/>
      <c r="AL274" s="748"/>
    </row>
    <row r="275" spans="1:38">
      <c r="A275" s="728">
        <v>270</v>
      </c>
      <c r="B275" s="1482" t="s">
        <v>2697</v>
      </c>
      <c r="C275" s="1475"/>
      <c r="E275" s="1423">
        <f>'Revenue Reconcilliation'!Q60</f>
        <v>-1722887.51</v>
      </c>
      <c r="F275" s="1422"/>
      <c r="G275" s="1422"/>
      <c r="H275" s="1422"/>
      <c r="I275" s="1422"/>
      <c r="J275" s="1422"/>
      <c r="K275" s="1405"/>
      <c r="L275" s="1427"/>
      <c r="M275" s="1423"/>
      <c r="N275" s="1422"/>
      <c r="O275" s="1423"/>
      <c r="P275" s="1423"/>
      <c r="Q275" s="1423"/>
      <c r="R275" s="1422"/>
      <c r="S275" s="1423"/>
      <c r="T275" s="1423"/>
      <c r="U275" s="1423"/>
      <c r="V275" s="1422"/>
      <c r="W275" s="1422"/>
      <c r="X275" s="1422"/>
      <c r="Y275" s="1422"/>
      <c r="Z275" s="1422"/>
      <c r="AA275" s="1423"/>
      <c r="AB275" s="1423"/>
      <c r="AC275" s="1423"/>
      <c r="AD275" s="1422"/>
      <c r="AF275" s="1422"/>
      <c r="AG275" s="1422"/>
      <c r="AH275" s="1422"/>
      <c r="AI275" s="1484"/>
      <c r="AJ275" s="1484"/>
      <c r="AK275" s="1423"/>
      <c r="AL275" s="748"/>
    </row>
    <row r="276" spans="1:38">
      <c r="A276" s="728">
        <v>271</v>
      </c>
      <c r="B276" s="1482" t="s">
        <v>2698</v>
      </c>
      <c r="E276" s="1437">
        <f>'Revenue Reconcilliation'!Q61</f>
        <v>2813362.21</v>
      </c>
      <c r="F276" s="1423"/>
      <c r="G276" s="1423"/>
      <c r="H276" s="1423"/>
      <c r="I276" s="1423"/>
      <c r="J276" s="1423"/>
      <c r="K276" s="1405"/>
      <c r="L276" s="1427"/>
      <c r="M276" s="1423"/>
      <c r="N276" s="1423"/>
      <c r="O276" s="1423"/>
      <c r="P276" s="1423"/>
      <c r="Q276" s="1423"/>
      <c r="R276" s="1423"/>
      <c r="S276" s="1423"/>
      <c r="T276" s="1423"/>
      <c r="U276" s="1423"/>
      <c r="V276" s="1423"/>
      <c r="W276" s="1423"/>
      <c r="X276" s="1423"/>
      <c r="Y276" s="1423"/>
      <c r="Z276" s="1423"/>
      <c r="AD276" s="1423"/>
      <c r="AF276" s="1423"/>
      <c r="AG276" s="1423"/>
      <c r="AH276" s="1423"/>
      <c r="AL276" s="748"/>
    </row>
    <row r="277" spans="1:38">
      <c r="A277" s="728">
        <v>272</v>
      </c>
      <c r="B277" s="727" t="s">
        <v>2678</v>
      </c>
      <c r="C277" s="1475"/>
      <c r="E277" s="1423">
        <f>SUM(E258:E276)</f>
        <v>1222920.6599999999</v>
      </c>
      <c r="F277" s="1422"/>
      <c r="G277" s="1422"/>
      <c r="H277" s="1422"/>
      <c r="I277" s="1422"/>
      <c r="J277" s="1422"/>
      <c r="K277" s="1405"/>
      <c r="L277" s="1427"/>
      <c r="M277" s="1423"/>
      <c r="N277" s="1422"/>
      <c r="O277" s="1423"/>
      <c r="P277" s="1423"/>
      <c r="Q277" s="1423"/>
      <c r="R277" s="1422"/>
      <c r="S277" s="1423"/>
      <c r="T277" s="1423"/>
      <c r="U277" s="1423"/>
      <c r="V277" s="1422"/>
      <c r="W277" s="1422"/>
      <c r="X277" s="1422"/>
      <c r="Y277" s="1422"/>
      <c r="Z277" s="1422"/>
      <c r="AA277" s="1423"/>
      <c r="AB277" s="1423"/>
      <c r="AC277" s="1423"/>
      <c r="AD277" s="1422"/>
      <c r="AF277" s="1422"/>
      <c r="AG277" s="1422"/>
      <c r="AH277" s="1422"/>
      <c r="AI277" s="1484"/>
      <c r="AJ277" s="1484"/>
      <c r="AK277" s="1423"/>
      <c r="AL277" s="748"/>
    </row>
    <row r="278" spans="1:38">
      <c r="A278" s="728">
        <v>273</v>
      </c>
      <c r="E278" s="1423"/>
      <c r="F278" s="1423"/>
      <c r="G278" s="1423"/>
      <c r="H278" s="1423"/>
      <c r="I278" s="1423"/>
      <c r="J278" s="1423"/>
      <c r="K278" s="1405"/>
      <c r="L278" s="1427"/>
      <c r="M278" s="1423"/>
      <c r="N278" s="1423"/>
      <c r="O278" s="1423"/>
      <c r="P278" s="1423"/>
      <c r="Q278" s="1423"/>
      <c r="R278" s="1423"/>
      <c r="S278" s="1423"/>
      <c r="T278" s="1423"/>
      <c r="U278" s="1423"/>
      <c r="V278" s="1423"/>
      <c r="W278" s="1423"/>
      <c r="X278" s="1423"/>
      <c r="Y278" s="1423"/>
      <c r="Z278" s="1423"/>
      <c r="AD278" s="1423"/>
      <c r="AF278" s="1423"/>
      <c r="AG278" s="1423"/>
      <c r="AH278" s="1423"/>
      <c r="AL278" s="748"/>
    </row>
    <row r="279" spans="1:38">
      <c r="A279" s="728">
        <v>274</v>
      </c>
      <c r="B279" s="1444" t="s">
        <v>2707</v>
      </c>
      <c r="C279" s="1422">
        <f>E279-'Revenue Reconcilliation'!Q62</f>
        <v>0</v>
      </c>
      <c r="D279" s="1404" t="s">
        <v>2673</v>
      </c>
      <c r="E279" s="1423">
        <f>SUM(E253,E255,E277)</f>
        <v>2586845.3899999997</v>
      </c>
      <c r="F279" s="1422"/>
      <c r="G279" s="1422"/>
      <c r="H279" s="1422"/>
      <c r="I279" s="1422"/>
      <c r="J279" s="1422"/>
      <c r="K279" s="1405"/>
      <c r="L279" s="1427"/>
      <c r="M279" s="1423"/>
      <c r="N279" s="1422"/>
      <c r="O279" s="1423"/>
      <c r="P279" s="1423"/>
      <c r="Q279" s="1423"/>
      <c r="R279" s="1422"/>
      <c r="S279" s="1423"/>
      <c r="T279" s="1423"/>
      <c r="U279" s="1423"/>
      <c r="V279" s="1422"/>
      <c r="W279" s="1422"/>
      <c r="X279" s="1422"/>
      <c r="Y279" s="1422"/>
      <c r="Z279" s="1422"/>
      <c r="AA279" s="1423"/>
      <c r="AB279" s="1423"/>
      <c r="AC279" s="1423"/>
      <c r="AD279" s="1422"/>
      <c r="AF279" s="1422"/>
      <c r="AG279" s="1422"/>
      <c r="AH279" s="1422"/>
      <c r="AI279" s="1484"/>
      <c r="AJ279" s="1484"/>
      <c r="AK279" s="1423"/>
      <c r="AL279" s="748"/>
    </row>
    <row r="280" spans="1:38">
      <c r="A280" s="728">
        <v>275</v>
      </c>
      <c r="E280" s="1423"/>
      <c r="F280" s="1423"/>
      <c r="G280" s="1423"/>
      <c r="H280" s="1423"/>
      <c r="I280" s="1423"/>
      <c r="J280" s="1423"/>
      <c r="K280" s="1405"/>
      <c r="L280" s="1427"/>
      <c r="M280" s="1423"/>
      <c r="N280" s="1423"/>
      <c r="O280" s="1423"/>
      <c r="P280" s="1423"/>
      <c r="Q280" s="1423"/>
      <c r="R280" s="1423"/>
      <c r="S280" s="1423"/>
      <c r="T280" s="1423"/>
      <c r="U280" s="1423"/>
      <c r="V280" s="1423"/>
      <c r="W280" s="1423"/>
      <c r="X280" s="1423"/>
      <c r="Y280" s="1423"/>
      <c r="Z280" s="1423"/>
      <c r="AD280" s="1423"/>
      <c r="AF280" s="1423"/>
      <c r="AG280" s="1423"/>
      <c r="AH280" s="1423"/>
      <c r="AL280" s="748"/>
    </row>
    <row r="281" spans="1:38">
      <c r="A281" s="728">
        <v>276</v>
      </c>
      <c r="B281" s="1420" t="s">
        <v>2708</v>
      </c>
      <c r="G281" s="1421"/>
      <c r="K281" s="1405"/>
      <c r="L281" s="1427"/>
      <c r="M281" s="1423"/>
      <c r="O281" s="1423"/>
      <c r="P281" s="1423"/>
      <c r="Q281" s="1423"/>
      <c r="S281" s="1423"/>
      <c r="T281" s="1423"/>
      <c r="U281" s="1423"/>
      <c r="AL281" s="748"/>
    </row>
    <row r="282" spans="1:38">
      <c r="A282" s="728">
        <v>277</v>
      </c>
      <c r="B282" s="727" t="s">
        <v>2462</v>
      </c>
      <c r="C282" s="1487">
        <f>E282/D282</f>
        <v>93</v>
      </c>
      <c r="D282" s="1422">
        <v>163</v>
      </c>
      <c r="E282" s="1488">
        <f>'1501 Summary'!AD199</f>
        <v>15159</v>
      </c>
      <c r="F282" s="1423"/>
      <c r="G282" s="1424"/>
      <c r="H282" s="1489"/>
      <c r="I282" s="1488"/>
      <c r="J282" s="1423"/>
      <c r="K282" s="1405">
        <f>C282+G282</f>
        <v>93</v>
      </c>
      <c r="L282" s="1422">
        <f>D282</f>
        <v>163</v>
      </c>
      <c r="M282" s="1423">
        <f>L282*K282</f>
        <v>15159</v>
      </c>
      <c r="N282" s="1423"/>
      <c r="O282" s="1405"/>
      <c r="P282" s="1423"/>
      <c r="Q282" s="1423"/>
      <c r="R282" s="1423"/>
      <c r="S282" s="1405">
        <f>'End of Period Calculations'!AB112</f>
        <v>96</v>
      </c>
      <c r="T282" s="1423">
        <f>S282*L282</f>
        <v>15648</v>
      </c>
      <c r="U282" s="1423">
        <f>T282-M282</f>
        <v>489</v>
      </c>
      <c r="V282" s="1423"/>
      <c r="W282" s="1423"/>
      <c r="X282" s="1423"/>
      <c r="Y282" s="1423"/>
      <c r="Z282" s="1423"/>
      <c r="AA282" s="1425"/>
      <c r="AB282" s="1425"/>
      <c r="AC282" s="1425"/>
      <c r="AD282" s="1423"/>
      <c r="AF282" s="1430">
        <v>0</v>
      </c>
      <c r="AG282" s="1422"/>
      <c r="AH282" s="1423"/>
      <c r="AI282" s="1430">
        <f>'Exh 18, Class Rates'!H49</f>
        <v>163</v>
      </c>
      <c r="AJ282" s="1425">
        <f>AI282*S282</f>
        <v>15648</v>
      </c>
      <c r="AK282" s="1425">
        <f>AJ282-T282</f>
        <v>0</v>
      </c>
      <c r="AL282" s="748"/>
    </row>
    <row r="283" spans="1:38">
      <c r="A283" s="728">
        <v>278</v>
      </c>
      <c r="B283" s="727" t="s">
        <v>2709</v>
      </c>
      <c r="C283" s="1405">
        <f>E283/D283</f>
        <v>1262436.7321089301</v>
      </c>
      <c r="D283" s="1361">
        <v>7.8950000000000006E-2</v>
      </c>
      <c r="E283" s="1488">
        <f>'1501 Summary'!AD200</f>
        <v>99669.380000000034</v>
      </c>
      <c r="F283" s="1423"/>
      <c r="G283" s="1424"/>
      <c r="H283" s="1489"/>
      <c r="I283" s="1423"/>
      <c r="J283" s="1423"/>
      <c r="K283" s="1405">
        <f>C283+G283</f>
        <v>1262436.7321089301</v>
      </c>
      <c r="L283" s="1427">
        <v>8.9639999999999997E-2</v>
      </c>
      <c r="M283" s="1423">
        <f>L283*K283</f>
        <v>113164.82866624449</v>
      </c>
      <c r="N283" s="1423"/>
      <c r="O283" s="1405"/>
      <c r="P283" s="1423"/>
      <c r="Q283" s="1423"/>
      <c r="R283" s="1423"/>
      <c r="S283" s="1405">
        <f>'End of Period Calculations'!AA112</f>
        <v>1301512.7114810457</v>
      </c>
      <c r="T283" s="1423">
        <f>S283*L283</f>
        <v>116667.59945716093</v>
      </c>
      <c r="U283" s="1423">
        <f>T283-M283</f>
        <v>3502.7707909164455</v>
      </c>
      <c r="V283" s="1423"/>
      <c r="W283" s="1423"/>
      <c r="X283" s="1423"/>
      <c r="Y283" s="1423"/>
      <c r="Z283" s="1423"/>
      <c r="AA283" s="1405">
        <f>+'End of Period Calculations'!AA112</f>
        <v>1301512.7114810457</v>
      </c>
      <c r="AB283" s="1428">
        <v>1.1900000000000001E-3</v>
      </c>
      <c r="AC283" s="1425">
        <f>AB283*AA283</f>
        <v>1548.8001266624444</v>
      </c>
      <c r="AD283" s="1423"/>
      <c r="AF283" s="1430">
        <v>0</v>
      </c>
      <c r="AG283" s="1422"/>
      <c r="AH283" s="1423"/>
      <c r="AI283" s="1428">
        <f>'Exh 18, Class Rates'!H50</f>
        <v>8.9218782581134179E-2</v>
      </c>
      <c r="AJ283" s="1425">
        <f>AI283*S283</f>
        <v>116119.37963220984</v>
      </c>
      <c r="AK283" s="1425">
        <f>AJ283-T283</f>
        <v>-548.21982495109842</v>
      </c>
      <c r="AL283" s="748"/>
    </row>
    <row r="284" spans="1:38">
      <c r="A284" s="728">
        <v>279</v>
      </c>
      <c r="B284" s="1453" t="s">
        <v>2710</v>
      </c>
      <c r="C284" s="1405">
        <f>E284/D284</f>
        <v>1008044.4839857651</v>
      </c>
      <c r="D284" s="1361">
        <v>2.248E-2</v>
      </c>
      <c r="E284" s="1488">
        <f>'1501 Summary'!AD201</f>
        <v>22660.84</v>
      </c>
      <c r="F284" s="1423"/>
      <c r="G284" s="1424"/>
      <c r="H284" s="1489"/>
      <c r="I284" s="1423"/>
      <c r="J284" s="1423"/>
      <c r="K284" s="1405">
        <f>C284+G284</f>
        <v>1008044.4839857651</v>
      </c>
      <c r="L284" s="1427">
        <v>2.8170000000000001E-2</v>
      </c>
      <c r="M284" s="1437">
        <f>L284*K284</f>
        <v>28396.613113879004</v>
      </c>
      <c r="N284" s="1423"/>
      <c r="O284" s="1405"/>
      <c r="P284" s="1437"/>
      <c r="Q284" s="1437"/>
      <c r="R284" s="1423"/>
      <c r="S284" s="1405">
        <f>'End of Period Calculations'!AA113</f>
        <v>1032498.538383325</v>
      </c>
      <c r="T284" s="1437">
        <f>S284*L284</f>
        <v>29085.483826258267</v>
      </c>
      <c r="U284" s="1437">
        <f>T284-M284</f>
        <v>688.87071237926284</v>
      </c>
      <c r="V284" s="1423"/>
      <c r="W284" s="1423"/>
      <c r="X284" s="1423"/>
      <c r="Y284" s="1423"/>
      <c r="Z284" s="1423"/>
      <c r="AA284" s="1405">
        <f>+'End of Period Calculations'!AA113</f>
        <v>1032498.538383325</v>
      </c>
      <c r="AB284" s="1428">
        <v>1.1900000000000001E-3</v>
      </c>
      <c r="AC284" s="1440">
        <f>AB284*AA284</f>
        <v>1228.6732606761568</v>
      </c>
      <c r="AD284" s="1423"/>
      <c r="AF284" s="1490">
        <v>0</v>
      </c>
      <c r="AG284" s="1438"/>
      <c r="AH284" s="1423"/>
      <c r="AI284" s="1428">
        <f>'Exh 18, Class Rates'!H51</f>
        <v>2.8037629465758031E-2</v>
      </c>
      <c r="AJ284" s="1440">
        <f>AI284*S284</f>
        <v>28948.811443128412</v>
      </c>
      <c r="AK284" s="1440">
        <f>AJ284-T284</f>
        <v>-136.67238312985501</v>
      </c>
      <c r="AL284" s="748"/>
    </row>
    <row r="285" spans="1:38">
      <c r="A285" s="728">
        <v>280</v>
      </c>
      <c r="B285" s="727" t="s">
        <v>2648</v>
      </c>
      <c r="E285" s="1491">
        <f>SUM(E282:E284)</f>
        <v>137489.22000000003</v>
      </c>
      <c r="F285" s="1423"/>
      <c r="G285" s="1423"/>
      <c r="H285" s="1423"/>
      <c r="I285" s="1423"/>
      <c r="J285" s="1423"/>
      <c r="K285" s="1405"/>
      <c r="L285" s="1427"/>
      <c r="M285" s="1423">
        <f>SUM(M282:M284)</f>
        <v>156720.44178012348</v>
      </c>
      <c r="N285" s="1423"/>
      <c r="O285" s="1423"/>
      <c r="P285" s="1423"/>
      <c r="Q285" s="1423"/>
      <c r="R285" s="1423"/>
      <c r="S285" s="1423"/>
      <c r="T285" s="1423">
        <f>SUM(T282:T284)</f>
        <v>161401.0832834192</v>
      </c>
      <c r="U285" s="1423">
        <f>T285-M285</f>
        <v>4680.6415032957157</v>
      </c>
      <c r="V285" s="1423"/>
      <c r="W285" s="1423"/>
      <c r="X285" s="1423"/>
      <c r="Y285" s="1423"/>
      <c r="Z285" s="1423"/>
      <c r="AA285" s="1425"/>
      <c r="AB285" s="1425"/>
      <c r="AC285" s="1425">
        <f>SUM(AC283:AC284)</f>
        <v>2777.4733873386012</v>
      </c>
      <c r="AD285" s="1423"/>
      <c r="AF285" s="1423">
        <v>0</v>
      </c>
      <c r="AG285" s="1423"/>
      <c r="AH285" s="1423"/>
      <c r="AJ285" s="1425">
        <f>SUM(AJ282:AJ284)</f>
        <v>160716.19107533825</v>
      </c>
      <c r="AK285" s="1425">
        <f>SUM(AK282:AK284)</f>
        <v>-684.89220808095342</v>
      </c>
      <c r="AL285" s="748"/>
    </row>
    <row r="286" spans="1:38">
      <c r="A286" s="728">
        <v>281</v>
      </c>
      <c r="E286" s="1488"/>
      <c r="K286" s="1405"/>
      <c r="L286" s="1427"/>
      <c r="M286" s="1423"/>
      <c r="O286" s="1423"/>
      <c r="P286" s="1423"/>
      <c r="Q286" s="1423"/>
      <c r="S286" s="1423"/>
      <c r="T286" s="1423"/>
      <c r="U286" s="1423"/>
      <c r="AL286" s="748"/>
    </row>
    <row r="287" spans="1:38">
      <c r="A287" s="728">
        <v>282</v>
      </c>
      <c r="B287" s="727" t="s">
        <v>2650</v>
      </c>
      <c r="E287" s="1488">
        <f>'1501 Summary'!AD202</f>
        <v>922163.82000000007</v>
      </c>
      <c r="F287" s="1423"/>
      <c r="G287" s="1423"/>
      <c r="H287" s="1423"/>
      <c r="I287" s="1423"/>
      <c r="J287" s="1423"/>
      <c r="K287" s="1405"/>
      <c r="L287" s="1427"/>
      <c r="M287" s="1423"/>
      <c r="N287" s="1423"/>
      <c r="O287" s="1423"/>
      <c r="P287" s="1423"/>
      <c r="Q287" s="1423"/>
      <c r="R287" s="1423"/>
      <c r="S287" s="1423"/>
      <c r="T287" s="1423"/>
      <c r="U287" s="1423"/>
      <c r="V287" s="1423"/>
      <c r="W287" s="1423"/>
      <c r="X287" s="1423"/>
      <c r="Y287" s="1423"/>
      <c r="Z287" s="1423"/>
      <c r="AD287" s="1423"/>
      <c r="AF287" s="1423"/>
      <c r="AG287" s="1423"/>
      <c r="AH287" s="1423"/>
      <c r="AL287" s="748"/>
    </row>
    <row r="288" spans="1:38">
      <c r="A288" s="728">
        <v>283</v>
      </c>
      <c r="E288" s="1488"/>
      <c r="K288" s="1405"/>
      <c r="L288" s="1427"/>
      <c r="M288" s="1423"/>
      <c r="O288" s="1423"/>
      <c r="P288" s="1423"/>
      <c r="Q288" s="1423"/>
      <c r="S288" s="1423"/>
      <c r="T288" s="1423"/>
      <c r="U288" s="1423"/>
      <c r="AL288" s="748"/>
    </row>
    <row r="289" spans="1:38">
      <c r="A289" s="728">
        <v>284</v>
      </c>
      <c r="B289" s="727" t="s">
        <v>2651</v>
      </c>
      <c r="E289" s="1488"/>
      <c r="K289" s="1405"/>
      <c r="L289" s="1427"/>
      <c r="M289" s="1423"/>
      <c r="O289" s="1423"/>
      <c r="P289" s="1423"/>
      <c r="Q289" s="1423"/>
      <c r="S289" s="1423"/>
      <c r="T289" s="1423"/>
      <c r="U289" s="1423"/>
      <c r="AL289" s="748"/>
    </row>
    <row r="290" spans="1:38">
      <c r="A290" s="728">
        <v>285</v>
      </c>
      <c r="B290" s="727" t="s">
        <v>2652</v>
      </c>
      <c r="E290" s="1488">
        <f>'1501 Summary'!AD203</f>
        <v>107500.48999999999</v>
      </c>
      <c r="K290" s="1405"/>
      <c r="L290" s="1427"/>
      <c r="M290" s="1423"/>
      <c r="O290" s="1423"/>
      <c r="P290" s="1423"/>
      <c r="Q290" s="1423"/>
      <c r="S290" s="1423"/>
      <c r="T290" s="1423"/>
      <c r="U290" s="1423"/>
      <c r="AL290" s="748"/>
    </row>
    <row r="291" spans="1:38">
      <c r="A291" s="728">
        <v>286</v>
      </c>
      <c r="B291" s="727" t="s">
        <v>2653</v>
      </c>
      <c r="E291" s="1488">
        <f>'1501 Summary'!AD204</f>
        <v>1155.6599999999999</v>
      </c>
      <c r="F291" s="1423"/>
      <c r="G291" s="1423"/>
      <c r="H291" s="1423"/>
      <c r="I291" s="1423"/>
      <c r="J291" s="1423"/>
      <c r="K291" s="1405"/>
      <c r="L291" s="1427"/>
      <c r="M291" s="1423"/>
      <c r="N291" s="1423"/>
      <c r="O291" s="1423"/>
      <c r="P291" s="1423"/>
      <c r="Q291" s="1423"/>
      <c r="R291" s="1423"/>
      <c r="S291" s="1423"/>
      <c r="T291" s="1423"/>
      <c r="U291" s="1423"/>
      <c r="V291" s="1423"/>
      <c r="W291" s="1423"/>
      <c r="X291" s="1423"/>
      <c r="Y291" s="1423"/>
      <c r="Z291" s="1423"/>
      <c r="AD291" s="1423"/>
      <c r="AF291" s="1423"/>
      <c r="AG291" s="1423"/>
      <c r="AH291" s="1423"/>
      <c r="AI291" s="727"/>
      <c r="AJ291" s="727"/>
      <c r="AL291" s="748"/>
    </row>
    <row r="292" spans="1:38">
      <c r="A292" s="728">
        <v>287</v>
      </c>
      <c r="B292" s="727" t="s">
        <v>2654</v>
      </c>
      <c r="E292" s="1488">
        <f>'1501 Summary'!AD205</f>
        <v>8166.31</v>
      </c>
      <c r="F292" s="1423"/>
      <c r="G292" s="1423"/>
      <c r="H292" s="1423"/>
      <c r="I292" s="1423"/>
      <c r="J292" s="1423"/>
      <c r="K292" s="1405"/>
      <c r="L292" s="1427"/>
      <c r="M292" s="1423"/>
      <c r="N292" s="1423"/>
      <c r="O292" s="1423"/>
      <c r="P292" s="1423"/>
      <c r="Q292" s="1423"/>
      <c r="R292" s="1423"/>
      <c r="S292" s="1423"/>
      <c r="T292" s="1423"/>
      <c r="U292" s="1423"/>
      <c r="V292" s="1423"/>
      <c r="W292" s="1423"/>
      <c r="X292" s="1423"/>
      <c r="Y292" s="1423"/>
      <c r="Z292" s="1423"/>
      <c r="AD292" s="1423"/>
      <c r="AF292" s="1423"/>
      <c r="AG292" s="1423"/>
      <c r="AH292" s="1423"/>
      <c r="AI292" s="727"/>
      <c r="AJ292" s="727"/>
      <c r="AL292" s="748"/>
    </row>
    <row r="293" spans="1:38">
      <c r="A293" s="728">
        <v>288</v>
      </c>
      <c r="B293" s="727" t="s">
        <v>2655</v>
      </c>
      <c r="E293" s="1488">
        <f>'1501 Summary'!AD206</f>
        <v>19710.559999999998</v>
      </c>
      <c r="F293" s="1423"/>
      <c r="G293" s="1423"/>
      <c r="H293" s="1423"/>
      <c r="I293" s="1423"/>
      <c r="J293" s="1423"/>
      <c r="K293" s="1405"/>
      <c r="L293" s="1427"/>
      <c r="M293" s="1423"/>
      <c r="N293" s="1423"/>
      <c r="O293" s="1423"/>
      <c r="P293" s="1423"/>
      <c r="Q293" s="1423"/>
      <c r="R293" s="1423"/>
      <c r="S293" s="1423"/>
      <c r="T293" s="1423"/>
      <c r="U293" s="1423"/>
      <c r="V293" s="1423"/>
      <c r="W293" s="1423"/>
      <c r="X293" s="1423"/>
      <c r="Y293" s="1423"/>
      <c r="Z293" s="1423"/>
      <c r="AD293" s="1423"/>
      <c r="AF293" s="1423"/>
      <c r="AG293" s="1423"/>
      <c r="AH293" s="1423"/>
      <c r="AI293" s="727"/>
      <c r="AJ293" s="727"/>
      <c r="AL293" s="748"/>
    </row>
    <row r="294" spans="1:38">
      <c r="A294" s="728">
        <v>289</v>
      </c>
      <c r="B294" s="727" t="s">
        <v>2656</v>
      </c>
      <c r="E294" s="1488">
        <f>'1501 Summary'!AD207</f>
        <v>15791.570000000002</v>
      </c>
      <c r="F294" s="1423"/>
      <c r="G294" s="1423"/>
      <c r="H294" s="1423"/>
      <c r="I294" s="1423"/>
      <c r="J294" s="1423"/>
      <c r="K294" s="1405"/>
      <c r="L294" s="1427"/>
      <c r="M294" s="1423"/>
      <c r="N294" s="1423"/>
      <c r="O294" s="1423"/>
      <c r="P294" s="1423"/>
      <c r="Q294" s="1423"/>
      <c r="R294" s="1423"/>
      <c r="S294" s="1423"/>
      <c r="T294" s="1423"/>
      <c r="U294" s="1423"/>
      <c r="V294" s="1423"/>
      <c r="W294" s="1423"/>
      <c r="X294" s="1423"/>
      <c r="Y294" s="1423"/>
      <c r="Z294" s="1423"/>
      <c r="AD294" s="1423"/>
      <c r="AF294" s="1423"/>
      <c r="AG294" s="1423"/>
      <c r="AH294" s="1423"/>
      <c r="AI294" s="727"/>
      <c r="AJ294" s="727"/>
      <c r="AL294" s="748"/>
    </row>
    <row r="295" spans="1:38">
      <c r="A295" s="728">
        <v>290</v>
      </c>
      <c r="B295" s="727" t="s">
        <v>2657</v>
      </c>
      <c r="E295" s="1488">
        <f>'1501 Summary'!AD208</f>
        <v>62243.55000000001</v>
      </c>
      <c r="F295" s="1423"/>
      <c r="G295" s="1423"/>
      <c r="H295" s="1423"/>
      <c r="I295" s="1423"/>
      <c r="J295" s="1423"/>
      <c r="K295" s="1405"/>
      <c r="L295" s="1427"/>
      <c r="M295" s="1423"/>
      <c r="N295" s="1423"/>
      <c r="O295" s="1423"/>
      <c r="P295" s="1423"/>
      <c r="Q295" s="1423"/>
      <c r="R295" s="1423"/>
      <c r="S295" s="1423"/>
      <c r="T295" s="1423"/>
      <c r="U295" s="1423"/>
      <c r="V295" s="1423"/>
      <c r="W295" s="1423"/>
      <c r="X295" s="1423"/>
      <c r="Y295" s="1423"/>
      <c r="Z295" s="1423"/>
      <c r="AD295" s="1423"/>
      <c r="AF295" s="1423"/>
      <c r="AG295" s="1423"/>
      <c r="AH295" s="1423"/>
      <c r="AI295" s="727"/>
      <c r="AJ295" s="727"/>
      <c r="AL295" s="748"/>
    </row>
    <row r="296" spans="1:38">
      <c r="A296" s="728">
        <v>291</v>
      </c>
      <c r="B296" s="727" t="s">
        <v>2658</v>
      </c>
      <c r="E296" s="1488">
        <f>'1501 Summary'!AD209</f>
        <v>-2436.6400000000003</v>
      </c>
      <c r="F296" s="1423"/>
      <c r="G296" s="1423"/>
      <c r="H296" s="1423"/>
      <c r="I296" s="1423"/>
      <c r="J296" s="1423"/>
      <c r="K296" s="1405"/>
      <c r="L296" s="1427"/>
      <c r="M296" s="1423"/>
      <c r="N296" s="1423"/>
      <c r="O296" s="1423"/>
      <c r="P296" s="1423"/>
      <c r="Q296" s="1423"/>
      <c r="R296" s="1423"/>
      <c r="S296" s="1423"/>
      <c r="T296" s="1423"/>
      <c r="U296" s="1423"/>
      <c r="V296" s="1423"/>
      <c r="W296" s="1423"/>
      <c r="X296" s="1423"/>
      <c r="Y296" s="1423"/>
      <c r="Z296" s="1423"/>
      <c r="AD296" s="1423"/>
      <c r="AF296" s="1423"/>
      <c r="AG296" s="1423"/>
      <c r="AH296" s="1423"/>
      <c r="AI296" s="727"/>
      <c r="AJ296" s="727"/>
      <c r="AL296" s="748"/>
    </row>
    <row r="297" spans="1:38">
      <c r="A297" s="728">
        <v>292</v>
      </c>
      <c r="B297" s="727" t="s">
        <v>2659</v>
      </c>
      <c r="E297" s="1488">
        <f>'1501 Summary'!AD210</f>
        <v>-1101.2900000000002</v>
      </c>
      <c r="F297" s="1423"/>
      <c r="G297" s="1423"/>
      <c r="H297" s="1423"/>
      <c r="I297" s="1423"/>
      <c r="J297" s="1423"/>
      <c r="K297" s="1405"/>
      <c r="L297" s="1427"/>
      <c r="M297" s="1423"/>
      <c r="N297" s="1423"/>
      <c r="O297" s="1423"/>
      <c r="P297" s="1423"/>
      <c r="Q297" s="1423"/>
      <c r="R297" s="1423"/>
      <c r="S297" s="1423"/>
      <c r="T297" s="1423"/>
      <c r="U297" s="1423"/>
      <c r="V297" s="1423"/>
      <c r="W297" s="1423"/>
      <c r="X297" s="1423"/>
      <c r="Y297" s="1423"/>
      <c r="Z297" s="1423"/>
      <c r="AD297" s="1423"/>
      <c r="AF297" s="1423"/>
      <c r="AG297" s="1423"/>
      <c r="AH297" s="1423"/>
      <c r="AI297" s="727"/>
      <c r="AJ297" s="727"/>
      <c r="AL297" s="748"/>
    </row>
    <row r="298" spans="1:38">
      <c r="A298" s="728">
        <v>293</v>
      </c>
      <c r="B298" s="727" t="s">
        <v>2660</v>
      </c>
      <c r="E298" s="1488">
        <f>'1501 Summary'!AD211</f>
        <v>-1836.2099999999998</v>
      </c>
      <c r="F298" s="1423"/>
      <c r="G298" s="1423"/>
      <c r="H298" s="1423"/>
      <c r="I298" s="1423"/>
      <c r="J298" s="1423"/>
      <c r="K298" s="1405"/>
      <c r="L298" s="1427"/>
      <c r="M298" s="1423"/>
      <c r="N298" s="1423"/>
      <c r="O298" s="1423"/>
      <c r="P298" s="1423"/>
      <c r="Q298" s="1423"/>
      <c r="R298" s="1423"/>
      <c r="S298" s="1423"/>
      <c r="T298" s="1423"/>
      <c r="U298" s="1423"/>
      <c r="V298" s="1423"/>
      <c r="W298" s="1423"/>
      <c r="X298" s="1423"/>
      <c r="Y298" s="1423"/>
      <c r="Z298" s="1423"/>
      <c r="AD298" s="1423"/>
      <c r="AF298" s="1423"/>
      <c r="AG298" s="1423"/>
      <c r="AH298" s="1423"/>
      <c r="AI298" s="727"/>
      <c r="AJ298" s="727"/>
      <c r="AL298" s="748"/>
    </row>
    <row r="299" spans="1:38">
      <c r="A299" s="728">
        <v>294</v>
      </c>
      <c r="B299" s="727" t="s">
        <v>2661</v>
      </c>
      <c r="E299" s="1488">
        <f>'1501 Summary'!AD212</f>
        <v>18554.189999999999</v>
      </c>
      <c r="F299" s="1423"/>
      <c r="G299" s="1423"/>
      <c r="H299" s="1423"/>
      <c r="I299" s="1423"/>
      <c r="J299" s="1423"/>
      <c r="K299" s="1405"/>
      <c r="L299" s="1427"/>
      <c r="M299" s="1423"/>
      <c r="N299" s="1423"/>
      <c r="O299" s="1423"/>
      <c r="P299" s="1423"/>
      <c r="Q299" s="1423"/>
      <c r="R299" s="1423"/>
      <c r="S299" s="1423"/>
      <c r="T299" s="1423"/>
      <c r="U299" s="1423"/>
      <c r="V299" s="1423"/>
      <c r="W299" s="1423"/>
      <c r="X299" s="1423"/>
      <c r="Y299" s="1423"/>
      <c r="Z299" s="1423"/>
      <c r="AD299" s="1423"/>
      <c r="AF299" s="1423"/>
      <c r="AG299" s="1423"/>
      <c r="AH299" s="1423"/>
      <c r="AI299" s="727"/>
      <c r="AJ299" s="727"/>
      <c r="AL299" s="748"/>
    </row>
    <row r="300" spans="1:38">
      <c r="A300" s="728">
        <v>295</v>
      </c>
      <c r="B300" s="1443" t="s">
        <v>2665</v>
      </c>
      <c r="E300" s="1488">
        <f>'1501 Summary'!AD213</f>
        <v>988.82</v>
      </c>
      <c r="F300" s="1423"/>
      <c r="G300" s="1423"/>
      <c r="H300" s="1423"/>
      <c r="I300" s="1423"/>
      <c r="J300" s="1423"/>
      <c r="K300" s="1405"/>
      <c r="L300" s="1427"/>
      <c r="M300" s="1423"/>
      <c r="N300" s="1423"/>
      <c r="O300" s="1423"/>
      <c r="P300" s="1423"/>
      <c r="Q300" s="1423"/>
      <c r="R300" s="1423"/>
      <c r="S300" s="1423"/>
      <c r="T300" s="1423"/>
      <c r="U300" s="1423"/>
      <c r="V300" s="1423"/>
      <c r="W300" s="1423"/>
      <c r="X300" s="1423"/>
      <c r="Y300" s="1423"/>
      <c r="Z300" s="1423"/>
      <c r="AD300" s="1423"/>
      <c r="AF300" s="1423"/>
      <c r="AG300" s="1423"/>
      <c r="AH300" s="1423"/>
      <c r="AI300" s="727"/>
      <c r="AJ300" s="727"/>
      <c r="AL300" s="748"/>
    </row>
    <row r="301" spans="1:38">
      <c r="A301" s="728">
        <v>296</v>
      </c>
      <c r="B301" s="1443" t="s">
        <v>2666</v>
      </c>
      <c r="C301" s="1443"/>
      <c r="E301" s="1488">
        <f>'Revenue Reconcilliation'!Q174</f>
        <v>0</v>
      </c>
      <c r="F301" s="1423"/>
      <c r="G301" s="1423"/>
      <c r="H301" s="1423"/>
      <c r="I301" s="1423"/>
      <c r="J301" s="1423"/>
      <c r="K301" s="1405"/>
      <c r="L301" s="1427"/>
      <c r="M301" s="1423"/>
      <c r="N301" s="1423"/>
      <c r="O301" s="1423"/>
      <c r="P301" s="1423"/>
      <c r="Q301" s="1423"/>
      <c r="R301" s="1423"/>
      <c r="S301" s="1423"/>
      <c r="T301" s="1423"/>
      <c r="U301" s="1423"/>
      <c r="V301" s="1423"/>
      <c r="W301" s="1423"/>
      <c r="X301" s="1423"/>
      <c r="Y301" s="1423"/>
      <c r="Z301" s="1423"/>
      <c r="AD301" s="1423"/>
      <c r="AF301" s="1423"/>
      <c r="AG301" s="1423"/>
      <c r="AH301" s="1423"/>
      <c r="AI301" s="727"/>
      <c r="AJ301" s="727"/>
      <c r="AL301" s="748"/>
    </row>
    <row r="302" spans="1:38">
      <c r="A302" s="728">
        <v>297</v>
      </c>
      <c r="B302" s="1443" t="s">
        <v>2667</v>
      </c>
      <c r="E302" s="1488">
        <f>'Revenue Reconcilliation'!Q175</f>
        <v>0</v>
      </c>
      <c r="F302" s="1423"/>
      <c r="G302" s="1423"/>
      <c r="H302" s="1423"/>
      <c r="I302" s="1423"/>
      <c r="J302" s="1423"/>
      <c r="K302" s="1405"/>
      <c r="L302" s="1427"/>
      <c r="M302" s="1423"/>
      <c r="N302" s="1423"/>
      <c r="O302" s="1423"/>
      <c r="P302" s="1423"/>
      <c r="Q302" s="1423"/>
      <c r="R302" s="1423"/>
      <c r="S302" s="1423"/>
      <c r="T302" s="1423"/>
      <c r="U302" s="1423"/>
      <c r="V302" s="1423"/>
      <c r="W302" s="1423"/>
      <c r="X302" s="1423"/>
      <c r="Y302" s="1423"/>
      <c r="Z302" s="1423"/>
      <c r="AD302" s="1423"/>
      <c r="AF302" s="1423"/>
      <c r="AG302" s="1423"/>
      <c r="AH302" s="1423"/>
      <c r="AI302" s="727"/>
      <c r="AJ302" s="727"/>
      <c r="AL302" s="748"/>
    </row>
    <row r="303" spans="1:38">
      <c r="A303" s="728">
        <v>298</v>
      </c>
      <c r="B303" s="1443" t="s">
        <v>2668</v>
      </c>
      <c r="E303" s="1488">
        <f>'Revenue Reconcilliation'!Q176</f>
        <v>20059.57</v>
      </c>
      <c r="F303" s="1423"/>
      <c r="G303" s="1423"/>
      <c r="H303" s="1423"/>
      <c r="I303" s="1423"/>
      <c r="J303" s="1423"/>
      <c r="K303" s="1405"/>
      <c r="L303" s="1427"/>
      <c r="M303" s="1423"/>
      <c r="N303" s="1423"/>
      <c r="O303" s="1423"/>
      <c r="P303" s="1423"/>
      <c r="Q303" s="1423"/>
      <c r="R303" s="1423"/>
      <c r="S303" s="1423"/>
      <c r="T303" s="1423"/>
      <c r="U303" s="1423"/>
      <c r="V303" s="1423"/>
      <c r="W303" s="1423"/>
      <c r="X303" s="1423"/>
      <c r="Y303" s="1423"/>
      <c r="Z303" s="1423"/>
      <c r="AD303" s="1423"/>
      <c r="AF303" s="1423"/>
      <c r="AG303" s="1423"/>
      <c r="AH303" s="1423"/>
      <c r="AI303" s="727"/>
      <c r="AJ303" s="727"/>
      <c r="AL303" s="748"/>
    </row>
    <row r="304" spans="1:38">
      <c r="A304" s="728">
        <v>299</v>
      </c>
      <c r="B304" s="1443" t="s">
        <v>2669</v>
      </c>
      <c r="E304" s="1488">
        <f>'Revenue Reconcilliation'!Q177</f>
        <v>-23706.05</v>
      </c>
      <c r="F304" s="1423"/>
      <c r="G304" s="1423"/>
      <c r="H304" s="1423"/>
      <c r="I304" s="1423"/>
      <c r="J304" s="1423"/>
      <c r="K304" s="1405"/>
      <c r="L304" s="1427"/>
      <c r="M304" s="1423"/>
      <c r="N304" s="1423"/>
      <c r="O304" s="1423"/>
      <c r="P304" s="1423"/>
      <c r="Q304" s="1423"/>
      <c r="R304" s="1423"/>
      <c r="S304" s="1423"/>
      <c r="T304" s="1423"/>
      <c r="U304" s="1423"/>
      <c r="V304" s="1423"/>
      <c r="W304" s="1423"/>
      <c r="X304" s="1423"/>
      <c r="Y304" s="1423"/>
      <c r="Z304" s="1423"/>
      <c r="AD304" s="1423"/>
      <c r="AF304" s="1423"/>
      <c r="AG304" s="1423"/>
      <c r="AH304" s="1423"/>
      <c r="AI304" s="727"/>
      <c r="AJ304" s="727"/>
      <c r="AL304" s="748"/>
    </row>
    <row r="305" spans="1:38">
      <c r="A305" s="728">
        <v>300</v>
      </c>
      <c r="B305" s="1443" t="s">
        <v>2670</v>
      </c>
      <c r="E305" s="1488">
        <f>'Revenue Reconcilliation'!Q178</f>
        <v>0</v>
      </c>
      <c r="F305" s="1423"/>
      <c r="G305" s="1423"/>
      <c r="H305" s="1423"/>
      <c r="I305" s="1423"/>
      <c r="J305" s="1423"/>
      <c r="K305" s="1405"/>
      <c r="L305" s="1427"/>
      <c r="M305" s="1423"/>
      <c r="N305" s="1423"/>
      <c r="O305" s="1423"/>
      <c r="P305" s="1423"/>
      <c r="Q305" s="1423"/>
      <c r="R305" s="1423"/>
      <c r="S305" s="1423"/>
      <c r="T305" s="1423"/>
      <c r="U305" s="1423"/>
      <c r="V305" s="1423"/>
      <c r="W305" s="1423"/>
      <c r="X305" s="1423"/>
      <c r="Y305" s="1423"/>
      <c r="Z305" s="1423"/>
      <c r="AD305" s="1423"/>
      <c r="AF305" s="1423"/>
      <c r="AG305" s="1423"/>
      <c r="AH305" s="1423"/>
      <c r="AI305" s="727"/>
      <c r="AJ305" s="727"/>
      <c r="AL305" s="748"/>
    </row>
    <row r="306" spans="1:38">
      <c r="A306" s="728">
        <v>301</v>
      </c>
      <c r="B306" s="1443" t="s">
        <v>54</v>
      </c>
      <c r="E306" s="1488">
        <f>'Revenue Reconcilliation'!Q179</f>
        <v>0</v>
      </c>
      <c r="F306" s="1423"/>
      <c r="G306" s="1423"/>
      <c r="H306" s="1423"/>
      <c r="I306" s="1423"/>
      <c r="J306" s="1423"/>
      <c r="K306" s="1405"/>
      <c r="L306" s="1427"/>
      <c r="M306" s="1423"/>
      <c r="N306" s="1423"/>
      <c r="O306" s="1423"/>
      <c r="P306" s="1423"/>
      <c r="Q306" s="1423"/>
      <c r="R306" s="1423"/>
      <c r="S306" s="1423"/>
      <c r="T306" s="1423"/>
      <c r="U306" s="1423"/>
      <c r="V306" s="1423"/>
      <c r="W306" s="1423"/>
      <c r="X306" s="1423"/>
      <c r="Y306" s="1423"/>
      <c r="Z306" s="1423"/>
      <c r="AD306" s="1423"/>
      <c r="AF306" s="1423"/>
      <c r="AG306" s="1423"/>
      <c r="AH306" s="1423"/>
      <c r="AI306" s="727"/>
      <c r="AJ306" s="727"/>
      <c r="AL306" s="748"/>
    </row>
    <row r="307" spans="1:38">
      <c r="A307" s="728">
        <v>302</v>
      </c>
      <c r="B307" s="1482" t="s">
        <v>2697</v>
      </c>
      <c r="E307" s="1488">
        <f>'Revenue Reconcilliation'!Q180</f>
        <v>-1287066.5</v>
      </c>
      <c r="F307" s="1423"/>
      <c r="G307" s="1423"/>
      <c r="H307" s="1423"/>
      <c r="I307" s="1423"/>
      <c r="J307" s="1423"/>
      <c r="K307" s="1405"/>
      <c r="L307" s="1427"/>
      <c r="M307" s="1423"/>
      <c r="N307" s="1423"/>
      <c r="O307" s="1423"/>
      <c r="P307" s="1423"/>
      <c r="Q307" s="1423"/>
      <c r="R307" s="1423"/>
      <c r="S307" s="1423"/>
      <c r="T307" s="1423"/>
      <c r="U307" s="1423"/>
      <c r="V307" s="1423"/>
      <c r="W307" s="1423"/>
      <c r="X307" s="1423"/>
      <c r="Y307" s="1423"/>
      <c r="Z307" s="1423"/>
      <c r="AD307" s="1423"/>
      <c r="AF307" s="1423"/>
      <c r="AG307" s="1423"/>
      <c r="AH307" s="1423"/>
      <c r="AI307" s="727"/>
      <c r="AJ307" s="727"/>
      <c r="AL307" s="748"/>
    </row>
    <row r="308" spans="1:38">
      <c r="A308" s="728">
        <v>303</v>
      </c>
      <c r="B308" s="1482" t="s">
        <v>2698</v>
      </c>
      <c r="E308" s="1488">
        <f>'Revenue Reconcilliation'!Q181</f>
        <v>1320741.78</v>
      </c>
      <c r="F308" s="1423"/>
      <c r="G308" s="1423"/>
      <c r="H308" s="1423"/>
      <c r="I308" s="1423"/>
      <c r="J308" s="1423"/>
      <c r="K308" s="1405"/>
      <c r="L308" s="1427"/>
      <c r="M308" s="1423"/>
      <c r="N308" s="1423"/>
      <c r="O308" s="1423"/>
      <c r="P308" s="1423"/>
      <c r="Q308" s="1423"/>
      <c r="R308" s="1423"/>
      <c r="S308" s="1423"/>
      <c r="T308" s="1423"/>
      <c r="U308" s="1423"/>
      <c r="V308" s="1423"/>
      <c r="W308" s="1423"/>
      <c r="X308" s="1423"/>
      <c r="Y308" s="1423"/>
      <c r="Z308" s="1423"/>
      <c r="AD308" s="1423"/>
      <c r="AF308" s="1423"/>
      <c r="AG308" s="1423"/>
      <c r="AH308" s="1423"/>
      <c r="AI308" s="727"/>
      <c r="AJ308" s="727"/>
      <c r="AL308" s="748"/>
    </row>
    <row r="309" spans="1:38">
      <c r="A309" s="728">
        <v>304</v>
      </c>
      <c r="B309" s="1443" t="s">
        <v>2678</v>
      </c>
      <c r="E309" s="1488">
        <f>SUM(E290:E308)</f>
        <v>258765.81000000006</v>
      </c>
      <c r="F309" s="1423"/>
      <c r="G309" s="1423"/>
      <c r="H309" s="1423"/>
      <c r="I309" s="1423"/>
      <c r="J309" s="1423"/>
      <c r="K309" s="1405"/>
      <c r="L309" s="1427"/>
      <c r="M309" s="1423"/>
      <c r="N309" s="1423"/>
      <c r="O309" s="1423"/>
      <c r="P309" s="1423"/>
      <c r="Q309" s="1423"/>
      <c r="R309" s="1423"/>
      <c r="S309" s="1423"/>
      <c r="T309" s="1423"/>
      <c r="U309" s="1423"/>
      <c r="V309" s="1423"/>
      <c r="W309" s="1423"/>
      <c r="X309" s="1423"/>
      <c r="Y309" s="1423"/>
      <c r="Z309" s="1423"/>
      <c r="AD309" s="1423"/>
      <c r="AF309" s="1423"/>
      <c r="AG309" s="1423"/>
      <c r="AH309" s="1423"/>
      <c r="AI309" s="1443"/>
      <c r="AJ309" s="1443"/>
      <c r="AL309" s="748"/>
    </row>
    <row r="310" spans="1:38">
      <c r="A310" s="728">
        <v>305</v>
      </c>
      <c r="B310" s="1443"/>
      <c r="E310" s="1488"/>
      <c r="F310" s="1423"/>
      <c r="G310" s="1423"/>
      <c r="H310" s="1423"/>
      <c r="I310" s="1423"/>
      <c r="J310" s="1423"/>
      <c r="K310" s="1405"/>
      <c r="L310" s="1427"/>
      <c r="M310" s="1423"/>
      <c r="N310" s="1423"/>
      <c r="O310" s="1423"/>
      <c r="P310" s="1423"/>
      <c r="Q310" s="1423"/>
      <c r="R310" s="1423"/>
      <c r="S310" s="1423"/>
      <c r="T310" s="1423"/>
      <c r="U310" s="1423"/>
      <c r="V310" s="1423"/>
      <c r="W310" s="1423"/>
      <c r="X310" s="1423"/>
      <c r="Y310" s="1423"/>
      <c r="Z310" s="1423"/>
      <c r="AD310" s="1423"/>
      <c r="AF310" s="1423"/>
      <c r="AG310" s="1423"/>
      <c r="AH310" s="1423"/>
      <c r="AI310" s="1443"/>
      <c r="AJ310" s="1443"/>
      <c r="AL310" s="748"/>
    </row>
    <row r="311" spans="1:38">
      <c r="A311" s="728">
        <v>306</v>
      </c>
      <c r="B311" s="1444" t="str">
        <f>"Total "&amp;LEFT(B281,17)&amp;" Revenue"</f>
        <v>Total Rate Schedule 570 Revenue</v>
      </c>
      <c r="C311" s="1459">
        <f>E311-'Revenue Reconcilliation'!Q182</f>
        <v>0</v>
      </c>
      <c r="D311" s="1464" t="s">
        <v>2673</v>
      </c>
      <c r="E311" s="1492">
        <f>SUM(E285,E287,E309)</f>
        <v>1318418.8500000001</v>
      </c>
      <c r="F311" s="1438"/>
      <c r="G311" s="1438"/>
      <c r="H311" s="1438"/>
      <c r="I311" s="1438"/>
      <c r="J311" s="1438"/>
      <c r="K311" s="1447"/>
      <c r="L311" s="1446"/>
      <c r="M311" s="1437"/>
      <c r="N311" s="1438"/>
      <c r="O311" s="1437"/>
      <c r="P311" s="1437"/>
      <c r="Q311" s="1437"/>
      <c r="R311" s="1438"/>
      <c r="S311" s="1437"/>
      <c r="T311" s="1437"/>
      <c r="U311" s="1437"/>
      <c r="V311" s="1438"/>
      <c r="W311" s="1438"/>
      <c r="X311" s="1438"/>
      <c r="Y311" s="1438"/>
      <c r="Z311" s="1438"/>
      <c r="AA311" s="1437"/>
      <c r="AB311" s="1437"/>
      <c r="AC311" s="1437"/>
      <c r="AD311" s="1438"/>
      <c r="AE311" s="1447"/>
      <c r="AF311" s="1438"/>
      <c r="AG311" s="1438"/>
      <c r="AH311" s="1438"/>
      <c r="AI311" s="1438"/>
      <c r="AJ311" s="1438"/>
      <c r="AK311" s="1437"/>
      <c r="AL311" s="748"/>
    </row>
    <row r="312" spans="1:38">
      <c r="A312" s="728">
        <v>307</v>
      </c>
      <c r="B312" s="1448"/>
      <c r="D312" s="727"/>
      <c r="E312" s="1429"/>
      <c r="F312" s="1429"/>
      <c r="G312" s="1429"/>
      <c r="H312" s="1429"/>
      <c r="I312" s="1429"/>
      <c r="J312" s="1429"/>
      <c r="K312" s="1405"/>
      <c r="L312" s="1427"/>
      <c r="M312" s="1423"/>
      <c r="N312" s="1429"/>
      <c r="O312" s="1423"/>
      <c r="P312" s="1423"/>
      <c r="Q312" s="1423"/>
      <c r="R312" s="1429"/>
      <c r="S312" s="1423"/>
      <c r="T312" s="1423"/>
      <c r="U312" s="1423"/>
      <c r="V312" s="1429"/>
      <c r="W312" s="1429"/>
      <c r="X312" s="1429"/>
      <c r="Y312" s="1429"/>
      <c r="Z312" s="1429"/>
      <c r="AD312" s="1429"/>
      <c r="AF312" s="1429"/>
      <c r="AG312" s="1429"/>
      <c r="AH312" s="1429"/>
      <c r="AL312" s="748"/>
    </row>
    <row r="313" spans="1:38">
      <c r="A313" s="728">
        <v>308</v>
      </c>
      <c r="B313" s="1420" t="s">
        <v>2711</v>
      </c>
      <c r="G313" s="1421" t="s">
        <v>2712</v>
      </c>
      <c r="K313" s="1405"/>
      <c r="L313" s="1427"/>
      <c r="M313" s="1422"/>
      <c r="O313" s="1473"/>
      <c r="P313" s="1423"/>
      <c r="Q313" s="1423"/>
      <c r="S313" s="1473"/>
      <c r="T313" s="1423"/>
      <c r="U313" s="1423"/>
      <c r="AJ313" s="384"/>
      <c r="AK313" s="384"/>
      <c r="AL313" s="748"/>
    </row>
    <row r="314" spans="1:38">
      <c r="A314" s="728">
        <v>309</v>
      </c>
      <c r="B314" s="727" t="s">
        <v>2462</v>
      </c>
      <c r="C314" s="1405">
        <f t="shared" ref="C314:C320" si="0">E314/D314</f>
        <v>2227</v>
      </c>
      <c r="D314" s="1493">
        <v>625</v>
      </c>
      <c r="E314" s="1423">
        <f>'1501 Summary'!AD220</f>
        <v>1391875</v>
      </c>
      <c r="F314" s="1423"/>
      <c r="G314" s="1405">
        <f>-SUM(G451,G478,G503,G353,G698)</f>
        <v>60</v>
      </c>
      <c r="H314" s="1423">
        <f>D314</f>
        <v>625</v>
      </c>
      <c r="I314" s="1405">
        <f>G314*H314</f>
        <v>37500</v>
      </c>
      <c r="J314" s="1423"/>
      <c r="K314" s="1405">
        <f t="shared" ref="K314:K319" si="1">C314+G314</f>
        <v>2287</v>
      </c>
      <c r="L314" s="1422">
        <f>D314</f>
        <v>625</v>
      </c>
      <c r="M314" s="1423">
        <f>L314*K314</f>
        <v>1429375</v>
      </c>
      <c r="N314" s="1423"/>
      <c r="O314" s="1405"/>
      <c r="P314" s="1423"/>
      <c r="Q314" s="1423"/>
      <c r="R314" s="1423"/>
      <c r="S314" s="1405">
        <f>'End of Period Calculations'!AB116+'End of Period Calculations'!AC116</f>
        <v>2260</v>
      </c>
      <c r="T314" s="1423">
        <f t="shared" ref="T314:T320" si="2">S314*L314</f>
        <v>1412500</v>
      </c>
      <c r="U314" s="1423">
        <f t="shared" ref="U314:U319" si="3">T314-M314</f>
        <v>-16875</v>
      </c>
      <c r="V314" s="1423"/>
      <c r="W314" s="1423"/>
      <c r="X314" s="1423"/>
      <c r="Y314" s="1423"/>
      <c r="Z314" s="1423"/>
      <c r="AA314" s="1425"/>
      <c r="AB314" s="1425"/>
      <c r="AC314" s="1425"/>
      <c r="AD314" s="1423"/>
      <c r="AF314" s="1423"/>
      <c r="AG314" s="1423"/>
      <c r="AH314" s="1423"/>
      <c r="AI314" s="1430">
        <f>'Exh 18, Class Rates'!H37</f>
        <v>625</v>
      </c>
      <c r="AJ314" s="1425">
        <f>AI314*S314</f>
        <v>1412500</v>
      </c>
      <c r="AK314" s="1425">
        <f>AJ314-T314</f>
        <v>0</v>
      </c>
      <c r="AL314" s="748"/>
    </row>
    <row r="315" spans="1:38">
      <c r="A315" s="728">
        <v>310</v>
      </c>
      <c r="B315" s="727" t="s">
        <v>2713</v>
      </c>
      <c r="C315" s="1405">
        <f t="shared" si="0"/>
        <v>17874140</v>
      </c>
      <c r="D315" s="1439">
        <v>0.2</v>
      </c>
      <c r="E315" s="1423">
        <f>'1501 Summary'!AD221</f>
        <v>3574828</v>
      </c>
      <c r="F315" s="1423"/>
      <c r="G315" s="1405">
        <f>-SUM(G452,G479,G354,G699,G355)</f>
        <v>12480012</v>
      </c>
      <c r="H315" s="1427">
        <f t="shared" ref="H315:H320" si="4">D315</f>
        <v>0.2</v>
      </c>
      <c r="I315" s="1405">
        <f t="shared" ref="I315:I320" si="5">G315*H315</f>
        <v>2496002.4</v>
      </c>
      <c r="J315" s="1423"/>
      <c r="K315" s="1405">
        <f>C315+G315</f>
        <v>30354152</v>
      </c>
      <c r="L315" s="1427">
        <f>D315</f>
        <v>0.2</v>
      </c>
      <c r="M315" s="1423">
        <f t="shared" ref="M315:M320" si="6">L315*K315</f>
        <v>6070830.4000000004</v>
      </c>
      <c r="N315" s="1423"/>
      <c r="O315" s="1405"/>
      <c r="P315" s="1423"/>
      <c r="Q315" s="1423"/>
      <c r="R315" s="1423"/>
      <c r="S315" s="1405">
        <f>SUM(K315:K315)</f>
        <v>30354152</v>
      </c>
      <c r="T315" s="1423">
        <f t="shared" si="2"/>
        <v>6070830.4000000004</v>
      </c>
      <c r="U315" s="1423">
        <f t="shared" si="3"/>
        <v>0</v>
      </c>
      <c r="V315" s="1423"/>
      <c r="W315" s="1423"/>
      <c r="X315" s="1423"/>
      <c r="Y315" s="1423"/>
      <c r="Z315" s="1423"/>
      <c r="AA315" s="1425"/>
      <c r="AB315" s="1425"/>
      <c r="AC315" s="1425"/>
      <c r="AD315" s="1423"/>
      <c r="AF315" s="1423"/>
      <c r="AG315" s="1423"/>
      <c r="AH315" s="1423"/>
      <c r="AI315" s="1428">
        <f>'Exh 18, Class Rates'!H38</f>
        <v>0.2</v>
      </c>
      <c r="AJ315" s="1425">
        <f>AI315*S315</f>
        <v>6070830.4000000004</v>
      </c>
      <c r="AK315" s="1425">
        <f>AJ315-T315</f>
        <v>0</v>
      </c>
      <c r="AL315" s="748"/>
    </row>
    <row r="316" spans="1:38">
      <c r="A316" s="728">
        <v>311</v>
      </c>
      <c r="B316" s="727" t="s">
        <v>2714</v>
      </c>
      <c r="C316" s="1405">
        <f t="shared" si="0"/>
        <v>355024599.99999988</v>
      </c>
      <c r="D316" s="1361">
        <v>4.0000000000000002E-4</v>
      </c>
      <c r="E316" s="1423">
        <f>'1501 Summary'!AD222</f>
        <v>142009.83999999997</v>
      </c>
      <c r="F316" s="1423"/>
      <c r="G316" s="1405">
        <f>-SUM(G453,G480,G504,G358,G700,G359)</f>
        <v>267459875</v>
      </c>
      <c r="H316" s="1427">
        <f t="shared" si="4"/>
        <v>4.0000000000000002E-4</v>
      </c>
      <c r="I316" s="1405">
        <f t="shared" si="5"/>
        <v>106983.95000000001</v>
      </c>
      <c r="J316" s="1423"/>
      <c r="K316" s="1405">
        <f t="shared" si="1"/>
        <v>622484474.99999988</v>
      </c>
      <c r="L316" s="1427">
        <f>D316</f>
        <v>4.0000000000000002E-4</v>
      </c>
      <c r="M316" s="1423">
        <f t="shared" si="6"/>
        <v>248993.78999999995</v>
      </c>
      <c r="N316" s="1423"/>
      <c r="O316" s="1405"/>
      <c r="P316" s="1423"/>
      <c r="Q316" s="1423"/>
      <c r="R316" s="1423"/>
      <c r="S316" s="1405">
        <f>SUM(S317:S320)</f>
        <v>641617734.59945512</v>
      </c>
      <c r="T316" s="1423">
        <f t="shared" si="2"/>
        <v>256647.09383978206</v>
      </c>
      <c r="U316" s="1423">
        <f t="shared" si="3"/>
        <v>7653.3038397821074</v>
      </c>
      <c r="V316" s="1423"/>
      <c r="W316" s="1494" t="s">
        <v>2715</v>
      </c>
      <c r="X316" s="1423"/>
      <c r="Y316" s="1423"/>
      <c r="Z316" s="1423"/>
      <c r="AA316" s="1495"/>
      <c r="AB316" s="384"/>
      <c r="AC316" s="384"/>
      <c r="AD316" s="1423"/>
      <c r="AF316" s="1423"/>
      <c r="AG316" s="1423"/>
      <c r="AH316" s="1423"/>
      <c r="AI316" s="1428">
        <f>'Exh 18, Class Rates'!H39</f>
        <v>4.0000000000000002E-4</v>
      </c>
      <c r="AJ316" s="1425">
        <f>AI316*S316</f>
        <v>256647.09383978206</v>
      </c>
      <c r="AK316" s="1425">
        <f>AJ316-T316</f>
        <v>0</v>
      </c>
      <c r="AL316" s="748"/>
    </row>
    <row r="317" spans="1:38">
      <c r="A317" s="728">
        <v>312</v>
      </c>
      <c r="B317" s="1443" t="s">
        <v>2716</v>
      </c>
      <c r="C317" s="1405">
        <f t="shared" si="0"/>
        <v>94364132.43293941</v>
      </c>
      <c r="D317" s="1361">
        <v>5.3310000000000003E-2</v>
      </c>
      <c r="E317" s="1423">
        <f>'1501 Summary'!AD223</f>
        <v>5030551.9000000004</v>
      </c>
      <c r="F317" s="1423"/>
      <c r="G317" s="1405">
        <f>-SUM(G454,G481,G505,G360,G701,G361)</f>
        <v>32894671.285027228</v>
      </c>
      <c r="H317" s="1427">
        <f t="shared" si="4"/>
        <v>5.3310000000000003E-2</v>
      </c>
      <c r="I317" s="1405">
        <f t="shared" si="5"/>
        <v>1753614.9262048015</v>
      </c>
      <c r="J317" s="1423"/>
      <c r="K317" s="1405">
        <f t="shared" si="1"/>
        <v>127258803.71796665</v>
      </c>
      <c r="L317" s="1427">
        <v>5.9889999999999999E-2</v>
      </c>
      <c r="M317" s="1423">
        <f t="shared" si="6"/>
        <v>7621529.7546690218</v>
      </c>
      <c r="N317" s="1423"/>
      <c r="O317" s="1405"/>
      <c r="P317" s="1423"/>
      <c r="Q317" s="1423"/>
      <c r="R317" s="1423"/>
      <c r="S317" s="1405">
        <f>'End of Period Calculations'!AA146</f>
        <v>125402945.77158709</v>
      </c>
      <c r="T317" s="1423">
        <f t="shared" si="2"/>
        <v>7510382.4222603505</v>
      </c>
      <c r="U317" s="1423">
        <f t="shared" si="3"/>
        <v>-111147.33240867127</v>
      </c>
      <c r="V317" s="1423"/>
      <c r="W317" s="1405">
        <f>-W116</f>
        <v>267361.96789951145</v>
      </c>
      <c r="X317" s="1427">
        <v>5.9889999999999999E-2</v>
      </c>
      <c r="Y317" s="1422">
        <f>X317*W317</f>
        <v>16012.30825750174</v>
      </c>
      <c r="Z317" s="1423"/>
      <c r="AA317" s="1405">
        <f>+'End of Period Calculations'!AA146</f>
        <v>125402945.77158709</v>
      </c>
      <c r="AB317" s="1428">
        <v>3.8999999999999999E-4</v>
      </c>
      <c r="AC317" s="1425">
        <f>AB317*AA317</f>
        <v>48907.148850918966</v>
      </c>
      <c r="AD317" s="1423"/>
      <c r="AF317" s="1423"/>
      <c r="AG317" s="1423"/>
      <c r="AH317" s="1423"/>
      <c r="AI317" s="1428">
        <f>'Exh 18, Class Rates'!H40</f>
        <v>5.9608577518787662E-2</v>
      </c>
      <c r="AJ317" s="1425">
        <f>AI317*(S317+W317+AE317)</f>
        <v>7491028.2806990882</v>
      </c>
      <c r="AK317" s="1425">
        <f>AJ317-T317-Y317</f>
        <v>-35366.449818764049</v>
      </c>
      <c r="AL317" s="748"/>
    </row>
    <row r="318" spans="1:38">
      <c r="A318" s="728">
        <v>313</v>
      </c>
      <c r="B318" s="1443" t="s">
        <v>2494</v>
      </c>
      <c r="C318" s="1405">
        <f t="shared" si="0"/>
        <v>64730930.591259636</v>
      </c>
      <c r="D318" s="1361">
        <v>1.9449999999999999E-2</v>
      </c>
      <c r="E318" s="1423">
        <f>'1501 Summary'!AD224</f>
        <v>1259016.5999999999</v>
      </c>
      <c r="F318" s="1423"/>
      <c r="G318" s="1405">
        <f>-SUM(G455,G482,G506,G362,G702,G363)</f>
        <v>6609004.5404050602</v>
      </c>
      <c r="H318" s="1427">
        <f t="shared" si="4"/>
        <v>1.9449999999999999E-2</v>
      </c>
      <c r="I318" s="1405">
        <f t="shared" si="5"/>
        <v>128545.13831087841</v>
      </c>
      <c r="J318" s="1423"/>
      <c r="K318" s="1405">
        <f t="shared" si="1"/>
        <v>71339935.131664693</v>
      </c>
      <c r="L318" s="1427">
        <v>2.3029999999999998E-2</v>
      </c>
      <c r="M318" s="1423">
        <f t="shared" si="6"/>
        <v>1642958.7060822379</v>
      </c>
      <c r="N318" s="1423"/>
      <c r="O318" s="1405"/>
      <c r="P318" s="1423"/>
      <c r="Q318" s="1423"/>
      <c r="R318" s="1423"/>
      <c r="S318" s="1405">
        <f>'End of Period Calculations'!AA147</f>
        <v>98562895.00321956</v>
      </c>
      <c r="T318" s="1423">
        <f t="shared" si="2"/>
        <v>2269903.4719241462</v>
      </c>
      <c r="U318" s="1423">
        <f t="shared" si="3"/>
        <v>626944.76584190829</v>
      </c>
      <c r="V318" s="1423"/>
      <c r="W318" s="1405">
        <f>-W117</f>
        <v>681100.96504005836</v>
      </c>
      <c r="X318" s="1427">
        <v>2.3029999999999998E-2</v>
      </c>
      <c r="Y318" s="1422">
        <f>X318*W318</f>
        <v>15685.755224872542</v>
      </c>
      <c r="Z318" s="1423"/>
      <c r="AA318" s="1405">
        <f>+'End of Period Calculations'!AA147</f>
        <v>98562895.00321956</v>
      </c>
      <c r="AB318" s="1428">
        <v>3.8999999999999999E-4</v>
      </c>
      <c r="AC318" s="1425">
        <f>AB318*AA318</f>
        <v>38439.529051255631</v>
      </c>
      <c r="AD318" s="1423"/>
      <c r="AF318" s="1423"/>
      <c r="AG318" s="1423"/>
      <c r="AH318" s="1423"/>
      <c r="AI318" s="1428">
        <f>'Exh 18, Class Rates'!H41</f>
        <v>2.2921782271792951E-2</v>
      </c>
      <c r="AJ318" s="1425">
        <f>AI318*(S318+W318+AE318)</f>
        <v>2274849.2673671446</v>
      </c>
      <c r="AK318" s="1425">
        <f>AJ318-T318-Y318</f>
        <v>-10739.959781874133</v>
      </c>
      <c r="AL318" s="748"/>
    </row>
    <row r="319" spans="1:38">
      <c r="A319" s="728">
        <v>314</v>
      </c>
      <c r="B319" s="1443" t="s">
        <v>2494</v>
      </c>
      <c r="C319" s="1405">
        <f t="shared" si="0"/>
        <v>28296657.360406093</v>
      </c>
      <c r="D319" s="1361">
        <v>1.1820000000000001E-2</v>
      </c>
      <c r="E319" s="1423">
        <f>'1501 Summary'!AD225</f>
        <v>334466.49000000005</v>
      </c>
      <c r="F319" s="1423"/>
      <c r="G319" s="1405">
        <f>-SUM(G456,G483,G507,G703)</f>
        <v>5481981.3874788489</v>
      </c>
      <c r="H319" s="1427">
        <f t="shared" si="4"/>
        <v>1.1820000000000001E-2</v>
      </c>
      <c r="I319" s="1405">
        <f t="shared" si="5"/>
        <v>64797.02</v>
      </c>
      <c r="J319" s="1423"/>
      <c r="K319" s="1405">
        <f t="shared" si="1"/>
        <v>33778638.747884944</v>
      </c>
      <c r="L319" s="1427">
        <v>1.473E-2</v>
      </c>
      <c r="M319" s="1423">
        <f t="shared" si="6"/>
        <v>497559.34875634522</v>
      </c>
      <c r="N319" s="1423"/>
      <c r="O319" s="1405"/>
      <c r="P319" s="1423"/>
      <c r="Q319" s="1423"/>
      <c r="R319" s="1423"/>
      <c r="S319" s="1405">
        <f>'End of Period Calculations'!AA148</f>
        <v>34638058.781353638</v>
      </c>
      <c r="T319" s="1423">
        <f t="shared" si="2"/>
        <v>510218.6058493391</v>
      </c>
      <c r="U319" s="1423">
        <f t="shared" si="3"/>
        <v>12659.257092993881</v>
      </c>
      <c r="V319" s="1423"/>
      <c r="W319" s="1405">
        <f>-W118</f>
        <v>1897641.5651531932</v>
      </c>
      <c r="X319" s="1427">
        <v>1.473E-2</v>
      </c>
      <c r="Y319" s="1422">
        <f>X319*W319</f>
        <v>27952.260254706536</v>
      </c>
      <c r="Z319" s="1423"/>
      <c r="AA319" s="1405">
        <f>+'End of Period Calculations'!AA148</f>
        <v>34638058.781353638</v>
      </c>
      <c r="AB319" s="1428">
        <v>3.8999999999999999E-4</v>
      </c>
      <c r="AC319" s="1425">
        <f>AB319*AA319</f>
        <v>13508.842924727918</v>
      </c>
      <c r="AD319" s="1423"/>
      <c r="AF319" s="1423"/>
      <c r="AG319" s="1423"/>
      <c r="AH319" s="1423"/>
      <c r="AI319" s="1428">
        <f>'Exh 18, Class Rates'!H42</f>
        <v>1.4660783884650898E-2</v>
      </c>
      <c r="AJ319" s="1425">
        <f>AI319*(S319+W319+AE319)</f>
        <v>535642.00685450167</v>
      </c>
      <c r="AK319" s="1425">
        <f>AJ319-T319-Y319</f>
        <v>-2528.8592495439698</v>
      </c>
      <c r="AL319" s="748"/>
    </row>
    <row r="320" spans="1:38">
      <c r="A320" s="728">
        <v>315</v>
      </c>
      <c r="B320" s="1458" t="s">
        <v>2717</v>
      </c>
      <c r="C320" s="1405">
        <f t="shared" si="0"/>
        <v>166667530.24911031</v>
      </c>
      <c r="D320" s="1361">
        <v>5.62E-3</v>
      </c>
      <c r="E320" s="1437">
        <f>'1501 Summary'!AD226</f>
        <v>936671.52</v>
      </c>
      <c r="F320" s="1423"/>
      <c r="G320" s="1405">
        <f>-SUM(G457,G484,G508,G704)</f>
        <v>222478156.58362988</v>
      </c>
      <c r="H320" s="1427">
        <f t="shared" si="4"/>
        <v>5.62E-3</v>
      </c>
      <c r="I320" s="1405">
        <f t="shared" si="5"/>
        <v>1250327.24</v>
      </c>
      <c r="J320" s="1423"/>
      <c r="K320" s="1405">
        <f>C320+G320</f>
        <v>389145686.83274019</v>
      </c>
      <c r="L320" s="1427">
        <v>7.9799999999999992E-3</v>
      </c>
      <c r="M320" s="1437">
        <f t="shared" si="6"/>
        <v>3105382.5809252663</v>
      </c>
      <c r="N320" s="1423"/>
      <c r="O320" s="1405">
        <f>-'Billing Correction'!C38</f>
        <v>-1030368</v>
      </c>
      <c r="P320" s="1427">
        <f>L320</f>
        <v>7.9799999999999992E-3</v>
      </c>
      <c r="Q320" s="1437">
        <f>ROUNDUP(O320*P320,0)</f>
        <v>-8223</v>
      </c>
      <c r="R320" s="1423"/>
      <c r="S320" s="1405">
        <f>'End of Period Calculations'!AA119</f>
        <v>383013835.04329479</v>
      </c>
      <c r="T320" s="1437">
        <f t="shared" si="2"/>
        <v>3056450.4036454922</v>
      </c>
      <c r="U320" s="1437">
        <f>T320-M320-Q320</f>
        <v>-40709.1772797741</v>
      </c>
      <c r="V320" s="1423"/>
      <c r="W320" s="1447">
        <v>0</v>
      </c>
      <c r="X320" s="1427">
        <v>7.9799999999999992E-3</v>
      </c>
      <c r="Y320" s="1438">
        <f>X320*W320</f>
        <v>0</v>
      </c>
      <c r="Z320" s="1423"/>
      <c r="AA320" s="1405">
        <f>'End of Period Calculations'!AA149</f>
        <v>383013835.04329479</v>
      </c>
      <c r="AB320" s="1428">
        <v>3.8999999999999999E-4</v>
      </c>
      <c r="AC320" s="1440">
        <f>AB320*AA320</f>
        <v>149375.39566688496</v>
      </c>
      <c r="AD320" s="1423"/>
      <c r="AE320" s="1405">
        <f>IF($AM$3="No", W320, -'Billing Correction'!C37)</f>
        <v>0</v>
      </c>
      <c r="AF320" s="1427">
        <f>P320</f>
        <v>7.9799999999999992E-3</v>
      </c>
      <c r="AG320" s="1437">
        <f>AE320*AF320</f>
        <v>0</v>
      </c>
      <c r="AH320" s="1423"/>
      <c r="AI320" s="1428">
        <f>'Exh 18, Class Rates'!H43</f>
        <v>7.9425020637823602E-3</v>
      </c>
      <c r="AJ320" s="1425">
        <f>AI320*(S320+W320+AE320)</f>
        <v>3042088.1752885655</v>
      </c>
      <c r="AK320" s="1440">
        <f>AJ320-T320-Y320-AG320</f>
        <v>-14362.228356926702</v>
      </c>
      <c r="AL320" s="748"/>
    </row>
    <row r="321" spans="1:38">
      <c r="A321" s="728">
        <v>316</v>
      </c>
      <c r="B321" s="727" t="s">
        <v>2648</v>
      </c>
      <c r="E321" s="1422">
        <f>SUM(E314:E320)</f>
        <v>12669419.35</v>
      </c>
      <c r="F321" s="1422"/>
      <c r="G321" s="1422"/>
      <c r="H321" s="1422"/>
      <c r="I321" s="1422"/>
      <c r="J321" s="1422"/>
      <c r="K321" s="1405"/>
      <c r="L321" s="1427"/>
      <c r="M321" s="1423">
        <f>SUM(M314:M320)</f>
        <v>20616629.580432877</v>
      </c>
      <c r="N321" s="1422"/>
      <c r="O321" s="1422"/>
      <c r="P321" s="1423"/>
      <c r="Q321" s="1423">
        <f>SUM(Q320)</f>
        <v>-8223</v>
      </c>
      <c r="R321" s="1422"/>
      <c r="S321" s="1422"/>
      <c r="T321" s="1423">
        <f>SUM(T314:T320)</f>
        <v>21086932.397519112</v>
      </c>
      <c r="U321" s="1423">
        <f>SUM(U314:U320)</f>
        <v>478525.81708623894</v>
      </c>
      <c r="V321" s="1422"/>
      <c r="W321" s="1405">
        <f>SUM(W317:W320)</f>
        <v>2846104.4980927631</v>
      </c>
      <c r="X321" s="1405"/>
      <c r="Y321" s="1452">
        <f>SUM(Y317:Y320)</f>
        <v>59650.32373708082</v>
      </c>
      <c r="Z321" s="1422"/>
      <c r="AA321" s="1496"/>
      <c r="AB321" s="1430"/>
      <c r="AC321" s="1425">
        <f>SUM(AC317:AC320)</f>
        <v>250230.91649378746</v>
      </c>
      <c r="AD321" s="1422"/>
      <c r="AE321" s="1422"/>
      <c r="AF321" s="1423"/>
      <c r="AG321" s="1423">
        <f>SUM(AG320)</f>
        <v>0</v>
      </c>
      <c r="AH321" s="1422"/>
      <c r="AJ321" s="1425">
        <f>SUM(AJ314:AJ320)</f>
        <v>21083585.22404908</v>
      </c>
      <c r="AK321" s="1425">
        <f>SUM(AK317:AK320)</f>
        <v>-62997.497207108856</v>
      </c>
      <c r="AL321" s="748"/>
    </row>
    <row r="322" spans="1:38">
      <c r="A322" s="728">
        <v>317</v>
      </c>
      <c r="E322" s="1422"/>
      <c r="F322" s="1422"/>
      <c r="G322" s="1422"/>
      <c r="H322" s="1422"/>
      <c r="I322" s="1422"/>
      <c r="J322" s="1422"/>
      <c r="K322" s="1405"/>
      <c r="L322" s="1427"/>
      <c r="M322" s="1423"/>
      <c r="N322" s="1422"/>
      <c r="O322" s="1423"/>
      <c r="P322" s="1423"/>
      <c r="Q322" s="1423"/>
      <c r="R322" s="1422"/>
      <c r="S322" s="1423"/>
      <c r="T322" s="1423"/>
      <c r="U322" s="1423"/>
      <c r="V322" s="1422"/>
      <c r="W322" s="1422"/>
      <c r="X322" s="1422"/>
      <c r="Y322" s="1422"/>
      <c r="Z322" s="1422"/>
      <c r="AA322" s="1473"/>
      <c r="AB322" s="1473"/>
      <c r="AC322" s="1473"/>
      <c r="AD322" s="1422"/>
      <c r="AF322" s="1422"/>
      <c r="AG322" s="1422"/>
      <c r="AH322" s="1422"/>
      <c r="AK322" s="1423"/>
      <c r="AL322" s="748"/>
    </row>
    <row r="323" spans="1:38">
      <c r="A323" s="728">
        <v>318</v>
      </c>
      <c r="B323" s="727" t="s">
        <v>2651</v>
      </c>
      <c r="K323" s="1405"/>
      <c r="L323" s="1427"/>
      <c r="M323" s="1423"/>
      <c r="O323" s="1423"/>
      <c r="P323" s="1423"/>
      <c r="Q323" s="1423"/>
      <c r="S323" s="1423"/>
      <c r="T323" s="1423"/>
      <c r="U323" s="1423"/>
      <c r="AA323" s="727"/>
      <c r="AB323" s="727"/>
      <c r="AC323" s="727"/>
      <c r="AK323" s="727"/>
      <c r="AL323" s="748"/>
    </row>
    <row r="324" spans="1:38">
      <c r="A324" s="728">
        <v>319</v>
      </c>
      <c r="B324" s="1479" t="s">
        <v>2658</v>
      </c>
      <c r="E324" s="1488">
        <f>'1501 Summary'!AD227</f>
        <v>-226050.83</v>
      </c>
      <c r="F324" s="1489"/>
      <c r="G324" s="1489"/>
      <c r="H324" s="1489"/>
      <c r="I324" s="1489"/>
      <c r="J324" s="1489"/>
      <c r="K324" s="1405"/>
      <c r="L324" s="1427"/>
      <c r="M324" s="1423"/>
      <c r="N324" s="1489"/>
      <c r="O324" s="1423"/>
      <c r="P324" s="1423"/>
      <c r="Q324" s="1423"/>
      <c r="R324" s="1489"/>
      <c r="S324" s="1423"/>
      <c r="T324" s="1423"/>
      <c r="U324" s="1423"/>
      <c r="V324" s="1489"/>
      <c r="W324" s="1489"/>
      <c r="X324" s="1489"/>
      <c r="Y324" s="1489"/>
      <c r="Z324" s="1489"/>
      <c r="AA324" s="727"/>
      <c r="AB324" s="727"/>
      <c r="AC324" s="727"/>
      <c r="AD324" s="1489"/>
      <c r="AF324" s="1489"/>
      <c r="AG324" s="1489"/>
      <c r="AH324" s="1489"/>
      <c r="AK324" s="727"/>
      <c r="AL324" s="748"/>
    </row>
    <row r="325" spans="1:38">
      <c r="A325" s="728">
        <v>320</v>
      </c>
      <c r="B325" s="1479" t="s">
        <v>2659</v>
      </c>
      <c r="E325" s="1488">
        <f>'1501 Summary'!AD228</f>
        <v>-102092.36</v>
      </c>
      <c r="F325" s="1489"/>
      <c r="G325" s="1489"/>
      <c r="H325" s="1489"/>
      <c r="I325" s="1489"/>
      <c r="J325" s="1489"/>
      <c r="K325" s="1405"/>
      <c r="L325" s="1427"/>
      <c r="M325" s="1423"/>
      <c r="N325" s="1489"/>
      <c r="O325" s="1423"/>
      <c r="P325" s="1423"/>
      <c r="Q325" s="1423"/>
      <c r="R325" s="1489"/>
      <c r="S325" s="1423"/>
      <c r="T325" s="1423"/>
      <c r="U325" s="1423"/>
      <c r="V325" s="1489"/>
      <c r="W325" s="1489"/>
      <c r="X325" s="1489"/>
      <c r="Y325" s="1489"/>
      <c r="Z325" s="1489"/>
      <c r="AA325" s="727"/>
      <c r="AB325" s="727"/>
      <c r="AC325" s="727"/>
      <c r="AD325" s="1489"/>
      <c r="AF325" s="1489"/>
      <c r="AG325" s="1489"/>
      <c r="AH325" s="1489"/>
      <c r="AK325" s="727"/>
      <c r="AL325" s="748"/>
    </row>
    <row r="326" spans="1:38">
      <c r="A326" s="728">
        <v>321</v>
      </c>
      <c r="B326" s="1479" t="s">
        <v>2660</v>
      </c>
      <c r="E326" s="1488">
        <f>'1501 Summary'!AD229</f>
        <v>-175611.99</v>
      </c>
      <c r="F326" s="1489"/>
      <c r="G326" s="1489"/>
      <c r="H326" s="1489"/>
      <c r="I326" s="1489"/>
      <c r="J326" s="1489"/>
      <c r="K326" s="1405"/>
      <c r="L326" s="1427"/>
      <c r="M326" s="1423"/>
      <c r="N326" s="1489"/>
      <c r="O326" s="1423"/>
      <c r="P326" s="1423"/>
      <c r="Q326" s="1423"/>
      <c r="R326" s="1489"/>
      <c r="S326" s="1423"/>
      <c r="T326" s="1423"/>
      <c r="U326" s="1423"/>
      <c r="V326" s="1489"/>
      <c r="W326" s="1489"/>
      <c r="X326" s="1489"/>
      <c r="Y326" s="1489"/>
      <c r="Z326" s="1489"/>
      <c r="AA326" s="727"/>
      <c r="AB326" s="727"/>
      <c r="AC326" s="727"/>
      <c r="AD326" s="1489"/>
      <c r="AF326" s="1489"/>
      <c r="AG326" s="1489"/>
      <c r="AH326" s="1489"/>
      <c r="AK326" s="727"/>
      <c r="AL326" s="748"/>
    </row>
    <row r="327" spans="1:38">
      <c r="A327" s="728">
        <v>322</v>
      </c>
      <c r="B327" s="1421" t="s">
        <v>2653</v>
      </c>
      <c r="E327" s="1488">
        <f>'1501 Summary'!AD230</f>
        <v>109759.33000000002</v>
      </c>
      <c r="F327" s="1489"/>
      <c r="G327" s="1489"/>
      <c r="H327" s="1489"/>
      <c r="I327" s="1489"/>
      <c r="J327" s="1489"/>
      <c r="K327" s="1405"/>
      <c r="L327" s="1427"/>
      <c r="M327" s="1423"/>
      <c r="N327" s="1489"/>
      <c r="O327" s="1423"/>
      <c r="P327" s="1423"/>
      <c r="Q327" s="1423"/>
      <c r="R327" s="1489"/>
      <c r="S327" s="1423"/>
      <c r="T327" s="1423"/>
      <c r="U327" s="1423"/>
      <c r="V327" s="1489"/>
      <c r="W327" s="1489">
        <f>125339712+W317</f>
        <v>125607073.96789952</v>
      </c>
      <c r="X327" s="1489"/>
      <c r="Y327" s="1489"/>
      <c r="Z327" s="1489"/>
      <c r="AA327" s="727"/>
      <c r="AB327" s="727"/>
      <c r="AC327" s="727"/>
      <c r="AD327" s="1489"/>
      <c r="AF327" s="1489"/>
      <c r="AG327" s="1489"/>
      <c r="AH327" s="1489"/>
      <c r="AK327" s="727"/>
      <c r="AL327" s="748"/>
    </row>
    <row r="328" spans="1:38">
      <c r="A328" s="728">
        <v>323</v>
      </c>
      <c r="B328" s="1421" t="s">
        <v>2654</v>
      </c>
      <c r="E328" s="1488">
        <f>'1501 Summary'!AD231</f>
        <v>607986.66</v>
      </c>
      <c r="F328" s="1489"/>
      <c r="G328" s="1489"/>
      <c r="H328" s="1489"/>
      <c r="I328" s="1489"/>
      <c r="J328" s="1489"/>
      <c r="K328" s="1405"/>
      <c r="L328" s="1427"/>
      <c r="M328" s="1423"/>
      <c r="N328" s="1489"/>
      <c r="O328" s="1423"/>
      <c r="P328" s="1423"/>
      <c r="Q328" s="1423"/>
      <c r="R328" s="1489"/>
      <c r="S328" s="1423"/>
      <c r="T328" s="1423"/>
      <c r="U328" s="1423"/>
      <c r="V328" s="1489"/>
      <c r="W328" s="1489"/>
      <c r="X328" s="1489"/>
      <c r="Y328" s="1489"/>
      <c r="Z328" s="1489"/>
      <c r="AA328" s="727"/>
      <c r="AB328" s="727"/>
      <c r="AC328" s="727"/>
      <c r="AD328" s="1489"/>
      <c r="AF328" s="1489"/>
      <c r="AG328" s="1489"/>
      <c r="AH328" s="1489"/>
      <c r="AK328" s="727"/>
      <c r="AL328" s="748"/>
    </row>
    <row r="329" spans="1:38">
      <c r="A329" s="728">
        <v>324</v>
      </c>
      <c r="B329" s="1421" t="s">
        <v>2718</v>
      </c>
      <c r="E329" s="1488">
        <f>'1501 Summary'!AD232</f>
        <v>19250</v>
      </c>
      <c r="F329" s="1489"/>
      <c r="G329" s="1489"/>
      <c r="H329" s="1489"/>
      <c r="I329" s="1489"/>
      <c r="J329" s="1489"/>
      <c r="K329" s="1405"/>
      <c r="L329" s="1427"/>
      <c r="M329" s="1423"/>
      <c r="N329" s="1489"/>
      <c r="O329" s="1423"/>
      <c r="P329" s="1423"/>
      <c r="Q329" s="1423"/>
      <c r="R329" s="1489"/>
      <c r="S329" s="1423"/>
      <c r="T329" s="1423"/>
      <c r="U329" s="1423"/>
      <c r="V329" s="1489"/>
      <c r="W329" s="1489"/>
      <c r="X329" s="1489"/>
      <c r="Y329" s="1489"/>
      <c r="Z329" s="1489"/>
      <c r="AA329" s="727"/>
      <c r="AB329" s="727"/>
      <c r="AC329" s="727"/>
      <c r="AD329" s="1489"/>
      <c r="AF329" s="1489"/>
      <c r="AG329" s="1489"/>
      <c r="AH329" s="1489"/>
      <c r="AK329" s="727"/>
      <c r="AL329" s="748"/>
    </row>
    <row r="330" spans="1:38">
      <c r="A330" s="728">
        <v>325</v>
      </c>
      <c r="B330" s="1421" t="s">
        <v>2718</v>
      </c>
      <c r="E330" s="1488">
        <f>'1501 Summary'!AD233</f>
        <v>2500</v>
      </c>
      <c r="F330" s="1489"/>
      <c r="G330" s="1489"/>
      <c r="H330" s="1489"/>
      <c r="I330" s="1489"/>
      <c r="J330" s="1489"/>
      <c r="K330" s="1405"/>
      <c r="L330" s="1427"/>
      <c r="M330" s="1423"/>
      <c r="N330" s="1489"/>
      <c r="O330" s="1423"/>
      <c r="P330" s="1423"/>
      <c r="Q330" s="1423"/>
      <c r="R330" s="1489"/>
      <c r="S330" s="1423"/>
      <c r="T330" s="1423"/>
      <c r="U330" s="1423"/>
      <c r="V330" s="1489"/>
      <c r="W330" s="1489"/>
      <c r="X330" s="1489"/>
      <c r="Y330" s="1489"/>
      <c r="Z330" s="1489"/>
      <c r="AA330" s="727"/>
      <c r="AB330" s="727"/>
      <c r="AC330" s="727"/>
      <c r="AD330" s="1489"/>
      <c r="AF330" s="1489"/>
      <c r="AG330" s="1489"/>
      <c r="AH330" s="1489"/>
      <c r="AK330" s="727"/>
      <c r="AL330" s="748"/>
    </row>
    <row r="331" spans="1:38">
      <c r="A331" s="728">
        <v>326</v>
      </c>
      <c r="B331" s="1421" t="s">
        <v>2719</v>
      </c>
      <c r="E331" s="1488">
        <f>'1501 Summary'!AD234</f>
        <v>562345.5</v>
      </c>
      <c r="F331" s="1489"/>
      <c r="G331" s="1489"/>
      <c r="H331" s="1489"/>
      <c r="I331" s="1489"/>
      <c r="J331" s="1489"/>
      <c r="K331" s="1405"/>
      <c r="L331" s="1427"/>
      <c r="M331" s="1423"/>
      <c r="N331" s="1489"/>
      <c r="O331" s="1423"/>
      <c r="P331" s="1423"/>
      <c r="Q331" s="1423"/>
      <c r="R331" s="1489"/>
      <c r="S331" s="1423"/>
      <c r="T331" s="1423"/>
      <c r="U331" s="1423"/>
      <c r="V331" s="1489"/>
      <c r="W331" s="1489"/>
      <c r="X331" s="1489"/>
      <c r="Y331" s="1489"/>
      <c r="Z331" s="1489"/>
      <c r="AA331" s="727"/>
      <c r="AB331" s="727"/>
      <c r="AC331" s="727"/>
      <c r="AD331" s="1489"/>
      <c r="AF331" s="1489"/>
      <c r="AG331" s="1489"/>
      <c r="AH331" s="1489"/>
      <c r="AK331" s="727"/>
      <c r="AL331" s="748"/>
    </row>
    <row r="332" spans="1:38">
      <c r="A332" s="728">
        <v>327</v>
      </c>
      <c r="B332" s="1421" t="s">
        <v>2661</v>
      </c>
      <c r="E332" s="1488">
        <f>'1501 Summary'!AD235</f>
        <v>408396.4</v>
      </c>
      <c r="F332" s="1489"/>
      <c r="G332" s="1489"/>
      <c r="H332" s="1489"/>
      <c r="I332" s="1489"/>
      <c r="J332" s="1489"/>
      <c r="K332" s="1405"/>
      <c r="L332" s="1427"/>
      <c r="M332" s="1423"/>
      <c r="N332" s="1489"/>
      <c r="O332" s="1423"/>
      <c r="P332" s="1423"/>
      <c r="Q332" s="1423"/>
      <c r="R332" s="1489"/>
      <c r="S332" s="1423"/>
      <c r="T332" s="1423"/>
      <c r="U332" s="1423"/>
      <c r="V332" s="1489"/>
      <c r="W332" s="1489"/>
      <c r="X332" s="1489"/>
      <c r="Y332" s="1489"/>
      <c r="Z332" s="1489"/>
      <c r="AA332" s="727"/>
      <c r="AB332" s="727"/>
      <c r="AC332" s="727"/>
      <c r="AD332" s="1489"/>
      <c r="AF332" s="1489"/>
      <c r="AG332" s="1489"/>
      <c r="AH332" s="1489"/>
      <c r="AK332" s="727"/>
      <c r="AL332" s="748"/>
    </row>
    <row r="333" spans="1:38">
      <c r="A333" s="728">
        <v>328</v>
      </c>
      <c r="B333" s="1421" t="s">
        <v>2676</v>
      </c>
      <c r="E333" s="1488">
        <f>'1501 Summary'!AD236</f>
        <v>714.05000000000007</v>
      </c>
      <c r="F333" s="1489"/>
      <c r="G333" s="1489"/>
      <c r="H333" s="1489"/>
      <c r="I333" s="1489"/>
      <c r="J333" s="1489"/>
      <c r="K333" s="1405"/>
      <c r="L333" s="1427"/>
      <c r="M333" s="1423"/>
      <c r="N333" s="1489"/>
      <c r="O333" s="1423"/>
      <c r="P333" s="1423"/>
      <c r="Q333" s="1423"/>
      <c r="R333" s="1489"/>
      <c r="S333" s="1423"/>
      <c r="T333" s="1423"/>
      <c r="U333" s="1423"/>
      <c r="V333" s="1489"/>
      <c r="W333" s="1489"/>
      <c r="X333" s="1489"/>
      <c r="Y333" s="1489"/>
      <c r="Z333" s="1489"/>
      <c r="AA333" s="727"/>
      <c r="AB333" s="727"/>
      <c r="AC333" s="727"/>
      <c r="AD333" s="1489"/>
      <c r="AF333" s="1489"/>
      <c r="AG333" s="1489"/>
      <c r="AH333" s="1489"/>
      <c r="AK333" s="727"/>
      <c r="AL333" s="748"/>
    </row>
    <row r="334" spans="1:38">
      <c r="A334" s="728">
        <v>329</v>
      </c>
      <c r="B334" s="1462" t="s">
        <v>2720</v>
      </c>
      <c r="E334" s="1488">
        <f>'1501 Summary'!AD237</f>
        <v>6197.85</v>
      </c>
      <c r="F334" s="1489"/>
      <c r="G334" s="1489"/>
      <c r="H334" s="1489"/>
      <c r="I334" s="1489"/>
      <c r="J334" s="1489"/>
      <c r="K334" s="1405"/>
      <c r="L334" s="1427"/>
      <c r="M334" s="1423"/>
      <c r="N334" s="1489"/>
      <c r="O334" s="1423"/>
      <c r="P334" s="1423"/>
      <c r="Q334" s="1423"/>
      <c r="R334" s="1489"/>
      <c r="S334" s="1423"/>
      <c r="T334" s="1423"/>
      <c r="U334" s="1423"/>
      <c r="V334" s="1489"/>
      <c r="W334" s="1489"/>
      <c r="X334" s="1489"/>
      <c r="Y334" s="1489"/>
      <c r="Z334" s="1489"/>
      <c r="AA334" s="727"/>
      <c r="AB334" s="727"/>
      <c r="AC334" s="727"/>
      <c r="AD334" s="1489"/>
      <c r="AF334" s="1489"/>
      <c r="AG334" s="1489"/>
      <c r="AH334" s="1489"/>
      <c r="AK334" s="727"/>
      <c r="AL334" s="748"/>
    </row>
    <row r="335" spans="1:38">
      <c r="A335" s="728">
        <v>330</v>
      </c>
      <c r="B335" s="1421" t="s">
        <v>2662</v>
      </c>
      <c r="E335" s="1488">
        <f>'1501 Summary'!AD238</f>
        <v>5602.9400000000005</v>
      </c>
      <c r="F335" s="1489"/>
      <c r="G335" s="1489"/>
      <c r="H335" s="1489"/>
      <c r="I335" s="1489"/>
      <c r="J335" s="1489"/>
      <c r="K335" s="1405"/>
      <c r="L335" s="1427"/>
      <c r="M335" s="1423"/>
      <c r="N335" s="1489"/>
      <c r="O335" s="1423"/>
      <c r="P335" s="1423"/>
      <c r="Q335" s="1423"/>
      <c r="R335" s="1489"/>
      <c r="S335" s="1423"/>
      <c r="T335" s="1423"/>
      <c r="U335" s="1423"/>
      <c r="V335" s="1489"/>
      <c r="W335" s="1489"/>
      <c r="X335" s="1489"/>
      <c r="Y335" s="1489"/>
      <c r="Z335" s="1489"/>
      <c r="AA335" s="727"/>
      <c r="AB335" s="727"/>
      <c r="AC335" s="727"/>
      <c r="AD335" s="1489"/>
      <c r="AF335" s="1489"/>
      <c r="AG335" s="1489"/>
      <c r="AH335" s="1489"/>
      <c r="AK335" s="727"/>
      <c r="AL335" s="748"/>
    </row>
    <row r="336" spans="1:38">
      <c r="A336" s="728">
        <v>331</v>
      </c>
      <c r="B336" s="1421" t="s">
        <v>2663</v>
      </c>
      <c r="E336" s="1488">
        <f>'1501 Summary'!AD239</f>
        <v>30.129999999999953</v>
      </c>
      <c r="F336" s="1489"/>
      <c r="G336" s="1489"/>
      <c r="H336" s="1489"/>
      <c r="I336" s="1489"/>
      <c r="J336" s="1489"/>
      <c r="K336" s="1405"/>
      <c r="L336" s="1427"/>
      <c r="M336" s="1423"/>
      <c r="N336" s="1489"/>
      <c r="O336" s="1423"/>
      <c r="P336" s="1423"/>
      <c r="Q336" s="1423"/>
      <c r="R336" s="1489"/>
      <c r="S336" s="1423"/>
      <c r="T336" s="1423"/>
      <c r="U336" s="1423"/>
      <c r="V336" s="1489"/>
      <c r="W336" s="1489"/>
      <c r="X336" s="1489"/>
      <c r="Y336" s="1489"/>
      <c r="Z336" s="1489"/>
      <c r="AA336" s="727"/>
      <c r="AB336" s="727"/>
      <c r="AC336" s="727"/>
      <c r="AD336" s="1489"/>
      <c r="AF336" s="1489"/>
      <c r="AG336" s="1489"/>
      <c r="AH336" s="1489"/>
      <c r="AK336" s="727"/>
      <c r="AL336" s="748"/>
    </row>
    <row r="337" spans="1:38">
      <c r="A337" s="728">
        <v>332</v>
      </c>
      <c r="B337" s="1421" t="s">
        <v>2664</v>
      </c>
      <c r="E337" s="1488">
        <f>'1501 Summary'!AD240</f>
        <v>904.32</v>
      </c>
      <c r="F337" s="1489"/>
      <c r="G337" s="1489"/>
      <c r="H337" s="1489"/>
      <c r="I337" s="1489"/>
      <c r="J337" s="1489"/>
      <c r="K337" s="1405"/>
      <c r="L337" s="1427"/>
      <c r="M337" s="1423"/>
      <c r="N337" s="1489"/>
      <c r="O337" s="1423"/>
      <c r="P337" s="1423"/>
      <c r="Q337" s="1423"/>
      <c r="R337" s="1489"/>
      <c r="S337" s="1423"/>
      <c r="T337" s="1423"/>
      <c r="U337" s="1423"/>
      <c r="V337" s="1489"/>
      <c r="W337" s="1489"/>
      <c r="X337" s="1489"/>
      <c r="Y337" s="1489"/>
      <c r="Z337" s="1489"/>
      <c r="AA337" s="727"/>
      <c r="AB337" s="727"/>
      <c r="AC337" s="727"/>
      <c r="AD337" s="1489"/>
      <c r="AF337" s="1489"/>
      <c r="AG337" s="1489"/>
      <c r="AH337" s="1489"/>
      <c r="AK337" s="727"/>
      <c r="AL337" s="748"/>
    </row>
    <row r="338" spans="1:38">
      <c r="A338" s="728">
        <v>333</v>
      </c>
      <c r="B338" s="1443" t="s">
        <v>2665</v>
      </c>
      <c r="E338" s="1488">
        <f>'1501 Summary'!AD241</f>
        <v>6522.57</v>
      </c>
      <c r="F338" s="1489"/>
      <c r="G338" s="1489"/>
      <c r="H338" s="1489"/>
      <c r="I338" s="1489"/>
      <c r="J338" s="1489"/>
      <c r="K338" s="1405"/>
      <c r="L338" s="1427"/>
      <c r="M338" s="1423"/>
      <c r="N338" s="1489"/>
      <c r="O338" s="1423"/>
      <c r="P338" s="1423"/>
      <c r="Q338" s="1423"/>
      <c r="R338" s="1489"/>
      <c r="S338" s="1423"/>
      <c r="T338" s="1423"/>
      <c r="U338" s="1423"/>
      <c r="V338" s="1489"/>
      <c r="W338" s="1489"/>
      <c r="X338" s="1489"/>
      <c r="Y338" s="1489"/>
      <c r="Z338" s="1489"/>
      <c r="AA338" s="727"/>
      <c r="AB338" s="727"/>
      <c r="AC338" s="727"/>
      <c r="AD338" s="1489"/>
      <c r="AF338" s="1489"/>
      <c r="AG338" s="1489"/>
      <c r="AH338" s="1489"/>
      <c r="AK338" s="727"/>
      <c r="AL338" s="748"/>
    </row>
    <row r="339" spans="1:38">
      <c r="A339" s="728">
        <v>334</v>
      </c>
      <c r="B339" s="1443" t="s">
        <v>54</v>
      </c>
      <c r="E339" s="1488">
        <f>'1501 Summary'!AD242</f>
        <v>-13318.530000000008</v>
      </c>
      <c r="F339" s="1489"/>
      <c r="G339" s="1489"/>
      <c r="H339" s="1489"/>
      <c r="I339" s="1489"/>
      <c r="J339" s="1489"/>
      <c r="K339" s="1405"/>
      <c r="L339" s="1427"/>
      <c r="M339" s="1423"/>
      <c r="N339" s="1489"/>
      <c r="O339" s="1423"/>
      <c r="P339" s="1423"/>
      <c r="Q339" s="1423"/>
      <c r="R339" s="1489"/>
      <c r="S339" s="1423"/>
      <c r="T339" s="1423"/>
      <c r="U339" s="1423"/>
      <c r="V339" s="1489"/>
      <c r="W339" s="1489"/>
      <c r="X339" s="1489"/>
      <c r="Y339" s="1489"/>
      <c r="Z339" s="1489"/>
      <c r="AA339" s="727"/>
      <c r="AB339" s="727"/>
      <c r="AC339" s="727"/>
      <c r="AD339" s="1489"/>
      <c r="AF339" s="1489"/>
      <c r="AG339" s="1489"/>
      <c r="AH339" s="1489"/>
      <c r="AK339" s="727"/>
      <c r="AL339" s="748"/>
    </row>
    <row r="340" spans="1:38">
      <c r="A340" s="728">
        <v>335</v>
      </c>
      <c r="B340" s="1443" t="s">
        <v>2666</v>
      </c>
      <c r="E340" s="1423">
        <f>'Revenue Reconcilliation'!Q194</f>
        <v>0</v>
      </c>
      <c r="F340" s="1423"/>
      <c r="G340" s="1423"/>
      <c r="H340" s="1423"/>
      <c r="I340" s="1423"/>
      <c r="J340" s="1423"/>
      <c r="K340" s="1405"/>
      <c r="L340" s="1427"/>
      <c r="M340" s="1423"/>
      <c r="N340" s="1423"/>
      <c r="O340" s="1423"/>
      <c r="P340" s="1423"/>
      <c r="Q340" s="1423"/>
      <c r="R340" s="1423"/>
      <c r="S340" s="1423"/>
      <c r="T340" s="1423"/>
      <c r="U340" s="1423"/>
      <c r="V340" s="1423"/>
      <c r="W340" s="1423"/>
      <c r="X340" s="1423"/>
      <c r="Y340" s="1423"/>
      <c r="Z340" s="1423"/>
      <c r="AA340" s="727"/>
      <c r="AB340" s="727"/>
      <c r="AC340" s="727"/>
      <c r="AD340" s="1423"/>
      <c r="AF340" s="1423"/>
      <c r="AG340" s="1423"/>
      <c r="AH340" s="1423"/>
      <c r="AK340" s="727"/>
      <c r="AL340" s="748"/>
    </row>
    <row r="341" spans="1:38">
      <c r="A341" s="728">
        <v>336</v>
      </c>
      <c r="B341" s="1443" t="s">
        <v>2667</v>
      </c>
      <c r="E341" s="1423">
        <f>'Revenue Reconcilliation'!Q195</f>
        <v>0</v>
      </c>
      <c r="F341" s="1423"/>
      <c r="G341" s="1423"/>
      <c r="H341" s="1423"/>
      <c r="I341" s="1423"/>
      <c r="J341" s="1423"/>
      <c r="K341" s="1405"/>
      <c r="L341" s="1427"/>
      <c r="M341" s="1423"/>
      <c r="N341" s="1423"/>
      <c r="O341" s="1423"/>
      <c r="P341" s="1423"/>
      <c r="Q341" s="1423"/>
      <c r="R341" s="1423"/>
      <c r="S341" s="1423"/>
      <c r="T341" s="1423"/>
      <c r="U341" s="1423"/>
      <c r="V341" s="1423"/>
      <c r="W341" s="1423"/>
      <c r="X341" s="1423"/>
      <c r="Y341" s="1423"/>
      <c r="Z341" s="1423"/>
      <c r="AA341" s="1423"/>
      <c r="AB341" s="1423"/>
      <c r="AC341" s="1423"/>
      <c r="AD341" s="1423"/>
      <c r="AF341" s="1423"/>
      <c r="AG341" s="1423"/>
      <c r="AH341" s="1423"/>
      <c r="AK341" s="1423"/>
      <c r="AL341" s="748"/>
    </row>
    <row r="342" spans="1:38">
      <c r="A342" s="728">
        <v>337</v>
      </c>
      <c r="B342" s="1443" t="s">
        <v>2668</v>
      </c>
      <c r="E342" s="1423">
        <f>'Revenue Reconcilliation'!Q196</f>
        <v>0</v>
      </c>
      <c r="F342" s="1423"/>
      <c r="G342" s="1423"/>
      <c r="H342" s="1423"/>
      <c r="I342" s="1423"/>
      <c r="J342" s="1423"/>
      <c r="K342" s="1405"/>
      <c r="L342" s="1427"/>
      <c r="M342" s="1423"/>
      <c r="N342" s="1423"/>
      <c r="O342" s="1423"/>
      <c r="P342" s="1423"/>
      <c r="Q342" s="1423"/>
      <c r="R342" s="1423"/>
      <c r="S342" s="1423"/>
      <c r="T342" s="1423"/>
      <c r="U342" s="1423"/>
      <c r="V342" s="1423"/>
      <c r="W342" s="1423"/>
      <c r="X342" s="1423"/>
      <c r="Y342" s="1423"/>
      <c r="Z342" s="1423"/>
      <c r="AA342" s="1423"/>
      <c r="AB342" s="1423"/>
      <c r="AC342" s="1423"/>
      <c r="AD342" s="1423"/>
      <c r="AF342" s="1423"/>
      <c r="AG342" s="1423"/>
      <c r="AH342" s="1423"/>
      <c r="AK342" s="1423"/>
      <c r="AL342" s="748"/>
    </row>
    <row r="343" spans="1:38">
      <c r="A343" s="728">
        <v>338</v>
      </c>
      <c r="B343" s="1443" t="s">
        <v>2669</v>
      </c>
      <c r="E343" s="1423">
        <f>'Revenue Reconcilliation'!Q197</f>
        <v>-106115.93000000001</v>
      </c>
      <c r="F343" s="1423"/>
      <c r="G343" s="1423"/>
      <c r="H343" s="1423"/>
      <c r="I343" s="1423"/>
      <c r="J343" s="1423"/>
      <c r="K343" s="1405"/>
      <c r="L343" s="1427"/>
      <c r="M343" s="1423"/>
      <c r="N343" s="1423"/>
      <c r="O343" s="1423"/>
      <c r="P343" s="1423"/>
      <c r="Q343" s="1423"/>
      <c r="R343" s="1423"/>
      <c r="S343" s="1423"/>
      <c r="T343" s="1423"/>
      <c r="U343" s="1423"/>
      <c r="V343" s="1423"/>
      <c r="W343" s="1423"/>
      <c r="X343" s="1423"/>
      <c r="Y343" s="1423"/>
      <c r="Z343" s="1423"/>
      <c r="AA343" s="1423"/>
      <c r="AB343" s="1423"/>
      <c r="AC343" s="1423"/>
      <c r="AD343" s="1423"/>
      <c r="AF343" s="1423"/>
      <c r="AG343" s="1423"/>
      <c r="AH343" s="1423"/>
      <c r="AK343" s="1423"/>
      <c r="AL343" s="748"/>
    </row>
    <row r="344" spans="1:38">
      <c r="A344" s="728">
        <v>339</v>
      </c>
      <c r="B344" s="1443" t="s">
        <v>2670</v>
      </c>
      <c r="E344" s="1423">
        <f>'Revenue Reconcilliation'!Q198</f>
        <v>0</v>
      </c>
      <c r="F344" s="1423"/>
      <c r="G344" s="1423"/>
      <c r="H344" s="1423"/>
      <c r="I344" s="1423"/>
      <c r="J344" s="1423"/>
      <c r="K344" s="1405"/>
      <c r="L344" s="1427"/>
      <c r="M344" s="1423"/>
      <c r="N344" s="1423"/>
      <c r="O344" s="1423"/>
      <c r="P344" s="1423"/>
      <c r="Q344" s="1423"/>
      <c r="R344" s="1423"/>
      <c r="S344" s="1423"/>
      <c r="T344" s="1423"/>
      <c r="U344" s="1423"/>
      <c r="V344" s="1423"/>
      <c r="W344" s="1423"/>
      <c r="X344" s="1423"/>
      <c r="Y344" s="1423"/>
      <c r="Z344" s="1423"/>
      <c r="AA344" s="1423"/>
      <c r="AB344" s="1423"/>
      <c r="AC344" s="1423"/>
      <c r="AD344" s="1423"/>
      <c r="AF344" s="1423"/>
      <c r="AG344" s="1423"/>
      <c r="AH344" s="1423"/>
      <c r="AK344" s="1423"/>
      <c r="AL344" s="748"/>
    </row>
    <row r="345" spans="1:38">
      <c r="A345" s="728">
        <v>340</v>
      </c>
      <c r="B345" s="1482" t="s">
        <v>2451</v>
      </c>
      <c r="E345" s="1423">
        <f>'Revenue Reconcilliation'!Q199</f>
        <v>0</v>
      </c>
      <c r="F345" s="1423"/>
      <c r="G345" s="1423"/>
      <c r="H345" s="1423"/>
      <c r="I345" s="1423"/>
      <c r="J345" s="1423"/>
      <c r="K345" s="1405"/>
      <c r="L345" s="1427"/>
      <c r="M345" s="1423"/>
      <c r="N345" s="1423"/>
      <c r="O345" s="1423"/>
      <c r="P345" s="1423"/>
      <c r="Q345" s="1423"/>
      <c r="R345" s="1423"/>
      <c r="S345" s="1423"/>
      <c r="T345" s="1423"/>
      <c r="U345" s="1423"/>
      <c r="V345" s="1423"/>
      <c r="W345" s="1423"/>
      <c r="X345" s="1423"/>
      <c r="Y345" s="1423"/>
      <c r="Z345" s="1423"/>
      <c r="AA345" s="1423"/>
      <c r="AB345" s="1423"/>
      <c r="AC345" s="1423"/>
      <c r="AD345" s="1423"/>
      <c r="AF345" s="1423"/>
      <c r="AG345" s="1423"/>
      <c r="AH345" s="1423"/>
      <c r="AK345" s="1423"/>
      <c r="AL345" s="748"/>
    </row>
    <row r="346" spans="1:38">
      <c r="A346" s="728">
        <v>341</v>
      </c>
      <c r="B346" s="1482" t="s">
        <v>2697</v>
      </c>
      <c r="E346" s="1423">
        <f>'Revenue Reconcilliation'!Q200</f>
        <v>-13703887.85</v>
      </c>
      <c r="F346" s="1423"/>
      <c r="G346" s="1423"/>
      <c r="H346" s="1423"/>
      <c r="I346" s="1423"/>
      <c r="J346" s="1423"/>
      <c r="K346" s="1405"/>
      <c r="L346" s="1427"/>
      <c r="M346" s="1423"/>
      <c r="N346" s="1423"/>
      <c r="O346" s="1423"/>
      <c r="P346" s="1423"/>
      <c r="Q346" s="1423"/>
      <c r="R346" s="1423"/>
      <c r="S346" s="1423"/>
      <c r="T346" s="1423"/>
      <c r="U346" s="1423"/>
      <c r="V346" s="1423"/>
      <c r="W346" s="1423"/>
      <c r="X346" s="1423"/>
      <c r="Y346" s="1423"/>
      <c r="Z346" s="1423"/>
      <c r="AA346" s="1423"/>
      <c r="AB346" s="1423"/>
      <c r="AC346" s="1423"/>
      <c r="AD346" s="1423"/>
      <c r="AF346" s="1423"/>
      <c r="AG346" s="1423"/>
      <c r="AH346" s="1423"/>
      <c r="AK346" s="1423"/>
      <c r="AL346" s="748"/>
    </row>
    <row r="347" spans="1:38">
      <c r="A347" s="728">
        <v>342</v>
      </c>
      <c r="B347" s="1482" t="s">
        <v>2698</v>
      </c>
      <c r="E347" s="1437">
        <f>'Revenue Reconcilliation'!Q201</f>
        <v>13702522.259999998</v>
      </c>
      <c r="F347" s="1423"/>
      <c r="G347" s="1423"/>
      <c r="H347" s="1423"/>
      <c r="I347" s="1423"/>
      <c r="J347" s="1423"/>
      <c r="K347" s="1405"/>
      <c r="L347" s="1427"/>
      <c r="M347" s="1423"/>
      <c r="N347" s="1423"/>
      <c r="O347" s="1423"/>
      <c r="P347" s="1423"/>
      <c r="Q347" s="1423"/>
      <c r="R347" s="1423"/>
      <c r="S347" s="1423"/>
      <c r="T347" s="1423"/>
      <c r="U347" s="1423"/>
      <c r="V347" s="1423"/>
      <c r="W347" s="1423"/>
      <c r="X347" s="1423"/>
      <c r="Y347" s="1423"/>
      <c r="Z347" s="1423"/>
      <c r="AA347" s="1423"/>
      <c r="AB347" s="1423"/>
      <c r="AC347" s="1423"/>
      <c r="AD347" s="1423"/>
      <c r="AF347" s="1423"/>
      <c r="AG347" s="1423"/>
      <c r="AH347" s="1423"/>
      <c r="AK347" s="1423"/>
      <c r="AL347" s="748"/>
    </row>
    <row r="348" spans="1:38">
      <c r="A348" s="728">
        <v>343</v>
      </c>
      <c r="B348" s="1443" t="s">
        <v>2678</v>
      </c>
      <c r="E348" s="1423">
        <f>SUM(E324:E347)</f>
        <v>1105654.5199999977</v>
      </c>
      <c r="F348" s="1423"/>
      <c r="G348" s="1423"/>
      <c r="H348" s="1423"/>
      <c r="I348" s="1423"/>
      <c r="J348" s="1423"/>
      <c r="K348" s="1405"/>
      <c r="L348" s="1427"/>
      <c r="M348" s="1423"/>
      <c r="N348" s="1423"/>
      <c r="O348" s="1423"/>
      <c r="P348" s="1423"/>
      <c r="Q348" s="1423"/>
      <c r="R348" s="1423"/>
      <c r="S348" s="1423"/>
      <c r="T348" s="1423"/>
      <c r="U348" s="1423"/>
      <c r="V348" s="1423"/>
      <c r="W348" s="1423"/>
      <c r="X348" s="1423"/>
      <c r="Y348" s="1423"/>
      <c r="Z348" s="1423"/>
      <c r="AA348" s="1423"/>
      <c r="AB348" s="1423"/>
      <c r="AC348" s="1423"/>
      <c r="AD348" s="1423"/>
      <c r="AF348" s="1423"/>
      <c r="AG348" s="1423"/>
      <c r="AH348" s="1423"/>
      <c r="AK348" s="1423"/>
      <c r="AL348" s="748"/>
    </row>
    <row r="349" spans="1:38">
      <c r="A349" s="728">
        <v>344</v>
      </c>
      <c r="B349" s="1443"/>
      <c r="E349" s="1423"/>
      <c r="F349" s="1423"/>
      <c r="G349" s="1423"/>
      <c r="H349" s="1423"/>
      <c r="I349" s="1423"/>
      <c r="J349" s="1423"/>
      <c r="K349" s="1405"/>
      <c r="L349" s="1427"/>
      <c r="M349" s="1423"/>
      <c r="N349" s="1423"/>
      <c r="O349" s="1423"/>
      <c r="P349" s="1423"/>
      <c r="Q349" s="1423"/>
      <c r="R349" s="1423"/>
      <c r="S349" s="1423"/>
      <c r="T349" s="1423"/>
      <c r="U349" s="1423"/>
      <c r="V349" s="1423"/>
      <c r="W349" s="1423"/>
      <c r="X349" s="1423"/>
      <c r="Y349" s="1423"/>
      <c r="Z349" s="1423"/>
      <c r="AA349" s="1423"/>
      <c r="AB349" s="1423"/>
      <c r="AC349" s="1423"/>
      <c r="AD349" s="1423"/>
      <c r="AF349" s="1423"/>
      <c r="AG349" s="1423"/>
      <c r="AH349" s="1423"/>
      <c r="AK349" s="1423"/>
      <c r="AL349" s="748"/>
    </row>
    <row r="350" spans="1:38">
      <c r="A350" s="728">
        <v>345</v>
      </c>
      <c r="B350" s="1444" t="s">
        <v>2721</v>
      </c>
      <c r="C350" s="1438">
        <f>E350-'Revenue Reconcilliation'!Q202</f>
        <v>0</v>
      </c>
      <c r="D350" s="1445" t="s">
        <v>2673</v>
      </c>
      <c r="E350" s="1437">
        <f>SUM(E321,E348)</f>
        <v>13775073.869999997</v>
      </c>
      <c r="F350" s="1437"/>
      <c r="G350" s="1437"/>
      <c r="H350" s="1437"/>
      <c r="I350" s="1437"/>
      <c r="J350" s="1437"/>
      <c r="K350" s="1447"/>
      <c r="L350" s="1446"/>
      <c r="M350" s="1437"/>
      <c r="N350" s="1437"/>
      <c r="O350" s="1437"/>
      <c r="P350" s="1437"/>
      <c r="Q350" s="1437"/>
      <c r="R350" s="1437"/>
      <c r="S350" s="1437"/>
      <c r="T350" s="1437"/>
      <c r="U350" s="1437"/>
      <c r="V350" s="1437"/>
      <c r="W350" s="1437"/>
      <c r="X350" s="1437"/>
      <c r="Y350" s="1437"/>
      <c r="Z350" s="1437"/>
      <c r="AA350" s="1437"/>
      <c r="AB350" s="1437"/>
      <c r="AC350" s="1437"/>
      <c r="AD350" s="1437"/>
      <c r="AE350" s="1447"/>
      <c r="AF350" s="1437"/>
      <c r="AG350" s="1437"/>
      <c r="AH350" s="1437"/>
      <c r="AI350" s="1438"/>
      <c r="AJ350" s="1438"/>
      <c r="AK350" s="1437"/>
      <c r="AL350" s="748"/>
    </row>
    <row r="351" spans="1:38">
      <c r="A351" s="728">
        <v>346</v>
      </c>
      <c r="D351" s="1450"/>
      <c r="E351" s="1429"/>
      <c r="F351" s="1429"/>
      <c r="G351" s="1429"/>
      <c r="H351" s="1429"/>
      <c r="I351" s="1429"/>
      <c r="J351" s="1429"/>
      <c r="K351" s="1405"/>
      <c r="L351" s="1427"/>
      <c r="M351" s="1423"/>
      <c r="N351" s="1429"/>
      <c r="O351" s="1423"/>
      <c r="P351" s="1423"/>
      <c r="Q351" s="1423"/>
      <c r="R351" s="1429"/>
      <c r="S351" s="1423"/>
      <c r="T351" s="1423"/>
      <c r="U351" s="1423"/>
      <c r="V351" s="1429"/>
      <c r="W351" s="1429"/>
      <c r="X351" s="1429"/>
      <c r="Y351" s="1429"/>
      <c r="Z351" s="1429"/>
      <c r="AD351" s="1429"/>
      <c r="AF351" s="1429"/>
      <c r="AG351" s="1429"/>
      <c r="AH351" s="1429"/>
      <c r="AL351" s="748"/>
    </row>
    <row r="352" spans="1:38">
      <c r="A352" s="728">
        <v>347</v>
      </c>
      <c r="B352" s="1420" t="s">
        <v>2722</v>
      </c>
      <c r="G352" s="1404" t="s">
        <v>2723</v>
      </c>
      <c r="K352" s="1405"/>
      <c r="L352" s="1427"/>
      <c r="M352" s="1423"/>
      <c r="O352" s="1423"/>
      <c r="P352" s="1423"/>
      <c r="Q352" s="1423"/>
      <c r="S352" s="1423"/>
      <c r="T352" s="1423"/>
      <c r="U352" s="1423"/>
      <c r="AI352" s="1430"/>
      <c r="AL352" s="748"/>
    </row>
    <row r="353" spans="1:38">
      <c r="A353" s="728">
        <v>348</v>
      </c>
      <c r="B353" s="727" t="s">
        <v>2724</v>
      </c>
      <c r="C353" s="1405">
        <f t="shared" ref="C353:C363" si="7">E353/D353</f>
        <v>12</v>
      </c>
      <c r="D353" s="1422">
        <v>625</v>
      </c>
      <c r="E353" s="1423">
        <f>'1501 Summary'!AD249</f>
        <v>7500</v>
      </c>
      <c r="F353" s="1422"/>
      <c r="G353" s="1424">
        <f>-C353</f>
        <v>-12</v>
      </c>
      <c r="H353" s="1422">
        <f>D353</f>
        <v>625</v>
      </c>
      <c r="I353" s="1423">
        <f>H353*G353</f>
        <v>-7500</v>
      </c>
      <c r="J353" s="1422"/>
      <c r="K353" s="1405">
        <f t="shared" ref="K353:K382" si="8">C353+G353</f>
        <v>0</v>
      </c>
      <c r="L353" s="1422">
        <f t="shared" ref="L353:L361" si="9">D353</f>
        <v>625</v>
      </c>
      <c r="M353" s="1423">
        <f>L353*K353</f>
        <v>0</v>
      </c>
      <c r="N353" s="1422"/>
      <c r="O353" s="1405"/>
      <c r="P353" s="1422"/>
      <c r="Q353" s="1423"/>
      <c r="R353" s="1422"/>
      <c r="S353" s="1405"/>
      <c r="T353" s="1422"/>
      <c r="U353" s="1423"/>
      <c r="V353" s="1422"/>
      <c r="W353" s="1422"/>
      <c r="X353" s="1422"/>
      <c r="Y353" s="1422"/>
      <c r="Z353" s="1422"/>
      <c r="AA353" s="1425"/>
      <c r="AB353" s="1425"/>
      <c r="AC353" s="1425"/>
      <c r="AD353" s="1422"/>
      <c r="AF353" s="1422"/>
      <c r="AG353" s="1422"/>
      <c r="AH353" s="1422"/>
      <c r="AI353" s="1430"/>
      <c r="AJ353" s="1425"/>
      <c r="AK353" s="1425"/>
      <c r="AL353" s="748"/>
    </row>
    <row r="354" spans="1:38">
      <c r="A354" s="728">
        <v>349</v>
      </c>
      <c r="B354" s="727" t="s">
        <v>2725</v>
      </c>
      <c r="C354" s="1405">
        <f t="shared" si="7"/>
        <v>7.0000000000000018</v>
      </c>
      <c r="D354" s="1430">
        <v>13219.29</v>
      </c>
      <c r="E354" s="1423">
        <f>SUM('1501 Summary'!G250,'1501 Summary'!I250,'1501 Summary'!K250,'1501 Summary'!M250,'1501 Summary'!O250,'1501 Summary'!Q250,'1501 Summary'!S250)</f>
        <v>92535.030000000028</v>
      </c>
      <c r="F354" s="1422"/>
      <c r="G354" s="1424">
        <f>-C354</f>
        <v>-7.0000000000000018</v>
      </c>
      <c r="H354" s="1422">
        <f t="shared" ref="H354:H363" si="10">D354</f>
        <v>13219.29</v>
      </c>
      <c r="I354" s="1423">
        <f t="shared" ref="I354:I363" si="11">H354*G354</f>
        <v>-92535.030000000028</v>
      </c>
      <c r="J354" s="1422"/>
      <c r="K354" s="1405">
        <f t="shared" si="8"/>
        <v>0</v>
      </c>
      <c r="L354" s="1423"/>
      <c r="M354" s="1423"/>
      <c r="N354" s="1422"/>
      <c r="O354" s="1405"/>
      <c r="P354" s="1422"/>
      <c r="Q354" s="1423"/>
      <c r="R354" s="1422"/>
      <c r="S354" s="1405"/>
      <c r="T354" s="1422"/>
      <c r="U354" s="1423"/>
      <c r="V354" s="1422"/>
      <c r="W354" s="1422"/>
      <c r="X354" s="1422"/>
      <c r="Y354" s="1422"/>
      <c r="Z354" s="1422"/>
      <c r="AA354" s="1425"/>
      <c r="AB354" s="1425"/>
      <c r="AC354" s="1425"/>
      <c r="AD354" s="1422"/>
      <c r="AF354" s="1422"/>
      <c r="AG354" s="1422"/>
      <c r="AH354" s="1422"/>
      <c r="AI354" s="1430"/>
      <c r="AJ354" s="1425"/>
      <c r="AK354" s="1425"/>
      <c r="AL354" s="748"/>
    </row>
    <row r="355" spans="1:38">
      <c r="A355" s="728">
        <v>350</v>
      </c>
      <c r="B355" s="727" t="s">
        <v>2726</v>
      </c>
      <c r="C355" s="1405">
        <f t="shared" si="7"/>
        <v>5</v>
      </c>
      <c r="D355" s="1430">
        <v>13344.87</v>
      </c>
      <c r="E355" s="1423">
        <f>SUM('1501 Summary'!U250,'1501 Summary'!W250,'1501 Summary'!Y250,'1501 Summary'!AA250,'1501 Summary'!AC250)</f>
        <v>66724.350000000006</v>
      </c>
      <c r="F355" s="1422"/>
      <c r="G355" s="1424">
        <f t="shared" ref="G355:G363" si="12">-C355</f>
        <v>-5</v>
      </c>
      <c r="H355" s="1422">
        <f t="shared" si="10"/>
        <v>13344.87</v>
      </c>
      <c r="I355" s="1423">
        <f t="shared" si="11"/>
        <v>-66724.350000000006</v>
      </c>
      <c r="J355" s="1422"/>
      <c r="K355" s="1405">
        <f t="shared" si="8"/>
        <v>0</v>
      </c>
      <c r="L355" s="1423">
        <f t="shared" si="9"/>
        <v>13344.87</v>
      </c>
      <c r="M355" s="1423">
        <f>L355*SUM(K355,K354)</f>
        <v>0</v>
      </c>
      <c r="N355" s="1422"/>
      <c r="O355" s="1405"/>
      <c r="P355" s="1423"/>
      <c r="Q355" s="1423"/>
      <c r="R355" s="1422"/>
      <c r="S355" s="1405"/>
      <c r="T355" s="1423"/>
      <c r="U355" s="1423"/>
      <c r="V355" s="1422"/>
      <c r="W355" s="1422"/>
      <c r="X355" s="1422"/>
      <c r="Y355" s="1422"/>
      <c r="Z355" s="1422"/>
      <c r="AA355" s="1425"/>
      <c r="AB355" s="1425"/>
      <c r="AC355" s="1425"/>
      <c r="AD355" s="1422"/>
      <c r="AF355" s="1422"/>
      <c r="AG355" s="1422"/>
      <c r="AH355" s="1422"/>
      <c r="AI355" s="1430"/>
      <c r="AJ355" s="1425"/>
      <c r="AK355" s="1425"/>
      <c r="AL355" s="748"/>
    </row>
    <row r="356" spans="1:38">
      <c r="A356" s="728">
        <v>351</v>
      </c>
      <c r="B356" s="727" t="s">
        <v>2727</v>
      </c>
      <c r="C356" s="1405"/>
      <c r="D356" s="1497"/>
      <c r="E356" s="1423">
        <f>SUM('1501 Summary'!G251:W251)</f>
        <v>0</v>
      </c>
      <c r="F356" s="1422"/>
      <c r="G356" s="1424">
        <f t="shared" si="12"/>
        <v>0</v>
      </c>
      <c r="H356" s="1422">
        <f t="shared" si="10"/>
        <v>0</v>
      </c>
      <c r="I356" s="1423">
        <f t="shared" si="11"/>
        <v>0</v>
      </c>
      <c r="J356" s="1422"/>
      <c r="K356" s="1405">
        <f t="shared" si="8"/>
        <v>0</v>
      </c>
      <c r="L356" s="1427"/>
      <c r="M356" s="1423"/>
      <c r="N356" s="1422"/>
      <c r="O356" s="1405"/>
      <c r="P356" s="1423"/>
      <c r="Q356" s="1423"/>
      <c r="R356" s="1422"/>
      <c r="S356" s="1405"/>
      <c r="T356" s="1423"/>
      <c r="U356" s="1423"/>
      <c r="V356" s="1422"/>
      <c r="W356" s="1422"/>
      <c r="X356" s="1422"/>
      <c r="Y356" s="1422"/>
      <c r="Z356" s="1422"/>
      <c r="AA356" s="1425"/>
      <c r="AB356" s="1425"/>
      <c r="AC356" s="1425"/>
      <c r="AD356" s="1422"/>
      <c r="AF356" s="1422"/>
      <c r="AG356" s="1422"/>
      <c r="AH356" s="1422"/>
      <c r="AI356" s="1430"/>
      <c r="AJ356" s="1425"/>
      <c r="AK356" s="1425"/>
      <c r="AL356" s="748"/>
    </row>
    <row r="357" spans="1:38">
      <c r="A357" s="728">
        <v>352</v>
      </c>
      <c r="B357" s="727" t="s">
        <v>2728</v>
      </c>
      <c r="C357" s="1405"/>
      <c r="D357" s="1498"/>
      <c r="E357" s="1423">
        <f>SUM('1501 Summary'!Y251:AC251)</f>
        <v>0</v>
      </c>
      <c r="F357" s="1422"/>
      <c r="G357" s="1424">
        <f t="shared" si="12"/>
        <v>0</v>
      </c>
      <c r="H357" s="1422">
        <f t="shared" si="10"/>
        <v>0</v>
      </c>
      <c r="I357" s="1423">
        <f t="shared" si="11"/>
        <v>0</v>
      </c>
      <c r="J357" s="1422"/>
      <c r="K357" s="1405">
        <f t="shared" si="8"/>
        <v>0</v>
      </c>
      <c r="L357" s="1427"/>
      <c r="M357" s="1423"/>
      <c r="N357" s="1422"/>
      <c r="O357" s="1405"/>
      <c r="P357" s="1422"/>
      <c r="Q357" s="1423"/>
      <c r="R357" s="1422"/>
      <c r="S357" s="1405"/>
      <c r="T357" s="1422"/>
      <c r="U357" s="1423"/>
      <c r="V357" s="1422"/>
      <c r="W357" s="1422"/>
      <c r="X357" s="1422"/>
      <c r="Y357" s="1422"/>
      <c r="Z357" s="1422"/>
      <c r="AA357" s="1425"/>
      <c r="AB357" s="1425"/>
      <c r="AC357" s="1425"/>
      <c r="AD357" s="1422"/>
      <c r="AF357" s="1422"/>
      <c r="AG357" s="1422"/>
      <c r="AH357" s="1422"/>
      <c r="AI357" s="1430"/>
      <c r="AJ357" s="1425"/>
      <c r="AK357" s="1425"/>
      <c r="AL357" s="748"/>
    </row>
    <row r="358" spans="1:38">
      <c r="A358" s="728">
        <v>353</v>
      </c>
      <c r="B358" s="727" t="s">
        <v>2729</v>
      </c>
      <c r="C358" s="1405">
        <f t="shared" si="7"/>
        <v>21523500.000000004</v>
      </c>
      <c r="D358" s="1497">
        <v>4.0000000000000002E-4</v>
      </c>
      <c r="E358" s="1423">
        <f>SUM('1501 Summary'!G252,'1501 Summary'!I252,'1501 Summary'!K252,'1501 Summary'!M252,'1501 Summary'!O252,'1501 Summary'!Q252,'1501 Summary'!S252,'1501 Summary'!U252,'1501 Summary'!W252)</f>
        <v>8609.4000000000015</v>
      </c>
      <c r="F358" s="1422"/>
      <c r="G358" s="1424">
        <f>-C358</f>
        <v>-21523500.000000004</v>
      </c>
      <c r="H358" s="1497">
        <f t="shared" si="10"/>
        <v>4.0000000000000002E-4</v>
      </c>
      <c r="I358" s="1423">
        <f>H358*G358</f>
        <v>-8609.4000000000015</v>
      </c>
      <c r="J358" s="1422"/>
      <c r="K358" s="1405">
        <f t="shared" si="8"/>
        <v>0</v>
      </c>
      <c r="L358" s="1427"/>
      <c r="M358" s="1423"/>
      <c r="N358" s="1422"/>
      <c r="O358" s="1405"/>
      <c r="P358" s="1422"/>
      <c r="Q358" s="1423"/>
      <c r="R358" s="1422"/>
      <c r="S358" s="1405"/>
      <c r="T358" s="1422"/>
      <c r="U358" s="1423"/>
      <c r="V358" s="1422"/>
      <c r="W358" s="1422"/>
      <c r="X358" s="1422"/>
      <c r="Y358" s="1422"/>
      <c r="Z358" s="1422"/>
      <c r="AA358" s="1425"/>
      <c r="AB358" s="1425"/>
      <c r="AC358" s="1425"/>
      <c r="AD358" s="1422"/>
      <c r="AF358" s="1422"/>
      <c r="AG358" s="1422"/>
      <c r="AH358" s="1422"/>
      <c r="AI358" s="1430"/>
      <c r="AJ358" s="1425"/>
      <c r="AK358" s="1425"/>
      <c r="AL358" s="748"/>
    </row>
    <row r="359" spans="1:38">
      <c r="A359" s="728">
        <v>354</v>
      </c>
      <c r="B359" s="727" t="s">
        <v>2730</v>
      </c>
      <c r="C359" s="1405">
        <f t="shared" si="7"/>
        <v>8214375</v>
      </c>
      <c r="D359" s="1497">
        <v>4.0000000000000002E-4</v>
      </c>
      <c r="E359" s="1423">
        <f>SUM('1501 Summary'!Y252,'1501 Summary'!AA252,'1501 Summary'!AC252)</f>
        <v>3285.75</v>
      </c>
      <c r="F359" s="1422"/>
      <c r="G359" s="1424">
        <f t="shared" si="12"/>
        <v>-8214375</v>
      </c>
      <c r="H359" s="1497">
        <f t="shared" si="10"/>
        <v>4.0000000000000002E-4</v>
      </c>
      <c r="I359" s="1423">
        <f t="shared" si="11"/>
        <v>-3285.75</v>
      </c>
      <c r="J359" s="1422"/>
      <c r="K359" s="1405">
        <f t="shared" si="8"/>
        <v>0</v>
      </c>
      <c r="L359" s="1427">
        <f t="shared" si="9"/>
        <v>4.0000000000000002E-4</v>
      </c>
      <c r="M359" s="1423">
        <f>L359*SUM(K359,K356)</f>
        <v>0</v>
      </c>
      <c r="N359" s="1422"/>
      <c r="O359" s="1429"/>
      <c r="P359" s="1422"/>
      <c r="Q359" s="1423"/>
      <c r="R359" s="1422"/>
      <c r="S359" s="1429"/>
      <c r="T359" s="1422"/>
      <c r="U359" s="1423"/>
      <c r="V359" s="1422"/>
      <c r="W359" s="1422"/>
      <c r="X359" s="1422"/>
      <c r="Y359" s="1422"/>
      <c r="Z359" s="1422"/>
      <c r="AA359" s="1425"/>
      <c r="AB359" s="1425"/>
      <c r="AC359" s="1425"/>
      <c r="AD359" s="1422"/>
      <c r="AF359" s="1422"/>
      <c r="AG359" s="1422"/>
      <c r="AH359" s="1422"/>
      <c r="AI359" s="1428"/>
      <c r="AJ359" s="1425"/>
      <c r="AK359" s="1425"/>
      <c r="AL359" s="748"/>
    </row>
    <row r="360" spans="1:38">
      <c r="A360" s="728">
        <v>355</v>
      </c>
      <c r="B360" s="727" t="s">
        <v>2731</v>
      </c>
      <c r="C360" s="1405">
        <f t="shared" si="7"/>
        <v>14171122.740901714</v>
      </c>
      <c r="D360" s="1404">
        <v>1.4541200000000001E-2</v>
      </c>
      <c r="E360" s="1423">
        <f>SUM('1501 Summary'!G253,'1501 Summary'!I253,'1501 Summary'!K253,'1501 Summary'!M253,'1501 Summary'!O253,'1501 Summary'!Q253)</f>
        <v>206065.13</v>
      </c>
      <c r="F360" s="1422"/>
      <c r="G360" s="1424">
        <f t="shared" si="12"/>
        <v>-14171122.740901714</v>
      </c>
      <c r="H360" s="1499">
        <f t="shared" si="10"/>
        <v>1.4541200000000001E-2</v>
      </c>
      <c r="I360" s="1423">
        <f t="shared" si="11"/>
        <v>-206065.13</v>
      </c>
      <c r="J360" s="1422"/>
      <c r="K360" s="1405">
        <f t="shared" si="8"/>
        <v>0</v>
      </c>
      <c r="L360" s="1427"/>
      <c r="M360" s="1423"/>
      <c r="N360" s="1422"/>
      <c r="O360" s="1405"/>
      <c r="P360" s="1422"/>
      <c r="Q360" s="1423"/>
      <c r="R360" s="1422"/>
      <c r="S360" s="1405"/>
      <c r="T360" s="1422"/>
      <c r="U360" s="1423"/>
      <c r="V360" s="1422"/>
      <c r="W360" s="1422"/>
      <c r="X360" s="1422"/>
      <c r="Y360" s="1422"/>
      <c r="Z360" s="1422"/>
      <c r="AA360" s="1425"/>
      <c r="AB360" s="1425"/>
      <c r="AC360" s="1425"/>
      <c r="AD360" s="1422"/>
      <c r="AF360" s="1422"/>
      <c r="AG360" s="1422"/>
      <c r="AH360" s="1422"/>
      <c r="AI360" s="1428"/>
      <c r="AJ360" s="1425"/>
      <c r="AK360" s="1425"/>
      <c r="AL360" s="748"/>
    </row>
    <row r="361" spans="1:38">
      <c r="A361" s="728">
        <v>356</v>
      </c>
      <c r="B361" s="727" t="s">
        <v>2732</v>
      </c>
      <c r="C361" s="1405">
        <f t="shared" si="7"/>
        <v>15341795.589707958</v>
      </c>
      <c r="D361" s="1404">
        <v>1.4679299999999999E-2</v>
      </c>
      <c r="E361" s="1423">
        <f>SUM('1501 Summary'!S253,'1501 Summary'!U253,'1501 Summary'!W253,'1501 Summary'!Y253,'1501 Summary'!AA253,'1501 Summary'!AC253)</f>
        <v>225206.82</v>
      </c>
      <c r="F361" s="1422"/>
      <c r="G361" s="1424">
        <f t="shared" si="12"/>
        <v>-15341795.589707958</v>
      </c>
      <c r="H361" s="1499">
        <f t="shared" si="10"/>
        <v>1.4679299999999999E-2</v>
      </c>
      <c r="I361" s="1423">
        <f t="shared" si="11"/>
        <v>-225206.82</v>
      </c>
      <c r="J361" s="1422"/>
      <c r="K361" s="1405">
        <f t="shared" si="8"/>
        <v>0</v>
      </c>
      <c r="L361" s="1498">
        <f t="shared" si="9"/>
        <v>1.4679299999999999E-2</v>
      </c>
      <c r="M361" s="1423">
        <f>L361*SUM(K361,K360)</f>
        <v>0</v>
      </c>
      <c r="N361" s="1422"/>
      <c r="O361" s="1405"/>
      <c r="P361" s="1422"/>
      <c r="Q361" s="1423"/>
      <c r="R361" s="1422"/>
      <c r="S361" s="1405"/>
      <c r="T361" s="1422"/>
      <c r="U361" s="1423"/>
      <c r="V361" s="1422"/>
      <c r="W361" s="1422"/>
      <c r="X361" s="1422"/>
      <c r="Y361" s="1422"/>
      <c r="Z361" s="1422"/>
      <c r="AA361" s="1425"/>
      <c r="AB361" s="1425"/>
      <c r="AC361" s="1425"/>
      <c r="AD361" s="1422"/>
      <c r="AF361" s="1422"/>
      <c r="AG361" s="1422"/>
      <c r="AH361" s="1422"/>
      <c r="AI361" s="1428"/>
      <c r="AJ361" s="1425"/>
      <c r="AK361" s="1425"/>
      <c r="AL361" s="748"/>
    </row>
    <row r="362" spans="1:38">
      <c r="A362" s="728">
        <v>357</v>
      </c>
      <c r="B362" s="727" t="s">
        <v>2733</v>
      </c>
      <c r="C362" s="1405">
        <f t="shared" si="7"/>
        <v>307368.03654901887</v>
      </c>
      <c r="D362" s="1499">
        <v>1.8889699999999999E-2</v>
      </c>
      <c r="E362" s="1423">
        <f>SUM('1501 Summary'!G254,'1501 Summary'!I254,'1501 Summary'!K254,'1501 Summary'!M254,'1501 Summary'!O254,'1501 Summary'!Q254)</f>
        <v>5806.0900000000011</v>
      </c>
      <c r="F362" s="1422"/>
      <c r="G362" s="1424">
        <f t="shared" si="12"/>
        <v>-307368.03654901887</v>
      </c>
      <c r="H362" s="1499">
        <f t="shared" si="10"/>
        <v>1.8889699999999999E-2</v>
      </c>
      <c r="I362" s="1423">
        <f t="shared" si="11"/>
        <v>-5806.0900000000011</v>
      </c>
      <c r="J362" s="1422"/>
      <c r="K362" s="1405">
        <f t="shared" si="8"/>
        <v>0</v>
      </c>
      <c r="L362" s="1498"/>
      <c r="M362" s="1423"/>
      <c r="N362" s="1422"/>
      <c r="O362" s="1405"/>
      <c r="P362" s="1422"/>
      <c r="Q362" s="1423"/>
      <c r="R362" s="1422"/>
      <c r="S362" s="1405"/>
      <c r="T362" s="1422"/>
      <c r="U362" s="1423"/>
      <c r="V362" s="1422"/>
      <c r="W362" s="1422"/>
      <c r="X362" s="1422"/>
      <c r="Y362" s="1422"/>
      <c r="Z362" s="1422"/>
      <c r="AA362" s="1425"/>
      <c r="AB362" s="1425"/>
      <c r="AC362" s="1425"/>
      <c r="AD362" s="1422"/>
      <c r="AF362" s="1422"/>
      <c r="AG362" s="1422"/>
      <c r="AH362" s="1422"/>
      <c r="AI362" s="1428"/>
      <c r="AJ362" s="1425"/>
      <c r="AK362" s="1425"/>
      <c r="AL362" s="748"/>
    </row>
    <row r="363" spans="1:38">
      <c r="A363" s="728">
        <v>358</v>
      </c>
      <c r="B363" s="1453" t="s">
        <v>2734</v>
      </c>
      <c r="C363" s="1405">
        <f t="shared" si="7"/>
        <v>0</v>
      </c>
      <c r="D363" s="1499">
        <v>1.9069099999999999E-2</v>
      </c>
      <c r="E363" s="1437">
        <f>SUM('1501 Summary'!S254:AC254)</f>
        <v>0</v>
      </c>
      <c r="F363" s="1422"/>
      <c r="G363" s="1469">
        <f t="shared" si="12"/>
        <v>0</v>
      </c>
      <c r="H363" s="1499">
        <f t="shared" si="10"/>
        <v>1.9069099999999999E-2</v>
      </c>
      <c r="I363" s="1437">
        <f t="shared" si="11"/>
        <v>0</v>
      </c>
      <c r="J363" s="1422"/>
      <c r="K363" s="1405">
        <f t="shared" si="8"/>
        <v>0</v>
      </c>
      <c r="L363" s="1498">
        <f>D363</f>
        <v>1.9069099999999999E-2</v>
      </c>
      <c r="M363" s="1437">
        <f>L363*SUM(K363,K362)</f>
        <v>0</v>
      </c>
      <c r="N363" s="1422"/>
      <c r="O363" s="1405"/>
      <c r="P363" s="1422"/>
      <c r="Q363" s="1423"/>
      <c r="R363" s="1422"/>
      <c r="S363" s="1405"/>
      <c r="T363" s="1422"/>
      <c r="U363" s="1423"/>
      <c r="V363" s="1422"/>
      <c r="W363" s="1422"/>
      <c r="X363" s="1422"/>
      <c r="Y363" s="1422"/>
      <c r="Z363" s="1422"/>
      <c r="AA363" s="1425"/>
      <c r="AB363" s="1425"/>
      <c r="AC363" s="1425"/>
      <c r="AD363" s="1422"/>
      <c r="AF363" s="1422"/>
      <c r="AG363" s="1422"/>
      <c r="AH363" s="1422"/>
      <c r="AI363" s="1428"/>
      <c r="AJ363" s="1425"/>
      <c r="AK363" s="1425"/>
      <c r="AL363" s="748"/>
    </row>
    <row r="364" spans="1:38">
      <c r="A364" s="728">
        <v>359</v>
      </c>
      <c r="B364" s="727" t="s">
        <v>2648</v>
      </c>
      <c r="C364" s="1405"/>
      <c r="D364" s="1498"/>
      <c r="E364" s="1423">
        <f>SUM(E353:E363)</f>
        <v>615732.56999999995</v>
      </c>
      <c r="F364" s="1422"/>
      <c r="G364" s="1422"/>
      <c r="H364" s="1422"/>
      <c r="I364" s="1422">
        <f>SUM(I353:I363)</f>
        <v>-615732.56999999995</v>
      </c>
      <c r="J364" s="1422"/>
      <c r="K364" s="1405"/>
      <c r="L364" s="1427"/>
      <c r="M364" s="1423">
        <f>SUM(M353:M363)</f>
        <v>0</v>
      </c>
      <c r="N364" s="1422"/>
      <c r="O364" s="1422"/>
      <c r="P364" s="1422"/>
      <c r="Q364" s="1423"/>
      <c r="R364" s="1422"/>
      <c r="S364" s="1422"/>
      <c r="T364" s="1422"/>
      <c r="U364" s="1423"/>
      <c r="V364" s="1422"/>
      <c r="W364" s="1422"/>
      <c r="X364" s="1422"/>
      <c r="Y364" s="1422"/>
      <c r="Z364" s="1422"/>
      <c r="AA364" s="1425"/>
      <c r="AB364" s="1425"/>
      <c r="AC364" s="1425"/>
      <c r="AD364" s="1422"/>
      <c r="AF364" s="1422"/>
      <c r="AG364" s="1422"/>
      <c r="AH364" s="1422"/>
      <c r="AI364" s="1430"/>
      <c r="AJ364" s="1425"/>
      <c r="AK364" s="1425"/>
      <c r="AL364" s="748"/>
    </row>
    <row r="365" spans="1:38">
      <c r="A365" s="728">
        <v>360</v>
      </c>
      <c r="E365" s="1423"/>
      <c r="F365" s="1423"/>
      <c r="G365" s="1423"/>
      <c r="H365" s="1423"/>
      <c r="I365" s="1423"/>
      <c r="J365" s="1423"/>
      <c r="K365" s="1405"/>
      <c r="L365" s="1427"/>
      <c r="M365" s="1423"/>
      <c r="N365" s="1423"/>
      <c r="O365" s="1423"/>
      <c r="P365" s="1423"/>
      <c r="Q365" s="1423"/>
      <c r="R365" s="1423"/>
      <c r="S365" s="1423"/>
      <c r="T365" s="1423"/>
      <c r="U365" s="1423"/>
      <c r="V365" s="1423"/>
      <c r="W365" s="1423"/>
      <c r="X365" s="1423"/>
      <c r="Y365" s="1423"/>
      <c r="Z365" s="1423"/>
      <c r="AA365" s="1423"/>
      <c r="AB365" s="1423"/>
      <c r="AC365" s="1423"/>
      <c r="AD365" s="1423"/>
      <c r="AF365" s="1423"/>
      <c r="AG365" s="1423"/>
      <c r="AH365" s="1423"/>
      <c r="AI365" s="1430"/>
      <c r="AJ365" s="1425"/>
      <c r="AK365" s="1423"/>
      <c r="AL365" s="748"/>
    </row>
    <row r="366" spans="1:38">
      <c r="A366" s="728">
        <v>361</v>
      </c>
      <c r="B366" s="727" t="s">
        <v>2651</v>
      </c>
      <c r="E366" s="1423"/>
      <c r="F366" s="1423"/>
      <c r="G366" s="1423"/>
      <c r="H366" s="1423"/>
      <c r="I366" s="1423"/>
      <c r="J366" s="1423"/>
      <c r="K366" s="1405"/>
      <c r="L366" s="1427"/>
      <c r="M366" s="1423"/>
      <c r="N366" s="1423"/>
      <c r="O366" s="1423"/>
      <c r="P366" s="1423"/>
      <c r="Q366" s="1423"/>
      <c r="R366" s="1423"/>
      <c r="S366" s="1423"/>
      <c r="T366" s="1423"/>
      <c r="U366" s="1423"/>
      <c r="V366" s="1423"/>
      <c r="W366" s="1423"/>
      <c r="X366" s="1423"/>
      <c r="Y366" s="1423"/>
      <c r="Z366" s="1423"/>
      <c r="AA366" s="1423"/>
      <c r="AB366" s="1423"/>
      <c r="AC366" s="1423"/>
      <c r="AD366" s="1423"/>
      <c r="AF366" s="1423"/>
      <c r="AG366" s="1423"/>
      <c r="AH366" s="1423"/>
      <c r="AI366" s="1430"/>
      <c r="AJ366" s="1425"/>
      <c r="AK366" s="1423"/>
      <c r="AL366" s="748"/>
    </row>
    <row r="367" spans="1:38">
      <c r="A367" s="728">
        <v>362</v>
      </c>
      <c r="B367" s="727" t="s">
        <v>2719</v>
      </c>
      <c r="E367" s="1423">
        <f>'1501 Summary'!AD255</f>
        <v>27283.11</v>
      </c>
      <c r="F367" s="1422"/>
      <c r="G367" s="1422"/>
      <c r="H367" s="1422"/>
      <c r="I367" s="1422"/>
      <c r="J367" s="1422"/>
      <c r="K367" s="1405"/>
      <c r="L367" s="1427"/>
      <c r="M367" s="1423"/>
      <c r="N367" s="1422"/>
      <c r="O367" s="1423"/>
      <c r="P367" s="1423"/>
      <c r="Q367" s="1423"/>
      <c r="R367" s="1422"/>
      <c r="S367" s="1423"/>
      <c r="T367" s="1423"/>
      <c r="U367" s="1423"/>
      <c r="V367" s="1422"/>
      <c r="W367" s="1422"/>
      <c r="X367" s="1422"/>
      <c r="Y367" s="1422"/>
      <c r="Z367" s="1422"/>
      <c r="AA367" s="1423"/>
      <c r="AB367" s="1423"/>
      <c r="AC367" s="1423"/>
      <c r="AD367" s="1422"/>
      <c r="AF367" s="1422"/>
      <c r="AG367" s="1422"/>
      <c r="AH367" s="1422"/>
      <c r="AI367" s="1430"/>
      <c r="AJ367" s="1425"/>
      <c r="AK367" s="1423"/>
      <c r="AL367" s="748"/>
    </row>
    <row r="368" spans="1:38">
      <c r="A368" s="728">
        <v>363</v>
      </c>
      <c r="B368" s="727" t="s">
        <v>0</v>
      </c>
      <c r="E368" s="1423">
        <f>'1501 Summary'!AD256</f>
        <v>0</v>
      </c>
      <c r="F368" s="1423"/>
      <c r="G368" s="1423"/>
      <c r="H368" s="1423"/>
      <c r="I368" s="1423"/>
      <c r="J368" s="1423"/>
      <c r="K368" s="1405"/>
      <c r="L368" s="1427"/>
      <c r="M368" s="1423"/>
      <c r="N368" s="1423"/>
      <c r="O368" s="1423"/>
      <c r="P368" s="1423"/>
      <c r="Q368" s="1423"/>
      <c r="R368" s="1423"/>
      <c r="S368" s="1423"/>
      <c r="T368" s="1423"/>
      <c r="U368" s="1423"/>
      <c r="V368" s="1423"/>
      <c r="W368" s="1423"/>
      <c r="X368" s="1423"/>
      <c r="Y368" s="1423"/>
      <c r="Z368" s="1423"/>
      <c r="AA368" s="1423"/>
      <c r="AB368" s="1423"/>
      <c r="AC368" s="1423"/>
      <c r="AD368" s="1423"/>
      <c r="AF368" s="1423"/>
      <c r="AG368" s="1423"/>
      <c r="AH368" s="1423"/>
      <c r="AI368" s="1430"/>
      <c r="AJ368" s="1425"/>
      <c r="AK368" s="1423"/>
      <c r="AL368" s="748"/>
    </row>
    <row r="369" spans="1:38">
      <c r="A369" s="728">
        <v>364</v>
      </c>
      <c r="B369" s="1482" t="s">
        <v>2697</v>
      </c>
      <c r="E369" s="1423">
        <f>'Revenue Reconcilliation'!Q220</f>
        <v>-643015.67999999993</v>
      </c>
      <c r="F369" s="1423"/>
      <c r="G369" s="1423"/>
      <c r="H369" s="1423"/>
      <c r="I369" s="1423"/>
      <c r="J369" s="1423"/>
      <c r="K369" s="1405"/>
      <c r="L369" s="1427"/>
      <c r="M369" s="1423"/>
      <c r="N369" s="1423"/>
      <c r="O369" s="1423"/>
      <c r="P369" s="1423"/>
      <c r="Q369" s="1423"/>
      <c r="R369" s="1423"/>
      <c r="S369" s="1423"/>
      <c r="T369" s="1423"/>
      <c r="U369" s="1423"/>
      <c r="V369" s="1423"/>
      <c r="W369" s="1423"/>
      <c r="X369" s="1423"/>
      <c r="Y369" s="1423"/>
      <c r="Z369" s="1423"/>
      <c r="AA369" s="1423"/>
      <c r="AB369" s="1423"/>
      <c r="AC369" s="1423"/>
      <c r="AD369" s="1423"/>
      <c r="AF369" s="1423"/>
      <c r="AG369" s="1423"/>
      <c r="AH369" s="1423"/>
      <c r="AI369" s="1430"/>
      <c r="AJ369" s="1425"/>
      <c r="AK369" s="1423"/>
      <c r="AL369" s="748"/>
    </row>
    <row r="370" spans="1:38">
      <c r="A370" s="728">
        <v>365</v>
      </c>
      <c r="B370" s="1482" t="s">
        <v>2698</v>
      </c>
      <c r="E370" s="1423">
        <f>'Revenue Reconcilliation'!Q221</f>
        <v>672796.02000000014</v>
      </c>
      <c r="F370" s="1423"/>
      <c r="G370" s="1423"/>
      <c r="H370" s="1423"/>
      <c r="I370" s="1423"/>
      <c r="J370" s="1423"/>
      <c r="K370" s="1405"/>
      <c r="L370" s="1427"/>
      <c r="M370" s="1423"/>
      <c r="N370" s="1423"/>
      <c r="O370" s="1423"/>
      <c r="P370" s="1423"/>
      <c r="Q370" s="1423"/>
      <c r="R370" s="1423"/>
      <c r="S370" s="1423"/>
      <c r="T370" s="1423"/>
      <c r="U370" s="1423"/>
      <c r="V370" s="1423"/>
      <c r="W370" s="1423"/>
      <c r="X370" s="1423"/>
      <c r="Y370" s="1423"/>
      <c r="Z370" s="1423"/>
      <c r="AA370" s="1423"/>
      <c r="AB370" s="1423"/>
      <c r="AC370" s="1423"/>
      <c r="AD370" s="1423"/>
      <c r="AF370" s="1423"/>
      <c r="AG370" s="1423"/>
      <c r="AH370" s="1423"/>
      <c r="AI370" s="1430"/>
      <c r="AJ370" s="1425"/>
      <c r="AK370" s="1423"/>
      <c r="AL370" s="748"/>
    </row>
    <row r="371" spans="1:38">
      <c r="A371" s="728">
        <v>366</v>
      </c>
      <c r="B371" s="1443" t="s">
        <v>2678</v>
      </c>
      <c r="E371" s="1423">
        <f>SUM(E367:E370)</f>
        <v>57063.450000000186</v>
      </c>
      <c r="F371" s="1422"/>
      <c r="G371" s="1422"/>
      <c r="H371" s="1422"/>
      <c r="I371" s="1422"/>
      <c r="J371" s="1422"/>
      <c r="K371" s="1405"/>
      <c r="L371" s="1427"/>
      <c r="M371" s="1423"/>
      <c r="N371" s="1422"/>
      <c r="O371" s="1423"/>
      <c r="P371" s="1423"/>
      <c r="Q371" s="1423"/>
      <c r="R371" s="1422"/>
      <c r="S371" s="1423"/>
      <c r="T371" s="1423"/>
      <c r="U371" s="1423"/>
      <c r="V371" s="1422"/>
      <c r="W371" s="1422"/>
      <c r="X371" s="1422"/>
      <c r="Y371" s="1422"/>
      <c r="Z371" s="1422"/>
      <c r="AA371" s="1423"/>
      <c r="AB371" s="1423"/>
      <c r="AC371" s="1423"/>
      <c r="AD371" s="1422"/>
      <c r="AF371" s="1422"/>
      <c r="AG371" s="1422"/>
      <c r="AH371" s="1422"/>
      <c r="AI371" s="1430"/>
      <c r="AJ371" s="1425"/>
      <c r="AK371" s="1423"/>
      <c r="AL371" s="748"/>
    </row>
    <row r="372" spans="1:38">
      <c r="A372" s="728">
        <v>367</v>
      </c>
      <c r="E372" s="1423"/>
      <c r="F372" s="1423"/>
      <c r="G372" s="1423"/>
      <c r="H372" s="1423"/>
      <c r="I372" s="1423"/>
      <c r="J372" s="1423"/>
      <c r="K372" s="1405"/>
      <c r="L372" s="1427"/>
      <c r="M372" s="1423"/>
      <c r="N372" s="1423"/>
      <c r="O372" s="1423"/>
      <c r="P372" s="1423"/>
      <c r="Q372" s="1423"/>
      <c r="R372" s="1423"/>
      <c r="S372" s="1423"/>
      <c r="T372" s="1423"/>
      <c r="U372" s="1423"/>
      <c r="V372" s="1423"/>
      <c r="W372" s="1423"/>
      <c r="X372" s="1423"/>
      <c r="Y372" s="1423"/>
      <c r="Z372" s="1423"/>
      <c r="AA372" s="1423"/>
      <c r="AB372" s="1423"/>
      <c r="AC372" s="1423"/>
      <c r="AD372" s="1423"/>
      <c r="AF372" s="1423"/>
      <c r="AG372" s="1423"/>
      <c r="AH372" s="1423"/>
      <c r="AI372" s="1430"/>
      <c r="AJ372" s="1425"/>
      <c r="AK372" s="1423"/>
      <c r="AL372" s="748"/>
    </row>
    <row r="373" spans="1:38">
      <c r="A373" s="728">
        <v>368</v>
      </c>
      <c r="B373" s="1444" t="str">
        <f>"Total "&amp;LEFT(B352,17)&amp;" Revenue"</f>
        <v>Total Rate Schedule 906 Revenue</v>
      </c>
      <c r="C373" s="1438">
        <f>E373-'Revenue Reconcilliation'!Q222</f>
        <v>0</v>
      </c>
      <c r="D373" s="1445" t="s">
        <v>2673</v>
      </c>
      <c r="E373" s="1437">
        <f>SUM(E364,E371)</f>
        <v>672796.02000000014</v>
      </c>
      <c r="F373" s="1438"/>
      <c r="G373" s="1438"/>
      <c r="H373" s="1438"/>
      <c r="I373" s="1438"/>
      <c r="J373" s="1438"/>
      <c r="K373" s="1447"/>
      <c r="L373" s="1446"/>
      <c r="M373" s="1437"/>
      <c r="N373" s="1438"/>
      <c r="O373" s="1437"/>
      <c r="P373" s="1437"/>
      <c r="Q373" s="1437"/>
      <c r="R373" s="1438"/>
      <c r="S373" s="1437"/>
      <c r="T373" s="1437"/>
      <c r="U373" s="1437"/>
      <c r="V373" s="1438"/>
      <c r="W373" s="1438"/>
      <c r="X373" s="1438"/>
      <c r="Y373" s="1438"/>
      <c r="Z373" s="1438"/>
      <c r="AA373" s="1437"/>
      <c r="AB373" s="1437"/>
      <c r="AC373" s="1437"/>
      <c r="AD373" s="1438"/>
      <c r="AE373" s="1447"/>
      <c r="AF373" s="1438"/>
      <c r="AG373" s="1438"/>
      <c r="AH373" s="1438"/>
      <c r="AI373" s="1490"/>
      <c r="AJ373" s="1440"/>
      <c r="AK373" s="1437"/>
      <c r="AL373" s="748"/>
    </row>
    <row r="374" spans="1:38">
      <c r="A374" s="728">
        <v>369</v>
      </c>
      <c r="K374" s="1405"/>
      <c r="L374" s="1427"/>
      <c r="M374" s="1423"/>
      <c r="O374" s="1423"/>
      <c r="P374" s="1423"/>
      <c r="Q374" s="1423"/>
      <c r="S374" s="1423"/>
      <c r="T374" s="1423"/>
      <c r="U374" s="1423"/>
      <c r="AI374" s="1430"/>
      <c r="AJ374" s="1425"/>
      <c r="AL374" s="748"/>
    </row>
    <row r="375" spans="1:38">
      <c r="A375" s="728">
        <v>370</v>
      </c>
      <c r="B375" s="1420" t="s">
        <v>2735</v>
      </c>
      <c r="K375" s="1405"/>
      <c r="L375" s="1427"/>
      <c r="M375" s="1423"/>
      <c r="Q375" s="1423"/>
      <c r="U375" s="1423"/>
      <c r="AI375" s="1430"/>
      <c r="AJ375" s="1425"/>
      <c r="AL375" s="748"/>
    </row>
    <row r="376" spans="1:38">
      <c r="A376" s="728">
        <v>371</v>
      </c>
      <c r="B376" s="727" t="s">
        <v>2724</v>
      </c>
      <c r="C376" s="1405">
        <f t="shared" ref="C376:C382" si="13">E376/D376</f>
        <v>12</v>
      </c>
      <c r="D376" s="1422">
        <v>625</v>
      </c>
      <c r="E376" s="1423">
        <f>'1501 Summary'!AD263</f>
        <v>7500</v>
      </c>
      <c r="F376" s="1422"/>
      <c r="G376" s="1422"/>
      <c r="H376" s="1422"/>
      <c r="I376" s="1422"/>
      <c r="J376" s="1422"/>
      <c r="K376" s="1405">
        <f t="shared" si="8"/>
        <v>12</v>
      </c>
      <c r="L376" s="1422">
        <f>D376</f>
        <v>625</v>
      </c>
      <c r="M376" s="1423">
        <f>L376*K376</f>
        <v>7500</v>
      </c>
      <c r="N376" s="1422"/>
      <c r="O376" s="1424"/>
      <c r="P376" s="1422"/>
      <c r="Q376" s="1423"/>
      <c r="R376" s="1422"/>
      <c r="S376" s="1424"/>
      <c r="T376" s="1422"/>
      <c r="U376" s="1423"/>
      <c r="V376" s="1422"/>
      <c r="W376" s="1422"/>
      <c r="X376" s="1422"/>
      <c r="Y376" s="1422"/>
      <c r="Z376" s="1422"/>
      <c r="AA376" s="1425"/>
      <c r="AB376" s="1425"/>
      <c r="AC376" s="1425"/>
      <c r="AD376" s="1422"/>
      <c r="AF376" s="1422"/>
      <c r="AG376" s="1422"/>
      <c r="AH376" s="1422"/>
      <c r="AI376" s="1430"/>
      <c r="AJ376" s="1425"/>
      <c r="AK376" s="1425"/>
      <c r="AL376" s="748"/>
    </row>
    <row r="377" spans="1:38">
      <c r="A377" s="728">
        <v>372</v>
      </c>
      <c r="B377" s="727" t="s">
        <v>2713</v>
      </c>
      <c r="C377" s="1405">
        <v>0</v>
      </c>
      <c r="D377" s="1422">
        <v>0</v>
      </c>
      <c r="E377" s="1423">
        <f>'1501 Summary'!AD264</f>
        <v>0</v>
      </c>
      <c r="F377" s="1422"/>
      <c r="G377" s="1422"/>
      <c r="H377" s="1422"/>
      <c r="I377" s="1422"/>
      <c r="J377" s="1422"/>
      <c r="K377" s="1405">
        <f t="shared" si="8"/>
        <v>0</v>
      </c>
      <c r="L377" s="1427"/>
      <c r="M377" s="1423">
        <f>L377*K377</f>
        <v>0</v>
      </c>
      <c r="N377" s="1422"/>
      <c r="O377" s="1424"/>
      <c r="P377" s="1422"/>
      <c r="Q377" s="1423"/>
      <c r="R377" s="1422"/>
      <c r="S377" s="1424"/>
      <c r="T377" s="1422"/>
      <c r="U377" s="1423"/>
      <c r="V377" s="1422"/>
      <c r="W377" s="1422"/>
      <c r="X377" s="1422"/>
      <c r="Y377" s="1422"/>
      <c r="Z377" s="1422"/>
      <c r="AA377" s="1425"/>
      <c r="AB377" s="1425"/>
      <c r="AC377" s="1425"/>
      <c r="AD377" s="1422"/>
      <c r="AF377" s="1422"/>
      <c r="AG377" s="1422"/>
      <c r="AH377" s="1422"/>
      <c r="AI377" s="1430"/>
      <c r="AJ377" s="1425"/>
      <c r="AK377" s="1425"/>
      <c r="AL377" s="748"/>
    </row>
    <row r="378" spans="1:38">
      <c r="A378" s="728">
        <v>373</v>
      </c>
      <c r="B378" s="727" t="s">
        <v>2736</v>
      </c>
      <c r="C378" s="1405">
        <f t="shared" si="13"/>
        <v>12</v>
      </c>
      <c r="D378" s="1422">
        <v>2000</v>
      </c>
      <c r="E378" s="1423">
        <f>'1501 Summary'!AD265</f>
        <v>24000</v>
      </c>
      <c r="F378" s="1422"/>
      <c r="G378" s="1422"/>
      <c r="H378" s="1422"/>
      <c r="I378" s="1422"/>
      <c r="J378" s="1422"/>
      <c r="K378" s="1405">
        <f t="shared" si="8"/>
        <v>12</v>
      </c>
      <c r="L378" s="1422">
        <f>D378</f>
        <v>2000</v>
      </c>
      <c r="M378" s="1423">
        <f>L378*K378</f>
        <v>24000</v>
      </c>
      <c r="N378" s="1422"/>
      <c r="O378" s="1424"/>
      <c r="P378" s="1422"/>
      <c r="Q378" s="1423"/>
      <c r="R378" s="1422"/>
      <c r="S378" s="1424"/>
      <c r="T378" s="1422"/>
      <c r="U378" s="1423"/>
      <c r="V378" s="1422"/>
      <c r="W378" s="1422"/>
      <c r="X378" s="1422"/>
      <c r="Y378" s="1422"/>
      <c r="Z378" s="1422"/>
      <c r="AA378" s="1425"/>
      <c r="AB378" s="1425"/>
      <c r="AC378" s="1425"/>
      <c r="AD378" s="1422"/>
      <c r="AF378" s="1422"/>
      <c r="AG378" s="1422"/>
      <c r="AH378" s="1422"/>
      <c r="AI378" s="1430"/>
      <c r="AJ378" s="1425"/>
      <c r="AK378" s="1425"/>
      <c r="AL378" s="748"/>
    </row>
    <row r="379" spans="1:38">
      <c r="A379" s="728">
        <v>374</v>
      </c>
      <c r="B379" s="727" t="s">
        <v>2737</v>
      </c>
      <c r="C379" s="1405">
        <f t="shared" si="13"/>
        <v>28347024.999999993</v>
      </c>
      <c r="D379" s="1500">
        <v>4.0000000000000002E-4</v>
      </c>
      <c r="E379" s="1423">
        <f>'1501 Summary'!AD266</f>
        <v>11338.809999999998</v>
      </c>
      <c r="F379" s="1422"/>
      <c r="G379" s="1422"/>
      <c r="H379" s="1422"/>
      <c r="I379" s="1422"/>
      <c r="J379" s="1422"/>
      <c r="K379" s="1405">
        <f t="shared" si="8"/>
        <v>28347024.999999993</v>
      </c>
      <c r="L379" s="1427">
        <f>D379</f>
        <v>4.0000000000000002E-4</v>
      </c>
      <c r="M379" s="1423">
        <f>L379*K379</f>
        <v>11338.809999999998</v>
      </c>
      <c r="N379" s="1422"/>
      <c r="O379" s="1424"/>
      <c r="P379" s="1422"/>
      <c r="Q379" s="1423"/>
      <c r="R379" s="1422"/>
      <c r="S379" s="1424"/>
      <c r="T379" s="1422"/>
      <c r="U379" s="1423"/>
      <c r="V379" s="1422"/>
      <c r="W379" s="1422"/>
      <c r="X379" s="1422"/>
      <c r="Y379" s="1422"/>
      <c r="Z379" s="1422"/>
      <c r="AA379" s="1425"/>
      <c r="AB379" s="1425"/>
      <c r="AC379" s="1425"/>
      <c r="AD379" s="1422"/>
      <c r="AF379" s="1422"/>
      <c r="AG379" s="1422"/>
      <c r="AH379" s="1422"/>
      <c r="AI379" s="1428"/>
      <c r="AJ379" s="1425"/>
      <c r="AK379" s="1425"/>
      <c r="AL379" s="748"/>
    </row>
    <row r="380" spans="1:38">
      <c r="A380" s="728">
        <v>375</v>
      </c>
      <c r="B380" s="727" t="s">
        <v>2738</v>
      </c>
      <c r="C380" s="1405">
        <v>0</v>
      </c>
      <c r="D380" s="1404">
        <v>0</v>
      </c>
      <c r="E380" s="1423">
        <f>'1501 Summary'!AD267</f>
        <v>0</v>
      </c>
      <c r="F380" s="1422"/>
      <c r="G380" s="1422"/>
      <c r="H380" s="1422"/>
      <c r="I380" s="1422"/>
      <c r="J380" s="1422"/>
      <c r="K380" s="1405"/>
      <c r="L380" s="1427"/>
      <c r="M380" s="1423">
        <f>L380*K380</f>
        <v>0</v>
      </c>
      <c r="N380" s="1422"/>
      <c r="O380" s="1424"/>
      <c r="P380" s="1422"/>
      <c r="Q380" s="1423"/>
      <c r="R380" s="1422"/>
      <c r="S380" s="1424"/>
      <c r="T380" s="1422"/>
      <c r="U380" s="1423"/>
      <c r="V380" s="1422"/>
      <c r="W380" s="1422"/>
      <c r="X380" s="1422"/>
      <c r="Y380" s="1422"/>
      <c r="Z380" s="1422"/>
      <c r="AA380" s="1425"/>
      <c r="AB380" s="1425"/>
      <c r="AC380" s="1425"/>
      <c r="AD380" s="1422"/>
      <c r="AF380" s="1422"/>
      <c r="AG380" s="1422"/>
      <c r="AH380" s="1422"/>
      <c r="AI380" s="1428"/>
      <c r="AJ380" s="1425"/>
      <c r="AK380" s="1425"/>
      <c r="AL380" s="748"/>
    </row>
    <row r="381" spans="1:38">
      <c r="A381" s="728">
        <v>376</v>
      </c>
      <c r="B381" s="727" t="s">
        <v>2739</v>
      </c>
      <c r="C381" s="1405">
        <f t="shared" si="13"/>
        <v>20390726.458932508</v>
      </c>
      <c r="D381" s="1501">
        <v>1.6376700000000001E-2</v>
      </c>
      <c r="E381" s="1423">
        <f>SUM('1501 Summary'!G268:W268)</f>
        <v>333932.81</v>
      </c>
      <c r="F381" s="1422"/>
      <c r="G381" s="1422"/>
      <c r="H381" s="1422"/>
      <c r="I381" s="1422"/>
      <c r="J381" s="1422"/>
      <c r="K381" s="1405">
        <f t="shared" si="8"/>
        <v>20390726.458932508</v>
      </c>
      <c r="L381" s="1498"/>
      <c r="M381" s="1423"/>
      <c r="N381" s="1422"/>
      <c r="O381" s="1424"/>
      <c r="P381" s="1422"/>
      <c r="Q381" s="1423"/>
      <c r="R381" s="1422"/>
      <c r="S381" s="1424"/>
      <c r="T381" s="1422"/>
      <c r="U381" s="1423"/>
      <c r="V381" s="1422"/>
      <c r="W381" s="1422"/>
      <c r="X381" s="1422"/>
      <c r="Y381" s="1422"/>
      <c r="Z381" s="1422"/>
      <c r="AA381" s="1425"/>
      <c r="AB381" s="1425"/>
      <c r="AC381" s="1425"/>
      <c r="AD381" s="1422"/>
      <c r="AF381" s="1422"/>
      <c r="AG381" s="1422"/>
      <c r="AH381" s="1422"/>
      <c r="AI381" s="1428"/>
      <c r="AJ381" s="1425"/>
      <c r="AK381" s="1425"/>
      <c r="AL381" s="748"/>
    </row>
    <row r="382" spans="1:38">
      <c r="A382" s="728">
        <v>377</v>
      </c>
      <c r="B382" s="1453" t="s">
        <v>2740</v>
      </c>
      <c r="C382" s="1405">
        <f t="shared" si="13"/>
        <v>8004124.7766731614</v>
      </c>
      <c r="D382" s="1501">
        <v>1.6063899999999999E-2</v>
      </c>
      <c r="E382" s="1437">
        <f>SUM('1501 Summary'!Y268:AC268)</f>
        <v>128577.45999999999</v>
      </c>
      <c r="F382" s="1422"/>
      <c r="G382" s="1422"/>
      <c r="H382" s="1422"/>
      <c r="I382" s="1422"/>
      <c r="J382" s="1422"/>
      <c r="K382" s="1405">
        <f t="shared" si="8"/>
        <v>8004124.7766731614</v>
      </c>
      <c r="L382" s="1498">
        <f>D382</f>
        <v>1.6063899999999999E-2</v>
      </c>
      <c r="M382" s="1437">
        <f>L382*SUM(K382,K381)</f>
        <v>456132.05076364585</v>
      </c>
      <c r="N382" s="1422"/>
      <c r="O382" s="1424"/>
      <c r="P382" s="1422"/>
      <c r="Q382" s="1423"/>
      <c r="R382" s="1422"/>
      <c r="S382" s="1424"/>
      <c r="T382" s="1422"/>
      <c r="U382" s="1423"/>
      <c r="V382" s="1422"/>
      <c r="W382" s="1422"/>
      <c r="X382" s="1422"/>
      <c r="Y382" s="1422"/>
      <c r="Z382" s="1422"/>
      <c r="AA382" s="1425"/>
      <c r="AB382" s="1425"/>
      <c r="AC382" s="1425"/>
      <c r="AD382" s="1422"/>
      <c r="AF382" s="1422"/>
      <c r="AG382" s="1422"/>
      <c r="AH382" s="1422"/>
      <c r="AI382" s="1428"/>
      <c r="AJ382" s="1425"/>
      <c r="AK382" s="1425"/>
      <c r="AL382" s="748"/>
    </row>
    <row r="383" spans="1:38">
      <c r="A383" s="728">
        <v>378</v>
      </c>
      <c r="B383" s="727" t="s">
        <v>2648</v>
      </c>
      <c r="E383" s="1423">
        <f>SUM(E376:E382)</f>
        <v>505349.07999999996</v>
      </c>
      <c r="F383" s="1422"/>
      <c r="G383" s="1422"/>
      <c r="H383" s="1422"/>
      <c r="I383" s="1422"/>
      <c r="J383" s="1422"/>
      <c r="K383" s="1405"/>
      <c r="L383" s="1427"/>
      <c r="M383" s="1423">
        <f>SUM(M376:M382)</f>
        <v>498970.86076364585</v>
      </c>
      <c r="N383" s="1422"/>
      <c r="O383" s="1422"/>
      <c r="P383" s="1422"/>
      <c r="Q383" s="1423"/>
      <c r="R383" s="1422"/>
      <c r="S383" s="1422"/>
      <c r="T383" s="1422"/>
      <c r="U383" s="1423"/>
      <c r="V383" s="1422"/>
      <c r="W383" s="1422"/>
      <c r="X383" s="1422"/>
      <c r="Y383" s="1422"/>
      <c r="Z383" s="1422"/>
      <c r="AA383" s="1425"/>
      <c r="AB383" s="1425"/>
      <c r="AC383" s="1425"/>
      <c r="AD383" s="1422"/>
      <c r="AF383" s="1422"/>
      <c r="AG383" s="1422"/>
      <c r="AH383" s="1422"/>
      <c r="AI383" s="1430"/>
      <c r="AJ383" s="1425"/>
      <c r="AK383" s="1425"/>
      <c r="AL383" s="748"/>
    </row>
    <row r="384" spans="1:38">
      <c r="A384" s="728">
        <v>379</v>
      </c>
      <c r="E384" s="1423"/>
      <c r="F384" s="1423"/>
      <c r="G384" s="1423"/>
      <c r="H384" s="1423"/>
      <c r="I384" s="1423"/>
      <c r="J384" s="1423"/>
      <c r="K384" s="1405"/>
      <c r="L384" s="1427"/>
      <c r="M384" s="1422"/>
      <c r="N384" s="1423"/>
      <c r="O384" s="1423"/>
      <c r="P384" s="1423"/>
      <c r="Q384" s="1423"/>
      <c r="R384" s="1423"/>
      <c r="S384" s="1423"/>
      <c r="T384" s="1423"/>
      <c r="U384" s="1423"/>
      <c r="V384" s="1423"/>
      <c r="W384" s="1423"/>
      <c r="X384" s="1423"/>
      <c r="Y384" s="1423"/>
      <c r="Z384" s="1423"/>
      <c r="AD384" s="1423"/>
      <c r="AF384" s="1423"/>
      <c r="AG384" s="1423"/>
      <c r="AH384" s="1423"/>
      <c r="AI384" s="1430"/>
      <c r="AJ384" s="1425"/>
      <c r="AL384" s="748"/>
    </row>
    <row r="385" spans="1:38">
      <c r="A385" s="728">
        <v>380</v>
      </c>
      <c r="B385" s="727" t="s">
        <v>2651</v>
      </c>
      <c r="E385" s="1423"/>
      <c r="F385" s="1423"/>
      <c r="G385" s="1423"/>
      <c r="H385" s="1423"/>
      <c r="I385" s="1423"/>
      <c r="J385" s="1423"/>
      <c r="K385" s="1405"/>
      <c r="L385" s="1427"/>
      <c r="M385" s="1422"/>
      <c r="N385" s="1423"/>
      <c r="O385" s="1423"/>
      <c r="P385" s="1423"/>
      <c r="Q385" s="1423"/>
      <c r="R385" s="1423"/>
      <c r="S385" s="1423"/>
      <c r="T385" s="1423"/>
      <c r="U385" s="1423"/>
      <c r="V385" s="1423"/>
      <c r="W385" s="1423"/>
      <c r="X385" s="1423"/>
      <c r="Y385" s="1423"/>
      <c r="Z385" s="1423"/>
      <c r="AD385" s="1423"/>
      <c r="AF385" s="1423"/>
      <c r="AG385" s="1423"/>
      <c r="AH385" s="1423"/>
      <c r="AI385" s="1430"/>
      <c r="AJ385" s="1425"/>
      <c r="AL385" s="748"/>
    </row>
    <row r="386" spans="1:38">
      <c r="A386" s="728">
        <v>381</v>
      </c>
      <c r="B386" s="727" t="s">
        <v>2719</v>
      </c>
      <c r="E386" s="1423">
        <f>'1501 Summary'!AD269</f>
        <v>22392.03</v>
      </c>
      <c r="F386" s="1423"/>
      <c r="G386" s="1423"/>
      <c r="H386" s="1423"/>
      <c r="I386" s="1423"/>
      <c r="J386" s="1423"/>
      <c r="K386" s="1405"/>
      <c r="L386" s="1427"/>
      <c r="M386" s="1422"/>
      <c r="N386" s="1423"/>
      <c r="O386" s="1423"/>
      <c r="P386" s="1423"/>
      <c r="Q386" s="1423"/>
      <c r="R386" s="1423"/>
      <c r="S386" s="1423"/>
      <c r="T386" s="1423"/>
      <c r="U386" s="1423"/>
      <c r="V386" s="1423"/>
      <c r="W386" s="1423"/>
      <c r="X386" s="1423"/>
      <c r="Y386" s="1423"/>
      <c r="Z386" s="1423"/>
      <c r="AD386" s="1423"/>
      <c r="AF386" s="1423"/>
      <c r="AG386" s="1423"/>
      <c r="AH386" s="1423"/>
      <c r="AI386" s="1430"/>
      <c r="AJ386" s="1425"/>
      <c r="AL386" s="748"/>
    </row>
    <row r="387" spans="1:38">
      <c r="A387" s="728">
        <v>382</v>
      </c>
      <c r="B387" s="727" t="s">
        <v>0</v>
      </c>
      <c r="E387" s="1423">
        <f>'1501 Summary'!AD270</f>
        <v>0</v>
      </c>
      <c r="F387" s="1423"/>
      <c r="G387" s="1423"/>
      <c r="H387" s="1423"/>
      <c r="I387" s="1423"/>
      <c r="J387" s="1423"/>
      <c r="K387" s="1405"/>
      <c r="L387" s="1427"/>
      <c r="M387" s="1422"/>
      <c r="N387" s="1423"/>
      <c r="O387" s="1423"/>
      <c r="P387" s="1423"/>
      <c r="Q387" s="1423"/>
      <c r="R387" s="1423"/>
      <c r="S387" s="1423"/>
      <c r="T387" s="1423"/>
      <c r="U387" s="1423"/>
      <c r="V387" s="1423"/>
      <c r="W387" s="1423"/>
      <c r="X387" s="1423"/>
      <c r="Y387" s="1423"/>
      <c r="Z387" s="1423"/>
      <c r="AD387" s="1423"/>
      <c r="AF387" s="1423"/>
      <c r="AG387" s="1423"/>
      <c r="AH387" s="1423"/>
      <c r="AI387" s="1430"/>
      <c r="AJ387" s="1425"/>
      <c r="AL387" s="748"/>
    </row>
    <row r="388" spans="1:38">
      <c r="A388" s="728">
        <v>383</v>
      </c>
      <c r="B388" s="1482" t="s">
        <v>2697</v>
      </c>
      <c r="E388" s="1423">
        <f>'Revenue Reconcilliation'!Q240</f>
        <v>-527741.1100000001</v>
      </c>
      <c r="F388" s="1423"/>
      <c r="G388" s="1423"/>
      <c r="H388" s="1423"/>
      <c r="I388" s="1423"/>
      <c r="J388" s="1423"/>
      <c r="K388" s="1405"/>
      <c r="L388" s="1427"/>
      <c r="M388" s="1422"/>
      <c r="N388" s="1423"/>
      <c r="O388" s="1423"/>
      <c r="P388" s="1423"/>
      <c r="Q388" s="1423"/>
      <c r="R388" s="1423"/>
      <c r="S388" s="1423"/>
      <c r="T388" s="1423"/>
      <c r="U388" s="1423"/>
      <c r="V388" s="1423"/>
      <c r="W388" s="1423"/>
      <c r="X388" s="1423"/>
      <c r="Y388" s="1423"/>
      <c r="Z388" s="1423"/>
      <c r="AA388" s="1423"/>
      <c r="AB388" s="1423"/>
      <c r="AC388" s="1423"/>
      <c r="AD388" s="1423"/>
      <c r="AF388" s="1423"/>
      <c r="AG388" s="1423"/>
      <c r="AH388" s="1423"/>
      <c r="AI388" s="1430"/>
      <c r="AJ388" s="1425"/>
      <c r="AK388" s="1423"/>
      <c r="AL388" s="748"/>
    </row>
    <row r="389" spans="1:38">
      <c r="A389" s="728">
        <v>384</v>
      </c>
      <c r="B389" s="1482" t="s">
        <v>2698</v>
      </c>
      <c r="E389" s="1437">
        <f>'Revenue Reconcilliation'!Q241</f>
        <v>561061.27</v>
      </c>
      <c r="F389" s="1423"/>
      <c r="G389" s="1423"/>
      <c r="H389" s="1423"/>
      <c r="I389" s="1423"/>
      <c r="J389" s="1423"/>
      <c r="K389" s="1405"/>
      <c r="L389" s="1427"/>
      <c r="M389" s="1422"/>
      <c r="N389" s="1423"/>
      <c r="O389" s="1423"/>
      <c r="P389" s="1423"/>
      <c r="Q389" s="1423"/>
      <c r="R389" s="1423"/>
      <c r="S389" s="1423"/>
      <c r="T389" s="1423"/>
      <c r="U389" s="1423"/>
      <c r="V389" s="1423"/>
      <c r="W389" s="1423"/>
      <c r="X389" s="1423"/>
      <c r="Y389" s="1423"/>
      <c r="Z389" s="1423"/>
      <c r="AD389" s="1423"/>
      <c r="AF389" s="1423"/>
      <c r="AG389" s="1423"/>
      <c r="AH389" s="1423"/>
      <c r="AI389" s="1430"/>
      <c r="AJ389" s="1425"/>
      <c r="AL389" s="748"/>
    </row>
    <row r="390" spans="1:38">
      <c r="A390" s="728">
        <v>385</v>
      </c>
      <c r="B390" s="1443" t="s">
        <v>2678</v>
      </c>
      <c r="E390" s="1423">
        <f>SUM(E386:E389)</f>
        <v>55712.189999999944</v>
      </c>
      <c r="F390" s="1423"/>
      <c r="G390" s="1423"/>
      <c r="H390" s="1423"/>
      <c r="I390" s="1423"/>
      <c r="J390" s="1423"/>
      <c r="K390" s="1405"/>
      <c r="L390" s="1427"/>
      <c r="M390" s="1422"/>
      <c r="N390" s="1423"/>
      <c r="O390" s="1423"/>
      <c r="P390" s="1423"/>
      <c r="Q390" s="1423"/>
      <c r="R390" s="1423"/>
      <c r="S390" s="1423"/>
      <c r="T390" s="1423"/>
      <c r="U390" s="1423"/>
      <c r="V390" s="1423"/>
      <c r="W390" s="1423"/>
      <c r="X390" s="1423"/>
      <c r="Y390" s="1423"/>
      <c r="Z390" s="1423"/>
      <c r="AA390" s="1423"/>
      <c r="AB390" s="1423"/>
      <c r="AC390" s="1423"/>
      <c r="AD390" s="1423"/>
      <c r="AF390" s="1423"/>
      <c r="AG390" s="1423"/>
      <c r="AH390" s="1423"/>
      <c r="AI390" s="1430"/>
      <c r="AJ390" s="1425"/>
      <c r="AK390" s="1423"/>
      <c r="AL390" s="748"/>
    </row>
    <row r="391" spans="1:38">
      <c r="A391" s="728">
        <v>386</v>
      </c>
      <c r="D391" s="1450"/>
      <c r="E391" s="1429"/>
      <c r="F391" s="1429"/>
      <c r="G391" s="1429"/>
      <c r="H391" s="1429"/>
      <c r="I391" s="1429"/>
      <c r="J391" s="1429"/>
      <c r="K391" s="1405"/>
      <c r="L391" s="1427"/>
      <c r="M391" s="1422"/>
      <c r="N391" s="1429"/>
      <c r="O391" s="1423"/>
      <c r="P391" s="1423"/>
      <c r="Q391" s="1423"/>
      <c r="R391" s="1429"/>
      <c r="S391" s="1423"/>
      <c r="T391" s="1423"/>
      <c r="U391" s="1423"/>
      <c r="V391" s="1429"/>
      <c r="W391" s="1429"/>
      <c r="X391" s="1429"/>
      <c r="Y391" s="1429"/>
      <c r="Z391" s="1429"/>
      <c r="AD391" s="1429"/>
      <c r="AF391" s="1429"/>
      <c r="AG391" s="1429"/>
      <c r="AH391" s="1429"/>
      <c r="AI391" s="1430"/>
      <c r="AJ391" s="1425"/>
      <c r="AL391" s="748"/>
    </row>
    <row r="392" spans="1:38">
      <c r="A392" s="728">
        <v>387</v>
      </c>
      <c r="B392" s="1444" t="str">
        <f>"Total "&amp;LEFT(B375,17)&amp;" Revenue"</f>
        <v>Total Rate Schedule 909 Revenue</v>
      </c>
      <c r="C392" s="1438">
        <f>E392-'Revenue Reconcilliation'!Q242</f>
        <v>0</v>
      </c>
      <c r="D392" s="1445" t="s">
        <v>2673</v>
      </c>
      <c r="E392" s="1465">
        <f>SUM(E383,E390)</f>
        <v>561061.2699999999</v>
      </c>
      <c r="F392" s="1502"/>
      <c r="G392" s="1502"/>
      <c r="H392" s="1502"/>
      <c r="I392" s="1502"/>
      <c r="J392" s="1502"/>
      <c r="K392" s="1447"/>
      <c r="L392" s="1446"/>
      <c r="M392" s="1438"/>
      <c r="N392" s="1502"/>
      <c r="O392" s="1437"/>
      <c r="P392" s="1437"/>
      <c r="Q392" s="1437"/>
      <c r="R392" s="1502"/>
      <c r="S392" s="1437"/>
      <c r="T392" s="1437"/>
      <c r="U392" s="1437"/>
      <c r="V392" s="1502"/>
      <c r="W392" s="1502"/>
      <c r="X392" s="1502"/>
      <c r="Y392" s="1502"/>
      <c r="Z392" s="1502"/>
      <c r="AA392" s="1445"/>
      <c r="AB392" s="1445"/>
      <c r="AC392" s="1445"/>
      <c r="AD392" s="1502"/>
      <c r="AE392" s="1447"/>
      <c r="AF392" s="1502"/>
      <c r="AG392" s="1502"/>
      <c r="AH392" s="1502"/>
      <c r="AI392" s="1490"/>
      <c r="AJ392" s="1440"/>
      <c r="AK392" s="1445"/>
      <c r="AL392" s="748"/>
    </row>
    <row r="393" spans="1:38">
      <c r="A393" s="728">
        <v>388</v>
      </c>
      <c r="D393" s="1450"/>
      <c r="E393" s="1429"/>
      <c r="F393" s="1429"/>
      <c r="G393" s="1429"/>
      <c r="H393" s="1429"/>
      <c r="I393" s="1429"/>
      <c r="J393" s="1429"/>
      <c r="K393" s="1405"/>
      <c r="L393" s="1427"/>
      <c r="M393" s="1422"/>
      <c r="N393" s="1429"/>
      <c r="O393" s="1423"/>
      <c r="P393" s="1423"/>
      <c r="Q393" s="1423"/>
      <c r="R393" s="1429"/>
      <c r="S393" s="1423"/>
      <c r="T393" s="1423"/>
      <c r="U393" s="1423"/>
      <c r="V393" s="1429"/>
      <c r="W393" s="1429"/>
      <c r="X393" s="1429"/>
      <c r="Y393" s="1429"/>
      <c r="Z393" s="1429"/>
      <c r="AD393" s="1429"/>
      <c r="AF393" s="1429"/>
      <c r="AG393" s="1429"/>
      <c r="AH393" s="1429"/>
      <c r="AI393" s="1430"/>
      <c r="AJ393" s="1425"/>
      <c r="AL393" s="748"/>
    </row>
    <row r="394" spans="1:38">
      <c r="A394" s="728">
        <v>389</v>
      </c>
      <c r="B394" s="1420" t="s">
        <v>2741</v>
      </c>
      <c r="K394" s="1405"/>
      <c r="L394" s="1427"/>
      <c r="M394" s="1422"/>
      <c r="O394" s="1423"/>
      <c r="P394" s="1423"/>
      <c r="Q394" s="1423"/>
      <c r="S394" s="1423"/>
      <c r="T394" s="1423"/>
      <c r="U394" s="1423"/>
      <c r="AI394" s="1430"/>
      <c r="AJ394" s="1425"/>
      <c r="AL394" s="748"/>
    </row>
    <row r="395" spans="1:38">
      <c r="A395" s="728">
        <v>390</v>
      </c>
      <c r="B395" s="727" t="s">
        <v>2724</v>
      </c>
      <c r="C395" s="1404">
        <f>E395/D395</f>
        <v>12</v>
      </c>
      <c r="D395" s="1404">
        <v>625</v>
      </c>
      <c r="E395" s="1488">
        <f>'1501 Summary'!AD277</f>
        <v>7500</v>
      </c>
      <c r="F395" s="1489"/>
      <c r="G395" s="1489"/>
      <c r="H395" s="1489"/>
      <c r="I395" s="1489"/>
      <c r="J395" s="1489"/>
      <c r="K395" s="1405">
        <f t="shared" ref="K395:K400" si="14">C395+G395</f>
        <v>12</v>
      </c>
      <c r="L395" s="1422">
        <f>D395</f>
        <v>625</v>
      </c>
      <c r="M395" s="1423">
        <f>L395*K395</f>
        <v>7500</v>
      </c>
      <c r="N395" s="1489"/>
      <c r="O395" s="1424"/>
      <c r="P395" s="1484"/>
      <c r="Q395" s="1423"/>
      <c r="R395" s="1489"/>
      <c r="S395" s="1424"/>
      <c r="T395" s="1484"/>
      <c r="U395" s="1423"/>
      <c r="V395" s="1489"/>
      <c r="W395" s="1489"/>
      <c r="X395" s="1489"/>
      <c r="Y395" s="1489"/>
      <c r="Z395" s="1489"/>
      <c r="AA395" s="1425"/>
      <c r="AB395" s="1425"/>
      <c r="AC395" s="1425"/>
      <c r="AD395" s="1489"/>
      <c r="AF395" s="1489"/>
      <c r="AG395" s="1489"/>
      <c r="AH395" s="1489"/>
      <c r="AI395" s="1430"/>
      <c r="AJ395" s="1425"/>
      <c r="AK395" s="1425"/>
      <c r="AL395" s="748"/>
    </row>
    <row r="396" spans="1:38">
      <c r="A396" s="728">
        <v>391</v>
      </c>
      <c r="B396" s="727" t="s">
        <v>2736</v>
      </c>
      <c r="C396" s="1404">
        <f>E396/D396</f>
        <v>12</v>
      </c>
      <c r="D396" s="1422">
        <v>2250</v>
      </c>
      <c r="E396" s="1488">
        <f>'1501 Summary'!AD278</f>
        <v>27000</v>
      </c>
      <c r="F396" s="1489"/>
      <c r="G396" s="1489"/>
      <c r="H396" s="1489"/>
      <c r="I396" s="1489"/>
      <c r="J396" s="1489"/>
      <c r="K396" s="1405">
        <f t="shared" si="14"/>
        <v>12</v>
      </c>
      <c r="L396" s="1422">
        <f>D396</f>
        <v>2250</v>
      </c>
      <c r="M396" s="1423">
        <f>L396*K396</f>
        <v>27000</v>
      </c>
      <c r="N396" s="1489"/>
      <c r="O396" s="1424"/>
      <c r="P396" s="1484"/>
      <c r="Q396" s="1423"/>
      <c r="R396" s="1489"/>
      <c r="S396" s="1424"/>
      <c r="T396" s="1484"/>
      <c r="U396" s="1423"/>
      <c r="V396" s="1489"/>
      <c r="W396" s="1489"/>
      <c r="X396" s="1489"/>
      <c r="Y396" s="1489"/>
      <c r="Z396" s="1489"/>
      <c r="AA396" s="1425"/>
      <c r="AB396" s="1425"/>
      <c r="AC396" s="1425"/>
      <c r="AD396" s="1489"/>
      <c r="AF396" s="1489"/>
      <c r="AG396" s="1489"/>
      <c r="AH396" s="1489"/>
      <c r="AI396" s="1430"/>
      <c r="AJ396" s="1425"/>
      <c r="AK396" s="1425"/>
      <c r="AL396" s="748"/>
    </row>
    <row r="397" spans="1:38">
      <c r="A397" s="728">
        <v>392</v>
      </c>
      <c r="B397" s="727" t="s">
        <v>2714</v>
      </c>
      <c r="C397" s="1405">
        <f>E397/D397</f>
        <v>8699850.0000000019</v>
      </c>
      <c r="D397" s="1467">
        <v>4.0000000000000002E-4</v>
      </c>
      <c r="E397" s="1488">
        <f>'1501 Summary'!AD279</f>
        <v>3479.940000000001</v>
      </c>
      <c r="F397" s="1489"/>
      <c r="G397" s="1489"/>
      <c r="H397" s="1489"/>
      <c r="I397" s="1489"/>
      <c r="J397" s="1489"/>
      <c r="K397" s="1405">
        <f t="shared" si="14"/>
        <v>8699850.0000000019</v>
      </c>
      <c r="L397" s="1427">
        <f>D397</f>
        <v>4.0000000000000002E-4</v>
      </c>
      <c r="M397" s="1423">
        <f>L397*K397</f>
        <v>3479.940000000001</v>
      </c>
      <c r="N397" s="1489"/>
      <c r="O397" s="1424"/>
      <c r="P397" s="1484"/>
      <c r="Q397" s="1423"/>
      <c r="R397" s="1489"/>
      <c r="S397" s="1424"/>
      <c r="T397" s="1484"/>
      <c r="U397" s="1423"/>
      <c r="V397" s="1489"/>
      <c r="W397" s="1489"/>
      <c r="X397" s="1489"/>
      <c r="Y397" s="1489"/>
      <c r="Z397" s="1489"/>
      <c r="AA397" s="1425"/>
      <c r="AB397" s="1425"/>
      <c r="AC397" s="1425"/>
      <c r="AD397" s="1489"/>
      <c r="AF397" s="1489"/>
      <c r="AG397" s="1489"/>
      <c r="AH397" s="1489"/>
      <c r="AI397" s="1428"/>
      <c r="AJ397" s="1425"/>
      <c r="AK397" s="1425"/>
      <c r="AL397" s="748"/>
    </row>
    <row r="398" spans="1:38">
      <c r="A398" s="728">
        <v>393</v>
      </c>
      <c r="B398" s="727" t="s">
        <v>2742</v>
      </c>
      <c r="C398" s="1405">
        <f>E398/D398</f>
        <v>6453070.7846266665</v>
      </c>
      <c r="D398" s="1498">
        <v>1.1591499999999999E-2</v>
      </c>
      <c r="E398" s="1488">
        <f>SUM('1501 Summary'!G280:W280)</f>
        <v>74800.77</v>
      </c>
      <c r="F398" s="1489"/>
      <c r="G398" s="1489"/>
      <c r="H398" s="1489"/>
      <c r="I398" s="1489"/>
      <c r="J398" s="1489"/>
      <c r="K398" s="1405">
        <f t="shared" si="14"/>
        <v>6453070.7846266665</v>
      </c>
      <c r="L398" s="1427"/>
      <c r="M398" s="1423"/>
      <c r="N398" s="1489"/>
      <c r="O398" s="1424"/>
      <c r="P398" s="1484"/>
      <c r="Q398" s="1423"/>
      <c r="R398" s="1489"/>
      <c r="S398" s="1424"/>
      <c r="T398" s="1484"/>
      <c r="U398" s="1423"/>
      <c r="V398" s="1489"/>
      <c r="W398" s="1489"/>
      <c r="X398" s="1489"/>
      <c r="Y398" s="1489"/>
      <c r="Z398" s="1489"/>
      <c r="AA398" s="1425"/>
      <c r="AB398" s="1425"/>
      <c r="AC398" s="1425"/>
      <c r="AD398" s="1489"/>
      <c r="AF398" s="1489"/>
      <c r="AG398" s="1489"/>
      <c r="AH398" s="1489"/>
      <c r="AI398" s="1428"/>
      <c r="AJ398" s="1425"/>
      <c r="AK398" s="1425"/>
      <c r="AL398" s="748"/>
    </row>
    <row r="399" spans="1:38">
      <c r="A399" s="728">
        <v>394</v>
      </c>
      <c r="B399" s="727" t="s">
        <v>2743</v>
      </c>
      <c r="C399" s="1405">
        <f>E399/D399</f>
        <v>2235713.6792052309</v>
      </c>
      <c r="D399" s="1498">
        <v>1.1776999999999999E-2</v>
      </c>
      <c r="E399" s="1488">
        <f>SUM('1501 Summary'!Y280:AC280)</f>
        <v>26330</v>
      </c>
      <c r="F399" s="1489"/>
      <c r="G399" s="1489"/>
      <c r="H399" s="1489"/>
      <c r="I399" s="1489"/>
      <c r="J399" s="1489"/>
      <c r="K399" s="1405">
        <f t="shared" si="14"/>
        <v>2235713.6792052309</v>
      </c>
      <c r="L399" s="1427">
        <f>D399</f>
        <v>1.1776999999999999E-2</v>
      </c>
      <c r="M399" s="1423">
        <f>L399*SUM(K399,K398)</f>
        <v>102327.81463054825</v>
      </c>
      <c r="N399" s="1489"/>
      <c r="O399" s="1424"/>
      <c r="P399" s="1484"/>
      <c r="Q399" s="1423"/>
      <c r="R399" s="1489"/>
      <c r="S399" s="1424"/>
      <c r="T399" s="1484"/>
      <c r="U399" s="1423"/>
      <c r="V399" s="1489"/>
      <c r="W399" s="1489"/>
      <c r="X399" s="1489"/>
      <c r="Y399" s="1489"/>
      <c r="Z399" s="1489"/>
      <c r="AA399" s="1425"/>
      <c r="AB399" s="1425"/>
      <c r="AC399" s="1425"/>
      <c r="AD399" s="1489"/>
      <c r="AF399" s="1489"/>
      <c r="AG399" s="1489"/>
      <c r="AH399" s="1489"/>
      <c r="AI399" s="1428"/>
      <c r="AJ399" s="1425"/>
      <c r="AK399" s="1425"/>
      <c r="AL399" s="748"/>
    </row>
    <row r="400" spans="1:38">
      <c r="A400" s="728">
        <v>395</v>
      </c>
      <c r="B400" s="727" t="s">
        <v>2738</v>
      </c>
      <c r="C400" s="1405">
        <v>0</v>
      </c>
      <c r="D400" s="1422">
        <v>0</v>
      </c>
      <c r="E400" s="1492">
        <f>'1501 Summary'!AD281</f>
        <v>0</v>
      </c>
      <c r="F400" s="1489"/>
      <c r="G400" s="1489"/>
      <c r="H400" s="1489"/>
      <c r="I400" s="1489"/>
      <c r="J400" s="1489"/>
      <c r="K400" s="1405">
        <f t="shared" si="14"/>
        <v>0</v>
      </c>
      <c r="L400" s="1427">
        <f>D400</f>
        <v>0</v>
      </c>
      <c r="M400" s="1437">
        <f>L400*K400</f>
        <v>0</v>
      </c>
      <c r="N400" s="1489"/>
      <c r="O400" s="1424"/>
      <c r="P400" s="1484"/>
      <c r="Q400" s="1423"/>
      <c r="R400" s="1489"/>
      <c r="S400" s="1424"/>
      <c r="T400" s="1484"/>
      <c r="U400" s="1423"/>
      <c r="V400" s="1489"/>
      <c r="W400" s="1489"/>
      <c r="X400" s="1489"/>
      <c r="Y400" s="1489"/>
      <c r="Z400" s="1489"/>
      <c r="AA400" s="1425"/>
      <c r="AB400" s="1425"/>
      <c r="AC400" s="1425"/>
      <c r="AD400" s="1489"/>
      <c r="AF400" s="1489"/>
      <c r="AG400" s="1489"/>
      <c r="AH400" s="1489"/>
      <c r="AI400" s="1428"/>
      <c r="AJ400" s="1425"/>
      <c r="AK400" s="1425"/>
      <c r="AL400" s="748"/>
    </row>
    <row r="401" spans="1:38">
      <c r="A401" s="728">
        <v>396</v>
      </c>
      <c r="B401" s="727" t="s">
        <v>2648</v>
      </c>
      <c r="E401" s="1488">
        <f>SUM(E395:E400)</f>
        <v>139110.71000000002</v>
      </c>
      <c r="F401" s="1489"/>
      <c r="G401" s="1489"/>
      <c r="H401" s="1489"/>
      <c r="I401" s="1489"/>
      <c r="J401" s="1489"/>
      <c r="K401" s="1405"/>
      <c r="L401" s="1427"/>
      <c r="M401" s="1423">
        <f>SUM(M395:M400)</f>
        <v>140307.75463054824</v>
      </c>
      <c r="N401" s="1489"/>
      <c r="O401" s="1424"/>
      <c r="P401" s="1484"/>
      <c r="Q401" s="1423"/>
      <c r="R401" s="1489"/>
      <c r="S401" s="1424"/>
      <c r="T401" s="1484"/>
      <c r="U401" s="1423"/>
      <c r="V401" s="1489"/>
      <c r="W401" s="1489"/>
      <c r="X401" s="1489"/>
      <c r="Y401" s="1489"/>
      <c r="Z401" s="1489"/>
      <c r="AA401" s="1425"/>
      <c r="AB401" s="1425"/>
      <c r="AC401" s="1425"/>
      <c r="AD401" s="1489"/>
      <c r="AF401" s="1489"/>
      <c r="AG401" s="1489"/>
      <c r="AH401" s="1489"/>
      <c r="AI401" s="1430"/>
      <c r="AJ401" s="1425"/>
      <c r="AK401" s="1425"/>
      <c r="AL401" s="748"/>
    </row>
    <row r="402" spans="1:38">
      <c r="A402" s="728">
        <v>397</v>
      </c>
      <c r="B402" s="1443"/>
      <c r="E402" s="1488"/>
      <c r="K402" s="1405"/>
      <c r="L402" s="1427"/>
      <c r="M402" s="1423"/>
      <c r="O402" s="1423"/>
      <c r="P402" s="1423"/>
      <c r="Q402" s="1423"/>
      <c r="S402" s="1423"/>
      <c r="T402" s="1423"/>
      <c r="U402" s="1423"/>
      <c r="AI402" s="1430"/>
      <c r="AJ402" s="1425"/>
      <c r="AL402" s="748"/>
    </row>
    <row r="403" spans="1:38">
      <c r="A403" s="728">
        <v>398</v>
      </c>
      <c r="B403" s="727" t="s">
        <v>2651</v>
      </c>
      <c r="E403" s="1488"/>
      <c r="K403" s="1405"/>
      <c r="L403" s="1427"/>
      <c r="M403" s="1423"/>
      <c r="O403" s="1423"/>
      <c r="P403" s="1423"/>
      <c r="Q403" s="1423"/>
      <c r="S403" s="1423"/>
      <c r="T403" s="1423"/>
      <c r="U403" s="1423"/>
      <c r="AI403" s="1430"/>
      <c r="AJ403" s="1425"/>
      <c r="AL403" s="748"/>
    </row>
    <row r="404" spans="1:38">
      <c r="A404" s="728">
        <v>399</v>
      </c>
      <c r="B404" s="727" t="s">
        <v>2719</v>
      </c>
      <c r="E404" s="1488">
        <f>'1501 Summary'!AD283</f>
        <v>6164</v>
      </c>
      <c r="F404" s="1484"/>
      <c r="G404" s="1484"/>
      <c r="H404" s="1484"/>
      <c r="I404" s="1484"/>
      <c r="J404" s="1484"/>
      <c r="K404" s="1405"/>
      <c r="L404" s="1427"/>
      <c r="M404" s="1423"/>
      <c r="N404" s="1484"/>
      <c r="O404" s="1423"/>
      <c r="P404" s="1423"/>
      <c r="Q404" s="1423"/>
      <c r="R404" s="1484"/>
      <c r="S404" s="1423"/>
      <c r="T404" s="1423"/>
      <c r="U404" s="1423"/>
      <c r="V404" s="1484"/>
      <c r="W404" s="1484"/>
      <c r="X404" s="1484"/>
      <c r="Y404" s="1484"/>
      <c r="Z404" s="1484"/>
      <c r="AD404" s="1484"/>
      <c r="AF404" s="1484"/>
      <c r="AG404" s="1484"/>
      <c r="AH404" s="1484"/>
      <c r="AI404" s="1430"/>
      <c r="AJ404" s="1425"/>
      <c r="AL404" s="748"/>
    </row>
    <row r="405" spans="1:38">
      <c r="A405" s="728">
        <v>400</v>
      </c>
      <c r="B405" s="727" t="s">
        <v>0</v>
      </c>
      <c r="E405" s="1488">
        <f>'1501 Summary'!AD284</f>
        <v>0</v>
      </c>
      <c r="F405" s="1484"/>
      <c r="G405" s="1484"/>
      <c r="H405" s="1484"/>
      <c r="I405" s="1484"/>
      <c r="J405" s="1484"/>
      <c r="K405" s="1405"/>
      <c r="L405" s="1427"/>
      <c r="M405" s="1423"/>
      <c r="N405" s="1484"/>
      <c r="O405" s="1423"/>
      <c r="P405" s="1423"/>
      <c r="Q405" s="1423"/>
      <c r="R405" s="1484"/>
      <c r="S405" s="1423"/>
      <c r="T405" s="1423"/>
      <c r="U405" s="1423"/>
      <c r="V405" s="1484"/>
      <c r="W405" s="1484"/>
      <c r="X405" s="1484"/>
      <c r="Y405" s="1484"/>
      <c r="Z405" s="1484"/>
      <c r="AD405" s="1484"/>
      <c r="AF405" s="1484"/>
      <c r="AG405" s="1484"/>
      <c r="AH405" s="1484"/>
      <c r="AI405" s="1430"/>
      <c r="AJ405" s="1425"/>
      <c r="AL405" s="748"/>
    </row>
    <row r="406" spans="1:38">
      <c r="A406" s="728">
        <v>401</v>
      </c>
      <c r="B406" s="1482" t="s">
        <v>2697</v>
      </c>
      <c r="E406" s="1488">
        <f>'Revenue Reconcilliation'!Q260</f>
        <v>-145274.71</v>
      </c>
      <c r="F406" s="1484"/>
      <c r="G406" s="1484"/>
      <c r="H406" s="1484"/>
      <c r="I406" s="1484"/>
      <c r="J406" s="1484"/>
      <c r="K406" s="1405"/>
      <c r="L406" s="1427"/>
      <c r="M406" s="1423"/>
      <c r="N406" s="1484"/>
      <c r="O406" s="1423"/>
      <c r="P406" s="1423"/>
      <c r="Q406" s="1423"/>
      <c r="R406" s="1484"/>
      <c r="S406" s="1423"/>
      <c r="T406" s="1423"/>
      <c r="U406" s="1423"/>
      <c r="V406" s="1484"/>
      <c r="W406" s="1484"/>
      <c r="X406" s="1484"/>
      <c r="Y406" s="1484"/>
      <c r="Z406" s="1484"/>
      <c r="AD406" s="1484"/>
      <c r="AF406" s="1484"/>
      <c r="AG406" s="1484"/>
      <c r="AH406" s="1484"/>
      <c r="AI406" s="1430"/>
      <c r="AJ406" s="1425"/>
      <c r="AL406" s="748"/>
    </row>
    <row r="407" spans="1:38">
      <c r="A407" s="728">
        <v>402</v>
      </c>
      <c r="B407" s="1482" t="s">
        <v>2698</v>
      </c>
      <c r="E407" s="1492">
        <f>'Revenue Reconcilliation'!Q261</f>
        <v>145569.97999999998</v>
      </c>
      <c r="F407" s="1484"/>
      <c r="G407" s="1484"/>
      <c r="H407" s="1484"/>
      <c r="I407" s="1484"/>
      <c r="J407" s="1484"/>
      <c r="K407" s="1405"/>
      <c r="L407" s="1427"/>
      <c r="M407" s="1423"/>
      <c r="N407" s="1484"/>
      <c r="O407" s="1423"/>
      <c r="P407" s="1423"/>
      <c r="Q407" s="1423"/>
      <c r="R407" s="1484"/>
      <c r="S407" s="1423"/>
      <c r="T407" s="1423"/>
      <c r="U407" s="1423"/>
      <c r="V407" s="1484"/>
      <c r="W407" s="1484"/>
      <c r="X407" s="1484"/>
      <c r="Y407" s="1484"/>
      <c r="Z407" s="1484"/>
      <c r="AD407" s="1484"/>
      <c r="AF407" s="1484"/>
      <c r="AG407" s="1484"/>
      <c r="AH407" s="1484"/>
      <c r="AI407" s="1430"/>
      <c r="AJ407" s="1425"/>
      <c r="AL407" s="748"/>
    </row>
    <row r="408" spans="1:38">
      <c r="A408" s="728">
        <v>403</v>
      </c>
      <c r="B408" s="1443" t="s">
        <v>2678</v>
      </c>
      <c r="E408" s="1488">
        <f>SUM(E404:E407)</f>
        <v>6459.2699999999895</v>
      </c>
      <c r="F408" s="1422"/>
      <c r="G408" s="1422"/>
      <c r="H408" s="1422"/>
      <c r="I408" s="1422"/>
      <c r="J408" s="1422"/>
      <c r="K408" s="1405"/>
      <c r="L408" s="1427"/>
      <c r="M408" s="1423"/>
      <c r="N408" s="1422"/>
      <c r="O408" s="1423"/>
      <c r="P408" s="1423"/>
      <c r="Q408" s="1423"/>
      <c r="R408" s="1422"/>
      <c r="S408" s="1423"/>
      <c r="T408" s="1423"/>
      <c r="U408" s="1423"/>
      <c r="V408" s="1422"/>
      <c r="W408" s="1422"/>
      <c r="X408" s="1422"/>
      <c r="Y408" s="1422"/>
      <c r="Z408" s="1422"/>
      <c r="AD408" s="1422"/>
      <c r="AF408" s="1422"/>
      <c r="AG408" s="1422"/>
      <c r="AH408" s="1422"/>
      <c r="AI408" s="1430"/>
      <c r="AJ408" s="1425"/>
      <c r="AL408" s="748"/>
    </row>
    <row r="409" spans="1:38">
      <c r="A409" s="728">
        <v>404</v>
      </c>
      <c r="B409" s="1443"/>
      <c r="E409" s="1488"/>
      <c r="F409" s="1423"/>
      <c r="G409" s="1423"/>
      <c r="H409" s="1423"/>
      <c r="I409" s="1423"/>
      <c r="J409" s="1423"/>
      <c r="K409" s="1405"/>
      <c r="L409" s="1427"/>
      <c r="M409" s="1423"/>
      <c r="N409" s="1423"/>
      <c r="O409" s="1423"/>
      <c r="P409" s="1423"/>
      <c r="Q409" s="1423"/>
      <c r="R409" s="1423"/>
      <c r="S409" s="1423"/>
      <c r="T409" s="1423"/>
      <c r="U409" s="1423"/>
      <c r="V409" s="1423"/>
      <c r="W409" s="1423"/>
      <c r="X409" s="1423"/>
      <c r="Y409" s="1423"/>
      <c r="Z409" s="1423"/>
      <c r="AD409" s="1423"/>
      <c r="AF409" s="1423"/>
      <c r="AG409" s="1423"/>
      <c r="AH409" s="1423"/>
      <c r="AI409" s="1430"/>
      <c r="AJ409" s="1425"/>
      <c r="AL409" s="748"/>
    </row>
    <row r="410" spans="1:38">
      <c r="A410" s="728">
        <v>405</v>
      </c>
      <c r="B410" s="1444" t="s">
        <v>2744</v>
      </c>
      <c r="C410" s="1438">
        <f>E410-'Revenue Reconcilliation'!Q262</f>
        <v>0</v>
      </c>
      <c r="D410" s="1445" t="s">
        <v>2673</v>
      </c>
      <c r="E410" s="1492">
        <f>SUM(E401,E408)</f>
        <v>145569.98000000001</v>
      </c>
      <c r="F410" s="1438"/>
      <c r="G410" s="1438"/>
      <c r="H410" s="1438"/>
      <c r="I410" s="1438"/>
      <c r="J410" s="1438"/>
      <c r="K410" s="1447"/>
      <c r="L410" s="1446"/>
      <c r="M410" s="1437"/>
      <c r="N410" s="1438"/>
      <c r="O410" s="1437"/>
      <c r="P410" s="1437"/>
      <c r="Q410" s="1437"/>
      <c r="R410" s="1438"/>
      <c r="S410" s="1437"/>
      <c r="T410" s="1437"/>
      <c r="U410" s="1437"/>
      <c r="V410" s="1438"/>
      <c r="W410" s="1438"/>
      <c r="X410" s="1438"/>
      <c r="Y410" s="1438"/>
      <c r="Z410" s="1438"/>
      <c r="AA410" s="1437"/>
      <c r="AB410" s="1437"/>
      <c r="AC410" s="1437"/>
      <c r="AD410" s="1438"/>
      <c r="AE410" s="1447"/>
      <c r="AF410" s="1438"/>
      <c r="AG410" s="1438"/>
      <c r="AH410" s="1438"/>
      <c r="AI410" s="1490"/>
      <c r="AJ410" s="1440"/>
      <c r="AK410" s="1437"/>
      <c r="AL410" s="748"/>
    </row>
    <row r="411" spans="1:38">
      <c r="A411" s="728">
        <v>406</v>
      </c>
      <c r="K411" s="1405"/>
      <c r="L411" s="1427"/>
      <c r="M411" s="1423"/>
      <c r="O411" s="1423"/>
      <c r="P411" s="1423"/>
      <c r="Q411" s="1423"/>
      <c r="S411" s="1423"/>
      <c r="T411" s="1423"/>
      <c r="U411" s="1423"/>
      <c r="AI411" s="1430"/>
      <c r="AJ411" s="1425"/>
      <c r="AL411" s="748"/>
    </row>
    <row r="412" spans="1:38">
      <c r="A412" s="728">
        <v>407</v>
      </c>
      <c r="B412" s="1420" t="s">
        <v>2745</v>
      </c>
      <c r="E412" s="1423"/>
      <c r="F412" s="1423"/>
      <c r="G412" s="1423"/>
      <c r="H412" s="1423"/>
      <c r="I412" s="1423"/>
      <c r="J412" s="1423"/>
      <c r="K412" s="1405"/>
      <c r="L412" s="1427"/>
      <c r="M412" s="1423"/>
      <c r="N412" s="1423"/>
      <c r="O412" s="1423"/>
      <c r="P412" s="1423"/>
      <c r="Q412" s="1423"/>
      <c r="R412" s="1423"/>
      <c r="S412" s="1423"/>
      <c r="T412" s="1423"/>
      <c r="U412" s="1423"/>
      <c r="V412" s="1423"/>
      <c r="W412" s="1423"/>
      <c r="X412" s="1423"/>
      <c r="Y412" s="1423"/>
      <c r="Z412" s="1423"/>
      <c r="AA412" s="1423"/>
      <c r="AB412" s="1423"/>
      <c r="AC412" s="1423"/>
      <c r="AD412" s="1423"/>
      <c r="AF412" s="1423"/>
      <c r="AG412" s="1423"/>
      <c r="AH412" s="1423"/>
      <c r="AI412" s="1430"/>
      <c r="AJ412" s="1425"/>
      <c r="AK412" s="1423"/>
      <c r="AL412" s="748"/>
    </row>
    <row r="413" spans="1:38">
      <c r="A413" s="728">
        <v>408</v>
      </c>
      <c r="B413" s="727" t="s">
        <v>2724</v>
      </c>
      <c r="C413" s="1404">
        <f t="shared" ref="C413:C419" si="15">E413/D413</f>
        <v>12</v>
      </c>
      <c r="D413" s="1430">
        <v>625</v>
      </c>
      <c r="E413" s="1405">
        <f>'1501 Summary'!AD291</f>
        <v>7500</v>
      </c>
      <c r="F413" s="1429"/>
      <c r="G413" s="1429"/>
      <c r="H413" s="1429"/>
      <c r="I413" s="1429"/>
      <c r="J413" s="1429"/>
      <c r="K413" s="1405">
        <f t="shared" ref="K413:K419" si="16">C413+G413</f>
        <v>12</v>
      </c>
      <c r="L413" s="1422">
        <f>D413</f>
        <v>625</v>
      </c>
      <c r="M413" s="1423">
        <f>L413*K413</f>
        <v>7500</v>
      </c>
      <c r="N413" s="1429"/>
      <c r="O413" s="1424"/>
      <c r="P413" s="1484"/>
      <c r="Q413" s="1423"/>
      <c r="R413" s="1429"/>
      <c r="S413" s="1424"/>
      <c r="T413" s="1484"/>
      <c r="U413" s="1423"/>
      <c r="V413" s="1429"/>
      <c r="W413" s="1429"/>
      <c r="X413" s="1429"/>
      <c r="Y413" s="1429"/>
      <c r="Z413" s="1429"/>
      <c r="AA413" s="1425"/>
      <c r="AB413" s="1425"/>
      <c r="AC413" s="1425"/>
      <c r="AD413" s="1429"/>
      <c r="AF413" s="1429"/>
      <c r="AG413" s="1429"/>
      <c r="AH413" s="1429"/>
      <c r="AI413" s="1430"/>
      <c r="AJ413" s="1425"/>
      <c r="AK413" s="1425"/>
      <c r="AL413" s="748"/>
    </row>
    <row r="414" spans="1:38">
      <c r="A414" s="728">
        <v>409</v>
      </c>
      <c r="B414" s="727" t="s">
        <v>2736</v>
      </c>
      <c r="C414" s="1404">
        <f t="shared" si="15"/>
        <v>12</v>
      </c>
      <c r="D414" s="1430">
        <v>3950</v>
      </c>
      <c r="E414" s="1405">
        <f>'1501 Summary'!AD292</f>
        <v>47400</v>
      </c>
      <c r="F414" s="1449"/>
      <c r="G414" s="1449"/>
      <c r="H414" s="1449"/>
      <c r="I414" s="1449"/>
      <c r="J414" s="1449"/>
      <c r="K414" s="1405">
        <f t="shared" si="16"/>
        <v>12</v>
      </c>
      <c r="L414" s="1422">
        <f>D414</f>
        <v>3950</v>
      </c>
      <c r="M414" s="1423">
        <f>L414*K414</f>
        <v>47400</v>
      </c>
      <c r="N414" s="1449"/>
      <c r="O414" s="1424"/>
      <c r="P414" s="1484"/>
      <c r="Q414" s="1423"/>
      <c r="R414" s="1449"/>
      <c r="S414" s="1424"/>
      <c r="T414" s="1484"/>
      <c r="U414" s="1423"/>
      <c r="V414" s="1449"/>
      <c r="W414" s="1449"/>
      <c r="X414" s="1449"/>
      <c r="Y414" s="1449"/>
      <c r="Z414" s="1449"/>
      <c r="AA414" s="1425"/>
      <c r="AB414" s="1425"/>
      <c r="AC414" s="1425"/>
      <c r="AD414" s="1449"/>
      <c r="AF414" s="1449"/>
      <c r="AG414" s="1449"/>
      <c r="AH414" s="1449"/>
      <c r="AI414" s="1430"/>
      <c r="AJ414" s="1425"/>
      <c r="AK414" s="1425"/>
      <c r="AL414" s="748"/>
    </row>
    <row r="415" spans="1:38">
      <c r="A415" s="728">
        <v>410</v>
      </c>
      <c r="B415" s="727" t="s">
        <v>2714</v>
      </c>
      <c r="C415" s="1405">
        <f t="shared" si="15"/>
        <v>4869874.9999999991</v>
      </c>
      <c r="D415" s="1500">
        <v>4.0000000000000002E-4</v>
      </c>
      <c r="E415" s="1405">
        <f>'1501 Summary'!AD293</f>
        <v>1947.9499999999998</v>
      </c>
      <c r="F415" s="1449"/>
      <c r="G415" s="1449"/>
      <c r="H415" s="1449"/>
      <c r="I415" s="1449"/>
      <c r="J415" s="1449"/>
      <c r="K415" s="1405">
        <f t="shared" si="16"/>
        <v>4869874.9999999991</v>
      </c>
      <c r="L415" s="1427">
        <f>D415</f>
        <v>4.0000000000000002E-4</v>
      </c>
      <c r="M415" s="1423">
        <f>L415*K415</f>
        <v>1947.9499999999998</v>
      </c>
      <c r="N415" s="1449"/>
      <c r="O415" s="1424"/>
      <c r="P415" s="1484"/>
      <c r="Q415" s="1423"/>
      <c r="R415" s="1449"/>
      <c r="S415" s="1424"/>
      <c r="T415" s="1484"/>
      <c r="U415" s="1423"/>
      <c r="V415" s="1449"/>
      <c r="W415" s="1449"/>
      <c r="X415" s="1449"/>
      <c r="Y415" s="1449"/>
      <c r="Z415" s="1449"/>
      <c r="AA415" s="1425"/>
      <c r="AB415" s="1425"/>
      <c r="AC415" s="1425"/>
      <c r="AD415" s="1449"/>
      <c r="AF415" s="1449"/>
      <c r="AG415" s="1449"/>
      <c r="AH415" s="1449"/>
      <c r="AI415" s="1428"/>
      <c r="AJ415" s="1425"/>
      <c r="AK415" s="1425"/>
      <c r="AL415" s="748"/>
    </row>
    <row r="416" spans="1:38">
      <c r="A416" s="728">
        <v>411</v>
      </c>
      <c r="B416" s="727" t="s">
        <v>2713</v>
      </c>
      <c r="C416" s="1404">
        <v>0</v>
      </c>
      <c r="D416" s="1430">
        <v>0</v>
      </c>
      <c r="E416" s="1405">
        <f>'1501 Summary'!AD294</f>
        <v>0</v>
      </c>
      <c r="F416" s="1449"/>
      <c r="G416" s="1449"/>
      <c r="H416" s="1449"/>
      <c r="I416" s="1449"/>
      <c r="J416" s="1449"/>
      <c r="K416" s="1405">
        <f t="shared" si="16"/>
        <v>0</v>
      </c>
      <c r="L416" s="1427">
        <f>D416</f>
        <v>0</v>
      </c>
      <c r="M416" s="1423">
        <f>L416*K416</f>
        <v>0</v>
      </c>
      <c r="N416" s="1449"/>
      <c r="O416" s="1423"/>
      <c r="P416" s="1484"/>
      <c r="Q416" s="1423"/>
      <c r="R416" s="1449"/>
      <c r="S416" s="1423"/>
      <c r="T416" s="1484"/>
      <c r="U416" s="1423"/>
      <c r="V416" s="1449"/>
      <c r="W416" s="1449"/>
      <c r="X416" s="1449"/>
      <c r="Y416" s="1449"/>
      <c r="Z416" s="1449"/>
      <c r="AA416" s="1425"/>
      <c r="AB416" s="1425"/>
      <c r="AC416" s="1425"/>
      <c r="AD416" s="1449"/>
      <c r="AF416" s="1449"/>
      <c r="AG416" s="1449"/>
      <c r="AH416" s="1449"/>
      <c r="AI416" s="1428"/>
      <c r="AJ416" s="1425"/>
      <c r="AK416" s="1425"/>
      <c r="AL416" s="748"/>
    </row>
    <row r="417" spans="1:38">
      <c r="A417" s="728">
        <v>412</v>
      </c>
      <c r="B417" s="727" t="s">
        <v>2738</v>
      </c>
      <c r="C417" s="1404">
        <v>0</v>
      </c>
      <c r="D417" s="1430">
        <v>0</v>
      </c>
      <c r="E417" s="1405">
        <f>'1501 Summary'!AD295</f>
        <v>0</v>
      </c>
      <c r="F417" s="1449"/>
      <c r="G417" s="1449"/>
      <c r="H417" s="1449"/>
      <c r="I417" s="1449"/>
      <c r="J417" s="1449"/>
      <c r="K417" s="1405">
        <f t="shared" si="16"/>
        <v>0</v>
      </c>
      <c r="L417" s="1427">
        <f>D417</f>
        <v>0</v>
      </c>
      <c r="M417" s="1423">
        <f>L417*K417</f>
        <v>0</v>
      </c>
      <c r="N417" s="1449"/>
      <c r="O417" s="1423"/>
      <c r="P417" s="1484"/>
      <c r="Q417" s="1423"/>
      <c r="R417" s="1449"/>
      <c r="S417" s="1423"/>
      <c r="T417" s="1484"/>
      <c r="U417" s="1423"/>
      <c r="V417" s="1449"/>
      <c r="W417" s="1449"/>
      <c r="X417" s="1449"/>
      <c r="Y417" s="1449"/>
      <c r="Z417" s="1449"/>
      <c r="AA417" s="1425"/>
      <c r="AB417" s="1425"/>
      <c r="AC417" s="1425"/>
      <c r="AD417" s="1449"/>
      <c r="AF417" s="1449"/>
      <c r="AG417" s="1449"/>
      <c r="AH417" s="1449"/>
      <c r="AI417" s="1428"/>
      <c r="AJ417" s="1425"/>
      <c r="AK417" s="1425"/>
      <c r="AL417" s="748"/>
    </row>
    <row r="418" spans="1:38">
      <c r="A418" s="728">
        <v>413</v>
      </c>
      <c r="B418" s="727" t="s">
        <v>2739</v>
      </c>
      <c r="C418" s="1405">
        <f t="shared" si="15"/>
        <v>3877415.75125675</v>
      </c>
      <c r="D418" s="1501">
        <v>1.7724299999999998E-2</v>
      </c>
      <c r="E418" s="1405">
        <f>SUM('1501 Summary'!G296:W296)</f>
        <v>68724.48000000001</v>
      </c>
      <c r="F418" s="1449"/>
      <c r="G418" s="1449"/>
      <c r="H418" s="1449"/>
      <c r="I418" s="1449"/>
      <c r="J418" s="1449"/>
      <c r="K418" s="1405">
        <f t="shared" si="16"/>
        <v>3877415.75125675</v>
      </c>
      <c r="L418" s="1427"/>
      <c r="M418" s="1423"/>
      <c r="N418" s="1449"/>
      <c r="O418" s="1423"/>
      <c r="P418" s="1484"/>
      <c r="Q418" s="1423"/>
      <c r="R418" s="1449"/>
      <c r="S418" s="1423"/>
      <c r="T418" s="1484"/>
      <c r="U418" s="1423"/>
      <c r="V418" s="1449"/>
      <c r="W418" s="1449"/>
      <c r="X418" s="1449"/>
      <c r="Y418" s="1449"/>
      <c r="Z418" s="1449"/>
      <c r="AA418" s="1425"/>
      <c r="AB418" s="1425"/>
      <c r="AC418" s="1425"/>
      <c r="AD418" s="1449"/>
      <c r="AF418" s="1449"/>
      <c r="AG418" s="1449"/>
      <c r="AH418" s="1449"/>
      <c r="AI418" s="1428"/>
      <c r="AJ418" s="1425"/>
      <c r="AK418" s="1425"/>
      <c r="AL418" s="748"/>
    </row>
    <row r="419" spans="1:38">
      <c r="A419" s="728">
        <v>414</v>
      </c>
      <c r="B419" s="1453" t="s">
        <v>2740</v>
      </c>
      <c r="C419" s="1405">
        <f t="shared" si="15"/>
        <v>987421.0763053993</v>
      </c>
      <c r="D419" s="1501">
        <v>1.80079E-2</v>
      </c>
      <c r="E419" s="1447">
        <f>SUM('1501 Summary'!Y296:AC296)</f>
        <v>17781.38</v>
      </c>
      <c r="F419" s="1449"/>
      <c r="G419" s="1449"/>
      <c r="H419" s="1449"/>
      <c r="I419" s="1449"/>
      <c r="J419" s="1449"/>
      <c r="K419" s="1405">
        <f t="shared" si="16"/>
        <v>987421.0763053993</v>
      </c>
      <c r="L419" s="1427">
        <f>D419</f>
        <v>1.80079E-2</v>
      </c>
      <c r="M419" s="1437">
        <f>L419*SUM(K419,K418)</f>
        <v>87605.495107056442</v>
      </c>
      <c r="N419" s="1449"/>
      <c r="O419" s="1424"/>
      <c r="P419" s="1484"/>
      <c r="Q419" s="1423"/>
      <c r="R419" s="1449"/>
      <c r="S419" s="1424"/>
      <c r="T419" s="1484"/>
      <c r="U419" s="1423"/>
      <c r="V419" s="1449"/>
      <c r="W419" s="1449"/>
      <c r="X419" s="1449"/>
      <c r="Y419" s="1449"/>
      <c r="Z419" s="1449"/>
      <c r="AA419" s="1425"/>
      <c r="AB419" s="1425"/>
      <c r="AC419" s="1425"/>
      <c r="AD419" s="1449"/>
      <c r="AF419" s="1449"/>
      <c r="AG419" s="1449"/>
      <c r="AH419" s="1449"/>
      <c r="AI419" s="1428"/>
      <c r="AJ419" s="1425"/>
      <c r="AK419" s="1425"/>
      <c r="AL419" s="748"/>
    </row>
    <row r="420" spans="1:38">
      <c r="A420" s="728">
        <v>415</v>
      </c>
      <c r="B420" s="727" t="s">
        <v>2648</v>
      </c>
      <c r="E420" s="1434">
        <f>SUM(E413:E419)</f>
        <v>143353.81</v>
      </c>
      <c r="F420" s="1449"/>
      <c r="G420" s="1449"/>
      <c r="H420" s="1449"/>
      <c r="I420" s="1449"/>
      <c r="J420" s="1449"/>
      <c r="K420" s="1405"/>
      <c r="L420" s="1427"/>
      <c r="M420" s="1423">
        <f>SUM(M413:M419)</f>
        <v>144453.44510705644</v>
      </c>
      <c r="N420" s="1449"/>
      <c r="O420" s="1423"/>
      <c r="P420" s="1423"/>
      <c r="Q420" s="1423"/>
      <c r="R420" s="1449"/>
      <c r="S420" s="1423"/>
      <c r="T420" s="1423"/>
      <c r="U420" s="1423"/>
      <c r="V420" s="1449"/>
      <c r="W420" s="1449"/>
      <c r="X420" s="1449"/>
      <c r="Y420" s="1449"/>
      <c r="Z420" s="1449"/>
      <c r="AA420" s="1425"/>
      <c r="AB420" s="1425"/>
      <c r="AC420" s="1425"/>
      <c r="AD420" s="1449"/>
      <c r="AF420" s="1449"/>
      <c r="AG420" s="1449"/>
      <c r="AH420" s="1449"/>
      <c r="AI420" s="1430"/>
      <c r="AJ420" s="1425"/>
      <c r="AK420" s="1425"/>
      <c r="AL420" s="748"/>
    </row>
    <row r="421" spans="1:38">
      <c r="A421" s="728">
        <v>416</v>
      </c>
      <c r="B421" s="1443"/>
      <c r="E421" s="1434"/>
      <c r="F421" s="1449"/>
      <c r="G421" s="1449"/>
      <c r="H421" s="1449"/>
      <c r="I421" s="1449"/>
      <c r="J421" s="1449"/>
      <c r="K421" s="1405"/>
      <c r="L421" s="1427"/>
      <c r="M421" s="1423"/>
      <c r="N421" s="1449"/>
      <c r="O421" s="1423"/>
      <c r="P421" s="1423"/>
      <c r="Q421" s="1423"/>
      <c r="R421" s="1449"/>
      <c r="S421" s="1423"/>
      <c r="T421" s="1423"/>
      <c r="U421" s="1423"/>
      <c r="V421" s="1449"/>
      <c r="W421" s="1449"/>
      <c r="X421" s="1449"/>
      <c r="Y421" s="1449"/>
      <c r="Z421" s="1449"/>
      <c r="AD421" s="1449"/>
      <c r="AF421" s="1449"/>
      <c r="AG421" s="1449"/>
      <c r="AH421" s="1449"/>
      <c r="AI421" s="1430"/>
      <c r="AJ421" s="1425"/>
      <c r="AL421" s="748"/>
    </row>
    <row r="422" spans="1:38">
      <c r="A422" s="728">
        <v>417</v>
      </c>
      <c r="B422" s="727" t="s">
        <v>2651</v>
      </c>
      <c r="E422" s="1434"/>
      <c r="F422" s="1449"/>
      <c r="G422" s="1449"/>
      <c r="H422" s="1449"/>
      <c r="I422" s="1449"/>
      <c r="J422" s="1449"/>
      <c r="K422" s="1405"/>
      <c r="L422" s="1427"/>
      <c r="M422" s="1423"/>
      <c r="N422" s="1449"/>
      <c r="O422" s="1423"/>
      <c r="P422" s="1423"/>
      <c r="Q422" s="1423"/>
      <c r="R422" s="1449"/>
      <c r="S422" s="1423"/>
      <c r="T422" s="1423"/>
      <c r="U422" s="1423"/>
      <c r="V422" s="1449"/>
      <c r="W422" s="1449"/>
      <c r="X422" s="1449"/>
      <c r="Y422" s="1449"/>
      <c r="Z422" s="1449"/>
      <c r="AD422" s="1449"/>
      <c r="AF422" s="1449"/>
      <c r="AG422" s="1449"/>
      <c r="AH422" s="1449"/>
      <c r="AI422" s="1430"/>
      <c r="AJ422" s="1425"/>
      <c r="AL422" s="748"/>
    </row>
    <row r="423" spans="1:38">
      <c r="A423" s="728">
        <v>418</v>
      </c>
      <c r="B423" s="727" t="s">
        <v>2719</v>
      </c>
      <c r="E423" s="1434">
        <f>'1501 Summary'!AD298</f>
        <v>6352.0100000000011</v>
      </c>
      <c r="F423" s="1449"/>
      <c r="G423" s="1449"/>
      <c r="H423" s="1449"/>
      <c r="I423" s="1449"/>
      <c r="J423" s="1449"/>
      <c r="K423" s="1405"/>
      <c r="L423" s="1427"/>
      <c r="M423" s="1423"/>
      <c r="N423" s="1449"/>
      <c r="O423" s="1423"/>
      <c r="P423" s="1423"/>
      <c r="Q423" s="1423"/>
      <c r="R423" s="1449"/>
      <c r="S423" s="1423"/>
      <c r="T423" s="1423"/>
      <c r="U423" s="1423"/>
      <c r="V423" s="1449"/>
      <c r="W423" s="1449"/>
      <c r="X423" s="1449"/>
      <c r="Y423" s="1449"/>
      <c r="Z423" s="1449"/>
      <c r="AD423" s="1449"/>
      <c r="AF423" s="1449"/>
      <c r="AG423" s="1449"/>
      <c r="AH423" s="1449"/>
      <c r="AI423" s="1430"/>
      <c r="AJ423" s="1425"/>
      <c r="AL423" s="748"/>
    </row>
    <row r="424" spans="1:38">
      <c r="A424" s="728">
        <v>419</v>
      </c>
      <c r="B424" s="727" t="s">
        <v>0</v>
      </c>
      <c r="E424" s="1503"/>
      <c r="F424" s="1449"/>
      <c r="G424" s="1449"/>
      <c r="H424" s="1449"/>
      <c r="I424" s="1449"/>
      <c r="J424" s="1449"/>
      <c r="K424" s="1405"/>
      <c r="L424" s="1427"/>
      <c r="M424" s="1423"/>
      <c r="N424" s="1449"/>
      <c r="O424" s="1423"/>
      <c r="P424" s="1423"/>
      <c r="Q424" s="1423"/>
      <c r="R424" s="1449"/>
      <c r="S424" s="1423"/>
      <c r="T424" s="1423"/>
      <c r="U424" s="1423"/>
      <c r="V424" s="1449"/>
      <c r="W424" s="1449"/>
      <c r="X424" s="1449"/>
      <c r="Y424" s="1449"/>
      <c r="Z424" s="1449"/>
      <c r="AD424" s="1449"/>
      <c r="AF424" s="1449"/>
      <c r="AG424" s="1449"/>
      <c r="AH424" s="1449"/>
      <c r="AI424" s="1430"/>
      <c r="AJ424" s="1425"/>
      <c r="AL424" s="748"/>
    </row>
    <row r="425" spans="1:38">
      <c r="A425" s="728">
        <v>420</v>
      </c>
      <c r="B425" s="1482" t="s">
        <v>2697</v>
      </c>
      <c r="E425" s="1434">
        <f>'Revenue Reconcilliation'!Q280</f>
        <v>-149705.82</v>
      </c>
      <c r="F425" s="1449"/>
      <c r="G425" s="1449"/>
      <c r="H425" s="1449"/>
      <c r="I425" s="1449"/>
      <c r="J425" s="1449"/>
      <c r="K425" s="1405"/>
      <c r="L425" s="1427"/>
      <c r="M425" s="1423"/>
      <c r="N425" s="1449"/>
      <c r="O425" s="1423"/>
      <c r="P425" s="1423"/>
      <c r="Q425" s="1423"/>
      <c r="R425" s="1449"/>
      <c r="S425" s="1423"/>
      <c r="T425" s="1423"/>
      <c r="U425" s="1423"/>
      <c r="V425" s="1449"/>
      <c r="W425" s="1449"/>
      <c r="X425" s="1449"/>
      <c r="Y425" s="1449"/>
      <c r="Z425" s="1449"/>
      <c r="AD425" s="1449"/>
      <c r="AF425" s="1449"/>
      <c r="AG425" s="1449"/>
      <c r="AH425" s="1449"/>
      <c r="AI425" s="1430"/>
      <c r="AJ425" s="1425"/>
      <c r="AL425" s="748"/>
    </row>
    <row r="426" spans="1:38">
      <c r="A426" s="728">
        <v>421</v>
      </c>
      <c r="B426" s="1482" t="s">
        <v>2698</v>
      </c>
      <c r="E426" s="1504">
        <f>'Revenue Reconcilliation'!Q281</f>
        <v>149660.71</v>
      </c>
      <c r="F426" s="1449"/>
      <c r="G426" s="1449"/>
      <c r="H426" s="1449"/>
      <c r="I426" s="1449"/>
      <c r="J426" s="1449"/>
      <c r="K426" s="1405"/>
      <c r="L426" s="1427"/>
      <c r="M426" s="1423"/>
      <c r="N426" s="1449"/>
      <c r="O426" s="1423"/>
      <c r="P426" s="1423"/>
      <c r="Q426" s="1423"/>
      <c r="R426" s="1449"/>
      <c r="S426" s="1423"/>
      <c r="T426" s="1423"/>
      <c r="U426" s="1423"/>
      <c r="V426" s="1449"/>
      <c r="W426" s="1449"/>
      <c r="X426" s="1449"/>
      <c r="Y426" s="1449"/>
      <c r="Z426" s="1449"/>
      <c r="AD426" s="1449"/>
      <c r="AF426" s="1449"/>
      <c r="AG426" s="1449"/>
      <c r="AH426" s="1449"/>
      <c r="AI426" s="1430"/>
      <c r="AJ426" s="1425"/>
      <c r="AL426" s="748"/>
    </row>
    <row r="427" spans="1:38">
      <c r="A427" s="728">
        <v>422</v>
      </c>
      <c r="B427" s="1443" t="s">
        <v>2678</v>
      </c>
      <c r="E427" s="1434">
        <f>SUM(E423:E426)</f>
        <v>6306.8999999999942</v>
      </c>
      <c r="F427" s="1449"/>
      <c r="G427" s="1449"/>
      <c r="H427" s="1449"/>
      <c r="I427" s="1449"/>
      <c r="J427" s="1449"/>
      <c r="K427" s="1405"/>
      <c r="L427" s="1427"/>
      <c r="M427" s="1423"/>
      <c r="N427" s="1449"/>
      <c r="O427" s="1423"/>
      <c r="P427" s="1423"/>
      <c r="Q427" s="1423"/>
      <c r="R427" s="1449"/>
      <c r="S427" s="1423"/>
      <c r="T427" s="1423"/>
      <c r="U427" s="1423"/>
      <c r="V427" s="1449"/>
      <c r="W427" s="1449"/>
      <c r="X427" s="1449"/>
      <c r="Y427" s="1449"/>
      <c r="Z427" s="1449"/>
      <c r="AD427" s="1449"/>
      <c r="AF427" s="1449"/>
      <c r="AG427" s="1449"/>
      <c r="AH427" s="1449"/>
      <c r="AI427" s="1430"/>
      <c r="AJ427" s="1425"/>
      <c r="AL427" s="748"/>
    </row>
    <row r="428" spans="1:38">
      <c r="A428" s="728">
        <v>423</v>
      </c>
      <c r="B428" s="1482"/>
      <c r="E428" s="1434"/>
      <c r="F428" s="1449"/>
      <c r="G428" s="1449"/>
      <c r="H428" s="1449"/>
      <c r="I428" s="1449"/>
      <c r="J428" s="1449"/>
      <c r="K428" s="1405"/>
      <c r="L428" s="1427"/>
      <c r="M428" s="1423"/>
      <c r="N428" s="1449"/>
      <c r="O428" s="1423"/>
      <c r="P428" s="1423"/>
      <c r="Q428" s="1423"/>
      <c r="R428" s="1449"/>
      <c r="S428" s="1423"/>
      <c r="T428" s="1423"/>
      <c r="U428" s="1423"/>
      <c r="V428" s="1449"/>
      <c r="W428" s="1449"/>
      <c r="X428" s="1449"/>
      <c r="Y428" s="1449"/>
      <c r="Z428" s="1449"/>
      <c r="AD428" s="1449"/>
      <c r="AF428" s="1449"/>
      <c r="AG428" s="1449"/>
      <c r="AH428" s="1449"/>
      <c r="AI428" s="1430"/>
      <c r="AJ428" s="1425"/>
      <c r="AL428" s="748"/>
    </row>
    <row r="429" spans="1:38">
      <c r="A429" s="728">
        <v>424</v>
      </c>
      <c r="B429" s="1444" t="s">
        <v>2746</v>
      </c>
      <c r="C429" s="1505">
        <f>E429-'Revenue Reconcilliation'!Q282</f>
        <v>0</v>
      </c>
      <c r="D429" s="1445" t="s">
        <v>2673</v>
      </c>
      <c r="E429" s="1506">
        <f>SUM(E420,E427)</f>
        <v>149660.71</v>
      </c>
      <c r="F429" s="1490"/>
      <c r="G429" s="1490"/>
      <c r="H429" s="1490"/>
      <c r="I429" s="1490"/>
      <c r="J429" s="1490"/>
      <c r="K429" s="1447"/>
      <c r="L429" s="1446"/>
      <c r="M429" s="1437"/>
      <c r="N429" s="1490"/>
      <c r="O429" s="1423"/>
      <c r="P429" s="1423"/>
      <c r="Q429" s="1423"/>
      <c r="R429" s="1490"/>
      <c r="S429" s="1423"/>
      <c r="T429" s="1423"/>
      <c r="U429" s="1423"/>
      <c r="V429" s="1490"/>
      <c r="W429" s="1490"/>
      <c r="X429" s="1490"/>
      <c r="Y429" s="1490"/>
      <c r="Z429" s="1490"/>
      <c r="AA429" s="1445"/>
      <c r="AB429" s="1445"/>
      <c r="AC429" s="1445"/>
      <c r="AD429" s="1490"/>
      <c r="AF429" s="1430"/>
      <c r="AG429" s="1430"/>
      <c r="AH429" s="1430"/>
      <c r="AI429" s="1430"/>
      <c r="AJ429" s="1425"/>
      <c r="AL429" s="748"/>
    </row>
    <row r="430" spans="1:38">
      <c r="A430" s="728">
        <v>425</v>
      </c>
      <c r="E430" s="1426"/>
      <c r="F430" s="1426"/>
      <c r="G430" s="1426"/>
      <c r="H430" s="1426"/>
      <c r="I430" s="1426"/>
      <c r="J430" s="1426"/>
      <c r="K430" s="1405"/>
      <c r="L430" s="1427"/>
      <c r="M430" s="1423"/>
      <c r="N430" s="1426"/>
      <c r="O430" s="1423"/>
      <c r="P430" s="1423"/>
      <c r="Q430" s="1423"/>
      <c r="R430" s="1426"/>
      <c r="S430" s="1423"/>
      <c r="T430" s="1423"/>
      <c r="U430" s="1423"/>
      <c r="V430" s="1426"/>
      <c r="W430" s="1426"/>
      <c r="X430" s="1426"/>
      <c r="Y430" s="1426"/>
      <c r="Z430" s="1426"/>
      <c r="AD430" s="1426"/>
      <c r="AF430" s="1426"/>
      <c r="AG430" s="1426"/>
      <c r="AH430" s="1426"/>
      <c r="AI430" s="1430"/>
      <c r="AJ430" s="1425"/>
      <c r="AL430" s="748"/>
    </row>
    <row r="431" spans="1:38">
      <c r="A431" s="728">
        <v>426</v>
      </c>
      <c r="B431" s="1420" t="s">
        <v>2747</v>
      </c>
      <c r="D431" s="1450"/>
      <c r="E431" s="1426"/>
      <c r="F431" s="1426"/>
      <c r="G431" s="1426"/>
      <c r="H431" s="1426"/>
      <c r="I431" s="1426"/>
      <c r="J431" s="1426"/>
      <c r="K431" s="1405"/>
      <c r="L431" s="1427"/>
      <c r="M431" s="1423"/>
      <c r="N431" s="1426"/>
      <c r="O431" s="1423"/>
      <c r="P431" s="1423"/>
      <c r="Q431" s="1423"/>
      <c r="R431" s="1426"/>
      <c r="S431" s="1423"/>
      <c r="T431" s="1423"/>
      <c r="U431" s="1423"/>
      <c r="V431" s="1426"/>
      <c r="W431" s="1426"/>
      <c r="X431" s="1426"/>
      <c r="Y431" s="1426"/>
      <c r="Z431" s="1426"/>
      <c r="AD431" s="1426"/>
      <c r="AF431" s="1426"/>
      <c r="AG431" s="1426"/>
      <c r="AH431" s="1426"/>
      <c r="AI431" s="1430"/>
      <c r="AJ431" s="1425"/>
      <c r="AL431" s="748"/>
    </row>
    <row r="432" spans="1:38">
      <c r="A432" s="728">
        <v>427</v>
      </c>
      <c r="B432" s="727" t="s">
        <v>2724</v>
      </c>
      <c r="C432" s="1507">
        <f t="shared" ref="C432:C438" si="17">E432/D432</f>
        <v>12</v>
      </c>
      <c r="D432" s="1430">
        <v>625</v>
      </c>
      <c r="E432" s="1488">
        <f>'1501 Summary'!AD305</f>
        <v>7500</v>
      </c>
      <c r="F432" s="1489"/>
      <c r="G432" s="1489"/>
      <c r="H432" s="1489"/>
      <c r="I432" s="1489"/>
      <c r="J432" s="1489"/>
      <c r="K432" s="1405">
        <f>C432+G432</f>
        <v>12</v>
      </c>
      <c r="L432" s="1422">
        <f>D432</f>
        <v>625</v>
      </c>
      <c r="M432" s="1423">
        <f>L432*K432</f>
        <v>7500</v>
      </c>
      <c r="N432" s="1489"/>
      <c r="O432" s="1424"/>
      <c r="P432" s="1484"/>
      <c r="Q432" s="1423"/>
      <c r="R432" s="1489"/>
      <c r="S432" s="1424"/>
      <c r="T432" s="1484"/>
      <c r="U432" s="1423"/>
      <c r="V432" s="1489"/>
      <c r="W432" s="1489"/>
      <c r="X432" s="1489"/>
      <c r="Y432" s="1489"/>
      <c r="Z432" s="1489"/>
      <c r="AA432" s="1425"/>
      <c r="AB432" s="1425"/>
      <c r="AC432" s="1425"/>
      <c r="AD432" s="1489"/>
      <c r="AF432" s="1489"/>
      <c r="AG432" s="1489"/>
      <c r="AH432" s="1489"/>
      <c r="AI432" s="1430"/>
      <c r="AJ432" s="1425"/>
      <c r="AK432" s="1425"/>
      <c r="AL432" s="748"/>
    </row>
    <row r="433" spans="1:38">
      <c r="A433" s="728">
        <v>428</v>
      </c>
      <c r="B433" s="727" t="s">
        <v>2736</v>
      </c>
      <c r="C433" s="1507">
        <f t="shared" si="17"/>
        <v>12</v>
      </c>
      <c r="D433" s="1430">
        <v>6725</v>
      </c>
      <c r="E433" s="1488">
        <f>'1501 Summary'!AD306</f>
        <v>80700</v>
      </c>
      <c r="F433" s="1489"/>
      <c r="G433" s="1489"/>
      <c r="H433" s="1489"/>
      <c r="I433" s="1489"/>
      <c r="J433" s="1489"/>
      <c r="K433" s="1405">
        <f>C433+G433</f>
        <v>12</v>
      </c>
      <c r="L433" s="1422">
        <f>D433</f>
        <v>6725</v>
      </c>
      <c r="M433" s="1423">
        <f>L433*K433</f>
        <v>80700</v>
      </c>
      <c r="N433" s="1489"/>
      <c r="O433" s="1424"/>
      <c r="P433" s="1484"/>
      <c r="Q433" s="1423"/>
      <c r="R433" s="1489"/>
      <c r="S433" s="1424"/>
      <c r="T433" s="1484"/>
      <c r="U433" s="1423"/>
      <c r="V433" s="1489"/>
      <c r="W433" s="1489"/>
      <c r="X433" s="1489"/>
      <c r="Y433" s="1489"/>
      <c r="Z433" s="1489"/>
      <c r="AA433" s="1425"/>
      <c r="AB433" s="1425"/>
      <c r="AC433" s="1425"/>
      <c r="AD433" s="1489"/>
      <c r="AF433" s="1489"/>
      <c r="AG433" s="1489"/>
      <c r="AH433" s="1489"/>
      <c r="AI433" s="1430"/>
      <c r="AJ433" s="1425"/>
      <c r="AK433" s="1425"/>
      <c r="AL433" s="748"/>
    </row>
    <row r="434" spans="1:38">
      <c r="A434" s="728">
        <v>429</v>
      </c>
      <c r="B434" s="727" t="s">
        <v>2714</v>
      </c>
      <c r="C434" s="1507">
        <f t="shared" si="17"/>
        <v>12468999.999999998</v>
      </c>
      <c r="D434" s="1500">
        <v>4.0000000000000002E-4</v>
      </c>
      <c r="E434" s="1488">
        <f>'1501 Summary'!AD307</f>
        <v>4987.5999999999995</v>
      </c>
      <c r="F434" s="1489"/>
      <c r="G434" s="1489"/>
      <c r="H434" s="1489"/>
      <c r="I434" s="1489"/>
      <c r="J434" s="1489"/>
      <c r="K434" s="1405">
        <f>C434+G434</f>
        <v>12468999.999999998</v>
      </c>
      <c r="L434" s="1427">
        <f>D434</f>
        <v>4.0000000000000002E-4</v>
      </c>
      <c r="M434" s="1423">
        <f>L434*K434</f>
        <v>4987.5999999999995</v>
      </c>
      <c r="N434" s="1489"/>
      <c r="O434" s="1424"/>
      <c r="P434" s="1484"/>
      <c r="Q434" s="1423"/>
      <c r="R434" s="1489"/>
      <c r="S434" s="1424"/>
      <c r="T434" s="1484"/>
      <c r="U434" s="1423"/>
      <c r="V434" s="1489"/>
      <c r="W434" s="1489"/>
      <c r="X434" s="1489"/>
      <c r="Y434" s="1489"/>
      <c r="Z434" s="1489"/>
      <c r="AA434" s="1425"/>
      <c r="AB434" s="1425"/>
      <c r="AC434" s="1425"/>
      <c r="AD434" s="1489"/>
      <c r="AF434" s="1489"/>
      <c r="AG434" s="1489"/>
      <c r="AH434" s="1489"/>
      <c r="AI434" s="1428"/>
      <c r="AJ434" s="1425"/>
      <c r="AK434" s="1425"/>
      <c r="AL434" s="748"/>
    </row>
    <row r="435" spans="1:38">
      <c r="A435" s="728">
        <v>430</v>
      </c>
      <c r="B435" s="727" t="s">
        <v>2713</v>
      </c>
      <c r="C435" s="1507">
        <v>0</v>
      </c>
      <c r="D435" s="1404">
        <v>0</v>
      </c>
      <c r="E435" s="1488">
        <f>'1501 Summary'!AD308</f>
        <v>0</v>
      </c>
      <c r="F435" s="1489"/>
      <c r="G435" s="1489"/>
      <c r="H435" s="1489"/>
      <c r="I435" s="1489"/>
      <c r="J435" s="1489"/>
      <c r="K435" s="1405"/>
      <c r="L435" s="1427"/>
      <c r="M435" s="1423">
        <f>L435*K435</f>
        <v>0</v>
      </c>
      <c r="N435" s="1489"/>
      <c r="O435" s="1423"/>
      <c r="P435" s="1484"/>
      <c r="Q435" s="1423"/>
      <c r="R435" s="1489"/>
      <c r="S435" s="1423"/>
      <c r="T435" s="1484"/>
      <c r="U435" s="1423"/>
      <c r="V435" s="1489"/>
      <c r="W435" s="1489"/>
      <c r="X435" s="1489"/>
      <c r="Y435" s="1489"/>
      <c r="Z435" s="1489"/>
      <c r="AA435" s="1425"/>
      <c r="AB435" s="1425"/>
      <c r="AC435" s="1425"/>
      <c r="AD435" s="1489"/>
      <c r="AF435" s="1489"/>
      <c r="AG435" s="1489"/>
      <c r="AH435" s="1489"/>
      <c r="AI435" s="1428"/>
      <c r="AJ435" s="1425"/>
      <c r="AK435" s="1425"/>
      <c r="AL435" s="748"/>
    </row>
    <row r="436" spans="1:38">
      <c r="A436" s="728">
        <v>431</v>
      </c>
      <c r="B436" s="727" t="s">
        <v>2738</v>
      </c>
      <c r="C436" s="1507">
        <v>0</v>
      </c>
      <c r="D436" s="1404">
        <v>0</v>
      </c>
      <c r="E436" s="1488">
        <f>'1501 Summary'!AD309</f>
        <v>0</v>
      </c>
      <c r="F436" s="1489"/>
      <c r="G436" s="1489"/>
      <c r="H436" s="1489"/>
      <c r="I436" s="1489"/>
      <c r="J436" s="1489"/>
      <c r="K436" s="1405"/>
      <c r="L436" s="1427"/>
      <c r="M436" s="1423">
        <f>L436*K436</f>
        <v>0</v>
      </c>
      <c r="N436" s="1489"/>
      <c r="O436" s="1423"/>
      <c r="P436" s="1484"/>
      <c r="Q436" s="1423"/>
      <c r="R436" s="1489"/>
      <c r="S436" s="1423"/>
      <c r="T436" s="1484"/>
      <c r="U436" s="1423"/>
      <c r="V436" s="1489"/>
      <c r="W436" s="1489"/>
      <c r="X436" s="1489"/>
      <c r="Y436" s="1489"/>
      <c r="Z436" s="1489"/>
      <c r="AA436" s="1425"/>
      <c r="AB436" s="1425"/>
      <c r="AC436" s="1425"/>
      <c r="AD436" s="1489"/>
      <c r="AF436" s="1489"/>
      <c r="AG436" s="1489"/>
      <c r="AH436" s="1489"/>
      <c r="AI436" s="1428"/>
      <c r="AJ436" s="1425"/>
      <c r="AK436" s="1425"/>
      <c r="AL436" s="748"/>
    </row>
    <row r="437" spans="1:38">
      <c r="A437" s="728">
        <v>432</v>
      </c>
      <c r="B437" s="727" t="s">
        <v>2739</v>
      </c>
      <c r="C437" s="1507">
        <f t="shared" si="17"/>
        <v>9608534.1893350314</v>
      </c>
      <c r="D437" s="1501">
        <v>1.0841099999999999E-2</v>
      </c>
      <c r="E437" s="1488">
        <f>SUM('1501 Summary'!G310:W310)</f>
        <v>104167.08</v>
      </c>
      <c r="F437" s="1489"/>
      <c r="G437" s="1489"/>
      <c r="H437" s="1489"/>
      <c r="I437" s="1489"/>
      <c r="J437" s="1489"/>
      <c r="K437" s="1405">
        <f>C437+G437</f>
        <v>9608534.1893350314</v>
      </c>
      <c r="L437" s="1427"/>
      <c r="M437" s="1423"/>
      <c r="N437" s="1489"/>
      <c r="O437" s="1423"/>
      <c r="P437" s="1484"/>
      <c r="Q437" s="1423"/>
      <c r="R437" s="1489"/>
      <c r="S437" s="1423"/>
      <c r="T437" s="1484"/>
      <c r="U437" s="1423"/>
      <c r="V437" s="1489"/>
      <c r="W437" s="1489"/>
      <c r="X437" s="1489"/>
      <c r="Y437" s="1489"/>
      <c r="Z437" s="1489"/>
      <c r="AA437" s="1425"/>
      <c r="AB437" s="1425"/>
      <c r="AC437" s="1425"/>
      <c r="AD437" s="1489"/>
      <c r="AF437" s="1489"/>
      <c r="AG437" s="1489"/>
      <c r="AH437" s="1489"/>
      <c r="AI437" s="1428"/>
      <c r="AJ437" s="1425"/>
      <c r="AK437" s="1425"/>
      <c r="AL437" s="748"/>
    </row>
    <row r="438" spans="1:38">
      <c r="A438" s="728">
        <v>433</v>
      </c>
      <c r="B438" s="1453" t="s">
        <v>2740</v>
      </c>
      <c r="C438" s="1507">
        <f t="shared" si="17"/>
        <v>2846610.861946871</v>
      </c>
      <c r="D438" s="1501">
        <v>1.1014599999999999E-2</v>
      </c>
      <c r="E438" s="1492">
        <f>SUM('1501 Summary'!Y310:AC310)</f>
        <v>31354.280000000002</v>
      </c>
      <c r="F438" s="1489"/>
      <c r="G438" s="1489"/>
      <c r="H438" s="1489"/>
      <c r="I438" s="1489"/>
      <c r="J438" s="1489"/>
      <c r="K438" s="1405">
        <f>C438+G438</f>
        <v>2846610.861946871</v>
      </c>
      <c r="L438" s="1427">
        <f>D438</f>
        <v>1.1014599999999999E-2</v>
      </c>
      <c r="M438" s="1437">
        <f>L438*SUM(K438,K437)</f>
        <v>137188.44068184964</v>
      </c>
      <c r="N438" s="1489"/>
      <c r="O438" s="1424"/>
      <c r="P438" s="1484"/>
      <c r="Q438" s="1423"/>
      <c r="R438" s="1489"/>
      <c r="S438" s="1424"/>
      <c r="T438" s="1484"/>
      <c r="U438" s="1423"/>
      <c r="V438" s="1489"/>
      <c r="W438" s="1489"/>
      <c r="X438" s="1489"/>
      <c r="Y438" s="1489"/>
      <c r="Z438" s="1489"/>
      <c r="AA438" s="1425"/>
      <c r="AB438" s="1425"/>
      <c r="AC438" s="1425"/>
      <c r="AD438" s="1489"/>
      <c r="AF438" s="1489"/>
      <c r="AG438" s="1489"/>
      <c r="AH438" s="1489"/>
      <c r="AI438" s="1428"/>
      <c r="AJ438" s="1425"/>
      <c r="AK438" s="1425"/>
      <c r="AL438" s="748"/>
    </row>
    <row r="439" spans="1:38">
      <c r="A439" s="728">
        <v>434</v>
      </c>
      <c r="B439" s="727" t="s">
        <v>2648</v>
      </c>
      <c r="E439" s="1488">
        <f>SUM(E432:E438)</f>
        <v>228708.96</v>
      </c>
      <c r="F439" s="1489"/>
      <c r="G439" s="1489"/>
      <c r="H439" s="1489"/>
      <c r="I439" s="1489"/>
      <c r="J439" s="1489"/>
      <c r="K439" s="1405"/>
      <c r="L439" s="1427"/>
      <c r="M439" s="1423">
        <f>SUM(M432:M438)</f>
        <v>230376.04068184964</v>
      </c>
      <c r="N439" s="1489"/>
      <c r="O439" s="1423"/>
      <c r="P439" s="1423"/>
      <c r="Q439" s="1423"/>
      <c r="R439" s="1489"/>
      <c r="S439" s="1423"/>
      <c r="T439" s="1423"/>
      <c r="U439" s="1423"/>
      <c r="V439" s="1489"/>
      <c r="W439" s="1489"/>
      <c r="X439" s="1489"/>
      <c r="Y439" s="1489"/>
      <c r="Z439" s="1489"/>
      <c r="AA439" s="1441"/>
      <c r="AB439" s="1441"/>
      <c r="AC439" s="1441"/>
      <c r="AD439" s="1489"/>
      <c r="AF439" s="1489"/>
      <c r="AG439" s="1489"/>
      <c r="AH439" s="1489"/>
      <c r="AI439" s="1430"/>
      <c r="AJ439" s="1425"/>
      <c r="AK439" s="1425"/>
      <c r="AL439" s="748"/>
    </row>
    <row r="440" spans="1:38">
      <c r="A440" s="728">
        <v>435</v>
      </c>
      <c r="B440" s="1443"/>
      <c r="E440" s="1488"/>
      <c r="F440" s="1489"/>
      <c r="G440" s="1489"/>
      <c r="H440" s="1489"/>
      <c r="I440" s="1489"/>
      <c r="J440" s="1489"/>
      <c r="K440" s="1405"/>
      <c r="L440" s="1427"/>
      <c r="M440" s="1423"/>
      <c r="N440" s="1489"/>
      <c r="O440" s="1423"/>
      <c r="P440" s="1423"/>
      <c r="Q440" s="1423"/>
      <c r="R440" s="1489"/>
      <c r="S440" s="1423"/>
      <c r="T440" s="1423"/>
      <c r="U440" s="1423"/>
      <c r="V440" s="1489"/>
      <c r="W440" s="1489"/>
      <c r="X440" s="1489"/>
      <c r="Y440" s="1489"/>
      <c r="Z440" s="1489"/>
      <c r="AD440" s="1489"/>
      <c r="AF440" s="1489"/>
      <c r="AG440" s="1489"/>
      <c r="AH440" s="1489"/>
      <c r="AI440" s="1430"/>
      <c r="AJ440" s="1425"/>
      <c r="AL440" s="748"/>
    </row>
    <row r="441" spans="1:38">
      <c r="A441" s="728">
        <v>436</v>
      </c>
      <c r="B441" s="727" t="s">
        <v>2651</v>
      </c>
      <c r="E441" s="1488"/>
      <c r="F441" s="1489"/>
      <c r="G441" s="1489"/>
      <c r="H441" s="1489"/>
      <c r="I441" s="1489"/>
      <c r="J441" s="1489"/>
      <c r="K441" s="1405"/>
      <c r="L441" s="1427"/>
      <c r="M441" s="1423"/>
      <c r="N441" s="1489"/>
      <c r="O441" s="1423"/>
      <c r="P441" s="1423"/>
      <c r="Q441" s="1423"/>
      <c r="R441" s="1489"/>
      <c r="S441" s="1423"/>
      <c r="T441" s="1423"/>
      <c r="U441" s="1423"/>
      <c r="V441" s="1489"/>
      <c r="W441" s="1489"/>
      <c r="X441" s="1489"/>
      <c r="Y441" s="1489"/>
      <c r="Z441" s="1489"/>
      <c r="AD441" s="1489"/>
      <c r="AF441" s="1489"/>
      <c r="AG441" s="1489"/>
      <c r="AH441" s="1489"/>
      <c r="AI441" s="1430"/>
      <c r="AJ441" s="1425"/>
      <c r="AL441" s="748"/>
    </row>
    <row r="442" spans="1:38">
      <c r="A442" s="728">
        <v>437</v>
      </c>
      <c r="B442" s="727" t="s">
        <v>2719</v>
      </c>
      <c r="E442" s="1488">
        <f>'1501 Summary'!AD311</f>
        <v>10134.079999999998</v>
      </c>
      <c r="F442" s="1489"/>
      <c r="G442" s="1489"/>
      <c r="H442" s="1489"/>
      <c r="I442" s="1489"/>
      <c r="J442" s="1489"/>
      <c r="K442" s="1405"/>
      <c r="L442" s="1427"/>
      <c r="M442" s="1423"/>
      <c r="N442" s="1489"/>
      <c r="O442" s="1423"/>
      <c r="P442" s="1423"/>
      <c r="Q442" s="1423"/>
      <c r="R442" s="1489"/>
      <c r="S442" s="1423"/>
      <c r="T442" s="1423"/>
      <c r="U442" s="1423"/>
      <c r="V442" s="1489"/>
      <c r="W442" s="1489"/>
      <c r="X442" s="1489"/>
      <c r="Y442" s="1489"/>
      <c r="Z442" s="1489"/>
      <c r="AD442" s="1489"/>
      <c r="AF442" s="1489"/>
      <c r="AG442" s="1489"/>
      <c r="AH442" s="1489"/>
      <c r="AI442" s="1430"/>
      <c r="AJ442" s="1425"/>
      <c r="AL442" s="748"/>
    </row>
    <row r="443" spans="1:38">
      <c r="A443" s="728">
        <v>438</v>
      </c>
      <c r="B443" s="727" t="s">
        <v>0</v>
      </c>
      <c r="E443" s="1488">
        <f>'1501 Summary'!AD312</f>
        <v>0</v>
      </c>
      <c r="F443" s="1489"/>
      <c r="G443" s="1489"/>
      <c r="H443" s="1489"/>
      <c r="I443" s="1489"/>
      <c r="J443" s="1489"/>
      <c r="K443" s="1405"/>
      <c r="L443" s="1427"/>
      <c r="M443" s="1423"/>
      <c r="N443" s="1489"/>
      <c r="O443" s="1423"/>
      <c r="P443" s="1423"/>
      <c r="Q443" s="1423"/>
      <c r="R443" s="1489"/>
      <c r="S443" s="1423"/>
      <c r="T443" s="1423"/>
      <c r="U443" s="1423"/>
      <c r="V443" s="1489"/>
      <c r="W443" s="1489"/>
      <c r="X443" s="1489"/>
      <c r="Y443" s="1489"/>
      <c r="Z443" s="1489"/>
      <c r="AD443" s="1489"/>
      <c r="AF443" s="1489"/>
      <c r="AG443" s="1489"/>
      <c r="AH443" s="1489"/>
      <c r="AI443" s="1430"/>
      <c r="AJ443" s="1425"/>
      <c r="AL443" s="748"/>
    </row>
    <row r="444" spans="1:38">
      <c r="A444" s="728">
        <v>439</v>
      </c>
      <c r="B444" s="1482" t="s">
        <v>2697</v>
      </c>
      <c r="E444" s="1488">
        <f>'Revenue Reconcilliation'!Q300</f>
        <v>-238843.04</v>
      </c>
      <c r="F444" s="1489"/>
      <c r="G444" s="1489"/>
      <c r="H444" s="1489"/>
      <c r="I444" s="1489"/>
      <c r="J444" s="1489"/>
      <c r="K444" s="1405"/>
      <c r="L444" s="1427"/>
      <c r="M444" s="1423"/>
      <c r="N444" s="1489"/>
      <c r="O444" s="1423"/>
      <c r="P444" s="1423"/>
      <c r="Q444" s="1423"/>
      <c r="R444" s="1489"/>
      <c r="S444" s="1423"/>
      <c r="T444" s="1423"/>
      <c r="U444" s="1423"/>
      <c r="V444" s="1489"/>
      <c r="W444" s="1489"/>
      <c r="X444" s="1489"/>
      <c r="Y444" s="1489"/>
      <c r="Z444" s="1489"/>
      <c r="AD444" s="1489"/>
      <c r="AF444" s="1489"/>
      <c r="AG444" s="1489"/>
      <c r="AH444" s="1489"/>
      <c r="AI444" s="1430"/>
      <c r="AJ444" s="1425"/>
      <c r="AL444" s="748"/>
    </row>
    <row r="445" spans="1:38">
      <c r="A445" s="728">
        <v>440</v>
      </c>
      <c r="B445" s="1482" t="s">
        <v>2698</v>
      </c>
      <c r="E445" s="1488">
        <f>'Revenue Reconcilliation'!Q301</f>
        <v>238194.59</v>
      </c>
      <c r="F445" s="1489"/>
      <c r="G445" s="1489"/>
      <c r="H445" s="1489"/>
      <c r="I445" s="1489"/>
      <c r="J445" s="1489"/>
      <c r="K445" s="1405"/>
      <c r="L445" s="1427"/>
      <c r="M445" s="1423"/>
      <c r="N445" s="1489"/>
      <c r="O445" s="1423"/>
      <c r="P445" s="1423"/>
      <c r="Q445" s="1423"/>
      <c r="R445" s="1489"/>
      <c r="S445" s="1423"/>
      <c r="T445" s="1423"/>
      <c r="U445" s="1423"/>
      <c r="V445" s="1489"/>
      <c r="W445" s="1489"/>
      <c r="X445" s="1489"/>
      <c r="Y445" s="1489"/>
      <c r="Z445" s="1489"/>
      <c r="AD445" s="1489"/>
      <c r="AF445" s="1489"/>
      <c r="AG445" s="1489"/>
      <c r="AH445" s="1489"/>
      <c r="AI445" s="1430"/>
      <c r="AJ445" s="1425"/>
      <c r="AL445" s="748"/>
    </row>
    <row r="446" spans="1:38">
      <c r="A446" s="728">
        <v>441</v>
      </c>
      <c r="B446" s="1443" t="s">
        <v>2678</v>
      </c>
      <c r="E446" s="1488">
        <f>SUM(E442:E445)</f>
        <v>9485.6299999999756</v>
      </c>
      <c r="F446" s="1489"/>
      <c r="G446" s="1489"/>
      <c r="H446" s="1489"/>
      <c r="I446" s="1489"/>
      <c r="J446" s="1489"/>
      <c r="K446" s="1405"/>
      <c r="L446" s="1427"/>
      <c r="M446" s="1423"/>
      <c r="N446" s="1489"/>
      <c r="O446" s="1423"/>
      <c r="P446" s="1423"/>
      <c r="Q446" s="1423"/>
      <c r="R446" s="1489"/>
      <c r="S446" s="1423"/>
      <c r="T446" s="1423"/>
      <c r="U446" s="1423"/>
      <c r="V446" s="1489"/>
      <c r="W446" s="1489"/>
      <c r="X446" s="1489"/>
      <c r="Y446" s="1489"/>
      <c r="Z446" s="1489"/>
      <c r="AD446" s="1489"/>
      <c r="AF446" s="1489"/>
      <c r="AG446" s="1489"/>
      <c r="AH446" s="1489"/>
      <c r="AI446" s="1430"/>
      <c r="AJ446" s="1425"/>
      <c r="AL446" s="748"/>
    </row>
    <row r="447" spans="1:38">
      <c r="A447" s="728">
        <v>442</v>
      </c>
      <c r="B447" s="1482"/>
      <c r="E447" s="1488"/>
      <c r="F447" s="1423"/>
      <c r="G447" s="1423"/>
      <c r="H447" s="1423"/>
      <c r="I447" s="1423"/>
      <c r="J447" s="1423"/>
      <c r="K447" s="1405"/>
      <c r="L447" s="1427"/>
      <c r="M447" s="1423"/>
      <c r="N447" s="1423"/>
      <c r="O447" s="1423"/>
      <c r="P447" s="1423"/>
      <c r="Q447" s="1423"/>
      <c r="R447" s="1423"/>
      <c r="S447" s="1423"/>
      <c r="T447" s="1423"/>
      <c r="U447" s="1423"/>
      <c r="V447" s="1423"/>
      <c r="W447" s="1423"/>
      <c r="X447" s="1423"/>
      <c r="Y447" s="1423"/>
      <c r="Z447" s="1423"/>
      <c r="AD447" s="1423"/>
      <c r="AF447" s="1423"/>
      <c r="AG447" s="1423"/>
      <c r="AH447" s="1423"/>
      <c r="AI447" s="1430"/>
      <c r="AJ447" s="1425"/>
      <c r="AL447" s="748"/>
    </row>
    <row r="448" spans="1:38">
      <c r="A448" s="728">
        <v>443</v>
      </c>
      <c r="B448" s="1444" t="s">
        <v>2748</v>
      </c>
      <c r="C448" s="1438">
        <f>E448-'Revenue Reconcilliation'!Q302</f>
        <v>0</v>
      </c>
      <c r="D448" s="1445" t="s">
        <v>2673</v>
      </c>
      <c r="E448" s="1492">
        <f>SUM(E439,E446)</f>
        <v>238194.58999999997</v>
      </c>
      <c r="F448" s="1437"/>
      <c r="G448" s="1437"/>
      <c r="H448" s="1437"/>
      <c r="I448" s="1437"/>
      <c r="J448" s="1437"/>
      <c r="K448" s="1447"/>
      <c r="L448" s="1446"/>
      <c r="M448" s="1437"/>
      <c r="N448" s="1437"/>
      <c r="O448" s="1437"/>
      <c r="P448" s="1437"/>
      <c r="Q448" s="1437"/>
      <c r="R448" s="1437"/>
      <c r="S448" s="1437"/>
      <c r="T448" s="1437"/>
      <c r="U448" s="1437"/>
      <c r="V448" s="1437"/>
      <c r="W448" s="1437"/>
      <c r="X448" s="1437"/>
      <c r="Y448" s="1437"/>
      <c r="Z448" s="1437"/>
      <c r="AA448" s="1445"/>
      <c r="AB448" s="1445"/>
      <c r="AC448" s="1445"/>
      <c r="AD448" s="1437"/>
      <c r="AE448" s="1447"/>
      <c r="AF448" s="1437"/>
      <c r="AG448" s="1437"/>
      <c r="AH448" s="1437"/>
      <c r="AI448" s="1490"/>
      <c r="AJ448" s="1440"/>
      <c r="AK448" s="1445"/>
      <c r="AL448" s="748"/>
    </row>
    <row r="449" spans="1:38">
      <c r="A449" s="728">
        <v>444</v>
      </c>
      <c r="E449" s="1423"/>
      <c r="F449" s="1423"/>
      <c r="G449" s="1423"/>
      <c r="H449" s="1423"/>
      <c r="I449" s="1423"/>
      <c r="J449" s="1423"/>
      <c r="K449" s="1405"/>
      <c r="L449" s="1427"/>
      <c r="M449" s="1423"/>
      <c r="N449" s="1423"/>
      <c r="O449" s="1423"/>
      <c r="P449" s="1423"/>
      <c r="Q449" s="1423"/>
      <c r="R449" s="1423"/>
      <c r="S449" s="1423"/>
      <c r="T449" s="1423"/>
      <c r="U449" s="1423"/>
      <c r="V449" s="1423"/>
      <c r="W449" s="1423"/>
      <c r="X449" s="1423"/>
      <c r="Y449" s="1423"/>
      <c r="Z449" s="1423"/>
      <c r="AD449" s="1423"/>
      <c r="AF449" s="1423"/>
      <c r="AG449" s="1423"/>
      <c r="AH449" s="1423"/>
      <c r="AI449" s="1430"/>
      <c r="AJ449" s="1425"/>
      <c r="AL449" s="748"/>
    </row>
    <row r="450" spans="1:38">
      <c r="A450" s="728">
        <v>445</v>
      </c>
      <c r="B450" s="1420" t="s">
        <v>2749</v>
      </c>
      <c r="E450" s="1423"/>
      <c r="F450" s="1423"/>
      <c r="G450" s="1404" t="s">
        <v>2723</v>
      </c>
      <c r="H450" s="1423"/>
      <c r="I450" s="1423"/>
      <c r="J450" s="1423"/>
      <c r="K450" s="1405"/>
      <c r="L450" s="1427"/>
      <c r="M450" s="1423"/>
      <c r="N450" s="1423"/>
      <c r="O450" s="1423"/>
      <c r="P450" s="1423"/>
      <c r="Q450" s="1423"/>
      <c r="R450" s="1423"/>
      <c r="S450" s="1423"/>
      <c r="T450" s="1423"/>
      <c r="U450" s="1423"/>
      <c r="V450" s="1423"/>
      <c r="W450" s="1423"/>
      <c r="X450" s="1423"/>
      <c r="Y450" s="1423"/>
      <c r="Z450" s="1423"/>
      <c r="AD450" s="1423"/>
      <c r="AF450" s="1423"/>
      <c r="AG450" s="1423"/>
      <c r="AH450" s="1423"/>
      <c r="AI450" s="1430"/>
      <c r="AJ450" s="1425"/>
      <c r="AL450" s="748"/>
    </row>
    <row r="451" spans="1:38">
      <c r="A451" s="728">
        <v>446</v>
      </c>
      <c r="B451" s="1463" t="s">
        <v>2462</v>
      </c>
      <c r="C451" s="1477">
        <f t="shared" ref="C451:C457" si="18">E451/D451</f>
        <v>24</v>
      </c>
      <c r="D451" s="1430">
        <v>625</v>
      </c>
      <c r="E451" s="1423">
        <f>'1501 Summary'!AD319</f>
        <v>15000</v>
      </c>
      <c r="F451" s="1422"/>
      <c r="G451" s="1508">
        <f>-C451</f>
        <v>-24</v>
      </c>
      <c r="H451" s="1423">
        <f>D451</f>
        <v>625</v>
      </c>
      <c r="I451" s="1423">
        <f>H451*G451</f>
        <v>-15000</v>
      </c>
      <c r="J451" s="1422"/>
      <c r="K451" s="1405">
        <f t="shared" ref="K451:K457" si="19">C451+G451</f>
        <v>0</v>
      </c>
      <c r="L451" s="1422">
        <f>D451</f>
        <v>625</v>
      </c>
      <c r="M451" s="1423">
        <f t="shared" ref="M451:M457" si="20">L451*K451</f>
        <v>0</v>
      </c>
      <c r="N451" s="1422"/>
      <c r="O451" s="1423"/>
      <c r="P451" s="1423"/>
      <c r="Q451" s="1423"/>
      <c r="R451" s="1422"/>
      <c r="S451" s="1423"/>
      <c r="T451" s="1423"/>
      <c r="U451" s="1423"/>
      <c r="V451" s="1422"/>
      <c r="W451" s="1422"/>
      <c r="X451" s="1422"/>
      <c r="Y451" s="1422"/>
      <c r="Z451" s="1422"/>
      <c r="AA451" s="1425"/>
      <c r="AB451" s="1425"/>
      <c r="AC451" s="1425"/>
      <c r="AD451" s="1422"/>
      <c r="AF451" s="1422"/>
      <c r="AG451" s="1422"/>
      <c r="AH451" s="1422"/>
      <c r="AI451" s="1430"/>
      <c r="AJ451" s="1425"/>
      <c r="AK451" s="1425"/>
      <c r="AL451" s="748"/>
    </row>
    <row r="452" spans="1:38">
      <c r="A452" s="728">
        <v>447</v>
      </c>
      <c r="B452" s="1509" t="s">
        <v>2713</v>
      </c>
      <c r="C452" s="1405">
        <f>E452/D452</f>
        <v>6240000</v>
      </c>
      <c r="D452" s="1439">
        <v>0.2</v>
      </c>
      <c r="E452" s="1423">
        <f>'1501 Summary'!AD320</f>
        <v>1248000</v>
      </c>
      <c r="F452" s="1422"/>
      <c r="G452" s="1508">
        <f t="shared" ref="G452:G457" si="21">-C452</f>
        <v>-6240000</v>
      </c>
      <c r="H452" s="1423">
        <f t="shared" ref="H452:H457" si="22">D452</f>
        <v>0.2</v>
      </c>
      <c r="I452" s="1423">
        <f t="shared" ref="I452:I457" si="23">H452*G452</f>
        <v>-1248000</v>
      </c>
      <c r="J452" s="1422"/>
      <c r="K452" s="1405">
        <f t="shared" si="19"/>
        <v>0</v>
      </c>
      <c r="L452" s="1427">
        <f>D452</f>
        <v>0.2</v>
      </c>
      <c r="M452" s="1423">
        <f t="shared" si="20"/>
        <v>0</v>
      </c>
      <c r="N452" s="1422"/>
      <c r="O452" s="1423"/>
      <c r="P452" s="1423"/>
      <c r="Q452" s="1423"/>
      <c r="R452" s="1422"/>
      <c r="S452" s="1423"/>
      <c r="T452" s="1423"/>
      <c r="U452" s="1423"/>
      <c r="V452" s="1422"/>
      <c r="W452" s="1422"/>
      <c r="X452" s="1422"/>
      <c r="Y452" s="1422"/>
      <c r="Z452" s="1422"/>
      <c r="AA452" s="1425"/>
      <c r="AB452" s="1425"/>
      <c r="AC452" s="1425"/>
      <c r="AD452" s="1422"/>
      <c r="AF452" s="1422"/>
      <c r="AG452" s="1422"/>
      <c r="AH452" s="1422"/>
      <c r="AI452" s="1430"/>
      <c r="AJ452" s="1425"/>
      <c r="AK452" s="1425"/>
      <c r="AL452" s="748"/>
    </row>
    <row r="453" spans="1:38">
      <c r="A453" s="728">
        <v>448</v>
      </c>
      <c r="B453" s="1509" t="s">
        <v>2714</v>
      </c>
      <c r="C453" s="1405">
        <f t="shared" si="18"/>
        <v>137398200</v>
      </c>
      <c r="D453" s="1361">
        <v>4.0000000000000002E-4</v>
      </c>
      <c r="E453" s="1423">
        <f>'1501 Summary'!AD321</f>
        <v>54959.280000000006</v>
      </c>
      <c r="F453" s="1422"/>
      <c r="G453" s="1508">
        <f t="shared" si="21"/>
        <v>-137398200</v>
      </c>
      <c r="H453" s="1423">
        <f t="shared" si="22"/>
        <v>4.0000000000000002E-4</v>
      </c>
      <c r="I453" s="1423">
        <f t="shared" si="23"/>
        <v>-54959.280000000006</v>
      </c>
      <c r="J453" s="1422"/>
      <c r="K453" s="1405">
        <f t="shared" si="19"/>
        <v>0</v>
      </c>
      <c r="L453" s="1427">
        <f>D453</f>
        <v>4.0000000000000002E-4</v>
      </c>
      <c r="M453" s="1423">
        <f t="shared" si="20"/>
        <v>0</v>
      </c>
      <c r="N453" s="1422"/>
      <c r="O453" s="1423"/>
      <c r="P453" s="1423"/>
      <c r="Q453" s="1423"/>
      <c r="R453" s="1422"/>
      <c r="S453" s="1423"/>
      <c r="T453" s="1423"/>
      <c r="U453" s="1423"/>
      <c r="V453" s="1422"/>
      <c r="W453" s="1422"/>
      <c r="X453" s="1422"/>
      <c r="Y453" s="1422"/>
      <c r="Z453" s="1422"/>
      <c r="AA453" s="1425"/>
      <c r="AB453" s="1425"/>
      <c r="AC453" s="1425"/>
      <c r="AD453" s="1422"/>
      <c r="AF453" s="1422"/>
      <c r="AG453" s="1422"/>
      <c r="AH453" s="1422"/>
      <c r="AI453" s="1430"/>
      <c r="AJ453" s="1425"/>
      <c r="AK453" s="1425"/>
      <c r="AL453" s="748"/>
    </row>
    <row r="454" spans="1:38">
      <c r="A454" s="728">
        <v>449</v>
      </c>
      <c r="B454" s="1509" t="s">
        <v>2716</v>
      </c>
      <c r="C454" s="1405">
        <f t="shared" si="18"/>
        <v>1200000</v>
      </c>
      <c r="D454" s="1361">
        <v>5.3310000000000003E-2</v>
      </c>
      <c r="E454" s="1423">
        <f>'1501 Summary'!AD322</f>
        <v>63972</v>
      </c>
      <c r="F454" s="1422"/>
      <c r="G454" s="1508">
        <f t="shared" si="21"/>
        <v>-1200000</v>
      </c>
      <c r="H454" s="1423">
        <f t="shared" si="22"/>
        <v>5.3310000000000003E-2</v>
      </c>
      <c r="I454" s="1423">
        <f t="shared" si="23"/>
        <v>-63972.000000000007</v>
      </c>
      <c r="J454" s="1422"/>
      <c r="K454" s="1405">
        <f t="shared" si="19"/>
        <v>0</v>
      </c>
      <c r="L454" s="1427">
        <v>5.9889999999999999E-2</v>
      </c>
      <c r="M454" s="1423">
        <f t="shared" si="20"/>
        <v>0</v>
      </c>
      <c r="N454" s="1422"/>
      <c r="O454" s="1423"/>
      <c r="P454" s="1423"/>
      <c r="Q454" s="1423"/>
      <c r="R454" s="1422"/>
      <c r="S454" s="1423"/>
      <c r="T454" s="1423"/>
      <c r="U454" s="1423"/>
      <c r="V454" s="1422"/>
      <c r="W454" s="1422"/>
      <c r="X454" s="1422"/>
      <c r="Y454" s="1422"/>
      <c r="Z454" s="1422"/>
      <c r="AA454" s="1425"/>
      <c r="AB454" s="1425"/>
      <c r="AC454" s="1425"/>
      <c r="AD454" s="1422"/>
      <c r="AF454" s="1422"/>
      <c r="AG454" s="1422"/>
      <c r="AH454" s="1422"/>
      <c r="AI454" s="1430"/>
      <c r="AJ454" s="1425"/>
      <c r="AK454" s="1425"/>
      <c r="AL454" s="748"/>
    </row>
    <row r="455" spans="1:38">
      <c r="A455" s="728">
        <v>450</v>
      </c>
      <c r="B455" s="1509" t="s">
        <v>2494</v>
      </c>
      <c r="C455" s="1405">
        <f t="shared" si="18"/>
        <v>2521542.4164524423</v>
      </c>
      <c r="D455" s="1361">
        <v>1.9449999999999999E-2</v>
      </c>
      <c r="E455" s="1423">
        <f>'1501 Summary'!AD323</f>
        <v>49044</v>
      </c>
      <c r="F455" s="1422"/>
      <c r="G455" s="1508">
        <f t="shared" si="21"/>
        <v>-2521542.4164524423</v>
      </c>
      <c r="H455" s="1423">
        <f t="shared" si="22"/>
        <v>1.9449999999999999E-2</v>
      </c>
      <c r="I455" s="1423">
        <f t="shared" si="23"/>
        <v>-49044</v>
      </c>
      <c r="J455" s="1422"/>
      <c r="K455" s="1405">
        <f t="shared" si="19"/>
        <v>0</v>
      </c>
      <c r="L455" s="1427">
        <v>2.3029999999999998E-2</v>
      </c>
      <c r="M455" s="1423">
        <f t="shared" si="20"/>
        <v>0</v>
      </c>
      <c r="N455" s="1422"/>
      <c r="O455" s="1423"/>
      <c r="P455" s="1423"/>
      <c r="Q455" s="1423"/>
      <c r="R455" s="1422"/>
      <c r="S455" s="1423"/>
      <c r="T455" s="1423"/>
      <c r="U455" s="1423"/>
      <c r="V455" s="1422"/>
      <c r="W455" s="1422"/>
      <c r="X455" s="1422"/>
      <c r="Y455" s="1422"/>
      <c r="Z455" s="1422"/>
      <c r="AA455" s="1425"/>
      <c r="AB455" s="1425"/>
      <c r="AC455" s="1425"/>
      <c r="AD455" s="1422"/>
      <c r="AF455" s="1422"/>
      <c r="AG455" s="1422"/>
      <c r="AH455" s="1422"/>
      <c r="AI455" s="1430"/>
      <c r="AJ455" s="1425"/>
      <c r="AK455" s="1425"/>
      <c r="AL455" s="748"/>
    </row>
    <row r="456" spans="1:38">
      <c r="A456" s="728">
        <v>451</v>
      </c>
      <c r="B456" s="1509" t="s">
        <v>2494</v>
      </c>
      <c r="C456" s="1405">
        <f t="shared" si="18"/>
        <v>2200000</v>
      </c>
      <c r="D456" s="1361">
        <v>1.1820000000000001E-2</v>
      </c>
      <c r="E456" s="1423">
        <f>'1501 Summary'!AD324</f>
        <v>26004</v>
      </c>
      <c r="F456" s="1422"/>
      <c r="G456" s="1508">
        <f t="shared" si="21"/>
        <v>-2200000</v>
      </c>
      <c r="H456" s="1423">
        <f t="shared" si="22"/>
        <v>1.1820000000000001E-2</v>
      </c>
      <c r="I456" s="1423">
        <f t="shared" si="23"/>
        <v>-26004</v>
      </c>
      <c r="J456" s="1422"/>
      <c r="K456" s="1405">
        <f t="shared" si="19"/>
        <v>0</v>
      </c>
      <c r="L456" s="1427">
        <v>1.473E-2</v>
      </c>
      <c r="M456" s="1423">
        <f t="shared" si="20"/>
        <v>0</v>
      </c>
      <c r="N456" s="1422"/>
      <c r="O456" s="1423"/>
      <c r="P456" s="1423"/>
      <c r="Q456" s="1423"/>
      <c r="R456" s="1422"/>
      <c r="S456" s="1423"/>
      <c r="T456" s="1423"/>
      <c r="U456" s="1423"/>
      <c r="V456" s="1422"/>
      <c r="W456" s="1422"/>
      <c r="X456" s="1422"/>
      <c r="Y456" s="1422"/>
      <c r="Z456" s="1422"/>
      <c r="AA456" s="1425"/>
      <c r="AB456" s="1425"/>
      <c r="AC456" s="1425"/>
      <c r="AD456" s="1422"/>
      <c r="AF456" s="1422"/>
      <c r="AG456" s="1422"/>
      <c r="AH456" s="1422"/>
      <c r="AI456" s="1430"/>
      <c r="AJ456" s="1425"/>
      <c r="AK456" s="1425"/>
      <c r="AL456" s="748"/>
    </row>
    <row r="457" spans="1:38">
      <c r="A457" s="728">
        <v>452</v>
      </c>
      <c r="B457" s="1510" t="s">
        <v>2717</v>
      </c>
      <c r="C457" s="1405">
        <f t="shared" si="18"/>
        <v>131398231.31672597</v>
      </c>
      <c r="D457" s="1361">
        <v>5.62E-3</v>
      </c>
      <c r="E457" s="1437">
        <f>'1501 Summary'!AD325</f>
        <v>738458.05999999994</v>
      </c>
      <c r="F457" s="1422"/>
      <c r="G457" s="1508">
        <f t="shared" si="21"/>
        <v>-131398231.31672597</v>
      </c>
      <c r="H457" s="1423">
        <f t="shared" si="22"/>
        <v>5.62E-3</v>
      </c>
      <c r="I457" s="1437">
        <f t="shared" si="23"/>
        <v>-738458.05999999994</v>
      </c>
      <c r="J457" s="1422"/>
      <c r="K457" s="1405">
        <f t="shared" si="19"/>
        <v>0</v>
      </c>
      <c r="L457" s="1427">
        <v>7.9799999999999992E-3</v>
      </c>
      <c r="M457" s="1437">
        <f t="shared" si="20"/>
        <v>0</v>
      </c>
      <c r="N457" s="1422"/>
      <c r="O457" s="1423"/>
      <c r="P457" s="1423"/>
      <c r="Q457" s="1423"/>
      <c r="R457" s="1422"/>
      <c r="S457" s="1423"/>
      <c r="T457" s="1423"/>
      <c r="U457" s="1423"/>
      <c r="V457" s="1422"/>
      <c r="W457" s="1422"/>
      <c r="X457" s="1422"/>
      <c r="Y457" s="1422"/>
      <c r="Z457" s="1422"/>
      <c r="AA457" s="1425"/>
      <c r="AB457" s="1425"/>
      <c r="AC457" s="1425"/>
      <c r="AD457" s="1422"/>
      <c r="AF457" s="1422"/>
      <c r="AG457" s="1422"/>
      <c r="AH457" s="1422"/>
      <c r="AI457" s="1430"/>
      <c r="AJ457" s="1425"/>
      <c r="AK457" s="1425"/>
      <c r="AL457" s="748"/>
    </row>
    <row r="458" spans="1:38">
      <c r="A458" s="728">
        <v>453</v>
      </c>
      <c r="B458" s="727" t="s">
        <v>2648</v>
      </c>
      <c r="E458" s="1423">
        <f>SUM(E451:E457)</f>
        <v>2195437.34</v>
      </c>
      <c r="F458" s="1422"/>
      <c r="G458" s="1422"/>
      <c r="H458" s="1422"/>
      <c r="I458" s="1422">
        <f>SUM(I451:I457)</f>
        <v>-2195437.34</v>
      </c>
      <c r="J458" s="1422"/>
      <c r="K458" s="1405"/>
      <c r="L458" s="1427"/>
      <c r="M458" s="1423">
        <f>SUM(M451:M457)</f>
        <v>0</v>
      </c>
      <c r="N458" s="1422"/>
      <c r="O458" s="1423"/>
      <c r="P458" s="1423"/>
      <c r="Q458" s="1423"/>
      <c r="R458" s="1422"/>
      <c r="S458" s="1423"/>
      <c r="T458" s="1423"/>
      <c r="U458" s="1423"/>
      <c r="V458" s="1422"/>
      <c r="W458" s="1422"/>
      <c r="X458" s="1422"/>
      <c r="Y458" s="1422"/>
      <c r="Z458" s="1422"/>
      <c r="AA458" s="1425"/>
      <c r="AB458" s="1425"/>
      <c r="AC458" s="1425"/>
      <c r="AD458" s="1422"/>
      <c r="AF458" s="1422"/>
      <c r="AG458" s="1422"/>
      <c r="AH458" s="1422"/>
      <c r="AI458" s="1430"/>
      <c r="AJ458" s="1425"/>
      <c r="AK458" s="1425"/>
      <c r="AL458" s="748"/>
    </row>
    <row r="459" spans="1:38">
      <c r="A459" s="728">
        <v>454</v>
      </c>
      <c r="B459" s="1509"/>
      <c r="E459" s="1423"/>
      <c r="F459" s="1423"/>
      <c r="G459" s="1423"/>
      <c r="H459" s="1423"/>
      <c r="I459" s="1423"/>
      <c r="J459" s="1423"/>
      <c r="K459" s="1405"/>
      <c r="L459" s="1427"/>
      <c r="M459" s="1422"/>
      <c r="N459" s="1423"/>
      <c r="O459" s="1423"/>
      <c r="P459" s="1423"/>
      <c r="Q459" s="1423"/>
      <c r="R459" s="1423"/>
      <c r="S459" s="1423"/>
      <c r="T459" s="1423"/>
      <c r="U459" s="1423"/>
      <c r="V459" s="1423"/>
      <c r="W459" s="1423"/>
      <c r="X459" s="1423"/>
      <c r="Y459" s="1423"/>
      <c r="Z459" s="1423"/>
      <c r="AD459" s="1423"/>
      <c r="AF459" s="1423"/>
      <c r="AG459" s="1423"/>
      <c r="AH459" s="1423"/>
      <c r="AI459" s="1430"/>
      <c r="AJ459" s="1425"/>
      <c r="AL459" s="748"/>
    </row>
    <row r="460" spans="1:38">
      <c r="A460" s="728">
        <v>455</v>
      </c>
      <c r="B460" s="727" t="s">
        <v>2651</v>
      </c>
      <c r="E460" s="1423"/>
      <c r="F460" s="1423"/>
      <c r="G460" s="1423"/>
      <c r="H460" s="1423"/>
      <c r="I460" s="1423"/>
      <c r="J460" s="1423"/>
      <c r="K460" s="1405"/>
      <c r="L460" s="1427"/>
      <c r="M460" s="1422"/>
      <c r="N460" s="1423"/>
      <c r="O460" s="1423"/>
      <c r="P460" s="1423"/>
      <c r="Q460" s="1423"/>
      <c r="R460" s="1423"/>
      <c r="S460" s="1423"/>
      <c r="T460" s="1423"/>
      <c r="U460" s="1423"/>
      <c r="V460" s="1423"/>
      <c r="W460" s="1423"/>
      <c r="X460" s="1423"/>
      <c r="Y460" s="1423"/>
      <c r="Z460" s="1423"/>
      <c r="AD460" s="1423"/>
      <c r="AF460" s="1423"/>
      <c r="AG460" s="1423"/>
      <c r="AH460" s="1423"/>
      <c r="AI460" s="1430"/>
      <c r="AJ460" s="1425"/>
      <c r="AL460" s="748"/>
    </row>
    <row r="461" spans="1:38">
      <c r="A461" s="728">
        <v>456</v>
      </c>
      <c r="B461" s="1509" t="s">
        <v>2658</v>
      </c>
      <c r="E461" s="1423">
        <f>'1501 Summary'!AD326</f>
        <v>-87576.800000000017</v>
      </c>
      <c r="F461" s="1422"/>
      <c r="G461" s="1422"/>
      <c r="H461" s="1422"/>
      <c r="I461" s="1422"/>
      <c r="J461" s="1422"/>
      <c r="K461" s="1405"/>
      <c r="L461" s="1427"/>
      <c r="M461" s="1422"/>
      <c r="N461" s="1422"/>
      <c r="O461" s="1423"/>
      <c r="P461" s="1423"/>
      <c r="Q461" s="1423"/>
      <c r="R461" s="1422"/>
      <c r="S461" s="1423"/>
      <c r="T461" s="1423"/>
      <c r="U461" s="1423"/>
      <c r="V461" s="1422"/>
      <c r="W461" s="1422"/>
      <c r="X461" s="1422"/>
      <c r="Y461" s="1422"/>
      <c r="Z461" s="1422"/>
      <c r="AD461" s="1422"/>
      <c r="AF461" s="1422"/>
      <c r="AG461" s="1422"/>
      <c r="AH461" s="1422"/>
      <c r="AI461" s="1430"/>
      <c r="AJ461" s="1425"/>
      <c r="AL461" s="748"/>
    </row>
    <row r="462" spans="1:38">
      <c r="A462" s="728">
        <v>457</v>
      </c>
      <c r="B462" s="1509" t="s">
        <v>2659</v>
      </c>
      <c r="E462" s="1423">
        <f>'1501 Summary'!AD327</f>
        <v>-39477.209999999992</v>
      </c>
      <c r="F462" s="1422"/>
      <c r="G462" s="1422"/>
      <c r="H462" s="1422"/>
      <c r="I462" s="1422"/>
      <c r="J462" s="1422"/>
      <c r="K462" s="1405"/>
      <c r="L462" s="1427"/>
      <c r="M462" s="1422"/>
      <c r="N462" s="1422"/>
      <c r="O462" s="1423"/>
      <c r="P462" s="1423"/>
      <c r="Q462" s="1423"/>
      <c r="R462" s="1422"/>
      <c r="S462" s="1423"/>
      <c r="T462" s="1423"/>
      <c r="U462" s="1423"/>
      <c r="V462" s="1422"/>
      <c r="W462" s="1422"/>
      <c r="X462" s="1422"/>
      <c r="Y462" s="1422"/>
      <c r="Z462" s="1422"/>
      <c r="AD462" s="1422"/>
      <c r="AF462" s="1422"/>
      <c r="AG462" s="1422"/>
      <c r="AH462" s="1422"/>
      <c r="AI462" s="1430"/>
      <c r="AJ462" s="1425"/>
      <c r="AL462" s="748"/>
    </row>
    <row r="463" spans="1:38">
      <c r="A463" s="728">
        <v>458</v>
      </c>
      <c r="B463" s="1509" t="s">
        <v>2660</v>
      </c>
      <c r="E463" s="1423">
        <f>'1501 Summary'!AD328</f>
        <v>-67337.549999999988</v>
      </c>
      <c r="F463" s="1422"/>
      <c r="G463" s="1422"/>
      <c r="H463" s="1422"/>
      <c r="I463" s="1422"/>
      <c r="J463" s="1422"/>
      <c r="K463" s="1405"/>
      <c r="L463" s="1427"/>
      <c r="M463" s="1422"/>
      <c r="N463" s="1422"/>
      <c r="O463" s="1423"/>
      <c r="P463" s="1423"/>
      <c r="Q463" s="1423"/>
      <c r="R463" s="1422"/>
      <c r="S463" s="1423"/>
      <c r="T463" s="1423"/>
      <c r="U463" s="1423"/>
      <c r="V463" s="1422"/>
      <c r="W463" s="1422"/>
      <c r="X463" s="1422"/>
      <c r="Y463" s="1422"/>
      <c r="Z463" s="1422"/>
      <c r="AD463" s="1422"/>
      <c r="AF463" s="1422"/>
      <c r="AG463" s="1422"/>
      <c r="AH463" s="1422"/>
      <c r="AI463" s="1430"/>
      <c r="AJ463" s="1425"/>
      <c r="AL463" s="748"/>
    </row>
    <row r="464" spans="1:38">
      <c r="A464" s="728">
        <v>459</v>
      </c>
      <c r="B464" s="1509" t="s">
        <v>2653</v>
      </c>
      <c r="E464" s="1423">
        <f>'1501 Summary'!AD329</f>
        <v>42466.44999999999</v>
      </c>
      <c r="F464" s="1422"/>
      <c r="G464" s="1422"/>
      <c r="H464" s="1422"/>
      <c r="I464" s="1422"/>
      <c r="J464" s="1422"/>
      <c r="K464" s="1405"/>
      <c r="L464" s="1427"/>
      <c r="M464" s="1422"/>
      <c r="N464" s="1422"/>
      <c r="O464" s="1423"/>
      <c r="P464" s="1423"/>
      <c r="Q464" s="1423"/>
      <c r="R464" s="1422"/>
      <c r="S464" s="1423"/>
      <c r="T464" s="1423"/>
      <c r="U464" s="1423"/>
      <c r="V464" s="1422"/>
      <c r="W464" s="1422"/>
      <c r="X464" s="1422"/>
      <c r="Y464" s="1422"/>
      <c r="Z464" s="1422"/>
      <c r="AD464" s="1422"/>
      <c r="AF464" s="1422"/>
      <c r="AG464" s="1422"/>
      <c r="AH464" s="1422"/>
      <c r="AI464" s="1430"/>
      <c r="AJ464" s="1425"/>
      <c r="AL464" s="748"/>
    </row>
    <row r="465" spans="1:38">
      <c r="A465" s="728">
        <v>460</v>
      </c>
      <c r="B465" s="1509" t="s">
        <v>2654</v>
      </c>
      <c r="E465" s="1423">
        <f>'1501 Summary'!AD330</f>
        <v>235331.93</v>
      </c>
      <c r="F465" s="1422"/>
      <c r="G465" s="1422"/>
      <c r="H465" s="1422"/>
      <c r="I465" s="1422"/>
      <c r="J465" s="1422"/>
      <c r="K465" s="1405"/>
      <c r="L465" s="1427"/>
      <c r="M465" s="1422"/>
      <c r="N465" s="1422"/>
      <c r="O465" s="1423"/>
      <c r="P465" s="1423"/>
      <c r="Q465" s="1423"/>
      <c r="R465" s="1422"/>
      <c r="S465" s="1423"/>
      <c r="T465" s="1423"/>
      <c r="U465" s="1423"/>
      <c r="V465" s="1422"/>
      <c r="W465" s="1422"/>
      <c r="X465" s="1422"/>
      <c r="Y465" s="1422"/>
      <c r="Z465" s="1422"/>
      <c r="AD465" s="1422"/>
      <c r="AF465" s="1422"/>
      <c r="AG465" s="1422"/>
      <c r="AH465" s="1422"/>
      <c r="AI465" s="1430"/>
      <c r="AJ465" s="1425"/>
      <c r="AL465" s="748"/>
    </row>
    <row r="466" spans="1:38">
      <c r="A466" s="728">
        <v>461</v>
      </c>
      <c r="B466" s="1463" t="s">
        <v>2719</v>
      </c>
      <c r="E466" s="1423">
        <f>'1501 Summary'!AD331</f>
        <v>97279.780000000013</v>
      </c>
      <c r="F466" s="1422"/>
      <c r="G466" s="1422"/>
      <c r="H466" s="1422"/>
      <c r="I466" s="1422"/>
      <c r="J466" s="1422"/>
      <c r="K466" s="1405"/>
      <c r="L466" s="1427"/>
      <c r="M466" s="1422"/>
      <c r="N466" s="1422"/>
      <c r="O466" s="1423"/>
      <c r="P466" s="1423"/>
      <c r="Q466" s="1423"/>
      <c r="R466" s="1422"/>
      <c r="S466" s="1423"/>
      <c r="T466" s="1423"/>
      <c r="U466" s="1423"/>
      <c r="V466" s="1422"/>
      <c r="W466" s="1422"/>
      <c r="X466" s="1422"/>
      <c r="Y466" s="1422"/>
      <c r="Z466" s="1422"/>
      <c r="AD466" s="1422"/>
      <c r="AF466" s="1422"/>
      <c r="AG466" s="1422"/>
      <c r="AH466" s="1422"/>
      <c r="AI466" s="1430"/>
      <c r="AJ466" s="1425"/>
      <c r="AL466" s="748"/>
    </row>
    <row r="467" spans="1:38">
      <c r="A467" s="728">
        <v>462</v>
      </c>
      <c r="B467" s="1463" t="s">
        <v>2684</v>
      </c>
      <c r="E467" s="1423">
        <f>'1501 Summary'!AD332</f>
        <v>720</v>
      </c>
      <c r="F467" s="1422"/>
      <c r="G467" s="1422"/>
      <c r="H467" s="1422"/>
      <c r="I467" s="1422"/>
      <c r="J467" s="1422"/>
      <c r="K467" s="1405"/>
      <c r="L467" s="1427"/>
      <c r="M467" s="1422"/>
      <c r="N467" s="1422"/>
      <c r="O467" s="1423"/>
      <c r="P467" s="1423"/>
      <c r="Q467" s="1423"/>
      <c r="R467" s="1422"/>
      <c r="S467" s="1423"/>
      <c r="T467" s="1423"/>
      <c r="U467" s="1423"/>
      <c r="V467" s="1422"/>
      <c r="W467" s="1422"/>
      <c r="X467" s="1422"/>
      <c r="Y467" s="1422"/>
      <c r="Z467" s="1422"/>
      <c r="AD467" s="1422"/>
      <c r="AF467" s="1422"/>
      <c r="AG467" s="1422"/>
      <c r="AH467" s="1422"/>
      <c r="AI467" s="1430"/>
      <c r="AJ467" s="1425"/>
      <c r="AL467" s="748"/>
    </row>
    <row r="468" spans="1:38">
      <c r="A468" s="728">
        <v>463</v>
      </c>
      <c r="B468" s="1511" t="s">
        <v>2750</v>
      </c>
      <c r="E468" s="1423">
        <f>'Revenue Reconcilliation'!Q317</f>
        <v>-71127.929999999993</v>
      </c>
      <c r="F468" s="1422"/>
      <c r="G468" s="1422"/>
      <c r="H468" s="1422"/>
      <c r="I468" s="1422"/>
      <c r="J468" s="1422"/>
      <c r="K468" s="1405"/>
      <c r="L468" s="1427"/>
      <c r="M468" s="1422"/>
      <c r="N468" s="1422"/>
      <c r="O468" s="1423"/>
      <c r="P468" s="1423"/>
      <c r="Q468" s="1423"/>
      <c r="R468" s="1422"/>
      <c r="S468" s="1423"/>
      <c r="T468" s="1423"/>
      <c r="U468" s="1423"/>
      <c r="V468" s="1422"/>
      <c r="W468" s="1422"/>
      <c r="X468" s="1422"/>
      <c r="Y468" s="1422"/>
      <c r="Z468" s="1422"/>
      <c r="AD468" s="1422"/>
      <c r="AF468" s="1422"/>
      <c r="AG468" s="1422"/>
      <c r="AH468" s="1422"/>
      <c r="AI468" s="1430"/>
      <c r="AJ468" s="1425"/>
      <c r="AL468" s="748"/>
    </row>
    <row r="469" spans="1:38">
      <c r="A469" s="728">
        <v>464</v>
      </c>
      <c r="B469" s="1482" t="s">
        <v>2751</v>
      </c>
      <c r="E469" s="1423">
        <f>'Revenue Reconcilliation'!Q318</f>
        <v>0</v>
      </c>
      <c r="F469" s="1422"/>
      <c r="G469" s="1422"/>
      <c r="H469" s="1422"/>
      <c r="I469" s="1422"/>
      <c r="J469" s="1422"/>
      <c r="K469" s="1405"/>
      <c r="L469" s="1427"/>
      <c r="M469" s="1422"/>
      <c r="N469" s="1422"/>
      <c r="O469" s="1423"/>
      <c r="P469" s="1423"/>
      <c r="Q469" s="1423"/>
      <c r="R469" s="1422"/>
      <c r="S469" s="1423"/>
      <c r="T469" s="1423"/>
      <c r="U469" s="1423"/>
      <c r="V469" s="1422"/>
      <c r="W469" s="1422"/>
      <c r="X469" s="1422"/>
      <c r="Y469" s="1422"/>
      <c r="Z469" s="1422"/>
      <c r="AD469" s="1422"/>
      <c r="AF469" s="1422"/>
      <c r="AG469" s="1422"/>
      <c r="AH469" s="1422"/>
      <c r="AI469" s="1430"/>
      <c r="AJ469" s="1425"/>
      <c r="AL469" s="748"/>
    </row>
    <row r="470" spans="1:38">
      <c r="A470" s="728">
        <v>465</v>
      </c>
      <c r="B470" s="1482" t="s">
        <v>2451</v>
      </c>
      <c r="E470" s="1423">
        <f>'Revenue Reconcilliation'!Q319</f>
        <v>0</v>
      </c>
      <c r="F470" s="1422"/>
      <c r="G470" s="1422"/>
      <c r="H470" s="1422"/>
      <c r="I470" s="1422"/>
      <c r="J470" s="1422"/>
      <c r="K470" s="1405"/>
      <c r="L470" s="1427"/>
      <c r="M470" s="1422"/>
      <c r="N470" s="1422"/>
      <c r="O470" s="1423"/>
      <c r="P470" s="1423"/>
      <c r="Q470" s="1423"/>
      <c r="R470" s="1422"/>
      <c r="S470" s="1423"/>
      <c r="T470" s="1423"/>
      <c r="U470" s="1423"/>
      <c r="V470" s="1422"/>
      <c r="W470" s="1422"/>
      <c r="X470" s="1422"/>
      <c r="Y470" s="1422"/>
      <c r="Z470" s="1422"/>
      <c r="AD470" s="1422"/>
      <c r="AF470" s="1422"/>
      <c r="AG470" s="1422"/>
      <c r="AH470" s="1422"/>
      <c r="AI470" s="1430"/>
      <c r="AJ470" s="1425"/>
      <c r="AL470" s="748"/>
    </row>
    <row r="471" spans="1:38">
      <c r="A471" s="728">
        <v>466</v>
      </c>
      <c r="B471" s="1482" t="s">
        <v>2697</v>
      </c>
      <c r="E471" s="1423">
        <f>'Revenue Reconcilliation'!Q320</f>
        <v>-2334400.6399999997</v>
      </c>
      <c r="F471" s="1422"/>
      <c r="G471" s="1422"/>
      <c r="H471" s="1422"/>
      <c r="I471" s="1422"/>
      <c r="J471" s="1422"/>
      <c r="K471" s="1405"/>
      <c r="L471" s="1427"/>
      <c r="M471" s="1422"/>
      <c r="N471" s="1422"/>
      <c r="O471" s="1423"/>
      <c r="P471" s="1423"/>
      <c r="Q471" s="1423"/>
      <c r="R471" s="1422"/>
      <c r="S471" s="1423"/>
      <c r="T471" s="1423"/>
      <c r="U471" s="1423"/>
      <c r="V471" s="1422"/>
      <c r="W471" s="1422"/>
      <c r="X471" s="1422"/>
      <c r="Y471" s="1422"/>
      <c r="Z471" s="1422"/>
      <c r="AD471" s="1422"/>
      <c r="AF471" s="1422"/>
      <c r="AG471" s="1422"/>
      <c r="AH471" s="1422"/>
      <c r="AI471" s="1430"/>
      <c r="AJ471" s="1425"/>
      <c r="AL471" s="748"/>
    </row>
    <row r="472" spans="1:38">
      <c r="A472" s="728">
        <v>467</v>
      </c>
      <c r="B472" s="1482" t="s">
        <v>2698</v>
      </c>
      <c r="E472" s="1423">
        <f>'Revenue Reconcilliation'!Q321</f>
        <v>2340393.15</v>
      </c>
      <c r="F472" s="1422"/>
      <c r="G472" s="1422"/>
      <c r="H472" s="1422"/>
      <c r="I472" s="1422"/>
      <c r="J472" s="1422"/>
      <c r="K472" s="1405"/>
      <c r="L472" s="1427"/>
      <c r="M472" s="1422"/>
      <c r="N472" s="1422"/>
      <c r="O472" s="1423"/>
      <c r="P472" s="1423"/>
      <c r="Q472" s="1423"/>
      <c r="R472" s="1422"/>
      <c r="S472" s="1423"/>
      <c r="T472" s="1423"/>
      <c r="U472" s="1423"/>
      <c r="V472" s="1422"/>
      <c r="W472" s="1422"/>
      <c r="X472" s="1422"/>
      <c r="Y472" s="1422"/>
      <c r="Z472" s="1422"/>
      <c r="AD472" s="1422"/>
      <c r="AF472" s="1422"/>
      <c r="AG472" s="1422"/>
      <c r="AH472" s="1422"/>
      <c r="AI472" s="1430"/>
      <c r="AJ472" s="1425"/>
      <c r="AL472" s="748"/>
    </row>
    <row r="473" spans="1:38">
      <c r="A473" s="728">
        <v>468</v>
      </c>
      <c r="B473" s="1443" t="s">
        <v>2678</v>
      </c>
      <c r="E473" s="1423">
        <f>SUM(E461:E472)</f>
        <v>116271.18000000017</v>
      </c>
      <c r="F473" s="1423"/>
      <c r="G473" s="1423"/>
      <c r="H473" s="1423"/>
      <c r="I473" s="1423"/>
      <c r="J473" s="1423"/>
      <c r="K473" s="1405"/>
      <c r="L473" s="1427"/>
      <c r="M473" s="1422"/>
      <c r="N473" s="1423"/>
      <c r="O473" s="1423"/>
      <c r="P473" s="1423"/>
      <c r="Q473" s="1423"/>
      <c r="R473" s="1423"/>
      <c r="S473" s="1423"/>
      <c r="T473" s="1423"/>
      <c r="U473" s="1423"/>
      <c r="V473" s="1423"/>
      <c r="W473" s="1423"/>
      <c r="X473" s="1423"/>
      <c r="Y473" s="1423"/>
      <c r="Z473" s="1423"/>
      <c r="AD473" s="1423"/>
      <c r="AF473" s="1423"/>
      <c r="AG473" s="1423"/>
      <c r="AH473" s="1423"/>
      <c r="AI473" s="1430"/>
      <c r="AJ473" s="1425"/>
      <c r="AL473" s="748"/>
    </row>
    <row r="474" spans="1:38">
      <c r="A474" s="728">
        <v>469</v>
      </c>
      <c r="E474" s="1423"/>
      <c r="F474" s="1423"/>
      <c r="G474" s="1423"/>
      <c r="H474" s="1423"/>
      <c r="I474" s="1423"/>
      <c r="J474" s="1423"/>
      <c r="K474" s="1405"/>
      <c r="L474" s="1427"/>
      <c r="M474" s="1422"/>
      <c r="N474" s="1423"/>
      <c r="O474" s="1423"/>
      <c r="P474" s="1423"/>
      <c r="Q474" s="1423"/>
      <c r="R474" s="1423"/>
      <c r="S474" s="1423"/>
      <c r="T474" s="1423"/>
      <c r="U474" s="1423"/>
      <c r="V474" s="1423"/>
      <c r="W474" s="1423"/>
      <c r="X474" s="1423"/>
      <c r="Y474" s="1423"/>
      <c r="Z474" s="1423"/>
      <c r="AD474" s="1423"/>
      <c r="AF474" s="1423"/>
      <c r="AG474" s="1423"/>
      <c r="AH474" s="1423"/>
      <c r="AI474" s="1430"/>
      <c r="AJ474" s="1425"/>
      <c r="AL474" s="748"/>
    </row>
    <row r="475" spans="1:38">
      <c r="A475" s="728">
        <v>470</v>
      </c>
      <c r="B475" s="1512" t="s">
        <v>2752</v>
      </c>
      <c r="C475" s="1438">
        <f>E475-'Revenue Reconcilliation'!Q322</f>
        <v>0</v>
      </c>
      <c r="D475" s="1445" t="s">
        <v>2673</v>
      </c>
      <c r="E475" s="1437">
        <f>SUM(E458,E473)</f>
        <v>2311708.52</v>
      </c>
      <c r="F475" s="1437"/>
      <c r="G475" s="1437"/>
      <c r="H475" s="1437"/>
      <c r="I475" s="1437"/>
      <c r="J475" s="1437"/>
      <c r="K475" s="1447"/>
      <c r="L475" s="1446"/>
      <c r="M475" s="1438"/>
      <c r="N475" s="1437"/>
      <c r="O475" s="1437"/>
      <c r="P475" s="1437"/>
      <c r="Q475" s="1437"/>
      <c r="R475" s="1437"/>
      <c r="S475" s="1437"/>
      <c r="T475" s="1437"/>
      <c r="U475" s="1437"/>
      <c r="V475" s="1437"/>
      <c r="W475" s="1437"/>
      <c r="X475" s="1437"/>
      <c r="Y475" s="1437"/>
      <c r="Z475" s="1437"/>
      <c r="AA475" s="1445"/>
      <c r="AB475" s="1445"/>
      <c r="AC475" s="1445"/>
      <c r="AD475" s="1437"/>
      <c r="AE475" s="1447"/>
      <c r="AF475" s="1437"/>
      <c r="AG475" s="1437"/>
      <c r="AH475" s="1437"/>
      <c r="AI475" s="1490"/>
      <c r="AJ475" s="1440"/>
      <c r="AK475" s="1445"/>
      <c r="AL475" s="748"/>
    </row>
    <row r="476" spans="1:38">
      <c r="A476" s="728">
        <v>471</v>
      </c>
      <c r="B476" s="1443"/>
      <c r="E476" s="1423"/>
      <c r="F476" s="1423"/>
      <c r="G476" s="1423"/>
      <c r="H476" s="1423"/>
      <c r="I476" s="1423"/>
      <c r="J476" s="1423"/>
      <c r="K476" s="1405"/>
      <c r="L476" s="1427"/>
      <c r="M476" s="1422"/>
      <c r="N476" s="1423"/>
      <c r="O476" s="1423"/>
      <c r="P476" s="1423"/>
      <c r="Q476" s="1423"/>
      <c r="R476" s="1423"/>
      <c r="S476" s="1423"/>
      <c r="T476" s="1423"/>
      <c r="U476" s="1423"/>
      <c r="V476" s="1423"/>
      <c r="W476" s="1423"/>
      <c r="X476" s="1423"/>
      <c r="Y476" s="1423"/>
      <c r="Z476" s="1423"/>
      <c r="AA476" s="1423"/>
      <c r="AB476" s="1423"/>
      <c r="AC476" s="1423"/>
      <c r="AD476" s="1423"/>
      <c r="AF476" s="1423"/>
      <c r="AG476" s="1423"/>
      <c r="AH476" s="1423"/>
      <c r="AI476" s="1430"/>
      <c r="AJ476" s="1425"/>
      <c r="AK476" s="1423"/>
      <c r="AL476" s="748"/>
    </row>
    <row r="477" spans="1:38">
      <c r="A477" s="728">
        <v>472</v>
      </c>
      <c r="B477" s="1420" t="s">
        <v>2753</v>
      </c>
      <c r="E477" s="1423"/>
      <c r="F477" s="1423"/>
      <c r="G477" s="1404" t="s">
        <v>2723</v>
      </c>
      <c r="H477" s="1423"/>
      <c r="I477" s="1423"/>
      <c r="J477" s="1423"/>
      <c r="K477" s="1405"/>
      <c r="L477" s="1427"/>
      <c r="M477" s="1422"/>
      <c r="N477" s="1423"/>
      <c r="O477" s="1423"/>
      <c r="P477" s="1423"/>
      <c r="Q477" s="1423"/>
      <c r="R477" s="1423"/>
      <c r="S477" s="1423"/>
      <c r="T477" s="1423"/>
      <c r="U477" s="1423"/>
      <c r="V477" s="1423"/>
      <c r="W477" s="1423"/>
      <c r="X477" s="1423"/>
      <c r="Y477" s="1423"/>
      <c r="Z477" s="1423"/>
      <c r="AA477" s="1423"/>
      <c r="AB477" s="1423"/>
      <c r="AC477" s="1423"/>
      <c r="AD477" s="1423"/>
      <c r="AF477" s="1423"/>
      <c r="AG477" s="1423"/>
      <c r="AH477" s="1423"/>
      <c r="AI477" s="1430"/>
      <c r="AJ477" s="1425"/>
      <c r="AK477" s="1423"/>
      <c r="AL477" s="748"/>
    </row>
    <row r="478" spans="1:38">
      <c r="A478" s="728">
        <v>473</v>
      </c>
      <c r="B478" s="727" t="s">
        <v>2462</v>
      </c>
      <c r="C478" s="1477">
        <f t="shared" ref="C478:C484" si="24">E478/D478</f>
        <v>12</v>
      </c>
      <c r="D478" s="1430">
        <v>625</v>
      </c>
      <c r="E478" s="1423">
        <f>'1501 Summary'!AD339</f>
        <v>7500</v>
      </c>
      <c r="F478" s="1423"/>
      <c r="G478" s="1508">
        <f>-C478</f>
        <v>-12</v>
      </c>
      <c r="H478" s="1423">
        <f>D478</f>
        <v>625</v>
      </c>
      <c r="I478" s="1423">
        <f>H478*G478</f>
        <v>-7500</v>
      </c>
      <c r="J478" s="1423"/>
      <c r="K478" s="1405">
        <f t="shared" ref="K478:K484" si="25">C478+G478</f>
        <v>0</v>
      </c>
      <c r="L478" s="1422">
        <f>D478</f>
        <v>625</v>
      </c>
      <c r="M478" s="1435">
        <f t="shared" ref="M478:M484" si="26">L478*K478</f>
        <v>0</v>
      </c>
      <c r="N478" s="1423"/>
      <c r="O478" s="1423"/>
      <c r="P478" s="1423"/>
      <c r="Q478" s="1423"/>
      <c r="R478" s="1423"/>
      <c r="S478" s="1423"/>
      <c r="T478" s="1423"/>
      <c r="U478" s="1423"/>
      <c r="V478" s="1423"/>
      <c r="W478" s="1423"/>
      <c r="X478" s="1423"/>
      <c r="Y478" s="1423"/>
      <c r="Z478" s="1423"/>
      <c r="AA478" s="1425"/>
      <c r="AB478" s="1425"/>
      <c r="AC478" s="1425"/>
      <c r="AD478" s="1423"/>
      <c r="AF478" s="1423"/>
      <c r="AG478" s="1423"/>
      <c r="AH478" s="1423"/>
      <c r="AI478" s="1430"/>
      <c r="AJ478" s="1425"/>
      <c r="AK478" s="1425"/>
      <c r="AL478" s="748"/>
    </row>
    <row r="479" spans="1:38">
      <c r="A479" s="728">
        <v>474</v>
      </c>
      <c r="B479" s="727" t="s">
        <v>2713</v>
      </c>
      <c r="C479" s="1405">
        <f t="shared" si="24"/>
        <v>6240000</v>
      </c>
      <c r="D479" s="1500">
        <v>0.2</v>
      </c>
      <c r="E479" s="1423">
        <f>'1501 Summary'!AD340</f>
        <v>1248000</v>
      </c>
      <c r="F479" s="1423"/>
      <c r="G479" s="1508">
        <f t="shared" ref="G479:G484" si="27">-C479</f>
        <v>-6240000</v>
      </c>
      <c r="H479" s="1423">
        <f t="shared" ref="H479:H484" si="28">D479</f>
        <v>0.2</v>
      </c>
      <c r="I479" s="1423">
        <f t="shared" ref="I479:I484" si="29">H479*G479</f>
        <v>-1248000</v>
      </c>
      <c r="J479" s="1423"/>
      <c r="K479" s="1405">
        <f t="shared" si="25"/>
        <v>0</v>
      </c>
      <c r="L479" s="1427">
        <f>D479</f>
        <v>0.2</v>
      </c>
      <c r="M479" s="1435">
        <f t="shared" si="26"/>
        <v>0</v>
      </c>
      <c r="N479" s="1423"/>
      <c r="O479" s="1423"/>
      <c r="P479" s="1423"/>
      <c r="Q479" s="1423"/>
      <c r="R479" s="1423"/>
      <c r="S479" s="1423"/>
      <c r="T479" s="1423"/>
      <c r="U479" s="1423"/>
      <c r="V479" s="1423"/>
      <c r="W479" s="1423"/>
      <c r="X479" s="1423"/>
      <c r="Y479" s="1423"/>
      <c r="Z479" s="1423"/>
      <c r="AA479" s="1425"/>
      <c r="AB479" s="1425"/>
      <c r="AC479" s="1425"/>
      <c r="AD479" s="1423"/>
      <c r="AF479" s="1423"/>
      <c r="AG479" s="1423"/>
      <c r="AH479" s="1423"/>
      <c r="AI479" s="1430"/>
      <c r="AJ479" s="1425"/>
      <c r="AK479" s="1425"/>
      <c r="AL479" s="748"/>
    </row>
    <row r="480" spans="1:38">
      <c r="A480" s="728">
        <v>475</v>
      </c>
      <c r="B480" s="727" t="s">
        <v>2714</v>
      </c>
      <c r="C480" s="1405">
        <f t="shared" si="24"/>
        <v>78047625</v>
      </c>
      <c r="D480" s="1500">
        <v>4.0000000000000002E-4</v>
      </c>
      <c r="E480" s="1423">
        <f>'1501 Summary'!AD341</f>
        <v>31219.050000000003</v>
      </c>
      <c r="F480" s="1423"/>
      <c r="G480" s="1508">
        <f t="shared" si="27"/>
        <v>-78047625</v>
      </c>
      <c r="H480" s="1423">
        <f t="shared" si="28"/>
        <v>4.0000000000000002E-4</v>
      </c>
      <c r="I480" s="1423">
        <f t="shared" si="29"/>
        <v>-31219.050000000003</v>
      </c>
      <c r="J480" s="1423"/>
      <c r="K480" s="1405">
        <f t="shared" si="25"/>
        <v>0</v>
      </c>
      <c r="L480" s="1427">
        <f>D480</f>
        <v>4.0000000000000002E-4</v>
      </c>
      <c r="M480" s="1435">
        <f t="shared" si="26"/>
        <v>0</v>
      </c>
      <c r="N480" s="1423"/>
      <c r="O480" s="1423"/>
      <c r="P480" s="1423"/>
      <c r="Q480" s="1423"/>
      <c r="R480" s="1423"/>
      <c r="S480" s="1423"/>
      <c r="T480" s="1423"/>
      <c r="U480" s="1423"/>
      <c r="V480" s="1423"/>
      <c r="W480" s="1423"/>
      <c r="X480" s="1423"/>
      <c r="Y480" s="1423"/>
      <c r="Z480" s="1423"/>
      <c r="AA480" s="1425"/>
      <c r="AB480" s="1425"/>
      <c r="AC480" s="1425"/>
      <c r="AD480" s="1423"/>
      <c r="AF480" s="1423"/>
      <c r="AG480" s="1423"/>
      <c r="AH480" s="1423"/>
      <c r="AI480" s="1430"/>
      <c r="AJ480" s="1425"/>
      <c r="AK480" s="1425"/>
      <c r="AL480" s="748"/>
    </row>
    <row r="481" spans="1:38">
      <c r="A481" s="728">
        <v>476</v>
      </c>
      <c r="B481" s="1443" t="s">
        <v>2716</v>
      </c>
      <c r="C481" s="1405">
        <f t="shared" si="24"/>
        <v>1200000</v>
      </c>
      <c r="D481" s="1361">
        <v>5.3310000000000003E-2</v>
      </c>
      <c r="E481" s="1423">
        <f>'1501 Summary'!AD342</f>
        <v>63972</v>
      </c>
      <c r="F481" s="1486"/>
      <c r="G481" s="1508">
        <f t="shared" si="27"/>
        <v>-1200000</v>
      </c>
      <c r="H481" s="1423">
        <f t="shared" si="28"/>
        <v>5.3310000000000003E-2</v>
      </c>
      <c r="I481" s="1423">
        <f t="shared" si="29"/>
        <v>-63972.000000000007</v>
      </c>
      <c r="J481" s="1486"/>
      <c r="K481" s="1405">
        <f t="shared" si="25"/>
        <v>0</v>
      </c>
      <c r="L481" s="1427">
        <v>5.9889999999999999E-2</v>
      </c>
      <c r="M481" s="1435">
        <f t="shared" si="26"/>
        <v>0</v>
      </c>
      <c r="N481" s="1486"/>
      <c r="O481" s="1423"/>
      <c r="P481" s="1423"/>
      <c r="Q481" s="1423"/>
      <c r="R481" s="1486"/>
      <c r="S481" s="1423"/>
      <c r="T481" s="1423"/>
      <c r="U481" s="1423"/>
      <c r="V481" s="1486"/>
      <c r="W481" s="1486"/>
      <c r="X481" s="1486"/>
      <c r="Y481" s="1486"/>
      <c r="Z481" s="1486"/>
      <c r="AA481" s="1425"/>
      <c r="AB481" s="1425"/>
      <c r="AC481" s="1425"/>
      <c r="AD481" s="1486"/>
      <c r="AF481" s="1486"/>
      <c r="AG481" s="1486"/>
      <c r="AH481" s="1486"/>
      <c r="AI481" s="1430"/>
      <c r="AJ481" s="1425"/>
      <c r="AK481" s="1425"/>
      <c r="AL481" s="748"/>
    </row>
    <row r="482" spans="1:38">
      <c r="A482" s="728">
        <v>477</v>
      </c>
      <c r="B482" s="1443" t="s">
        <v>2494</v>
      </c>
      <c r="C482" s="1405">
        <f t="shared" si="24"/>
        <v>2400000</v>
      </c>
      <c r="D482" s="1361">
        <v>1.9449999999999999E-2</v>
      </c>
      <c r="E482" s="1423">
        <f>'1501 Summary'!AD343</f>
        <v>46680</v>
      </c>
      <c r="F482" s="1486"/>
      <c r="G482" s="1508">
        <f t="shared" si="27"/>
        <v>-2400000</v>
      </c>
      <c r="H482" s="1423">
        <f t="shared" si="28"/>
        <v>1.9449999999999999E-2</v>
      </c>
      <c r="I482" s="1423">
        <f t="shared" si="29"/>
        <v>-46680</v>
      </c>
      <c r="J482" s="1486"/>
      <c r="K482" s="1405">
        <f t="shared" si="25"/>
        <v>0</v>
      </c>
      <c r="L482" s="1427">
        <v>2.3029999999999998E-2</v>
      </c>
      <c r="M482" s="1435">
        <f t="shared" si="26"/>
        <v>0</v>
      </c>
      <c r="N482" s="1486"/>
      <c r="O482" s="1423"/>
      <c r="P482" s="1423"/>
      <c r="Q482" s="1423"/>
      <c r="R482" s="1486"/>
      <c r="S482" s="1423"/>
      <c r="T482" s="1423"/>
      <c r="U482" s="1423"/>
      <c r="V482" s="1486"/>
      <c r="W482" s="1486"/>
      <c r="X482" s="1486"/>
      <c r="Y482" s="1486"/>
      <c r="Z482" s="1486"/>
      <c r="AA482" s="1425"/>
      <c r="AB482" s="1425"/>
      <c r="AC482" s="1425"/>
      <c r="AD482" s="1486"/>
      <c r="AF482" s="1486"/>
      <c r="AG482" s="1486"/>
      <c r="AH482" s="1486"/>
      <c r="AI482" s="1430"/>
      <c r="AJ482" s="1425"/>
      <c r="AK482" s="1425"/>
      <c r="AL482" s="748"/>
    </row>
    <row r="483" spans="1:38">
      <c r="A483" s="728">
        <v>478</v>
      </c>
      <c r="B483" s="1443" t="s">
        <v>2494</v>
      </c>
      <c r="C483" s="1405">
        <f t="shared" si="24"/>
        <v>2281981.3874788494</v>
      </c>
      <c r="D483" s="1361">
        <v>1.1820000000000001E-2</v>
      </c>
      <c r="E483" s="1423">
        <f>'1501 Summary'!AD344</f>
        <v>26973.02</v>
      </c>
      <c r="F483" s="1486"/>
      <c r="G483" s="1508">
        <f t="shared" si="27"/>
        <v>-2281981.3874788494</v>
      </c>
      <c r="H483" s="1423">
        <f t="shared" si="28"/>
        <v>1.1820000000000001E-2</v>
      </c>
      <c r="I483" s="1423">
        <f t="shared" si="29"/>
        <v>-26973.02</v>
      </c>
      <c r="J483" s="1486"/>
      <c r="K483" s="1405">
        <f t="shared" si="25"/>
        <v>0</v>
      </c>
      <c r="L483" s="1427">
        <v>1.473E-2</v>
      </c>
      <c r="M483" s="1435">
        <f t="shared" si="26"/>
        <v>0</v>
      </c>
      <c r="N483" s="1486"/>
      <c r="O483" s="1423"/>
      <c r="P483" s="1423"/>
      <c r="Q483" s="1423"/>
      <c r="R483" s="1486"/>
      <c r="S483" s="1423"/>
      <c r="T483" s="1423"/>
      <c r="U483" s="1423"/>
      <c r="V483" s="1486"/>
      <c r="W483" s="1486"/>
      <c r="X483" s="1486"/>
      <c r="Y483" s="1486"/>
      <c r="Z483" s="1486"/>
      <c r="AA483" s="1425"/>
      <c r="AB483" s="1425"/>
      <c r="AC483" s="1425"/>
      <c r="AD483" s="1486"/>
      <c r="AF483" s="1486"/>
      <c r="AG483" s="1486"/>
      <c r="AH483" s="1486"/>
      <c r="AI483" s="1430"/>
      <c r="AJ483" s="1425"/>
      <c r="AK483" s="1425"/>
      <c r="AL483" s="748"/>
    </row>
    <row r="484" spans="1:38">
      <c r="A484" s="728">
        <v>479</v>
      </c>
      <c r="B484" s="1458" t="s">
        <v>2717</v>
      </c>
      <c r="C484" s="1405">
        <f t="shared" si="24"/>
        <v>72165599.644128114</v>
      </c>
      <c r="D484" s="1361">
        <v>5.62E-3</v>
      </c>
      <c r="E484" s="1437">
        <f>'1501 Summary'!AD345</f>
        <v>405570.67000000004</v>
      </c>
      <c r="F484" s="1486"/>
      <c r="G484" s="1508">
        <f t="shared" si="27"/>
        <v>-72165599.644128114</v>
      </c>
      <c r="H484" s="1423">
        <f t="shared" si="28"/>
        <v>5.62E-3</v>
      </c>
      <c r="I484" s="1437">
        <f t="shared" si="29"/>
        <v>-405570.67</v>
      </c>
      <c r="J484" s="1486"/>
      <c r="K484" s="1405">
        <f t="shared" si="25"/>
        <v>0</v>
      </c>
      <c r="L484" s="1427">
        <v>7.9799999999999992E-3</v>
      </c>
      <c r="M484" s="1436">
        <f t="shared" si="26"/>
        <v>0</v>
      </c>
      <c r="N484" s="1486"/>
      <c r="O484" s="1423"/>
      <c r="P484" s="1423"/>
      <c r="Q484" s="1423"/>
      <c r="R484" s="1486"/>
      <c r="S484" s="1423"/>
      <c r="T484" s="1423"/>
      <c r="U484" s="1423"/>
      <c r="V484" s="1486"/>
      <c r="W484" s="1486"/>
      <c r="X484" s="1486"/>
      <c r="Y484" s="1486"/>
      <c r="Z484" s="1486"/>
      <c r="AA484" s="1425"/>
      <c r="AB484" s="1425"/>
      <c r="AC484" s="1425"/>
      <c r="AD484" s="1486"/>
      <c r="AF484" s="1486"/>
      <c r="AG484" s="1486"/>
      <c r="AH484" s="1486"/>
      <c r="AI484" s="1430"/>
      <c r="AJ484" s="1425"/>
      <c r="AK484" s="1425"/>
      <c r="AL484" s="748"/>
    </row>
    <row r="485" spans="1:38">
      <c r="A485" s="728">
        <v>480</v>
      </c>
      <c r="B485" s="727" t="s">
        <v>2648</v>
      </c>
      <c r="E485" s="1423">
        <f>SUM(E478:E484)</f>
        <v>1829914.7400000002</v>
      </c>
      <c r="F485" s="1486"/>
      <c r="G485" s="1486"/>
      <c r="H485" s="1486"/>
      <c r="I485" s="1424">
        <f>SUM(I478:I484)</f>
        <v>-1829914.74</v>
      </c>
      <c r="J485" s="1486"/>
      <c r="K485" s="1405"/>
      <c r="L485" s="1427"/>
      <c r="M485" s="1435">
        <f>SUM(M478:M484)</f>
        <v>0</v>
      </c>
      <c r="N485" s="1486"/>
      <c r="O485" s="1423"/>
      <c r="P485" s="1423"/>
      <c r="Q485" s="1423"/>
      <c r="R485" s="1486"/>
      <c r="S485" s="1423"/>
      <c r="T485" s="1423"/>
      <c r="U485" s="1423"/>
      <c r="V485" s="1486"/>
      <c r="W485" s="1486"/>
      <c r="X485" s="1486"/>
      <c r="Y485" s="1486"/>
      <c r="Z485" s="1486"/>
      <c r="AA485" s="1425"/>
      <c r="AB485" s="1425"/>
      <c r="AC485" s="1425"/>
      <c r="AD485" s="1486"/>
      <c r="AF485" s="1486"/>
      <c r="AG485" s="1486"/>
      <c r="AH485" s="1486"/>
      <c r="AI485" s="1430"/>
      <c r="AJ485" s="1425"/>
      <c r="AK485" s="1425"/>
      <c r="AL485" s="748"/>
    </row>
    <row r="486" spans="1:38">
      <c r="A486" s="728">
        <v>481</v>
      </c>
      <c r="K486" s="1405"/>
      <c r="L486" s="1427"/>
      <c r="M486" s="1435"/>
      <c r="O486" s="1423"/>
      <c r="P486" s="1423"/>
      <c r="Q486" s="1423"/>
      <c r="S486" s="1423"/>
      <c r="T486" s="1423"/>
      <c r="U486" s="1423"/>
      <c r="AI486" s="1430"/>
      <c r="AJ486" s="1425"/>
      <c r="AL486" s="748"/>
    </row>
    <row r="487" spans="1:38">
      <c r="A487" s="728">
        <v>482</v>
      </c>
      <c r="B487" s="727" t="s">
        <v>2651</v>
      </c>
      <c r="K487" s="1405"/>
      <c r="L487" s="1427"/>
      <c r="M487" s="1435"/>
      <c r="O487" s="1423"/>
      <c r="P487" s="1423"/>
      <c r="Q487" s="1423"/>
      <c r="S487" s="1423"/>
      <c r="T487" s="1423"/>
      <c r="U487" s="1423"/>
      <c r="AI487" s="1430"/>
      <c r="AJ487" s="1425"/>
      <c r="AL487" s="748"/>
    </row>
    <row r="488" spans="1:38">
      <c r="A488" s="728">
        <v>483</v>
      </c>
      <c r="B488" s="1479" t="s">
        <v>2658</v>
      </c>
      <c r="E488" s="1454">
        <f>'1501 Summary'!AD346</f>
        <v>-49646.470000000008</v>
      </c>
      <c r="F488" s="1484"/>
      <c r="G488" s="1484"/>
      <c r="H488" s="1484"/>
      <c r="I488" s="1484"/>
      <c r="J488" s="1484"/>
      <c r="K488" s="1405"/>
      <c r="L488" s="1427"/>
      <c r="M488" s="1435"/>
      <c r="N488" s="1484"/>
      <c r="O488" s="1423"/>
      <c r="P488" s="1423"/>
      <c r="Q488" s="1423"/>
      <c r="R488" s="1484"/>
      <c r="S488" s="1423"/>
      <c r="T488" s="1423"/>
      <c r="U488" s="1423"/>
      <c r="V488" s="1484"/>
      <c r="W488" s="1484"/>
      <c r="X488" s="1484"/>
      <c r="Y488" s="1484"/>
      <c r="Z488" s="1484"/>
      <c r="AD488" s="1484"/>
      <c r="AF488" s="1484"/>
      <c r="AG488" s="1484"/>
      <c r="AH488" s="1484"/>
      <c r="AI488" s="1430"/>
      <c r="AJ488" s="1425"/>
      <c r="AL488" s="748"/>
    </row>
    <row r="489" spans="1:38">
      <c r="A489" s="728">
        <v>484</v>
      </c>
      <c r="B489" s="1479" t="s">
        <v>2659</v>
      </c>
      <c r="E489" s="1454">
        <f>'1501 Summary'!AD347</f>
        <v>-22461.08</v>
      </c>
      <c r="F489" s="1484"/>
      <c r="G489" s="1484"/>
      <c r="H489" s="1484"/>
      <c r="I489" s="1484"/>
      <c r="J489" s="1484"/>
      <c r="K489" s="1405"/>
      <c r="L489" s="1427"/>
      <c r="M489" s="1435"/>
      <c r="N489" s="1484"/>
      <c r="O489" s="1423"/>
      <c r="P489" s="1423"/>
      <c r="Q489" s="1423"/>
      <c r="R489" s="1484"/>
      <c r="S489" s="1423"/>
      <c r="T489" s="1423"/>
      <c r="U489" s="1423"/>
      <c r="V489" s="1484"/>
      <c r="W489" s="1484"/>
      <c r="X489" s="1484"/>
      <c r="Y489" s="1484"/>
      <c r="Z489" s="1484"/>
      <c r="AD489" s="1484"/>
      <c r="AF489" s="1484"/>
      <c r="AG489" s="1484"/>
      <c r="AH489" s="1484"/>
      <c r="AI489" s="1430"/>
      <c r="AJ489" s="1425"/>
      <c r="AL489" s="748"/>
    </row>
    <row r="490" spans="1:38">
      <c r="A490" s="728">
        <v>485</v>
      </c>
      <c r="B490" s="1479" t="s">
        <v>2660</v>
      </c>
      <c r="E490" s="1454">
        <f>'1501 Summary'!AD348</f>
        <v>-38929.449999999997</v>
      </c>
      <c r="F490" s="1484"/>
      <c r="G490" s="1484"/>
      <c r="H490" s="1484"/>
      <c r="I490" s="1484"/>
      <c r="J490" s="1484"/>
      <c r="K490" s="1405"/>
      <c r="L490" s="1427"/>
      <c r="M490" s="1435"/>
      <c r="N490" s="1484"/>
      <c r="O490" s="1423"/>
      <c r="P490" s="1423"/>
      <c r="Q490" s="1423"/>
      <c r="R490" s="1484"/>
      <c r="S490" s="1423"/>
      <c r="T490" s="1423"/>
      <c r="U490" s="1423"/>
      <c r="V490" s="1484"/>
      <c r="W490" s="1484"/>
      <c r="X490" s="1484"/>
      <c r="Y490" s="1484"/>
      <c r="Z490" s="1484"/>
      <c r="AD490" s="1484"/>
      <c r="AF490" s="1484"/>
      <c r="AG490" s="1484"/>
      <c r="AH490" s="1484"/>
      <c r="AI490" s="1430"/>
      <c r="AJ490" s="1425"/>
      <c r="AL490" s="748"/>
    </row>
    <row r="491" spans="1:38">
      <c r="A491" s="728">
        <v>486</v>
      </c>
      <c r="B491" s="727" t="s">
        <v>2653</v>
      </c>
      <c r="E491" s="1454">
        <f>'1501 Summary'!AD349</f>
        <v>24135.17</v>
      </c>
      <c r="F491" s="1484"/>
      <c r="G491" s="1484"/>
      <c r="H491" s="1484"/>
      <c r="I491" s="1484"/>
      <c r="J491" s="1484"/>
      <c r="K491" s="1405"/>
      <c r="L491" s="1427"/>
      <c r="M491" s="1435"/>
      <c r="N491" s="1484"/>
      <c r="O491" s="1423"/>
      <c r="P491" s="1423"/>
      <c r="Q491" s="1423"/>
      <c r="R491" s="1484"/>
      <c r="S491" s="1423"/>
      <c r="T491" s="1423"/>
      <c r="U491" s="1423"/>
      <c r="V491" s="1484"/>
      <c r="W491" s="1484"/>
      <c r="X491" s="1484"/>
      <c r="Y491" s="1484"/>
      <c r="Z491" s="1484"/>
      <c r="AD491" s="1484"/>
      <c r="AF491" s="1484"/>
      <c r="AG491" s="1484"/>
      <c r="AH491" s="1484"/>
      <c r="AI491" s="1430"/>
      <c r="AJ491" s="1425"/>
      <c r="AL491" s="748"/>
    </row>
    <row r="492" spans="1:38">
      <c r="A492" s="728">
        <v>487</v>
      </c>
      <c r="B492" s="727" t="s">
        <v>2654</v>
      </c>
      <c r="E492" s="1454">
        <f>'1501 Summary'!AD350</f>
        <v>133640.04</v>
      </c>
      <c r="F492" s="1484"/>
      <c r="G492" s="1484"/>
      <c r="H492" s="1484"/>
      <c r="I492" s="1484"/>
      <c r="J492" s="1484"/>
      <c r="K492" s="1405"/>
      <c r="L492" s="1427"/>
      <c r="M492" s="1435"/>
      <c r="N492" s="1484"/>
      <c r="O492" s="1423"/>
      <c r="P492" s="1423"/>
      <c r="Q492" s="1423"/>
      <c r="R492" s="1484"/>
      <c r="S492" s="1423"/>
      <c r="T492" s="1423"/>
      <c r="U492" s="1423"/>
      <c r="V492" s="1484"/>
      <c r="W492" s="1484"/>
      <c r="X492" s="1484"/>
      <c r="Y492" s="1484"/>
      <c r="Z492" s="1484"/>
      <c r="AD492" s="1484"/>
      <c r="AF492" s="1484"/>
      <c r="AG492" s="1484"/>
      <c r="AH492" s="1484"/>
      <c r="AI492" s="1430"/>
      <c r="AJ492" s="1425"/>
      <c r="AL492" s="748"/>
    </row>
    <row r="493" spans="1:38">
      <c r="A493" s="728">
        <v>488</v>
      </c>
      <c r="B493" s="727" t="s">
        <v>2719</v>
      </c>
      <c r="E493" s="1454">
        <f>'1501 Summary'!AD351</f>
        <v>81083.53</v>
      </c>
      <c r="F493" s="1484"/>
      <c r="G493" s="1484"/>
      <c r="H493" s="1484"/>
      <c r="I493" s="1484"/>
      <c r="J493" s="1484"/>
      <c r="K493" s="1405"/>
      <c r="L493" s="1427"/>
      <c r="M493" s="1435"/>
      <c r="N493" s="1484"/>
      <c r="O493" s="1423"/>
      <c r="P493" s="1423"/>
      <c r="Q493" s="1423"/>
      <c r="R493" s="1484"/>
      <c r="S493" s="1423"/>
      <c r="T493" s="1423"/>
      <c r="U493" s="1423"/>
      <c r="V493" s="1484"/>
      <c r="W493" s="1484"/>
      <c r="X493" s="1484"/>
      <c r="Y493" s="1484"/>
      <c r="Z493" s="1484"/>
      <c r="AD493" s="1484"/>
      <c r="AF493" s="1484"/>
      <c r="AG493" s="1484"/>
      <c r="AH493" s="1484"/>
      <c r="AI493" s="1430"/>
      <c r="AJ493" s="1425"/>
      <c r="AL493" s="748"/>
    </row>
    <row r="494" spans="1:38">
      <c r="A494" s="728">
        <v>489</v>
      </c>
      <c r="B494" s="1482" t="s">
        <v>2697</v>
      </c>
      <c r="E494" s="1435">
        <f>'Revenue Reconcilliation'!Q340</f>
        <v>-1933601.3099999998</v>
      </c>
      <c r="F494" s="1449"/>
      <c r="G494" s="1449"/>
      <c r="H494" s="1449"/>
      <c r="I494" s="1449"/>
      <c r="J494" s="1449"/>
      <c r="K494" s="1405"/>
      <c r="L494" s="1427"/>
      <c r="M494" s="1435"/>
      <c r="N494" s="1449"/>
      <c r="O494" s="1423"/>
      <c r="P494" s="1423"/>
      <c r="Q494" s="1423"/>
      <c r="R494" s="1449"/>
      <c r="S494" s="1423"/>
      <c r="T494" s="1423"/>
      <c r="U494" s="1423"/>
      <c r="V494" s="1449"/>
      <c r="W494" s="1449"/>
      <c r="X494" s="1449"/>
      <c r="Y494" s="1449"/>
      <c r="Z494" s="1449"/>
      <c r="AD494" s="1449"/>
      <c r="AF494" s="1449"/>
      <c r="AG494" s="1449"/>
      <c r="AH494" s="1449"/>
      <c r="AI494" s="1430"/>
      <c r="AJ494" s="1425"/>
      <c r="AL494" s="748"/>
    </row>
    <row r="495" spans="1:38">
      <c r="A495" s="728">
        <v>490</v>
      </c>
      <c r="B495" s="1513" t="s">
        <v>2698</v>
      </c>
      <c r="E495" s="1435">
        <f>'Revenue Reconcilliation'!Q341</f>
        <v>2002491.73</v>
      </c>
      <c r="F495" s="1449"/>
      <c r="G495" s="1449"/>
      <c r="H495" s="1449"/>
      <c r="I495" s="1449"/>
      <c r="J495" s="1449"/>
      <c r="K495" s="1405"/>
      <c r="L495" s="1427"/>
      <c r="M495" s="1435"/>
      <c r="N495" s="1449"/>
      <c r="O495" s="1423"/>
      <c r="P495" s="1423"/>
      <c r="Q495" s="1423"/>
      <c r="R495" s="1449"/>
      <c r="S495" s="1423"/>
      <c r="T495" s="1423"/>
      <c r="U495" s="1423"/>
      <c r="V495" s="1449"/>
      <c r="W495" s="1449"/>
      <c r="X495" s="1449"/>
      <c r="Y495" s="1449"/>
      <c r="Z495" s="1449"/>
      <c r="AD495" s="1449"/>
      <c r="AF495" s="1449"/>
      <c r="AG495" s="1449"/>
      <c r="AH495" s="1449"/>
      <c r="AI495" s="1430"/>
      <c r="AJ495" s="1425"/>
      <c r="AL495" s="748"/>
    </row>
    <row r="496" spans="1:38">
      <c r="A496" s="728">
        <v>491</v>
      </c>
      <c r="B496" s="1443" t="s">
        <v>2678</v>
      </c>
      <c r="E496" s="1454">
        <f>SUM(E488:E495)</f>
        <v>196712.16000000015</v>
      </c>
      <c r="F496" s="1484"/>
      <c r="G496" s="1484"/>
      <c r="H496" s="1484"/>
      <c r="I496" s="1484"/>
      <c r="J496" s="1484"/>
      <c r="K496" s="1405"/>
      <c r="L496" s="1427"/>
      <c r="M496" s="1435"/>
      <c r="N496" s="1484"/>
      <c r="O496" s="1423"/>
      <c r="P496" s="1423"/>
      <c r="Q496" s="1423"/>
      <c r="R496" s="1484"/>
      <c r="S496" s="1423"/>
      <c r="T496" s="1423"/>
      <c r="U496" s="1423"/>
      <c r="V496" s="1484"/>
      <c r="W496" s="1484"/>
      <c r="X496" s="1484"/>
      <c r="Y496" s="1484"/>
      <c r="Z496" s="1484"/>
      <c r="AD496" s="1484"/>
      <c r="AF496" s="1484"/>
      <c r="AG496" s="1484"/>
      <c r="AH496" s="1484"/>
      <c r="AI496" s="1430"/>
      <c r="AJ496" s="1425"/>
      <c r="AL496" s="748"/>
    </row>
    <row r="497" spans="1:38">
      <c r="A497" s="728">
        <v>492</v>
      </c>
      <c r="E497" s="1435"/>
      <c r="F497" s="1484"/>
      <c r="G497" s="1484"/>
      <c r="H497" s="1484"/>
      <c r="I497" s="1484"/>
      <c r="J497" s="1484"/>
      <c r="K497" s="1405"/>
      <c r="L497" s="1427"/>
      <c r="M497" s="1435"/>
      <c r="N497" s="1484"/>
      <c r="O497" s="1423"/>
      <c r="P497" s="1423"/>
      <c r="Q497" s="1423"/>
      <c r="R497" s="1484"/>
      <c r="S497" s="1423"/>
      <c r="T497" s="1423"/>
      <c r="U497" s="1423"/>
      <c r="V497" s="1484"/>
      <c r="W497" s="1484"/>
      <c r="X497" s="1484"/>
      <c r="Y497" s="1484"/>
      <c r="Z497" s="1484"/>
      <c r="AD497" s="1484"/>
      <c r="AF497" s="1484"/>
      <c r="AG497" s="1484"/>
      <c r="AH497" s="1484"/>
      <c r="AI497" s="1430"/>
      <c r="AJ497" s="1425"/>
      <c r="AL497" s="748"/>
    </row>
    <row r="498" spans="1:38">
      <c r="A498" s="728">
        <v>493</v>
      </c>
      <c r="B498" s="1512" t="s">
        <v>2754</v>
      </c>
      <c r="C498" s="1483">
        <f>E498-'Revenue Reconcilliation'!Q342</f>
        <v>0</v>
      </c>
      <c r="D498" s="1445" t="s">
        <v>2673</v>
      </c>
      <c r="E498" s="1436">
        <f>SUM(E485,E496)</f>
        <v>2026626.9000000004</v>
      </c>
      <c r="F498" s="1483"/>
      <c r="G498" s="1483"/>
      <c r="H498" s="1483"/>
      <c r="I498" s="1483"/>
      <c r="J498" s="1483"/>
      <c r="K498" s="1447"/>
      <c r="L498" s="1446"/>
      <c r="M498" s="1436"/>
      <c r="N498" s="1483"/>
      <c r="O498" s="1437"/>
      <c r="P498" s="1437"/>
      <c r="Q498" s="1437"/>
      <c r="R498" s="1483"/>
      <c r="S498" s="1437"/>
      <c r="T498" s="1437"/>
      <c r="U498" s="1437"/>
      <c r="V498" s="1483"/>
      <c r="W498" s="1483"/>
      <c r="X498" s="1483"/>
      <c r="Y498" s="1483"/>
      <c r="Z498" s="1483"/>
      <c r="AA498" s="1445"/>
      <c r="AB498" s="1445"/>
      <c r="AC498" s="1445"/>
      <c r="AD498" s="1483"/>
      <c r="AE498" s="1447"/>
      <c r="AF498" s="1483"/>
      <c r="AG498" s="1483"/>
      <c r="AH498" s="1483"/>
      <c r="AI498" s="1490"/>
      <c r="AJ498" s="1440"/>
      <c r="AK498" s="1445"/>
      <c r="AL498" s="748"/>
    </row>
    <row r="499" spans="1:38">
      <c r="A499" s="728">
        <v>494</v>
      </c>
      <c r="E499" s="1484"/>
      <c r="F499" s="1484"/>
      <c r="G499" s="1484"/>
      <c r="H499" s="1484"/>
      <c r="I499" s="1484"/>
      <c r="J499" s="1484"/>
      <c r="K499" s="1405"/>
      <c r="L499" s="1427"/>
      <c r="M499" s="1435"/>
      <c r="N499" s="1484"/>
      <c r="O499" s="1423"/>
      <c r="P499" s="1423"/>
      <c r="Q499" s="1423"/>
      <c r="R499" s="1484"/>
      <c r="S499" s="1423"/>
      <c r="T499" s="1423"/>
      <c r="U499" s="1423"/>
      <c r="V499" s="1484"/>
      <c r="W499" s="1484"/>
      <c r="X499" s="1484"/>
      <c r="Y499" s="1484"/>
      <c r="Z499" s="1484"/>
      <c r="AD499" s="1484"/>
      <c r="AF499" s="1484"/>
      <c r="AG499" s="1484"/>
      <c r="AH499" s="1484"/>
      <c r="AI499" s="1430"/>
      <c r="AJ499" s="1425"/>
      <c r="AL499" s="748"/>
    </row>
    <row r="500" spans="1:38">
      <c r="A500" s="728">
        <v>495</v>
      </c>
      <c r="B500" s="1448"/>
      <c r="K500" s="1405"/>
      <c r="L500" s="1427"/>
      <c r="M500" s="1435"/>
      <c r="O500" s="1423"/>
      <c r="P500" s="1423"/>
      <c r="Q500" s="1423"/>
      <c r="S500" s="1423"/>
      <c r="T500" s="1423"/>
      <c r="U500" s="1423"/>
      <c r="AI500" s="1430"/>
      <c r="AJ500" s="1425"/>
      <c r="AL500" s="748"/>
    </row>
    <row r="501" spans="1:38">
      <c r="A501" s="728">
        <v>496</v>
      </c>
      <c r="B501" s="1443"/>
      <c r="K501" s="1405"/>
      <c r="L501" s="1427"/>
      <c r="M501" s="1435"/>
      <c r="O501" s="1423"/>
      <c r="P501" s="1423"/>
      <c r="Q501" s="1423"/>
      <c r="S501" s="1423"/>
      <c r="T501" s="1423"/>
      <c r="U501" s="1423"/>
      <c r="AI501" s="1430"/>
      <c r="AJ501" s="1425"/>
      <c r="AL501" s="748"/>
    </row>
    <row r="502" spans="1:38">
      <c r="A502" s="728">
        <v>497</v>
      </c>
      <c r="B502" s="1420" t="s">
        <v>2755</v>
      </c>
      <c r="G502" s="1404" t="s">
        <v>2723</v>
      </c>
      <c r="K502" s="1405"/>
      <c r="L502" s="1427"/>
      <c r="M502" s="1435"/>
      <c r="O502" s="1423"/>
      <c r="P502" s="1423"/>
      <c r="Q502" s="1423"/>
      <c r="S502" s="1423"/>
      <c r="T502" s="1423"/>
      <c r="U502" s="1423"/>
      <c r="AI502" s="1430"/>
      <c r="AJ502" s="1425"/>
      <c r="AL502" s="748"/>
    </row>
    <row r="503" spans="1:38">
      <c r="A503" s="728">
        <v>498</v>
      </c>
      <c r="B503" s="727" t="s">
        <v>2462</v>
      </c>
      <c r="C503" s="1488">
        <f t="shared" ref="C503:C508" si="30">E503/D503</f>
        <v>12</v>
      </c>
      <c r="D503" s="1430">
        <v>625</v>
      </c>
      <c r="E503" s="1488">
        <f>'1501 Summary'!AD358</f>
        <v>7500</v>
      </c>
      <c r="F503" s="1489"/>
      <c r="G503" s="1508">
        <f t="shared" ref="G503:G508" si="31">-C503</f>
        <v>-12</v>
      </c>
      <c r="H503" s="1423">
        <f t="shared" ref="H503:H508" si="32">D503</f>
        <v>625</v>
      </c>
      <c r="I503" s="1423">
        <f t="shared" ref="I503:I508" si="33">H503*G503</f>
        <v>-7500</v>
      </c>
      <c r="J503" s="1489"/>
      <c r="K503" s="1405">
        <f t="shared" ref="K503:K508" si="34">C503+G503</f>
        <v>0</v>
      </c>
      <c r="L503" s="1422">
        <f>D503</f>
        <v>625</v>
      </c>
      <c r="M503" s="1435">
        <f t="shared" ref="M503:M508" si="35">L503*K503</f>
        <v>0</v>
      </c>
      <c r="N503" s="1489"/>
      <c r="O503" s="1423"/>
      <c r="P503" s="1423"/>
      <c r="Q503" s="1423"/>
      <c r="R503" s="1489"/>
      <c r="S503" s="1423"/>
      <c r="T503" s="1423"/>
      <c r="U503" s="1423"/>
      <c r="V503" s="1489"/>
      <c r="W503" s="1489"/>
      <c r="X503" s="1489"/>
      <c r="Y503" s="1489"/>
      <c r="Z503" s="1489"/>
      <c r="AA503" s="1454"/>
      <c r="AB503" s="1454"/>
      <c r="AC503" s="1454"/>
      <c r="AD503" s="1489"/>
      <c r="AF503" s="1489"/>
      <c r="AG503" s="1489"/>
      <c r="AH503" s="1489"/>
      <c r="AI503" s="1430"/>
      <c r="AJ503" s="1425"/>
      <c r="AK503" s="1454"/>
      <c r="AL503" s="748"/>
    </row>
    <row r="504" spans="1:38">
      <c r="A504" s="728">
        <v>499</v>
      </c>
      <c r="B504" s="727" t="s">
        <v>2714</v>
      </c>
      <c r="C504" s="1488">
        <f t="shared" si="30"/>
        <v>22276174.999999996</v>
      </c>
      <c r="D504" s="1500">
        <v>4.0000000000000002E-4</v>
      </c>
      <c r="E504" s="1488">
        <f>'1501 Summary'!AD359</f>
        <v>8910.4699999999993</v>
      </c>
      <c r="F504" s="1489"/>
      <c r="G504" s="1508">
        <f t="shared" si="31"/>
        <v>-22276174.999999996</v>
      </c>
      <c r="H504" s="1423">
        <f t="shared" si="32"/>
        <v>4.0000000000000002E-4</v>
      </c>
      <c r="I504" s="1423">
        <f t="shared" si="33"/>
        <v>-8910.4699999999993</v>
      </c>
      <c r="J504" s="1489"/>
      <c r="K504" s="1405">
        <f t="shared" si="34"/>
        <v>0</v>
      </c>
      <c r="L504" s="1427">
        <f>D504</f>
        <v>4.0000000000000002E-4</v>
      </c>
      <c r="M504" s="1435">
        <f t="shared" si="35"/>
        <v>0</v>
      </c>
      <c r="N504" s="1489"/>
      <c r="O504" s="1423"/>
      <c r="P504" s="1423"/>
      <c r="Q504" s="1423"/>
      <c r="R504" s="1489"/>
      <c r="S504" s="1423"/>
      <c r="T504" s="1423"/>
      <c r="U504" s="1423"/>
      <c r="V504" s="1489"/>
      <c r="W504" s="1489"/>
      <c r="X504" s="1489"/>
      <c r="Y504" s="1489"/>
      <c r="Z504" s="1489"/>
      <c r="AA504" s="1454"/>
      <c r="AB504" s="1454"/>
      <c r="AC504" s="1454"/>
      <c r="AD504" s="1489"/>
      <c r="AF504" s="1489"/>
      <c r="AG504" s="1489"/>
      <c r="AH504" s="1489"/>
      <c r="AI504" s="1430"/>
      <c r="AJ504" s="1425"/>
      <c r="AK504" s="1454"/>
      <c r="AL504" s="748"/>
    </row>
    <row r="505" spans="1:38">
      <c r="A505" s="728">
        <v>500</v>
      </c>
      <c r="B505" s="727" t="s">
        <v>2716</v>
      </c>
      <c r="C505" s="1488">
        <f t="shared" si="30"/>
        <v>981752.95441755757</v>
      </c>
      <c r="D505" s="1361">
        <v>5.3310000000000003E-2</v>
      </c>
      <c r="E505" s="1488">
        <f>'1501 Summary'!AD360</f>
        <v>52337.25</v>
      </c>
      <c r="F505" s="1489"/>
      <c r="G505" s="1508">
        <f t="shared" si="31"/>
        <v>-981752.95441755757</v>
      </c>
      <c r="H505" s="1423">
        <f t="shared" si="32"/>
        <v>5.3310000000000003E-2</v>
      </c>
      <c r="I505" s="1423">
        <f t="shared" si="33"/>
        <v>-52337.25</v>
      </c>
      <c r="J505" s="1489"/>
      <c r="K505" s="1405">
        <f t="shared" si="34"/>
        <v>0</v>
      </c>
      <c r="L505" s="1427">
        <v>5.9889999999999999E-2</v>
      </c>
      <c r="M505" s="1435">
        <f t="shared" si="35"/>
        <v>0</v>
      </c>
      <c r="N505" s="1489"/>
      <c r="O505" s="1423"/>
      <c r="P505" s="1423"/>
      <c r="Q505" s="1423"/>
      <c r="R505" s="1489"/>
      <c r="S505" s="1423"/>
      <c r="T505" s="1423"/>
      <c r="U505" s="1423"/>
      <c r="V505" s="1489"/>
      <c r="W505" s="1489"/>
      <c r="X505" s="1489"/>
      <c r="Y505" s="1489"/>
      <c r="Z505" s="1489"/>
      <c r="AA505" s="1454"/>
      <c r="AB505" s="1454"/>
      <c r="AC505" s="1454"/>
      <c r="AD505" s="1489"/>
      <c r="AF505" s="1489"/>
      <c r="AG505" s="1489"/>
      <c r="AH505" s="1489"/>
      <c r="AI505" s="1430"/>
      <c r="AJ505" s="1425"/>
      <c r="AK505" s="1454"/>
      <c r="AL505" s="748"/>
    </row>
    <row r="506" spans="1:38">
      <c r="A506" s="728">
        <v>501</v>
      </c>
      <c r="B506" s="727" t="s">
        <v>2494</v>
      </c>
      <c r="C506" s="1488">
        <f t="shared" si="30"/>
        <v>1380094.0874035992</v>
      </c>
      <c r="D506" s="1361">
        <v>1.9449999999999999E-2</v>
      </c>
      <c r="E506" s="1488">
        <f>'1501 Summary'!AD361</f>
        <v>26842.83</v>
      </c>
      <c r="F506" s="1489"/>
      <c r="G506" s="1508">
        <f t="shared" si="31"/>
        <v>-1380094.0874035992</v>
      </c>
      <c r="H506" s="1423">
        <f t="shared" si="32"/>
        <v>1.9449999999999999E-2</v>
      </c>
      <c r="I506" s="1423">
        <f t="shared" si="33"/>
        <v>-26842.83</v>
      </c>
      <c r="J506" s="1489"/>
      <c r="K506" s="1405">
        <f t="shared" si="34"/>
        <v>0</v>
      </c>
      <c r="L506" s="1427">
        <v>2.3029999999999998E-2</v>
      </c>
      <c r="M506" s="1435">
        <f t="shared" si="35"/>
        <v>0</v>
      </c>
      <c r="N506" s="1489"/>
      <c r="O506" s="1423"/>
      <c r="P506" s="1423"/>
      <c r="Q506" s="1423"/>
      <c r="R506" s="1489"/>
      <c r="S506" s="1423"/>
      <c r="T506" s="1423"/>
      <c r="U506" s="1423"/>
      <c r="V506" s="1489"/>
      <c r="W506" s="1489"/>
      <c r="X506" s="1489"/>
      <c r="Y506" s="1489"/>
      <c r="Z506" s="1489"/>
      <c r="AA506" s="1454"/>
      <c r="AB506" s="1454"/>
      <c r="AC506" s="1454"/>
      <c r="AD506" s="1489"/>
      <c r="AF506" s="1489"/>
      <c r="AG506" s="1489"/>
      <c r="AH506" s="1489"/>
      <c r="AI506" s="1430"/>
      <c r="AJ506" s="1425"/>
      <c r="AK506" s="1454"/>
      <c r="AL506" s="748"/>
    </row>
    <row r="507" spans="1:38">
      <c r="A507" s="728">
        <v>502</v>
      </c>
      <c r="B507" s="727" t="s">
        <v>2494</v>
      </c>
      <c r="C507" s="1488">
        <f t="shared" si="30"/>
        <v>1000000</v>
      </c>
      <c r="D507" s="1361">
        <v>1.1820000000000001E-2</v>
      </c>
      <c r="E507" s="1488">
        <f>'1501 Summary'!AD362</f>
        <v>11820</v>
      </c>
      <c r="F507" s="1489"/>
      <c r="G507" s="1508">
        <f t="shared" si="31"/>
        <v>-1000000</v>
      </c>
      <c r="H507" s="1423">
        <f t="shared" si="32"/>
        <v>1.1820000000000001E-2</v>
      </c>
      <c r="I507" s="1423">
        <f t="shared" si="33"/>
        <v>-11820</v>
      </c>
      <c r="J507" s="1489"/>
      <c r="K507" s="1405">
        <f t="shared" si="34"/>
        <v>0</v>
      </c>
      <c r="L507" s="1427">
        <v>1.473E-2</v>
      </c>
      <c r="M507" s="1435">
        <f t="shared" si="35"/>
        <v>0</v>
      </c>
      <c r="N507" s="1489"/>
      <c r="O507" s="1423"/>
      <c r="P507" s="1423"/>
      <c r="Q507" s="1423"/>
      <c r="R507" s="1489"/>
      <c r="S507" s="1423"/>
      <c r="T507" s="1423"/>
      <c r="U507" s="1423"/>
      <c r="V507" s="1489"/>
      <c r="W507" s="1489"/>
      <c r="X507" s="1489"/>
      <c r="Y507" s="1489"/>
      <c r="Z507" s="1489"/>
      <c r="AA507" s="1454"/>
      <c r="AB507" s="1454"/>
      <c r="AC507" s="1454"/>
      <c r="AD507" s="1489"/>
      <c r="AF507" s="1489"/>
      <c r="AG507" s="1489"/>
      <c r="AH507" s="1489"/>
      <c r="AI507" s="1430"/>
      <c r="AJ507" s="1425"/>
      <c r="AK507" s="1454"/>
      <c r="AL507" s="748"/>
    </row>
    <row r="508" spans="1:38">
      <c r="A508" s="728">
        <v>503</v>
      </c>
      <c r="B508" s="1514" t="s">
        <v>2756</v>
      </c>
      <c r="C508" s="1488">
        <f t="shared" si="30"/>
        <v>18914325.622775801</v>
      </c>
      <c r="D508" s="1361">
        <v>5.62E-3</v>
      </c>
      <c r="E508" s="1492">
        <f>'1501 Summary'!AD363</f>
        <v>106298.51000000001</v>
      </c>
      <c r="F508" s="1489"/>
      <c r="G508" s="1508">
        <f t="shared" si="31"/>
        <v>-18914325.622775801</v>
      </c>
      <c r="H508" s="1423">
        <f t="shared" si="32"/>
        <v>5.62E-3</v>
      </c>
      <c r="I508" s="1437">
        <f t="shared" si="33"/>
        <v>-106298.51</v>
      </c>
      <c r="J508" s="1489"/>
      <c r="K508" s="1405">
        <f t="shared" si="34"/>
        <v>0</v>
      </c>
      <c r="L508" s="1427">
        <v>7.9799999999999992E-3</v>
      </c>
      <c r="M508" s="1436">
        <f t="shared" si="35"/>
        <v>0</v>
      </c>
      <c r="N508" s="1489"/>
      <c r="O508" s="1423"/>
      <c r="P508" s="1423"/>
      <c r="Q508" s="1423"/>
      <c r="R508" s="1489"/>
      <c r="S508" s="1423"/>
      <c r="T508" s="1423"/>
      <c r="U508" s="1423"/>
      <c r="V508" s="1489"/>
      <c r="W508" s="1489"/>
      <c r="X508" s="1489"/>
      <c r="Y508" s="1489"/>
      <c r="Z508" s="1489"/>
      <c r="AA508" s="1454"/>
      <c r="AB508" s="1454"/>
      <c r="AC508" s="1454"/>
      <c r="AD508" s="1489"/>
      <c r="AF508" s="1489"/>
      <c r="AG508" s="1489"/>
      <c r="AH508" s="1489"/>
      <c r="AI508" s="1430"/>
      <c r="AJ508" s="1425"/>
      <c r="AK508" s="1454"/>
      <c r="AL508" s="748"/>
    </row>
    <row r="509" spans="1:38">
      <c r="A509" s="728">
        <v>504</v>
      </c>
      <c r="B509" s="727" t="s">
        <v>2648</v>
      </c>
      <c r="E509" s="1488">
        <f>SUM(E503:E508)</f>
        <v>213709.06</v>
      </c>
      <c r="F509" s="1489"/>
      <c r="G509" s="1489"/>
      <c r="H509" s="1489"/>
      <c r="I509" s="1488">
        <f>SUM(I503:I508)</f>
        <v>-213709.06</v>
      </c>
      <c r="J509" s="1489"/>
      <c r="K509" s="1405"/>
      <c r="L509" s="1427"/>
      <c r="M509" s="1435">
        <f>SUM(M503:M508)</f>
        <v>0</v>
      </c>
      <c r="N509" s="1489"/>
      <c r="O509" s="1423"/>
      <c r="P509" s="1423"/>
      <c r="Q509" s="1423"/>
      <c r="R509" s="1489"/>
      <c r="S509" s="1423"/>
      <c r="T509" s="1423"/>
      <c r="U509" s="1423"/>
      <c r="V509" s="1489"/>
      <c r="W509" s="1489"/>
      <c r="X509" s="1489"/>
      <c r="Y509" s="1489"/>
      <c r="Z509" s="1489"/>
      <c r="AA509" s="1454"/>
      <c r="AB509" s="1454"/>
      <c r="AC509" s="1454"/>
      <c r="AD509" s="1489"/>
      <c r="AF509" s="1489"/>
      <c r="AG509" s="1489"/>
      <c r="AH509" s="1489"/>
      <c r="AI509" s="1430"/>
      <c r="AJ509" s="1425"/>
      <c r="AK509" s="1454"/>
      <c r="AL509" s="748"/>
    </row>
    <row r="510" spans="1:38">
      <c r="A510" s="728">
        <v>505</v>
      </c>
      <c r="B510" s="1443"/>
      <c r="K510" s="1405"/>
      <c r="L510" s="1427"/>
      <c r="M510" s="1435"/>
      <c r="O510" s="1423"/>
      <c r="P510" s="1423"/>
      <c r="Q510" s="1423"/>
      <c r="S510" s="1423"/>
      <c r="T510" s="1423"/>
      <c r="U510" s="1423"/>
      <c r="AI510" s="1430"/>
      <c r="AJ510" s="1425"/>
      <c r="AL510" s="748"/>
    </row>
    <row r="511" spans="1:38">
      <c r="A511" s="728">
        <v>506</v>
      </c>
      <c r="B511" s="727" t="s">
        <v>2651</v>
      </c>
      <c r="K511" s="1405"/>
      <c r="L511" s="1427"/>
      <c r="M511" s="1435"/>
      <c r="O511" s="1423"/>
      <c r="P511" s="1423"/>
      <c r="Q511" s="1423"/>
      <c r="S511" s="1423"/>
      <c r="T511" s="1423"/>
      <c r="U511" s="1423"/>
      <c r="AA511" s="727"/>
      <c r="AB511" s="727"/>
      <c r="AC511" s="727"/>
      <c r="AI511" s="1430"/>
      <c r="AJ511" s="1425"/>
      <c r="AK511" s="727"/>
      <c r="AL511" s="748"/>
    </row>
    <row r="512" spans="1:38">
      <c r="A512" s="728">
        <v>507</v>
      </c>
      <c r="B512" s="1479" t="s">
        <v>2658</v>
      </c>
      <c r="E512" s="1454">
        <f>'1501 Summary'!AD364</f>
        <v>-14050.880000000001</v>
      </c>
      <c r="F512" s="1484"/>
      <c r="G512" s="1484"/>
      <c r="H512" s="1484"/>
      <c r="I512" s="1484"/>
      <c r="J512" s="1484"/>
      <c r="K512" s="1405"/>
      <c r="L512" s="1427"/>
      <c r="M512" s="1435"/>
      <c r="N512" s="1484"/>
      <c r="O512" s="1423"/>
      <c r="P512" s="1423"/>
      <c r="Q512" s="1423"/>
      <c r="R512" s="1484"/>
      <c r="S512" s="1423"/>
      <c r="T512" s="1423"/>
      <c r="U512" s="1423"/>
      <c r="V512" s="1484"/>
      <c r="W512" s="1484"/>
      <c r="X512" s="1484"/>
      <c r="Y512" s="1484"/>
      <c r="Z512" s="1484"/>
      <c r="AA512" s="1479"/>
      <c r="AB512" s="1479"/>
      <c r="AC512" s="1479"/>
      <c r="AD512" s="1484"/>
      <c r="AF512" s="1484"/>
      <c r="AG512" s="1484"/>
      <c r="AH512" s="1484"/>
      <c r="AI512" s="1430"/>
      <c r="AJ512" s="1425"/>
      <c r="AK512" s="1480"/>
      <c r="AL512" s="748"/>
    </row>
    <row r="513" spans="1:38">
      <c r="A513" s="728">
        <v>508</v>
      </c>
      <c r="B513" s="1479" t="s">
        <v>2659</v>
      </c>
      <c r="E513" s="1454">
        <f>'1501 Summary'!AD365</f>
        <v>-6453.96</v>
      </c>
      <c r="F513" s="1484"/>
      <c r="G513" s="1484"/>
      <c r="H513" s="1484"/>
      <c r="I513" s="1484"/>
      <c r="J513" s="1484"/>
      <c r="K513" s="1405"/>
      <c r="L513" s="1427"/>
      <c r="M513" s="1435"/>
      <c r="N513" s="1484"/>
      <c r="O513" s="1423"/>
      <c r="P513" s="1423"/>
      <c r="Q513" s="1423"/>
      <c r="R513" s="1484"/>
      <c r="S513" s="1423"/>
      <c r="T513" s="1423"/>
      <c r="U513" s="1423"/>
      <c r="V513" s="1484"/>
      <c r="W513" s="1484"/>
      <c r="X513" s="1484"/>
      <c r="Y513" s="1484"/>
      <c r="Z513" s="1484"/>
      <c r="AA513" s="1479"/>
      <c r="AB513" s="1479"/>
      <c r="AC513" s="1479"/>
      <c r="AD513" s="1484"/>
      <c r="AF513" s="1484"/>
      <c r="AG513" s="1484"/>
      <c r="AH513" s="1484"/>
      <c r="AI513" s="1430"/>
      <c r="AJ513" s="1425"/>
      <c r="AK513" s="1480"/>
      <c r="AL513" s="748"/>
    </row>
    <row r="514" spans="1:38">
      <c r="A514" s="728">
        <v>509</v>
      </c>
      <c r="B514" s="1479" t="s">
        <v>2660</v>
      </c>
      <c r="E514" s="1454">
        <f>'1501 Summary'!AD366</f>
        <v>-11915.06</v>
      </c>
      <c r="F514" s="1484"/>
      <c r="G514" s="1484"/>
      <c r="H514" s="1484"/>
      <c r="I514" s="1484"/>
      <c r="J514" s="1484"/>
      <c r="K514" s="1405"/>
      <c r="L514" s="1427"/>
      <c r="M514" s="1435"/>
      <c r="N514" s="1484"/>
      <c r="O514" s="1423"/>
      <c r="P514" s="1423"/>
      <c r="Q514" s="1423"/>
      <c r="R514" s="1484"/>
      <c r="S514" s="1423"/>
      <c r="T514" s="1423"/>
      <c r="U514" s="1423"/>
      <c r="V514" s="1484"/>
      <c r="W514" s="1484"/>
      <c r="X514" s="1484"/>
      <c r="Y514" s="1484"/>
      <c r="Z514" s="1484"/>
      <c r="AA514" s="1479"/>
      <c r="AB514" s="1479"/>
      <c r="AC514" s="1479"/>
      <c r="AD514" s="1484"/>
      <c r="AF514" s="1484"/>
      <c r="AG514" s="1484"/>
      <c r="AH514" s="1484"/>
      <c r="AI514" s="1430"/>
      <c r="AJ514" s="1425"/>
      <c r="AK514" s="1480"/>
      <c r="AL514" s="748"/>
    </row>
    <row r="515" spans="1:38">
      <c r="A515" s="728">
        <v>510</v>
      </c>
      <c r="B515" s="1421" t="s">
        <v>2653</v>
      </c>
      <c r="C515" s="1443"/>
      <c r="E515" s="1454">
        <f>'1501 Summary'!AD367</f>
        <v>6903.52</v>
      </c>
      <c r="F515" s="1484"/>
      <c r="G515" s="1484"/>
      <c r="H515" s="1484"/>
      <c r="I515" s="1484"/>
      <c r="J515" s="1484"/>
      <c r="K515" s="1405"/>
      <c r="L515" s="1427"/>
      <c r="M515" s="1435"/>
      <c r="N515" s="1484"/>
      <c r="O515" s="1423"/>
      <c r="P515" s="1423"/>
      <c r="Q515" s="1423"/>
      <c r="R515" s="1484"/>
      <c r="S515" s="1423"/>
      <c r="T515" s="1423"/>
      <c r="U515" s="1423"/>
      <c r="V515" s="1484"/>
      <c r="W515" s="1484"/>
      <c r="X515" s="1484"/>
      <c r="Y515" s="1484"/>
      <c r="Z515" s="1484"/>
      <c r="AA515" s="727"/>
      <c r="AB515" s="727"/>
      <c r="AC515" s="727"/>
      <c r="AD515" s="1484"/>
      <c r="AF515" s="1484"/>
      <c r="AG515" s="1484"/>
      <c r="AH515" s="1484"/>
      <c r="AI515" s="1430"/>
      <c r="AJ515" s="1425"/>
      <c r="AK515" s="727"/>
      <c r="AL515" s="748"/>
    </row>
    <row r="516" spans="1:38">
      <c r="A516" s="728">
        <v>511</v>
      </c>
      <c r="B516" s="1421" t="s">
        <v>2654</v>
      </c>
      <c r="C516" s="1443"/>
      <c r="E516" s="1454">
        <f>'1501 Summary'!AD368</f>
        <v>38098.6</v>
      </c>
      <c r="F516" s="1484"/>
      <c r="G516" s="1484"/>
      <c r="H516" s="1484"/>
      <c r="I516" s="1484"/>
      <c r="J516" s="1484"/>
      <c r="K516" s="1405"/>
      <c r="L516" s="1427"/>
      <c r="M516" s="1435"/>
      <c r="N516" s="1484"/>
      <c r="O516" s="1423"/>
      <c r="P516" s="1423"/>
      <c r="Q516" s="1423"/>
      <c r="R516" s="1484"/>
      <c r="S516" s="1423"/>
      <c r="T516" s="1423"/>
      <c r="U516" s="1423"/>
      <c r="V516" s="1484"/>
      <c r="W516" s="1484"/>
      <c r="X516" s="1484"/>
      <c r="Y516" s="1484"/>
      <c r="Z516" s="1484"/>
      <c r="AA516" s="727"/>
      <c r="AB516" s="727"/>
      <c r="AC516" s="727"/>
      <c r="AD516" s="1484"/>
      <c r="AF516" s="1484"/>
      <c r="AG516" s="1484"/>
      <c r="AH516" s="1484"/>
      <c r="AI516" s="1430"/>
      <c r="AJ516" s="1425"/>
      <c r="AK516" s="727"/>
      <c r="AL516" s="748"/>
    </row>
    <row r="517" spans="1:38">
      <c r="A517" s="728">
        <v>512</v>
      </c>
      <c r="B517" s="1421" t="s">
        <v>2757</v>
      </c>
      <c r="C517" s="1443"/>
      <c r="E517" s="1454">
        <f>'1501 Summary'!AD369</f>
        <v>-45745.35</v>
      </c>
      <c r="F517" s="1484"/>
      <c r="G517" s="1484"/>
      <c r="H517" s="1484"/>
      <c r="I517" s="1484"/>
      <c r="J517" s="1484"/>
      <c r="K517" s="1405"/>
      <c r="L517" s="1427"/>
      <c r="M517" s="1435"/>
      <c r="N517" s="1484"/>
      <c r="O517" s="1423"/>
      <c r="P517" s="1423"/>
      <c r="Q517" s="1423"/>
      <c r="R517" s="1484"/>
      <c r="S517" s="1423"/>
      <c r="T517" s="1423"/>
      <c r="U517" s="1423"/>
      <c r="V517" s="1484"/>
      <c r="W517" s="1484"/>
      <c r="X517" s="1484"/>
      <c r="Y517" s="1484"/>
      <c r="Z517" s="1484"/>
      <c r="AA517" s="727"/>
      <c r="AB517" s="727"/>
      <c r="AC517" s="727"/>
      <c r="AD517" s="1484"/>
      <c r="AF517" s="1484"/>
      <c r="AG517" s="1484"/>
      <c r="AH517" s="1484"/>
      <c r="AI517" s="1430"/>
      <c r="AJ517" s="1425"/>
      <c r="AK517" s="727"/>
      <c r="AL517" s="748"/>
    </row>
    <row r="518" spans="1:38">
      <c r="A518" s="728">
        <v>513</v>
      </c>
      <c r="B518" s="1421" t="s">
        <v>2758</v>
      </c>
      <c r="C518" s="1443"/>
      <c r="E518" s="1454">
        <f>'1501 Summary'!AD370</f>
        <v>-22166.370000000003</v>
      </c>
      <c r="F518" s="1484"/>
      <c r="G518" s="1484"/>
      <c r="H518" s="1484"/>
      <c r="I518" s="1484"/>
      <c r="J518" s="1484"/>
      <c r="K518" s="1405"/>
      <c r="L518" s="1427"/>
      <c r="M518" s="1435"/>
      <c r="N518" s="1484"/>
      <c r="O518" s="1423"/>
      <c r="P518" s="1423"/>
      <c r="Q518" s="1423"/>
      <c r="R518" s="1484"/>
      <c r="S518" s="1423"/>
      <c r="T518" s="1423"/>
      <c r="U518" s="1423"/>
      <c r="V518" s="1484"/>
      <c r="W518" s="1484"/>
      <c r="X518" s="1484"/>
      <c r="Y518" s="1484"/>
      <c r="Z518" s="1484"/>
      <c r="AA518" s="727"/>
      <c r="AB518" s="727"/>
      <c r="AC518" s="727"/>
      <c r="AD518" s="1484"/>
      <c r="AF518" s="1484"/>
      <c r="AG518" s="1484"/>
      <c r="AH518" s="1484"/>
      <c r="AI518" s="1430"/>
      <c r="AJ518" s="1425"/>
      <c r="AK518" s="727"/>
      <c r="AL518" s="748"/>
    </row>
    <row r="519" spans="1:38">
      <c r="A519" s="728">
        <v>514</v>
      </c>
      <c r="B519" s="1421" t="s">
        <v>2758</v>
      </c>
      <c r="C519" s="1443"/>
      <c r="E519" s="1454">
        <f>'1501 Summary'!AD371</f>
        <v>-8410</v>
      </c>
      <c r="F519" s="1484"/>
      <c r="G519" s="1484"/>
      <c r="H519" s="1484"/>
      <c r="I519" s="1484"/>
      <c r="J519" s="1484"/>
      <c r="K519" s="1405"/>
      <c r="L519" s="1427"/>
      <c r="M519" s="1435"/>
      <c r="N519" s="1484"/>
      <c r="O519" s="1423"/>
      <c r="P519" s="1423"/>
      <c r="Q519" s="1423"/>
      <c r="R519" s="1484"/>
      <c r="S519" s="1423"/>
      <c r="T519" s="1423"/>
      <c r="U519" s="1423"/>
      <c r="V519" s="1484"/>
      <c r="W519" s="1484"/>
      <c r="X519" s="1484"/>
      <c r="Y519" s="1484"/>
      <c r="Z519" s="1484"/>
      <c r="AA519" s="727"/>
      <c r="AB519" s="727"/>
      <c r="AC519" s="727"/>
      <c r="AD519" s="1484"/>
      <c r="AF519" s="1484"/>
      <c r="AG519" s="1484"/>
      <c r="AH519" s="1484"/>
      <c r="AI519" s="1430"/>
      <c r="AJ519" s="1425"/>
      <c r="AK519" s="727"/>
      <c r="AL519" s="748"/>
    </row>
    <row r="520" spans="1:38">
      <c r="A520" s="728">
        <v>515</v>
      </c>
      <c r="B520" s="1421" t="s">
        <v>2759</v>
      </c>
      <c r="C520" s="1443"/>
      <c r="E520" s="1454">
        <f>'1501 Summary'!AD372</f>
        <v>-4125</v>
      </c>
      <c r="F520" s="1484"/>
      <c r="G520" s="1484"/>
      <c r="H520" s="1484"/>
      <c r="I520" s="1484"/>
      <c r="J520" s="1484"/>
      <c r="K520" s="1405"/>
      <c r="L520" s="1427"/>
      <c r="M520" s="1435"/>
      <c r="N520" s="1484"/>
      <c r="O520" s="1423"/>
      <c r="P520" s="1423"/>
      <c r="Q520" s="1423"/>
      <c r="R520" s="1484"/>
      <c r="S520" s="1423"/>
      <c r="T520" s="1423"/>
      <c r="U520" s="1423"/>
      <c r="V520" s="1484"/>
      <c r="W520" s="1484"/>
      <c r="X520" s="1484"/>
      <c r="Y520" s="1484"/>
      <c r="Z520" s="1484"/>
      <c r="AA520" s="727"/>
      <c r="AB520" s="727"/>
      <c r="AC520" s="727"/>
      <c r="AD520" s="1484"/>
      <c r="AF520" s="1484"/>
      <c r="AG520" s="1484"/>
      <c r="AH520" s="1484"/>
      <c r="AI520" s="1430"/>
      <c r="AJ520" s="1425"/>
      <c r="AK520" s="727"/>
      <c r="AL520" s="748"/>
    </row>
    <row r="521" spans="1:38">
      <c r="A521" s="728">
        <v>516</v>
      </c>
      <c r="B521" s="1421" t="s">
        <v>2760</v>
      </c>
      <c r="C521" s="1443"/>
      <c r="E521" s="1454">
        <f>'1501 Summary'!AD373</f>
        <v>-9658.26</v>
      </c>
      <c r="F521" s="1484"/>
      <c r="G521" s="1484"/>
      <c r="H521" s="1484"/>
      <c r="I521" s="1484"/>
      <c r="J521" s="1484"/>
      <c r="K521" s="1405"/>
      <c r="L521" s="1427"/>
      <c r="M521" s="1435"/>
      <c r="N521" s="1484"/>
      <c r="O521" s="1423"/>
      <c r="P521" s="1423"/>
      <c r="Q521" s="1423"/>
      <c r="R521" s="1484"/>
      <c r="S521" s="1423"/>
      <c r="T521" s="1423"/>
      <c r="U521" s="1423"/>
      <c r="V521" s="1484"/>
      <c r="W521" s="1484"/>
      <c r="X521" s="1484"/>
      <c r="Y521" s="1484"/>
      <c r="Z521" s="1484"/>
      <c r="AA521" s="727"/>
      <c r="AB521" s="727"/>
      <c r="AC521" s="727"/>
      <c r="AD521" s="1484"/>
      <c r="AF521" s="1484"/>
      <c r="AG521" s="1484"/>
      <c r="AH521" s="1484"/>
      <c r="AI521" s="1430"/>
      <c r="AJ521" s="1425"/>
      <c r="AK521" s="727"/>
      <c r="AL521" s="748"/>
    </row>
    <row r="522" spans="1:38">
      <c r="A522" s="728">
        <v>517</v>
      </c>
      <c r="B522" s="1421" t="s">
        <v>2761</v>
      </c>
      <c r="C522" s="1443"/>
      <c r="E522" s="1454">
        <f>'1501 Summary'!AD374</f>
        <v>-6358.02</v>
      </c>
      <c r="F522" s="1484"/>
      <c r="G522" s="1484"/>
      <c r="H522" s="1484"/>
      <c r="I522" s="1484"/>
      <c r="J522" s="1484"/>
      <c r="K522" s="1405"/>
      <c r="L522" s="1427"/>
      <c r="M522" s="1435"/>
      <c r="N522" s="1484"/>
      <c r="O522" s="1423"/>
      <c r="P522" s="1423"/>
      <c r="Q522" s="1423"/>
      <c r="R522" s="1484"/>
      <c r="S522" s="1423"/>
      <c r="T522" s="1423"/>
      <c r="U522" s="1423"/>
      <c r="V522" s="1484"/>
      <c r="W522" s="1484"/>
      <c r="X522" s="1484"/>
      <c r="Y522" s="1484"/>
      <c r="Z522" s="1484"/>
      <c r="AA522" s="727"/>
      <c r="AB522" s="727"/>
      <c r="AC522" s="727"/>
      <c r="AD522" s="1484"/>
      <c r="AF522" s="1484"/>
      <c r="AG522" s="1484"/>
      <c r="AH522" s="1484"/>
      <c r="AI522" s="1430"/>
      <c r="AJ522" s="1425"/>
      <c r="AK522" s="727"/>
      <c r="AL522" s="748"/>
    </row>
    <row r="523" spans="1:38">
      <c r="A523" s="728">
        <v>518</v>
      </c>
      <c r="B523" s="1462" t="s">
        <v>2762</v>
      </c>
      <c r="C523" s="1463"/>
      <c r="E523" s="1454">
        <f>'1501 Summary'!AD375</f>
        <v>-53643.950000000004</v>
      </c>
      <c r="F523" s="1484"/>
      <c r="G523" s="1484"/>
      <c r="H523" s="1484"/>
      <c r="I523" s="1484"/>
      <c r="J523" s="1484"/>
      <c r="K523" s="1405"/>
      <c r="L523" s="1427"/>
      <c r="M523" s="1435"/>
      <c r="N523" s="1484"/>
      <c r="O523" s="1423"/>
      <c r="P523" s="1423"/>
      <c r="Q523" s="1423"/>
      <c r="R523" s="1484"/>
      <c r="S523" s="1423"/>
      <c r="T523" s="1423"/>
      <c r="U523" s="1423"/>
      <c r="V523" s="1484"/>
      <c r="W523" s="1484"/>
      <c r="X523" s="1484"/>
      <c r="Y523" s="1484"/>
      <c r="Z523" s="1484"/>
      <c r="AA523" s="727"/>
      <c r="AB523" s="727"/>
      <c r="AC523" s="727"/>
      <c r="AD523" s="1484"/>
      <c r="AF523" s="1484"/>
      <c r="AG523" s="1484"/>
      <c r="AH523" s="1484"/>
      <c r="AI523" s="1430"/>
      <c r="AJ523" s="1425"/>
      <c r="AK523" s="727"/>
      <c r="AL523" s="748"/>
    </row>
    <row r="524" spans="1:38">
      <c r="A524" s="728">
        <v>519</v>
      </c>
      <c r="B524" s="1421" t="s">
        <v>2763</v>
      </c>
      <c r="C524" s="1443"/>
      <c r="E524" s="1454">
        <f>'1501 Summary'!AD376</f>
        <v>1445820</v>
      </c>
      <c r="F524" s="1484"/>
      <c r="G524" s="1484"/>
      <c r="H524" s="1484"/>
      <c r="I524" s="1484"/>
      <c r="J524" s="1484"/>
      <c r="K524" s="1405"/>
      <c r="L524" s="1427"/>
      <c r="M524" s="1435"/>
      <c r="N524" s="1484"/>
      <c r="O524" s="1423"/>
      <c r="P524" s="1423"/>
      <c r="Q524" s="1423"/>
      <c r="R524" s="1484"/>
      <c r="S524" s="1423"/>
      <c r="T524" s="1423"/>
      <c r="U524" s="1423"/>
      <c r="V524" s="1484"/>
      <c r="W524" s="1484"/>
      <c r="X524" s="1484"/>
      <c r="Y524" s="1484"/>
      <c r="Z524" s="1484"/>
      <c r="AA524" s="727"/>
      <c r="AB524" s="727"/>
      <c r="AC524" s="727"/>
      <c r="AD524" s="1484"/>
      <c r="AF524" s="1484"/>
      <c r="AG524" s="1484"/>
      <c r="AH524" s="1484"/>
      <c r="AI524" s="1430"/>
      <c r="AJ524" s="1425"/>
      <c r="AK524" s="727"/>
      <c r="AL524" s="748"/>
    </row>
    <row r="525" spans="1:38">
      <c r="A525" s="728">
        <v>520</v>
      </c>
      <c r="B525" s="1421" t="s">
        <v>2764</v>
      </c>
      <c r="C525" s="1443"/>
      <c r="E525" s="1454">
        <f>'1501 Summary'!AD377</f>
        <v>-16195.589999999998</v>
      </c>
      <c r="F525" s="1484"/>
      <c r="G525" s="1484"/>
      <c r="H525" s="1484"/>
      <c r="I525" s="1484"/>
      <c r="J525" s="1484"/>
      <c r="K525" s="1405"/>
      <c r="L525" s="1427"/>
      <c r="M525" s="1435"/>
      <c r="N525" s="1484"/>
      <c r="O525" s="1423"/>
      <c r="P525" s="1423"/>
      <c r="Q525" s="1423"/>
      <c r="R525" s="1484"/>
      <c r="S525" s="1423"/>
      <c r="T525" s="1423"/>
      <c r="U525" s="1423"/>
      <c r="V525" s="1484"/>
      <c r="W525" s="1484"/>
      <c r="X525" s="1484"/>
      <c r="Y525" s="1484"/>
      <c r="Z525" s="1484"/>
      <c r="AA525" s="727"/>
      <c r="AB525" s="727"/>
      <c r="AC525" s="727"/>
      <c r="AD525" s="1484"/>
      <c r="AF525" s="1484"/>
      <c r="AG525" s="1484"/>
      <c r="AH525" s="1484"/>
      <c r="AI525" s="1430"/>
      <c r="AJ525" s="1425"/>
      <c r="AK525" s="727"/>
      <c r="AL525" s="748"/>
    </row>
    <row r="526" spans="1:38">
      <c r="A526" s="728">
        <v>521</v>
      </c>
      <c r="B526" s="1421" t="s">
        <v>2719</v>
      </c>
      <c r="C526" s="1443"/>
      <c r="E526" s="1454">
        <f>'1501 Summary'!AD378</f>
        <v>66164.850000000006</v>
      </c>
      <c r="F526" s="1484"/>
      <c r="G526" s="1484"/>
      <c r="H526" s="1484"/>
      <c r="I526" s="1484"/>
      <c r="J526" s="1484"/>
      <c r="K526" s="1405"/>
      <c r="L526" s="1427"/>
      <c r="M526" s="1435"/>
      <c r="N526" s="1484"/>
      <c r="O526" s="1423"/>
      <c r="P526" s="1423"/>
      <c r="Q526" s="1423"/>
      <c r="R526" s="1484"/>
      <c r="S526" s="1423"/>
      <c r="T526" s="1423"/>
      <c r="U526" s="1423"/>
      <c r="V526" s="1484"/>
      <c r="W526" s="1484"/>
      <c r="X526" s="1484"/>
      <c r="Y526" s="1484"/>
      <c r="Z526" s="1484"/>
      <c r="AA526" s="727"/>
      <c r="AB526" s="727"/>
      <c r="AC526" s="727"/>
      <c r="AD526" s="1484"/>
      <c r="AF526" s="1484"/>
      <c r="AG526" s="1484"/>
      <c r="AH526" s="1484"/>
      <c r="AI526" s="1430"/>
      <c r="AJ526" s="1425"/>
      <c r="AK526" s="727"/>
      <c r="AL526" s="748"/>
    </row>
    <row r="527" spans="1:38">
      <c r="A527" s="728">
        <v>522</v>
      </c>
      <c r="B527" s="1482" t="s">
        <v>2697</v>
      </c>
      <c r="C527" s="1443"/>
      <c r="E527" s="1435">
        <f>'Revenue Reconcilliation'!Q360</f>
        <v>-1565070.0700000003</v>
      </c>
      <c r="F527" s="1449"/>
      <c r="G527" s="1449"/>
      <c r="H527" s="1449"/>
      <c r="I527" s="1449"/>
      <c r="J527" s="1449"/>
      <c r="K527" s="1405"/>
      <c r="L527" s="1427"/>
      <c r="M527" s="1435"/>
      <c r="N527" s="1449"/>
      <c r="O527" s="1423"/>
      <c r="P527" s="1423"/>
      <c r="Q527" s="1423"/>
      <c r="R527" s="1449"/>
      <c r="S527" s="1423"/>
      <c r="T527" s="1423"/>
      <c r="U527" s="1423"/>
      <c r="V527" s="1449"/>
      <c r="W527" s="1449"/>
      <c r="X527" s="1449"/>
      <c r="Y527" s="1449"/>
      <c r="Z527" s="1449"/>
      <c r="AA527" s="727"/>
      <c r="AB527" s="727"/>
      <c r="AC527" s="727"/>
      <c r="AD527" s="1449"/>
      <c r="AF527" s="1449"/>
      <c r="AG527" s="1449"/>
      <c r="AH527" s="1449"/>
      <c r="AI527" s="1430"/>
      <c r="AJ527" s="1425"/>
      <c r="AK527" s="727"/>
      <c r="AL527" s="748"/>
    </row>
    <row r="528" spans="1:38">
      <c r="A528" s="728">
        <v>523</v>
      </c>
      <c r="B528" s="1482" t="s">
        <v>2698</v>
      </c>
      <c r="C528" s="1443"/>
      <c r="E528" s="1435">
        <f>'Revenue Reconcilliation'!Q361</f>
        <v>1565178.5200000005</v>
      </c>
      <c r="F528" s="1449"/>
      <c r="G528" s="1449"/>
      <c r="H528" s="1449"/>
      <c r="I528" s="1449"/>
      <c r="J528" s="1449"/>
      <c r="K528" s="1405"/>
      <c r="L528" s="1427"/>
      <c r="M528" s="1435"/>
      <c r="N528" s="1449"/>
      <c r="O528" s="1423"/>
      <c r="P528" s="1423"/>
      <c r="Q528" s="1423"/>
      <c r="R528" s="1449"/>
      <c r="S528" s="1423"/>
      <c r="T528" s="1423"/>
      <c r="U528" s="1423"/>
      <c r="V528" s="1449"/>
      <c r="W528" s="1449"/>
      <c r="X528" s="1449"/>
      <c r="Y528" s="1449"/>
      <c r="Z528" s="1449"/>
      <c r="AA528" s="727"/>
      <c r="AB528" s="727"/>
      <c r="AC528" s="727"/>
      <c r="AD528" s="1449"/>
      <c r="AF528" s="1449"/>
      <c r="AG528" s="1449"/>
      <c r="AH528" s="1449"/>
      <c r="AI528" s="1430"/>
      <c r="AJ528" s="1425"/>
      <c r="AK528" s="727"/>
      <c r="AL528" s="748"/>
    </row>
    <row r="529" spans="1:38">
      <c r="A529" s="728">
        <v>524</v>
      </c>
      <c r="B529" s="1443" t="s">
        <v>2678</v>
      </c>
      <c r="C529" s="727"/>
      <c r="E529" s="1454">
        <f>SUM(E512:E528)</f>
        <v>1358372.9800000002</v>
      </c>
      <c r="F529" s="1484"/>
      <c r="G529" s="1484"/>
      <c r="H529" s="1484"/>
      <c r="I529" s="1484"/>
      <c r="J529" s="1484"/>
      <c r="K529" s="1405"/>
      <c r="L529" s="1427"/>
      <c r="M529" s="1435"/>
      <c r="N529" s="1484"/>
      <c r="O529" s="1423"/>
      <c r="P529" s="1423"/>
      <c r="Q529" s="1423"/>
      <c r="R529" s="1484"/>
      <c r="S529" s="1423"/>
      <c r="T529" s="1423"/>
      <c r="U529" s="1423"/>
      <c r="V529" s="1484"/>
      <c r="W529" s="1484"/>
      <c r="X529" s="1484"/>
      <c r="Y529" s="1484"/>
      <c r="Z529" s="1484"/>
      <c r="AA529" s="727"/>
      <c r="AB529" s="727"/>
      <c r="AC529" s="727"/>
      <c r="AD529" s="1484"/>
      <c r="AF529" s="1484"/>
      <c r="AG529" s="1484"/>
      <c r="AH529" s="1484"/>
      <c r="AI529" s="1430"/>
      <c r="AJ529" s="1425"/>
      <c r="AK529" s="727"/>
      <c r="AL529" s="748"/>
    </row>
    <row r="530" spans="1:38">
      <c r="A530" s="728">
        <v>525</v>
      </c>
      <c r="B530" s="1443"/>
      <c r="C530" s="727"/>
      <c r="E530" s="1435"/>
      <c r="F530" s="1484"/>
      <c r="G530" s="1484"/>
      <c r="H530" s="1484"/>
      <c r="I530" s="1484"/>
      <c r="J530" s="1484"/>
      <c r="K530" s="1405"/>
      <c r="L530" s="1427"/>
      <c r="M530" s="1435"/>
      <c r="N530" s="1484"/>
      <c r="O530" s="1423"/>
      <c r="P530" s="1423"/>
      <c r="Q530" s="1423"/>
      <c r="R530" s="1484"/>
      <c r="S530" s="1423"/>
      <c r="T530" s="1423"/>
      <c r="U530" s="1423"/>
      <c r="V530" s="1484"/>
      <c r="W530" s="1484"/>
      <c r="X530" s="1484"/>
      <c r="Y530" s="1484"/>
      <c r="Z530" s="1484"/>
      <c r="AA530" s="727"/>
      <c r="AB530" s="727"/>
      <c r="AC530" s="727"/>
      <c r="AD530" s="1484"/>
      <c r="AF530" s="1484"/>
      <c r="AG530" s="1484"/>
      <c r="AH530" s="1484"/>
      <c r="AI530" s="1430"/>
      <c r="AJ530" s="1425"/>
      <c r="AK530" s="727"/>
      <c r="AL530" s="748"/>
    </row>
    <row r="531" spans="1:38">
      <c r="A531" s="728">
        <v>526</v>
      </c>
      <c r="B531" s="1444" t="s">
        <v>2765</v>
      </c>
      <c r="C531" s="1515">
        <f>E531-'Revenue Reconcilliation'!Q362</f>
        <v>0</v>
      </c>
      <c r="D531" s="1445" t="s">
        <v>2673</v>
      </c>
      <c r="E531" s="1436">
        <f>SUM(E509,E529)</f>
        <v>1572082.0400000003</v>
      </c>
      <c r="F531" s="1516"/>
      <c r="G531" s="1516"/>
      <c r="H531" s="1516"/>
      <c r="I531" s="1516"/>
      <c r="J531" s="1516"/>
      <c r="K531" s="1447"/>
      <c r="L531" s="1446"/>
      <c r="M531" s="1436"/>
      <c r="N531" s="1516"/>
      <c r="O531" s="1423"/>
      <c r="P531" s="1423"/>
      <c r="Q531" s="1423"/>
      <c r="R531" s="1516"/>
      <c r="S531" s="1423"/>
      <c r="T531" s="1423"/>
      <c r="U531" s="1423"/>
      <c r="V531" s="1489"/>
      <c r="W531" s="1489"/>
      <c r="X531" s="1489"/>
      <c r="Y531" s="1489"/>
      <c r="Z531" s="1489"/>
      <c r="AA531" s="727"/>
      <c r="AB531" s="727"/>
      <c r="AC531" s="727"/>
      <c r="AD531" s="1489"/>
      <c r="AF531" s="1489"/>
      <c r="AG531" s="1489"/>
      <c r="AH531" s="1489"/>
      <c r="AI531" s="1430"/>
      <c r="AJ531" s="1425"/>
      <c r="AK531" s="727"/>
      <c r="AL531" s="748"/>
    </row>
    <row r="532" spans="1:38">
      <c r="A532" s="728">
        <v>527</v>
      </c>
      <c r="K532" s="1405"/>
      <c r="L532" s="1427"/>
      <c r="M532" s="1435"/>
      <c r="O532" s="1423"/>
      <c r="P532" s="1423"/>
      <c r="Q532" s="1423"/>
      <c r="S532" s="1423"/>
      <c r="T532" s="1423"/>
      <c r="U532" s="1423"/>
      <c r="AA532" s="727"/>
      <c r="AB532" s="727"/>
      <c r="AC532" s="727"/>
      <c r="AI532" s="1430"/>
      <c r="AJ532" s="1425"/>
      <c r="AK532" s="727"/>
      <c r="AL532" s="748"/>
    </row>
    <row r="533" spans="1:38">
      <c r="A533" s="728">
        <v>528</v>
      </c>
      <c r="B533" s="1420" t="s">
        <v>2766</v>
      </c>
      <c r="K533" s="1405"/>
      <c r="L533" s="1427"/>
      <c r="M533" s="1435"/>
      <c r="O533" s="1423"/>
      <c r="P533" s="1423"/>
      <c r="Q533" s="1423"/>
      <c r="S533" s="1423"/>
      <c r="T533" s="1423"/>
      <c r="U533" s="1423"/>
      <c r="AI533" s="1430"/>
      <c r="AJ533" s="1425"/>
      <c r="AL533" s="748"/>
    </row>
    <row r="534" spans="1:38">
      <c r="A534" s="728">
        <v>529</v>
      </c>
      <c r="B534" s="1442" t="s">
        <v>2724</v>
      </c>
      <c r="C534" s="1434">
        <f t="shared" ref="C534:C540" si="36">E534/D534</f>
        <v>12</v>
      </c>
      <c r="D534" s="1430">
        <v>625</v>
      </c>
      <c r="E534" s="1425">
        <f>'1501 Summary'!AD385</f>
        <v>7500</v>
      </c>
      <c r="F534" s="1489"/>
      <c r="G534" s="1489"/>
      <c r="H534" s="1489"/>
      <c r="I534" s="1489"/>
      <c r="J534" s="1489"/>
      <c r="K534" s="1405">
        <f>C534+G534</f>
        <v>12</v>
      </c>
      <c r="L534" s="1422">
        <f>D534</f>
        <v>625</v>
      </c>
      <c r="M534" s="1435">
        <f>L534*K534</f>
        <v>7500</v>
      </c>
      <c r="N534" s="1489"/>
      <c r="O534" s="1424"/>
      <c r="P534" s="1484"/>
      <c r="Q534" s="1423"/>
      <c r="R534" s="1489"/>
      <c r="S534" s="1424"/>
      <c r="T534" s="1484"/>
      <c r="U534" s="1423"/>
      <c r="V534" s="1489"/>
      <c r="W534" s="1489"/>
      <c r="X534" s="1489"/>
      <c r="Y534" s="1489"/>
      <c r="Z534" s="1489"/>
      <c r="AA534" s="1425"/>
      <c r="AB534" s="1425"/>
      <c r="AC534" s="1425"/>
      <c r="AD534" s="1489"/>
      <c r="AF534" s="1489"/>
      <c r="AG534" s="1489"/>
      <c r="AH534" s="1489"/>
      <c r="AI534" s="1430"/>
      <c r="AJ534" s="1425"/>
      <c r="AK534" s="1425"/>
      <c r="AL534" s="748"/>
    </row>
    <row r="535" spans="1:38">
      <c r="A535" s="728">
        <v>530</v>
      </c>
      <c r="B535" s="1442" t="s">
        <v>2767</v>
      </c>
      <c r="C535" s="1434">
        <f t="shared" si="36"/>
        <v>12.039999296475147</v>
      </c>
      <c r="D535" s="1517">
        <v>20468.36</v>
      </c>
      <c r="E535" s="1425">
        <f>'1501 Summary'!AD386</f>
        <v>246439.04000000004</v>
      </c>
      <c r="F535" s="1489"/>
      <c r="G535" s="1489"/>
      <c r="H535" s="1489"/>
      <c r="I535" s="1489"/>
      <c r="J535" s="1489"/>
      <c r="K535" s="1405">
        <f>C535+G535</f>
        <v>12.039999296475147</v>
      </c>
      <c r="L535" s="1422">
        <f>D535</f>
        <v>20468.36</v>
      </c>
      <c r="M535" s="1435">
        <f>L535*K535</f>
        <v>246439.04000000004</v>
      </c>
      <c r="N535" s="1489"/>
      <c r="O535" s="1424"/>
      <c r="P535" s="1484"/>
      <c r="Q535" s="1423"/>
      <c r="R535" s="1489"/>
      <c r="S535" s="1424"/>
      <c r="T535" s="1484"/>
      <c r="U535" s="1423"/>
      <c r="V535" s="1489"/>
      <c r="W535" s="1489"/>
      <c r="X535" s="1489"/>
      <c r="Y535" s="1489"/>
      <c r="Z535" s="1489"/>
      <c r="AA535" s="1425"/>
      <c r="AB535" s="1425"/>
      <c r="AC535" s="1425"/>
      <c r="AD535" s="1489"/>
      <c r="AF535" s="1489"/>
      <c r="AG535" s="1489"/>
      <c r="AH535" s="1489"/>
      <c r="AI535" s="1430"/>
      <c r="AJ535" s="1425"/>
      <c r="AK535" s="1425"/>
      <c r="AL535" s="748"/>
    </row>
    <row r="536" spans="1:38">
      <c r="A536" s="728">
        <v>531</v>
      </c>
      <c r="B536" s="1442" t="s">
        <v>2713</v>
      </c>
      <c r="C536" s="1434">
        <v>0</v>
      </c>
      <c r="D536" s="1500">
        <v>0</v>
      </c>
      <c r="E536" s="1425">
        <f>'1501 Summary'!AD387</f>
        <v>0</v>
      </c>
      <c r="F536" s="1489"/>
      <c r="G536" s="1489"/>
      <c r="H536" s="1489"/>
      <c r="I536" s="1489"/>
      <c r="J536" s="1489"/>
      <c r="K536" s="1405"/>
      <c r="L536" s="1427"/>
      <c r="M536" s="1435">
        <f>L536*K536</f>
        <v>0</v>
      </c>
      <c r="N536" s="1489"/>
      <c r="O536" s="1423"/>
      <c r="P536" s="1484"/>
      <c r="Q536" s="1423"/>
      <c r="R536" s="1489"/>
      <c r="S536" s="1423"/>
      <c r="T536" s="1484"/>
      <c r="U536" s="1423"/>
      <c r="V536" s="1489"/>
      <c r="W536" s="1489"/>
      <c r="X536" s="1489"/>
      <c r="Y536" s="1489"/>
      <c r="Z536" s="1489"/>
      <c r="AA536" s="1425"/>
      <c r="AB536" s="1425"/>
      <c r="AC536" s="1425"/>
      <c r="AD536" s="1489"/>
      <c r="AF536" s="1489"/>
      <c r="AG536" s="1489"/>
      <c r="AH536" s="1489"/>
      <c r="AI536" s="1430"/>
      <c r="AJ536" s="1425"/>
      <c r="AK536" s="1425"/>
      <c r="AL536" s="748"/>
    </row>
    <row r="537" spans="1:38">
      <c r="A537" s="728">
        <v>532</v>
      </c>
      <c r="B537" s="1442" t="s">
        <v>2724</v>
      </c>
      <c r="C537" s="1434">
        <v>0</v>
      </c>
      <c r="D537" s="1404">
        <v>0</v>
      </c>
      <c r="E537" s="1425">
        <f>'1501 Summary'!AD388</f>
        <v>0</v>
      </c>
      <c r="K537" s="1405"/>
      <c r="L537" s="1427"/>
      <c r="M537" s="1435">
        <f>L537*K537</f>
        <v>0</v>
      </c>
      <c r="O537" s="1423"/>
      <c r="P537" s="1484"/>
      <c r="Q537" s="1423"/>
      <c r="S537" s="1423"/>
      <c r="T537" s="1484"/>
      <c r="U537" s="1423"/>
      <c r="AA537" s="1425"/>
      <c r="AB537" s="1425"/>
      <c r="AC537" s="1425"/>
      <c r="AI537" s="1430"/>
      <c r="AJ537" s="1425"/>
      <c r="AK537" s="1425"/>
      <c r="AL537" s="748"/>
    </row>
    <row r="538" spans="1:38">
      <c r="A538" s="728">
        <v>533</v>
      </c>
      <c r="B538" s="1442" t="s">
        <v>2714</v>
      </c>
      <c r="C538" s="1434">
        <f t="shared" si="36"/>
        <v>86593950</v>
      </c>
      <c r="D538" s="1404">
        <v>4.0000000000000002E-4</v>
      </c>
      <c r="E538" s="1425">
        <f>'1501 Summary'!AD389</f>
        <v>34637.58</v>
      </c>
      <c r="F538" s="1489"/>
      <c r="G538" s="1489"/>
      <c r="H538" s="1489"/>
      <c r="I538" s="1489"/>
      <c r="J538" s="1489"/>
      <c r="K538" s="1405">
        <f>C538+G538</f>
        <v>86593950</v>
      </c>
      <c r="L538" s="1427">
        <f>D538</f>
        <v>4.0000000000000002E-4</v>
      </c>
      <c r="M538" s="1435">
        <f>L538*K538</f>
        <v>34637.58</v>
      </c>
      <c r="N538" s="1489"/>
      <c r="O538" s="1405"/>
      <c r="P538" s="1484"/>
      <c r="Q538" s="1423"/>
      <c r="R538" s="1489"/>
      <c r="S538" s="1405"/>
      <c r="T538" s="1484"/>
      <c r="U538" s="1423"/>
      <c r="V538" s="1489"/>
      <c r="W538" s="1489"/>
      <c r="X538" s="1489"/>
      <c r="Y538" s="1489"/>
      <c r="Z538" s="1489"/>
      <c r="AA538" s="1425"/>
      <c r="AB538" s="1425"/>
      <c r="AC538" s="1425"/>
      <c r="AD538" s="1489"/>
      <c r="AF538" s="1489"/>
      <c r="AG538" s="1489"/>
      <c r="AH538" s="1489"/>
      <c r="AI538" s="1428"/>
      <c r="AJ538" s="1425"/>
      <c r="AK538" s="1425"/>
      <c r="AL538" s="748"/>
    </row>
    <row r="539" spans="1:38">
      <c r="A539" s="728">
        <v>534</v>
      </c>
      <c r="B539" s="727" t="s">
        <v>2768</v>
      </c>
      <c r="C539" s="1434">
        <f t="shared" si="36"/>
        <v>51950663.220098466</v>
      </c>
      <c r="D539" s="1404">
        <v>1.50101E-2</v>
      </c>
      <c r="E539" s="1425">
        <f>SUM('1501 Summary'!G390:S390)</f>
        <v>779784.65</v>
      </c>
      <c r="F539" s="1489"/>
      <c r="G539" s="1489"/>
      <c r="H539" s="1489"/>
      <c r="I539" s="1489"/>
      <c r="J539" s="1489"/>
      <c r="K539" s="1405">
        <f>C539+G539</f>
        <v>51950663.220098466</v>
      </c>
      <c r="L539" s="1427"/>
      <c r="M539" s="1435"/>
      <c r="N539" s="1489"/>
      <c r="O539" s="1405"/>
      <c r="P539" s="1484"/>
      <c r="Q539" s="1423"/>
      <c r="R539" s="1489"/>
      <c r="S539" s="1405"/>
      <c r="T539" s="1484"/>
      <c r="U539" s="1423"/>
      <c r="V539" s="1489"/>
      <c r="W539" s="1489"/>
      <c r="X539" s="1489"/>
      <c r="Y539" s="1489"/>
      <c r="Z539" s="1489"/>
      <c r="AA539" s="1425"/>
      <c r="AB539" s="1425"/>
      <c r="AC539" s="1425"/>
      <c r="AD539" s="1489"/>
      <c r="AF539" s="1489"/>
      <c r="AG539" s="1489"/>
      <c r="AH539" s="1489"/>
      <c r="AI539" s="1428"/>
      <c r="AJ539" s="1425"/>
      <c r="AK539" s="1425"/>
      <c r="AL539" s="748"/>
    </row>
    <row r="540" spans="1:38">
      <c r="A540" s="728">
        <v>535</v>
      </c>
      <c r="B540" s="1453" t="s">
        <v>2769</v>
      </c>
      <c r="C540" s="1434">
        <f t="shared" si="36"/>
        <v>34582074.115117207</v>
      </c>
      <c r="D540" s="1404">
        <v>1.51602E-2</v>
      </c>
      <c r="E540" s="1440">
        <f>SUM('1501 Summary'!U390:AC390)</f>
        <v>524271.15999999992</v>
      </c>
      <c r="F540" s="1489"/>
      <c r="G540" s="1489"/>
      <c r="H540" s="1489"/>
      <c r="I540" s="1489"/>
      <c r="J540" s="1489"/>
      <c r="K540" s="1405">
        <f>C540+G540</f>
        <v>34582074.115117207</v>
      </c>
      <c r="L540" s="1427">
        <f>D540</f>
        <v>1.51602E-2</v>
      </c>
      <c r="M540" s="1436">
        <f>L540*SUM(K540,K539)</f>
        <v>1311853.6045493367</v>
      </c>
      <c r="N540" s="1489"/>
      <c r="O540" s="1405"/>
      <c r="P540" s="1484"/>
      <c r="Q540" s="1423"/>
      <c r="R540" s="1489"/>
      <c r="S540" s="1405"/>
      <c r="T540" s="1484"/>
      <c r="U540" s="1423"/>
      <c r="V540" s="1489"/>
      <c r="W540" s="1489"/>
      <c r="X540" s="1489"/>
      <c r="Y540" s="1489"/>
      <c r="Z540" s="1489"/>
      <c r="AA540" s="1425"/>
      <c r="AB540" s="1425"/>
      <c r="AC540" s="1425"/>
      <c r="AD540" s="1489"/>
      <c r="AF540" s="1489"/>
      <c r="AG540" s="1489"/>
      <c r="AH540" s="1489"/>
      <c r="AI540" s="1428"/>
      <c r="AJ540" s="1425"/>
      <c r="AK540" s="1425"/>
      <c r="AL540" s="748"/>
    </row>
    <row r="541" spans="1:38">
      <c r="A541" s="728">
        <v>536</v>
      </c>
      <c r="B541" s="727" t="s">
        <v>2648</v>
      </c>
      <c r="E541" s="1425">
        <f>SUM(E534:E540)</f>
        <v>1592632.43</v>
      </c>
      <c r="F541" s="1489"/>
      <c r="G541" s="1489"/>
      <c r="H541" s="1489"/>
      <c r="I541" s="1489"/>
      <c r="J541" s="1489"/>
      <c r="K541" s="1405"/>
      <c r="L541" s="1427"/>
      <c r="M541" s="1435">
        <f>SUM(M534:M540)</f>
        <v>1600430.2245493368</v>
      </c>
      <c r="N541" s="1489"/>
      <c r="O541" s="1423"/>
      <c r="P541" s="1423"/>
      <c r="Q541" s="1423"/>
      <c r="R541" s="1489"/>
      <c r="S541" s="1423"/>
      <c r="T541" s="1423"/>
      <c r="U541" s="1423"/>
      <c r="V541" s="1489"/>
      <c r="W541" s="1489"/>
      <c r="X541" s="1489"/>
      <c r="Y541" s="1489"/>
      <c r="Z541" s="1489"/>
      <c r="AA541" s="1425"/>
      <c r="AB541" s="1425"/>
      <c r="AC541" s="1425"/>
      <c r="AD541" s="1489"/>
      <c r="AF541" s="1489"/>
      <c r="AG541" s="1489"/>
      <c r="AH541" s="1489"/>
      <c r="AI541" s="1430"/>
      <c r="AJ541" s="1425"/>
      <c r="AK541" s="1425"/>
      <c r="AL541" s="748"/>
    </row>
    <row r="542" spans="1:38">
      <c r="A542" s="728">
        <v>537</v>
      </c>
      <c r="E542" s="1489"/>
      <c r="F542" s="1489"/>
      <c r="G542" s="1489"/>
      <c r="H542" s="1489"/>
      <c r="I542" s="1489"/>
      <c r="J542" s="1489"/>
      <c r="K542" s="1405"/>
      <c r="L542" s="1427"/>
      <c r="M542" s="1435"/>
      <c r="N542" s="1489"/>
      <c r="O542" s="1423"/>
      <c r="P542" s="1423"/>
      <c r="Q542" s="1423"/>
      <c r="R542" s="1489"/>
      <c r="S542" s="1423"/>
      <c r="T542" s="1423"/>
      <c r="U542" s="1423"/>
      <c r="V542" s="1489"/>
      <c r="W542" s="1489"/>
      <c r="X542" s="1489"/>
      <c r="Y542" s="1489"/>
      <c r="Z542" s="1489"/>
      <c r="AD542" s="1489"/>
      <c r="AF542" s="1489"/>
      <c r="AG542" s="1489"/>
      <c r="AH542" s="1489"/>
      <c r="AI542" s="1430"/>
      <c r="AJ542" s="1425"/>
      <c r="AL542" s="748"/>
    </row>
    <row r="543" spans="1:38">
      <c r="A543" s="728">
        <v>538</v>
      </c>
      <c r="B543" s="727" t="s">
        <v>2651</v>
      </c>
      <c r="K543" s="1405"/>
      <c r="L543" s="1427"/>
      <c r="M543" s="1435"/>
      <c r="O543" s="1423"/>
      <c r="P543" s="1423"/>
      <c r="Q543" s="1423"/>
      <c r="S543" s="1423"/>
      <c r="T543" s="1423"/>
      <c r="U543" s="1423"/>
      <c r="AI543" s="1430"/>
      <c r="AJ543" s="1425"/>
      <c r="AL543" s="748"/>
    </row>
    <row r="544" spans="1:38">
      <c r="A544" s="728">
        <v>539</v>
      </c>
      <c r="B544" s="727" t="s">
        <v>2719</v>
      </c>
      <c r="E544" s="1454">
        <f>'1501 Summary'!AD391</f>
        <v>70569.55</v>
      </c>
      <c r="F544" s="1484"/>
      <c r="G544" s="1484"/>
      <c r="H544" s="1484"/>
      <c r="I544" s="1484"/>
      <c r="J544" s="1484"/>
      <c r="K544" s="1405"/>
      <c r="L544" s="1427"/>
      <c r="M544" s="1435"/>
      <c r="N544" s="1484"/>
      <c r="O544" s="1423"/>
      <c r="P544" s="1423"/>
      <c r="Q544" s="1423"/>
      <c r="R544" s="1484"/>
      <c r="S544" s="1423"/>
      <c r="T544" s="1423"/>
      <c r="U544" s="1423"/>
      <c r="V544" s="1484"/>
      <c r="W544" s="1484"/>
      <c r="X544" s="1484"/>
      <c r="Y544" s="1484"/>
      <c r="Z544" s="1484"/>
      <c r="AD544" s="1484"/>
      <c r="AF544" s="1484"/>
      <c r="AG544" s="1484"/>
      <c r="AH544" s="1484"/>
      <c r="AI544" s="1430"/>
      <c r="AJ544" s="1425"/>
      <c r="AL544" s="748"/>
    </row>
    <row r="545" spans="1:38">
      <c r="A545" s="728">
        <v>540</v>
      </c>
      <c r="B545" s="727" t="s">
        <v>0</v>
      </c>
      <c r="E545" s="1454">
        <f>'1501 Summary'!AD392</f>
        <v>0</v>
      </c>
      <c r="F545" s="1484"/>
      <c r="G545" s="1484"/>
      <c r="H545" s="1484"/>
      <c r="I545" s="1484"/>
      <c r="J545" s="1484"/>
      <c r="K545" s="1405"/>
      <c r="L545" s="1427"/>
      <c r="M545" s="1435"/>
      <c r="N545" s="1484"/>
      <c r="O545" s="1423"/>
      <c r="P545" s="1423"/>
      <c r="Q545" s="1423"/>
      <c r="R545" s="1484"/>
      <c r="S545" s="1423"/>
      <c r="T545" s="1423"/>
      <c r="U545" s="1423"/>
      <c r="V545" s="1484"/>
      <c r="W545" s="1484"/>
      <c r="X545" s="1484"/>
      <c r="Y545" s="1484"/>
      <c r="Z545" s="1484"/>
      <c r="AD545" s="1484"/>
      <c r="AF545" s="1484"/>
      <c r="AG545" s="1484"/>
      <c r="AH545" s="1484"/>
      <c r="AI545" s="1430"/>
      <c r="AJ545" s="1425"/>
      <c r="AL545" s="748"/>
    </row>
    <row r="546" spans="1:38">
      <c r="A546" s="728">
        <v>541</v>
      </c>
      <c r="B546" s="1482" t="s">
        <v>2697</v>
      </c>
      <c r="E546" s="1435">
        <f>'Revenue Reconcilliation'!Q380</f>
        <v>-1663201.98</v>
      </c>
      <c r="F546" s="1449"/>
      <c r="G546" s="1449"/>
      <c r="H546" s="1449"/>
      <c r="I546" s="1449"/>
      <c r="J546" s="1449"/>
      <c r="K546" s="1405"/>
      <c r="L546" s="1427"/>
      <c r="M546" s="1435"/>
      <c r="N546" s="1449"/>
      <c r="O546" s="1423"/>
      <c r="P546" s="1423"/>
      <c r="Q546" s="1423"/>
      <c r="R546" s="1449"/>
      <c r="S546" s="1423"/>
      <c r="T546" s="1423"/>
      <c r="U546" s="1423"/>
      <c r="V546" s="1449"/>
      <c r="W546" s="1449"/>
      <c r="X546" s="1449"/>
      <c r="Y546" s="1449"/>
      <c r="Z546" s="1449"/>
      <c r="AD546" s="1449"/>
      <c r="AF546" s="1449"/>
      <c r="AG546" s="1449"/>
      <c r="AH546" s="1449"/>
      <c r="AI546" s="1430"/>
      <c r="AJ546" s="1425"/>
      <c r="AL546" s="748"/>
    </row>
    <row r="547" spans="1:38">
      <c r="A547" s="728">
        <v>542</v>
      </c>
      <c r="B547" s="1482" t="s">
        <v>2698</v>
      </c>
      <c r="E547" s="1435">
        <f>'Revenue Reconcilliation'!Q381</f>
        <v>1657519.34</v>
      </c>
      <c r="F547" s="1449"/>
      <c r="G547" s="1449"/>
      <c r="H547" s="1449"/>
      <c r="I547" s="1449"/>
      <c r="J547" s="1449"/>
      <c r="K547" s="1405"/>
      <c r="L547" s="1427"/>
      <c r="M547" s="1435"/>
      <c r="N547" s="1449"/>
      <c r="O547" s="1423"/>
      <c r="P547" s="1423"/>
      <c r="Q547" s="1423"/>
      <c r="R547" s="1449"/>
      <c r="S547" s="1423"/>
      <c r="T547" s="1423"/>
      <c r="U547" s="1423"/>
      <c r="V547" s="1449"/>
      <c r="W547" s="1449"/>
      <c r="X547" s="1449"/>
      <c r="Y547" s="1449"/>
      <c r="Z547" s="1449"/>
      <c r="AD547" s="1449"/>
      <c r="AF547" s="1449"/>
      <c r="AG547" s="1449"/>
      <c r="AH547" s="1449"/>
      <c r="AI547" s="1430"/>
      <c r="AJ547" s="1425"/>
      <c r="AL547" s="748"/>
    </row>
    <row r="548" spans="1:38">
      <c r="A548" s="728">
        <v>543</v>
      </c>
      <c r="B548" s="1443" t="s">
        <v>2678</v>
      </c>
      <c r="E548" s="1454">
        <f>SUM(E544:E547)</f>
        <v>64886.910000000149</v>
      </c>
      <c r="F548" s="1484"/>
      <c r="G548" s="1484"/>
      <c r="H548" s="1484"/>
      <c r="I548" s="1484"/>
      <c r="J548" s="1484"/>
      <c r="K548" s="1405"/>
      <c r="L548" s="1427"/>
      <c r="M548" s="1435"/>
      <c r="N548" s="1484"/>
      <c r="O548" s="1423"/>
      <c r="P548" s="1423"/>
      <c r="Q548" s="1423"/>
      <c r="R548" s="1484"/>
      <c r="S548" s="1423"/>
      <c r="T548" s="1423"/>
      <c r="U548" s="1423"/>
      <c r="V548" s="1484"/>
      <c r="W548" s="1484"/>
      <c r="X548" s="1484"/>
      <c r="Y548" s="1484"/>
      <c r="Z548" s="1484"/>
      <c r="AD548" s="1484"/>
      <c r="AF548" s="1484"/>
      <c r="AG548" s="1484"/>
      <c r="AH548" s="1484"/>
      <c r="AI548" s="1430"/>
      <c r="AJ548" s="1425"/>
      <c r="AL548" s="748"/>
    </row>
    <row r="549" spans="1:38">
      <c r="A549" s="728">
        <v>544</v>
      </c>
      <c r="E549" s="1435"/>
      <c r="K549" s="1405"/>
      <c r="L549" s="1427"/>
      <c r="M549" s="1435"/>
      <c r="O549" s="1423"/>
      <c r="P549" s="1423"/>
      <c r="Q549" s="1423"/>
      <c r="S549" s="1423"/>
      <c r="T549" s="1423"/>
      <c r="U549" s="1423"/>
      <c r="AI549" s="1430"/>
      <c r="AJ549" s="1425"/>
      <c r="AL549" s="748"/>
    </row>
    <row r="550" spans="1:38">
      <c r="A550" s="728">
        <v>545</v>
      </c>
      <c r="B550" s="1444" t="s">
        <v>2770</v>
      </c>
      <c r="C550" s="1459">
        <f>E550-'Revenue Reconcilliation'!Q382</f>
        <v>0</v>
      </c>
      <c r="D550" s="1445" t="s">
        <v>2673</v>
      </c>
      <c r="E550" s="1470">
        <f>SUM(E541,E548)</f>
        <v>1657519.34</v>
      </c>
      <c r="F550" s="1516"/>
      <c r="G550" s="1516"/>
      <c r="H550" s="1516"/>
      <c r="I550" s="1516"/>
      <c r="J550" s="1516"/>
      <c r="K550" s="1447"/>
      <c r="L550" s="1446"/>
      <c r="M550" s="1436"/>
      <c r="N550" s="1516"/>
      <c r="O550" s="1423"/>
      <c r="P550" s="1423"/>
      <c r="Q550" s="1423"/>
      <c r="R550" s="1516"/>
      <c r="S550" s="1423"/>
      <c r="T550" s="1423"/>
      <c r="U550" s="1423"/>
      <c r="V550" s="1489"/>
      <c r="W550" s="1489"/>
      <c r="X550" s="1489"/>
      <c r="Y550" s="1489"/>
      <c r="Z550" s="1489"/>
      <c r="AD550" s="1489"/>
      <c r="AF550" s="1489"/>
      <c r="AG550" s="1489"/>
      <c r="AH550" s="1489"/>
      <c r="AI550" s="1430"/>
      <c r="AJ550" s="1425"/>
      <c r="AL550" s="748"/>
    </row>
    <row r="551" spans="1:38">
      <c r="A551" s="728">
        <v>546</v>
      </c>
      <c r="K551" s="1405"/>
      <c r="L551" s="1427"/>
      <c r="M551" s="1435"/>
      <c r="O551" s="1423"/>
      <c r="P551" s="1423"/>
      <c r="Q551" s="1423"/>
      <c r="S551" s="1423"/>
      <c r="T551" s="1423"/>
      <c r="U551" s="1423"/>
      <c r="AI551" s="1430"/>
      <c r="AJ551" s="1425"/>
      <c r="AL551" s="748"/>
    </row>
    <row r="552" spans="1:38">
      <c r="A552" s="728">
        <v>547</v>
      </c>
      <c r="B552" s="1420" t="s">
        <v>2771</v>
      </c>
      <c r="K552" s="1405"/>
      <c r="L552" s="1427"/>
      <c r="M552" s="1435"/>
      <c r="O552" s="1423"/>
      <c r="P552" s="1423"/>
      <c r="Q552" s="1423"/>
      <c r="S552" s="1423"/>
      <c r="T552" s="1423"/>
      <c r="U552" s="1423"/>
      <c r="AI552" s="1430"/>
      <c r="AJ552" s="1425"/>
      <c r="AL552" s="748"/>
    </row>
    <row r="553" spans="1:38">
      <c r="A553" s="728">
        <v>548</v>
      </c>
      <c r="B553" s="727" t="s">
        <v>2724</v>
      </c>
      <c r="C553" s="1434">
        <f t="shared" ref="C553:C559" si="37">E553/D553</f>
        <v>12</v>
      </c>
      <c r="D553" s="1429">
        <v>625</v>
      </c>
      <c r="E553" s="1488">
        <f>'1501 Summary'!AD399</f>
        <v>7500</v>
      </c>
      <c r="F553" s="1489"/>
      <c r="G553" s="1489"/>
      <c r="H553" s="1489"/>
      <c r="I553" s="1489"/>
      <c r="J553" s="1489"/>
      <c r="K553" s="1405">
        <f>C553+G553</f>
        <v>12</v>
      </c>
      <c r="L553" s="1430">
        <f>D553</f>
        <v>625</v>
      </c>
      <c r="M553" s="1435">
        <f>L553*K553</f>
        <v>7500</v>
      </c>
      <c r="N553" s="1489"/>
      <c r="O553" s="1424"/>
      <c r="P553" s="1484"/>
      <c r="Q553" s="1423"/>
      <c r="R553" s="1489"/>
      <c r="S553" s="1424"/>
      <c r="T553" s="1484"/>
      <c r="U553" s="1423"/>
      <c r="V553" s="1489"/>
      <c r="W553" s="1489"/>
      <c r="X553" s="1489"/>
      <c r="Y553" s="1489"/>
      <c r="Z553" s="1489"/>
      <c r="AA553" s="1425"/>
      <c r="AB553" s="1425"/>
      <c r="AC553" s="1425"/>
      <c r="AD553" s="1489"/>
      <c r="AF553" s="1489"/>
      <c r="AG553" s="1489"/>
      <c r="AH553" s="1489"/>
      <c r="AI553" s="1430"/>
      <c r="AJ553" s="1425"/>
      <c r="AK553" s="1425"/>
      <c r="AL553" s="748"/>
    </row>
    <row r="554" spans="1:38">
      <c r="A554" s="728">
        <v>549</v>
      </c>
      <c r="B554" s="727" t="s">
        <v>2767</v>
      </c>
      <c r="C554" s="1434">
        <f t="shared" si="37"/>
        <v>12.047506330280404</v>
      </c>
      <c r="D554" s="1429">
        <v>14541.22</v>
      </c>
      <c r="E554" s="1488">
        <f>'1501 Summary'!AD400</f>
        <v>175185.44</v>
      </c>
      <c r="F554" s="1489"/>
      <c r="G554" s="1489"/>
      <c r="H554" s="1489"/>
      <c r="I554" s="1489"/>
      <c r="J554" s="1489"/>
      <c r="K554" s="1405">
        <f>C554+G554</f>
        <v>12.047506330280404</v>
      </c>
      <c r="L554" s="1422">
        <f>D554</f>
        <v>14541.22</v>
      </c>
      <c r="M554" s="1435">
        <f>L554*K554</f>
        <v>175185.44</v>
      </c>
      <c r="N554" s="1489"/>
      <c r="O554" s="1424"/>
      <c r="P554" s="1484"/>
      <c r="Q554" s="1423"/>
      <c r="R554" s="1489"/>
      <c r="S554" s="1424"/>
      <c r="T554" s="1484"/>
      <c r="U554" s="1423"/>
      <c r="V554" s="1489"/>
      <c r="W554" s="1489"/>
      <c r="X554" s="1489"/>
      <c r="Y554" s="1489"/>
      <c r="Z554" s="1489"/>
      <c r="AA554" s="1425"/>
      <c r="AB554" s="1425"/>
      <c r="AC554" s="1425"/>
      <c r="AD554" s="1489"/>
      <c r="AF554" s="1489"/>
      <c r="AG554" s="1489"/>
      <c r="AH554" s="1489"/>
      <c r="AI554" s="1430"/>
      <c r="AJ554" s="1425"/>
      <c r="AK554" s="1425"/>
      <c r="AL554" s="748"/>
    </row>
    <row r="555" spans="1:38">
      <c r="A555" s="728">
        <v>550</v>
      </c>
      <c r="B555" s="727" t="s">
        <v>2713</v>
      </c>
      <c r="C555" s="1449">
        <v>0</v>
      </c>
      <c r="D555" s="1429">
        <v>0</v>
      </c>
      <c r="E555" s="1488">
        <f>'1501 Summary'!AD401</f>
        <v>0</v>
      </c>
      <c r="K555" s="1405"/>
      <c r="L555" s="1427"/>
      <c r="M555" s="1435">
        <f>L555*K555</f>
        <v>0</v>
      </c>
      <c r="O555" s="1423"/>
      <c r="P555" s="1484"/>
      <c r="Q555" s="1423"/>
      <c r="S555" s="1423"/>
      <c r="T555" s="1484"/>
      <c r="U555" s="1423"/>
      <c r="AA555" s="1425"/>
      <c r="AB555" s="1425"/>
      <c r="AC555" s="1425"/>
      <c r="AI555" s="1430"/>
      <c r="AJ555" s="1425"/>
      <c r="AK555" s="1425"/>
      <c r="AL555" s="748"/>
    </row>
    <row r="556" spans="1:38">
      <c r="A556" s="728">
        <v>551</v>
      </c>
      <c r="B556" s="727" t="s">
        <v>2724</v>
      </c>
      <c r="C556" s="1449">
        <v>0</v>
      </c>
      <c r="D556" s="1429">
        <v>0</v>
      </c>
      <c r="E556" s="1488">
        <f>'1501 Summary'!AD402</f>
        <v>0</v>
      </c>
      <c r="K556" s="1405"/>
      <c r="L556" s="1427"/>
      <c r="M556" s="1435">
        <f>L556*K556</f>
        <v>0</v>
      </c>
      <c r="O556" s="1423"/>
      <c r="P556" s="1484"/>
      <c r="Q556" s="1423"/>
      <c r="S556" s="1423"/>
      <c r="T556" s="1484"/>
      <c r="U556" s="1423"/>
      <c r="AA556" s="1425"/>
      <c r="AB556" s="1425"/>
      <c r="AC556" s="1425"/>
      <c r="AI556" s="1430"/>
      <c r="AJ556" s="1425"/>
      <c r="AK556" s="1425"/>
      <c r="AL556" s="748"/>
    </row>
    <row r="557" spans="1:38">
      <c r="A557" s="728">
        <v>552</v>
      </c>
      <c r="B557" s="727" t="s">
        <v>2714</v>
      </c>
      <c r="C557" s="1434">
        <f t="shared" si="37"/>
        <v>29380275.000000004</v>
      </c>
      <c r="D557" s="1518">
        <v>4.0000000000000002E-4</v>
      </c>
      <c r="E557" s="1488">
        <f>'1501 Summary'!AD403</f>
        <v>11752.110000000002</v>
      </c>
      <c r="K557" s="1405">
        <f>C557+G557</f>
        <v>29380275.000000004</v>
      </c>
      <c r="L557" s="1427">
        <f>D557</f>
        <v>4.0000000000000002E-4</v>
      </c>
      <c r="M557" s="1435">
        <f>L557*K557</f>
        <v>11752.110000000002</v>
      </c>
      <c r="O557" s="1405"/>
      <c r="P557" s="1484"/>
      <c r="Q557" s="1423"/>
      <c r="S557" s="1405"/>
      <c r="T557" s="1484"/>
      <c r="U557" s="1423"/>
      <c r="AA557" s="1425"/>
      <c r="AB557" s="1425"/>
      <c r="AC557" s="1425"/>
      <c r="AI557" s="1428"/>
      <c r="AJ557" s="1425"/>
      <c r="AK557" s="1425"/>
      <c r="AL557" s="748"/>
    </row>
    <row r="558" spans="1:38">
      <c r="A558" s="728">
        <v>553</v>
      </c>
      <c r="B558" s="727" t="s">
        <v>2772</v>
      </c>
      <c r="C558" s="1434">
        <f t="shared" si="37"/>
        <v>3685061.7555635022</v>
      </c>
      <c r="D558" s="1519">
        <v>1.4541200000000001E-2</v>
      </c>
      <c r="E558" s="1488">
        <f>SUM('1501 Summary'!G404:Q404)</f>
        <v>53585.22</v>
      </c>
      <c r="K558" s="1405">
        <f>C558+G558</f>
        <v>3685061.7555635022</v>
      </c>
      <c r="L558" s="1427"/>
      <c r="M558" s="1435"/>
      <c r="O558" s="1405"/>
      <c r="P558" s="1484"/>
      <c r="Q558" s="1423"/>
      <c r="S558" s="1405"/>
      <c r="T558" s="1484"/>
      <c r="U558" s="1423"/>
      <c r="AA558" s="1425"/>
      <c r="AB558" s="1425"/>
      <c r="AC558" s="1425"/>
      <c r="AI558" s="1428"/>
      <c r="AJ558" s="1425"/>
      <c r="AK558" s="1425"/>
      <c r="AL558" s="748"/>
    </row>
    <row r="559" spans="1:38">
      <c r="A559" s="728">
        <v>554</v>
      </c>
      <c r="B559" s="1453" t="s">
        <v>2773</v>
      </c>
      <c r="C559" s="1434">
        <f t="shared" si="37"/>
        <v>25663291.165110055</v>
      </c>
      <c r="D559" s="1519">
        <v>1.4679299999999999E-2</v>
      </c>
      <c r="E559" s="1492">
        <f>SUM('1501 Summary'!S404:AC404)</f>
        <v>376719.15</v>
      </c>
      <c r="K559" s="1405">
        <f>C559+G559</f>
        <v>25663291.165110055</v>
      </c>
      <c r="L559" s="1427">
        <f>D559</f>
        <v>1.4679299999999999E-2</v>
      </c>
      <c r="M559" s="1436">
        <f>L559*SUM(K559,K558)</f>
        <v>430813.27702844329</v>
      </c>
      <c r="O559" s="1405"/>
      <c r="P559" s="1484"/>
      <c r="Q559" s="1423"/>
      <c r="S559" s="1405"/>
      <c r="T559" s="1484"/>
      <c r="U559" s="1423"/>
      <c r="AA559" s="1425"/>
      <c r="AB559" s="1425"/>
      <c r="AC559" s="1425"/>
      <c r="AI559" s="1428"/>
      <c r="AJ559" s="1425"/>
      <c r="AK559" s="1425"/>
      <c r="AL559" s="748"/>
    </row>
    <row r="560" spans="1:38">
      <c r="A560" s="728">
        <v>555</v>
      </c>
      <c r="B560" s="727" t="s">
        <v>2648</v>
      </c>
      <c r="E560" s="1488">
        <f>SUM(E553:E559)</f>
        <v>624741.92000000004</v>
      </c>
      <c r="F560" s="1489"/>
      <c r="G560" s="1489"/>
      <c r="H560" s="1489"/>
      <c r="I560" s="1489"/>
      <c r="J560" s="1489"/>
      <c r="K560" s="1405"/>
      <c r="L560" s="1427"/>
      <c r="M560" s="1435">
        <f>SUM(M553:M559)</f>
        <v>625250.82702844334</v>
      </c>
      <c r="N560" s="1489"/>
      <c r="O560" s="1423"/>
      <c r="P560" s="1423"/>
      <c r="Q560" s="1423"/>
      <c r="R560" s="1489"/>
      <c r="S560" s="1423"/>
      <c r="T560" s="1423"/>
      <c r="U560" s="1423"/>
      <c r="V560" s="1489"/>
      <c r="W560" s="1489"/>
      <c r="X560" s="1489"/>
      <c r="Y560" s="1489"/>
      <c r="Z560" s="1489"/>
      <c r="AA560" s="1425"/>
      <c r="AB560" s="1425"/>
      <c r="AC560" s="1425"/>
      <c r="AD560" s="1489"/>
      <c r="AF560" s="1489"/>
      <c r="AG560" s="1489"/>
      <c r="AH560" s="1489"/>
      <c r="AI560" s="1430"/>
      <c r="AJ560" s="1425"/>
      <c r="AK560" s="1425"/>
      <c r="AL560" s="748"/>
    </row>
    <row r="561" spans="1:38">
      <c r="A561" s="728">
        <v>556</v>
      </c>
      <c r="E561" s="1488"/>
      <c r="F561" s="1489"/>
      <c r="G561" s="1489"/>
      <c r="H561" s="1489"/>
      <c r="I561" s="1489"/>
      <c r="J561" s="1489"/>
      <c r="K561" s="1405"/>
      <c r="L561" s="1427"/>
      <c r="M561" s="1435"/>
      <c r="N561" s="1489"/>
      <c r="O561" s="1423"/>
      <c r="P561" s="1423"/>
      <c r="Q561" s="1423"/>
      <c r="R561" s="1489"/>
      <c r="S561" s="1423"/>
      <c r="T561" s="1423"/>
      <c r="U561" s="1423"/>
      <c r="V561" s="1489"/>
      <c r="W561" s="1489"/>
      <c r="X561" s="1489"/>
      <c r="Y561" s="1489"/>
      <c r="Z561" s="1489"/>
      <c r="AD561" s="1489"/>
      <c r="AF561" s="1489"/>
      <c r="AG561" s="1489"/>
      <c r="AH561" s="1489"/>
      <c r="AI561" s="1430"/>
      <c r="AJ561" s="1425"/>
      <c r="AL561" s="748"/>
    </row>
    <row r="562" spans="1:38">
      <c r="A562" s="728">
        <v>557</v>
      </c>
      <c r="B562" s="727" t="s">
        <v>2651</v>
      </c>
      <c r="E562" s="1488"/>
      <c r="K562" s="1405"/>
      <c r="L562" s="1427"/>
      <c r="M562" s="1435"/>
      <c r="O562" s="1423"/>
      <c r="P562" s="1423"/>
      <c r="Q562" s="1423"/>
      <c r="S562" s="1423"/>
      <c r="T562" s="1423"/>
      <c r="U562" s="1423"/>
      <c r="AI562" s="1430"/>
      <c r="AJ562" s="1425"/>
      <c r="AL562" s="748"/>
    </row>
    <row r="563" spans="1:38">
      <c r="A563" s="728">
        <v>558</v>
      </c>
      <c r="B563" s="727" t="s">
        <v>2719</v>
      </c>
      <c r="E563" s="1488">
        <f>'1501 Summary'!AD405</f>
        <v>28281.54</v>
      </c>
      <c r="F563" s="1484"/>
      <c r="G563" s="1484"/>
      <c r="H563" s="1484"/>
      <c r="I563" s="1484"/>
      <c r="J563" s="1484"/>
      <c r="K563" s="1405"/>
      <c r="L563" s="1427"/>
      <c r="M563" s="1435"/>
      <c r="N563" s="1484"/>
      <c r="O563" s="1423"/>
      <c r="P563" s="1423"/>
      <c r="Q563" s="1423"/>
      <c r="R563" s="1484"/>
      <c r="S563" s="1423"/>
      <c r="T563" s="1423"/>
      <c r="U563" s="1423"/>
      <c r="V563" s="1484"/>
      <c r="W563" s="1484"/>
      <c r="X563" s="1484"/>
      <c r="Y563" s="1484"/>
      <c r="Z563" s="1484"/>
      <c r="AD563" s="1484"/>
      <c r="AF563" s="1484"/>
      <c r="AG563" s="1484"/>
      <c r="AH563" s="1484"/>
      <c r="AI563" s="1430"/>
      <c r="AJ563" s="1425"/>
      <c r="AL563" s="748"/>
    </row>
    <row r="564" spans="1:38">
      <c r="A564" s="728">
        <v>559</v>
      </c>
      <c r="B564" s="727" t="s">
        <v>0</v>
      </c>
      <c r="E564" s="727">
        <v>0</v>
      </c>
      <c r="F564" s="1484"/>
      <c r="G564" s="1484"/>
      <c r="H564" s="1484"/>
      <c r="I564" s="1484"/>
      <c r="J564" s="1484"/>
      <c r="K564" s="1405"/>
      <c r="L564" s="1427"/>
      <c r="M564" s="1435"/>
      <c r="N564" s="1484"/>
      <c r="O564" s="1423"/>
      <c r="P564" s="1423"/>
      <c r="Q564" s="1423"/>
      <c r="R564" s="1484"/>
      <c r="S564" s="1423"/>
      <c r="T564" s="1423"/>
      <c r="U564" s="1423"/>
      <c r="V564" s="1484"/>
      <c r="W564" s="1484"/>
      <c r="X564" s="1484"/>
      <c r="Y564" s="1484"/>
      <c r="Z564" s="1484"/>
      <c r="AD564" s="1484"/>
      <c r="AF564" s="1484"/>
      <c r="AG564" s="1484"/>
      <c r="AH564" s="1484"/>
      <c r="AI564" s="1430"/>
      <c r="AJ564" s="1425"/>
      <c r="AL564" s="748"/>
    </row>
    <row r="565" spans="1:38">
      <c r="A565" s="728">
        <v>560</v>
      </c>
      <c r="B565" s="727" t="s">
        <v>2661</v>
      </c>
      <c r="E565" s="1488">
        <f>'1501 Summary'!AD406</f>
        <v>41574.770000000004</v>
      </c>
      <c r="F565" s="1484"/>
      <c r="G565" s="1484"/>
      <c r="H565" s="1484"/>
      <c r="I565" s="1484"/>
      <c r="J565" s="1484"/>
      <c r="K565" s="1405"/>
      <c r="L565" s="1427"/>
      <c r="M565" s="1435"/>
      <c r="N565" s="1484"/>
      <c r="O565" s="1423"/>
      <c r="P565" s="1423"/>
      <c r="Q565" s="1423"/>
      <c r="R565" s="1484"/>
      <c r="S565" s="1423"/>
      <c r="T565" s="1423"/>
      <c r="U565" s="1423"/>
      <c r="V565" s="1484"/>
      <c r="W565" s="1484"/>
      <c r="X565" s="1484"/>
      <c r="Y565" s="1484"/>
      <c r="Z565" s="1484"/>
      <c r="AD565" s="1484"/>
      <c r="AF565" s="1484"/>
      <c r="AG565" s="1484"/>
      <c r="AH565" s="1484"/>
      <c r="AI565" s="1430"/>
      <c r="AJ565" s="1425"/>
      <c r="AL565" s="748"/>
    </row>
    <row r="566" spans="1:38">
      <c r="A566" s="728">
        <v>561</v>
      </c>
      <c r="B566" s="727" t="s">
        <v>2774</v>
      </c>
      <c r="E566" s="1488">
        <f>'1501 Summary'!AD407</f>
        <v>12898.31</v>
      </c>
      <c r="F566" s="1484"/>
      <c r="G566" s="1484"/>
      <c r="H566" s="1484"/>
      <c r="I566" s="1484"/>
      <c r="J566" s="1484"/>
      <c r="K566" s="1405"/>
      <c r="L566" s="1427"/>
      <c r="M566" s="1435"/>
      <c r="N566" s="1484"/>
      <c r="O566" s="1423"/>
      <c r="P566" s="1423"/>
      <c r="Q566" s="1423"/>
      <c r="R566" s="1484"/>
      <c r="S566" s="1423"/>
      <c r="T566" s="1423"/>
      <c r="U566" s="1423"/>
      <c r="V566" s="1484"/>
      <c r="W566" s="1484"/>
      <c r="X566" s="1484"/>
      <c r="Y566" s="1484"/>
      <c r="Z566" s="1484"/>
      <c r="AD566" s="1484"/>
      <c r="AF566" s="1484"/>
      <c r="AG566" s="1484"/>
      <c r="AH566" s="1484"/>
      <c r="AI566" s="1430"/>
      <c r="AJ566" s="1425"/>
      <c r="AL566" s="748"/>
    </row>
    <row r="567" spans="1:38">
      <c r="A567" s="728">
        <v>562</v>
      </c>
      <c r="B567" s="1482" t="s">
        <v>2697</v>
      </c>
      <c r="E567" s="1488">
        <f>'Revenue Reconcilliation'!Q400</f>
        <v>-692911.09</v>
      </c>
      <c r="F567" s="1449"/>
      <c r="G567" s="1449"/>
      <c r="H567" s="1449"/>
      <c r="I567" s="1449"/>
      <c r="J567" s="1449"/>
      <c r="K567" s="1405"/>
      <c r="L567" s="1427"/>
      <c r="M567" s="1435"/>
      <c r="N567" s="1449"/>
      <c r="O567" s="1423"/>
      <c r="P567" s="1423"/>
      <c r="Q567" s="1423"/>
      <c r="R567" s="1449"/>
      <c r="S567" s="1423"/>
      <c r="T567" s="1423"/>
      <c r="U567" s="1423"/>
      <c r="V567" s="1449"/>
      <c r="W567" s="1449"/>
      <c r="X567" s="1449"/>
      <c r="Y567" s="1449"/>
      <c r="Z567" s="1449"/>
      <c r="AD567" s="1449"/>
      <c r="AF567" s="1449"/>
      <c r="AG567" s="1449"/>
      <c r="AH567" s="1449"/>
      <c r="AI567" s="1430"/>
      <c r="AJ567" s="1425"/>
      <c r="AL567" s="748"/>
    </row>
    <row r="568" spans="1:38">
      <c r="A568" s="728">
        <v>563</v>
      </c>
      <c r="B568" s="1482" t="s">
        <v>2698</v>
      </c>
      <c r="E568" s="1492">
        <f>'Revenue Reconcilliation'!Q401</f>
        <v>801816.05999999994</v>
      </c>
      <c r="F568" s="1449"/>
      <c r="G568" s="1449"/>
      <c r="H568" s="1449"/>
      <c r="I568" s="1449"/>
      <c r="J568" s="1449"/>
      <c r="K568" s="1405"/>
      <c r="L568" s="1427"/>
      <c r="M568" s="1435"/>
      <c r="N568" s="1449"/>
      <c r="O568" s="1423"/>
      <c r="P568" s="1423"/>
      <c r="Q568" s="1423"/>
      <c r="R568" s="1449"/>
      <c r="S568" s="1423"/>
      <c r="T568" s="1423"/>
      <c r="U568" s="1423"/>
      <c r="V568" s="1449"/>
      <c r="W568" s="1449"/>
      <c r="X568" s="1449"/>
      <c r="Y568" s="1449"/>
      <c r="Z568" s="1449"/>
      <c r="AD568" s="1449"/>
      <c r="AF568" s="1449"/>
      <c r="AG568" s="1449"/>
      <c r="AH568" s="1449"/>
      <c r="AI568" s="1430"/>
      <c r="AJ568" s="1425"/>
      <c r="AL568" s="748"/>
    </row>
    <row r="569" spans="1:38">
      <c r="A569" s="728">
        <v>564</v>
      </c>
      <c r="B569" s="1443" t="s">
        <v>2678</v>
      </c>
      <c r="E569" s="1488">
        <f>SUM(E563:E568)</f>
        <v>191659.58999999997</v>
      </c>
      <c r="F569" s="1484"/>
      <c r="G569" s="1484"/>
      <c r="H569" s="1484"/>
      <c r="I569" s="1484"/>
      <c r="J569" s="1484"/>
      <c r="K569" s="1405"/>
      <c r="L569" s="1427"/>
      <c r="M569" s="1435"/>
      <c r="N569" s="1484"/>
      <c r="O569" s="1423"/>
      <c r="P569" s="1423"/>
      <c r="Q569" s="1423"/>
      <c r="R569" s="1484"/>
      <c r="S569" s="1423"/>
      <c r="T569" s="1423"/>
      <c r="U569" s="1423"/>
      <c r="V569" s="1484"/>
      <c r="W569" s="1484"/>
      <c r="X569" s="1484"/>
      <c r="Y569" s="1484"/>
      <c r="Z569" s="1484"/>
      <c r="AD569" s="1484"/>
      <c r="AF569" s="1484"/>
      <c r="AG569" s="1484"/>
      <c r="AH569" s="1484"/>
      <c r="AI569" s="1430"/>
      <c r="AJ569" s="1425"/>
      <c r="AL569" s="748"/>
    </row>
    <row r="570" spans="1:38">
      <c r="A570" s="728">
        <v>565</v>
      </c>
      <c r="B570" s="1443"/>
      <c r="E570" s="1488"/>
      <c r="K570" s="1405"/>
      <c r="L570" s="1427"/>
      <c r="M570" s="1435"/>
      <c r="O570" s="1423"/>
      <c r="P570" s="1423"/>
      <c r="Q570" s="1423"/>
      <c r="S570" s="1423"/>
      <c r="T570" s="1423"/>
      <c r="U570" s="1423"/>
      <c r="AI570" s="1430"/>
      <c r="AJ570" s="1425"/>
      <c r="AL570" s="748"/>
    </row>
    <row r="571" spans="1:38">
      <c r="A571" s="728">
        <v>566</v>
      </c>
      <c r="B571" s="1444" t="s">
        <v>2775</v>
      </c>
      <c r="C571" s="1459">
        <f>E571-'Revenue Reconcilliation'!Q402</f>
        <v>0</v>
      </c>
      <c r="D571" s="1445" t="s">
        <v>2673</v>
      </c>
      <c r="E571" s="1492">
        <f>SUM(E560,E569)</f>
        <v>816401.51</v>
      </c>
      <c r="F571" s="1516"/>
      <c r="G571" s="1516"/>
      <c r="H571" s="1516"/>
      <c r="I571" s="1516"/>
      <c r="J571" s="1516"/>
      <c r="K571" s="1447"/>
      <c r="L571" s="1446"/>
      <c r="M571" s="1436"/>
      <c r="N571" s="1516"/>
      <c r="O571" s="1437"/>
      <c r="P571" s="1437"/>
      <c r="Q571" s="1437"/>
      <c r="R571" s="1516"/>
      <c r="S571" s="1437"/>
      <c r="T571" s="1437"/>
      <c r="U571" s="1437"/>
      <c r="V571" s="1516"/>
      <c r="W571" s="1516"/>
      <c r="X571" s="1516"/>
      <c r="Y571" s="1516"/>
      <c r="Z571" s="1516"/>
      <c r="AA571" s="1445"/>
      <c r="AB571" s="1445"/>
      <c r="AC571" s="1445"/>
      <c r="AD571" s="1516"/>
      <c r="AE571" s="1447"/>
      <c r="AF571" s="1516"/>
      <c r="AG571" s="1516"/>
      <c r="AH571" s="1516"/>
      <c r="AI571" s="1490"/>
      <c r="AJ571" s="1440"/>
      <c r="AK571" s="1445"/>
      <c r="AL571" s="748"/>
    </row>
    <row r="572" spans="1:38">
      <c r="A572" s="728">
        <v>567</v>
      </c>
      <c r="K572" s="1405"/>
      <c r="L572" s="1427"/>
      <c r="M572" s="1435"/>
      <c r="O572" s="1423"/>
      <c r="P572" s="1423"/>
      <c r="Q572" s="1423"/>
      <c r="S572" s="1423"/>
      <c r="T572" s="1423"/>
      <c r="U572" s="1423"/>
      <c r="AI572" s="1430"/>
      <c r="AJ572" s="1425"/>
      <c r="AL572" s="748"/>
    </row>
    <row r="573" spans="1:38">
      <c r="A573" s="728">
        <v>568</v>
      </c>
      <c r="B573" s="1420" t="s">
        <v>2776</v>
      </c>
      <c r="K573" s="1405"/>
      <c r="L573" s="1427"/>
      <c r="M573" s="1435"/>
      <c r="O573" s="1423"/>
      <c r="P573" s="1423"/>
      <c r="Q573" s="1423"/>
      <c r="S573" s="1423"/>
      <c r="T573" s="1423"/>
      <c r="U573" s="1423"/>
      <c r="AI573" s="1430"/>
      <c r="AJ573" s="1425"/>
      <c r="AL573" s="748"/>
    </row>
    <row r="574" spans="1:38">
      <c r="A574" s="728">
        <v>569</v>
      </c>
      <c r="B574" s="727" t="s">
        <v>2724</v>
      </c>
      <c r="C574" s="1404">
        <f>E574/D574</f>
        <v>12</v>
      </c>
      <c r="D574" s="1404">
        <v>625</v>
      </c>
      <c r="E574" s="1488">
        <f>'1501 Summary'!AD416</f>
        <v>7500</v>
      </c>
      <c r="F574" s="1489"/>
      <c r="G574" s="1489"/>
      <c r="H574" s="1489"/>
      <c r="I574" s="1489"/>
      <c r="J574" s="1489"/>
      <c r="K574" s="1405">
        <f>C574+G574</f>
        <v>12</v>
      </c>
      <c r="L574" s="1430">
        <f>D574</f>
        <v>625</v>
      </c>
      <c r="M574" s="1435">
        <f>L574*K574</f>
        <v>7500</v>
      </c>
      <c r="N574" s="1489"/>
      <c r="O574" s="1423"/>
      <c r="P574" s="1484"/>
      <c r="Q574" s="1423"/>
      <c r="R574" s="1489"/>
      <c r="S574" s="1423"/>
      <c r="T574" s="1484"/>
      <c r="U574" s="1423"/>
      <c r="V574" s="1489"/>
      <c r="W574" s="1489"/>
      <c r="X574" s="1489"/>
      <c r="Y574" s="1489"/>
      <c r="Z574" s="1489"/>
      <c r="AA574" s="1425"/>
      <c r="AB574" s="1425"/>
      <c r="AC574" s="1425"/>
      <c r="AD574" s="1489"/>
      <c r="AF574" s="1489"/>
      <c r="AG574" s="1489"/>
      <c r="AH574" s="1489"/>
      <c r="AI574" s="1430"/>
      <c r="AJ574" s="1425"/>
      <c r="AK574" s="1425"/>
      <c r="AL574" s="748"/>
    </row>
    <row r="575" spans="1:38">
      <c r="A575" s="728">
        <v>570</v>
      </c>
      <c r="B575" s="727" t="s">
        <v>2714</v>
      </c>
      <c r="C575" s="1405">
        <f>E575/D575</f>
        <v>1168275</v>
      </c>
      <c r="D575" s="1404">
        <v>4.0000000000000002E-4</v>
      </c>
      <c r="E575" s="1488">
        <f>'1501 Summary'!AD417</f>
        <v>467.31</v>
      </c>
      <c r="F575" s="1489"/>
      <c r="G575" s="1489"/>
      <c r="H575" s="1489"/>
      <c r="I575" s="1489"/>
      <c r="J575" s="1489"/>
      <c r="K575" s="1405">
        <f>C575+G575</f>
        <v>1168275</v>
      </c>
      <c r="L575" s="1427">
        <f>D575</f>
        <v>4.0000000000000002E-4</v>
      </c>
      <c r="M575" s="1435">
        <f>L575*K575</f>
        <v>467.31</v>
      </c>
      <c r="N575" s="1489"/>
      <c r="O575" s="1423"/>
      <c r="P575" s="1484"/>
      <c r="Q575" s="1423"/>
      <c r="R575" s="1489"/>
      <c r="S575" s="1423"/>
      <c r="T575" s="1484"/>
      <c r="U575" s="1423"/>
      <c r="V575" s="1489"/>
      <c r="W575" s="1489"/>
      <c r="X575" s="1489"/>
      <c r="Y575" s="1489"/>
      <c r="Z575" s="1489"/>
      <c r="AA575" s="1425"/>
      <c r="AB575" s="1425"/>
      <c r="AC575" s="1425"/>
      <c r="AD575" s="1489"/>
      <c r="AF575" s="1489"/>
      <c r="AG575" s="1489"/>
      <c r="AH575" s="1489"/>
      <c r="AI575" s="1428"/>
      <c r="AJ575" s="1425"/>
      <c r="AK575" s="1425"/>
      <c r="AL575" s="748"/>
    </row>
    <row r="576" spans="1:38">
      <c r="A576" s="728">
        <v>571</v>
      </c>
      <c r="B576" s="727" t="s">
        <v>2777</v>
      </c>
      <c r="C576" s="1405">
        <f>E576/D576</f>
        <v>1168264</v>
      </c>
      <c r="D576" s="1520">
        <v>0.01</v>
      </c>
      <c r="E576" s="1488">
        <f>'1501 Summary'!AD418</f>
        <v>11682.64</v>
      </c>
      <c r="F576" s="1489"/>
      <c r="G576" s="1489"/>
      <c r="H576" s="1489"/>
      <c r="I576" s="1489"/>
      <c r="J576" s="1489"/>
      <c r="K576" s="1405">
        <f>C576+G576</f>
        <v>1168264</v>
      </c>
      <c r="L576" s="1427">
        <f>D576</f>
        <v>0.01</v>
      </c>
      <c r="M576" s="1435">
        <f>L576*K576</f>
        <v>11682.64</v>
      </c>
      <c r="N576" s="1489"/>
      <c r="O576" s="1423"/>
      <c r="P576" s="1484"/>
      <c r="Q576" s="1423"/>
      <c r="R576" s="1489"/>
      <c r="S576" s="1423"/>
      <c r="T576" s="1484"/>
      <c r="U576" s="1423"/>
      <c r="V576" s="1489"/>
      <c r="W576" s="1489"/>
      <c r="X576" s="1489"/>
      <c r="Y576" s="1489"/>
      <c r="Z576" s="1489"/>
      <c r="AA576" s="1425"/>
      <c r="AB576" s="1425"/>
      <c r="AC576" s="1425"/>
      <c r="AD576" s="1489"/>
      <c r="AF576" s="1489"/>
      <c r="AG576" s="1489"/>
      <c r="AH576" s="1489"/>
      <c r="AI576" s="1428"/>
      <c r="AJ576" s="1425"/>
      <c r="AK576" s="1425"/>
      <c r="AL576" s="748"/>
    </row>
    <row r="577" spans="1:38">
      <c r="A577" s="728">
        <v>572</v>
      </c>
      <c r="B577" s="727" t="s">
        <v>2774</v>
      </c>
      <c r="C577" s="1405">
        <f>E577/D577</f>
        <v>10.159522302158273</v>
      </c>
      <c r="D577" s="1484">
        <v>13900</v>
      </c>
      <c r="E577" s="1492">
        <f>'1501 Summary'!AD419</f>
        <v>141217.35999999999</v>
      </c>
      <c r="F577" s="1489"/>
      <c r="G577" s="1489"/>
      <c r="H577" s="1489"/>
      <c r="I577" s="1489"/>
      <c r="J577" s="1489"/>
      <c r="K577" s="1405">
        <f>C577+G577</f>
        <v>10.159522302158273</v>
      </c>
      <c r="L577" s="1422">
        <f>D577</f>
        <v>13900</v>
      </c>
      <c r="M577" s="1436">
        <f>L577*K577</f>
        <v>141217.35999999999</v>
      </c>
      <c r="N577" s="1489"/>
      <c r="O577" s="1423"/>
      <c r="P577" s="1484"/>
      <c r="Q577" s="1423"/>
      <c r="R577" s="1489"/>
      <c r="S577" s="1423"/>
      <c r="T577" s="1484"/>
      <c r="U577" s="1423"/>
      <c r="V577" s="1489"/>
      <c r="W577" s="1489"/>
      <c r="X577" s="1489"/>
      <c r="Y577" s="1489"/>
      <c r="Z577" s="1489"/>
      <c r="AA577" s="1425"/>
      <c r="AB577" s="1425"/>
      <c r="AC577" s="1425"/>
      <c r="AD577" s="1489"/>
      <c r="AF577" s="1489"/>
      <c r="AG577" s="1489"/>
      <c r="AH577" s="1489"/>
      <c r="AI577" s="1430"/>
      <c r="AJ577" s="1425"/>
      <c r="AK577" s="1425"/>
      <c r="AL577" s="748"/>
    </row>
    <row r="578" spans="1:38">
      <c r="A578" s="728">
        <v>573</v>
      </c>
      <c r="B578" s="727" t="s">
        <v>2648</v>
      </c>
      <c r="E578" s="1488">
        <f>SUM(E574:E577)</f>
        <v>160867.31</v>
      </c>
      <c r="F578" s="1489"/>
      <c r="G578" s="1489"/>
      <c r="H578" s="1489"/>
      <c r="I578" s="1489"/>
      <c r="J578" s="1489"/>
      <c r="K578" s="1405"/>
      <c r="L578" s="1427"/>
      <c r="M578" s="1435">
        <f>SUM(M574:M577)</f>
        <v>160867.31</v>
      </c>
      <c r="N578" s="1489"/>
      <c r="O578" s="1423"/>
      <c r="P578" s="1423"/>
      <c r="Q578" s="1423"/>
      <c r="R578" s="1489"/>
      <c r="S578" s="1423"/>
      <c r="T578" s="1423"/>
      <c r="U578" s="1423"/>
      <c r="V578" s="1489"/>
      <c r="W578" s="1489"/>
      <c r="X578" s="1489"/>
      <c r="Y578" s="1489"/>
      <c r="Z578" s="1489"/>
      <c r="AA578" s="1441"/>
      <c r="AB578" s="1441"/>
      <c r="AC578" s="1441"/>
      <c r="AD578" s="1489"/>
      <c r="AF578" s="1489"/>
      <c r="AG578" s="1489"/>
      <c r="AH578" s="1489"/>
      <c r="AI578" s="1430"/>
      <c r="AJ578" s="1425"/>
      <c r="AK578" s="1425"/>
      <c r="AL578" s="748"/>
    </row>
    <row r="579" spans="1:38">
      <c r="A579" s="728">
        <v>574</v>
      </c>
      <c r="E579" s="1488"/>
      <c r="F579" s="1489"/>
      <c r="G579" s="1489"/>
      <c r="H579" s="1489"/>
      <c r="I579" s="1489"/>
      <c r="J579" s="1489"/>
      <c r="K579" s="1405"/>
      <c r="L579" s="1427"/>
      <c r="M579" s="1435"/>
      <c r="N579" s="1489"/>
      <c r="O579" s="1423"/>
      <c r="P579" s="1423"/>
      <c r="Q579" s="1423"/>
      <c r="R579" s="1489"/>
      <c r="S579" s="1423"/>
      <c r="T579" s="1423"/>
      <c r="U579" s="1423"/>
      <c r="V579" s="1489"/>
      <c r="W579" s="1489"/>
      <c r="X579" s="1489"/>
      <c r="Y579" s="1489"/>
      <c r="Z579" s="1489"/>
      <c r="AD579" s="1489"/>
      <c r="AF579" s="1489"/>
      <c r="AG579" s="1489"/>
      <c r="AH579" s="1489"/>
      <c r="AI579" s="1430"/>
      <c r="AJ579" s="1425"/>
      <c r="AL579" s="748"/>
    </row>
    <row r="580" spans="1:38">
      <c r="A580" s="728">
        <v>575</v>
      </c>
      <c r="B580" s="727" t="s">
        <v>2651</v>
      </c>
      <c r="E580" s="1488"/>
      <c r="F580" s="1489"/>
      <c r="G580" s="1489"/>
      <c r="H580" s="1489"/>
      <c r="I580" s="1489"/>
      <c r="J580" s="1489"/>
      <c r="K580" s="1405"/>
      <c r="L580" s="1427"/>
      <c r="M580" s="1435"/>
      <c r="N580" s="1489"/>
      <c r="O580" s="1423"/>
      <c r="P580" s="1423"/>
      <c r="Q580" s="1423"/>
      <c r="R580" s="1489"/>
      <c r="S580" s="1423"/>
      <c r="T580" s="1423"/>
      <c r="U580" s="1423"/>
      <c r="V580" s="1489"/>
      <c r="W580" s="1489"/>
      <c r="X580" s="1489"/>
      <c r="Y580" s="1489"/>
      <c r="Z580" s="1489"/>
      <c r="AD580" s="1489"/>
      <c r="AF580" s="1489"/>
      <c r="AG580" s="1489"/>
      <c r="AH580" s="1489"/>
      <c r="AI580" s="1430"/>
      <c r="AJ580" s="1425"/>
      <c r="AL580" s="748"/>
    </row>
    <row r="581" spans="1:38">
      <c r="A581" s="728">
        <v>576</v>
      </c>
      <c r="B581" s="727" t="s">
        <v>2719</v>
      </c>
      <c r="E581" s="1488">
        <f>'1501 Summary'!AD420</f>
        <v>7100.3300000000008</v>
      </c>
      <c r="F581" s="1489"/>
      <c r="G581" s="1489"/>
      <c r="H581" s="1489"/>
      <c r="I581" s="1489"/>
      <c r="J581" s="1489"/>
      <c r="K581" s="1405"/>
      <c r="L581" s="1427"/>
      <c r="M581" s="1435"/>
      <c r="N581" s="1489"/>
      <c r="O581" s="1423"/>
      <c r="P581" s="1423"/>
      <c r="Q581" s="1423"/>
      <c r="R581" s="1489"/>
      <c r="S581" s="1423"/>
      <c r="T581" s="1423"/>
      <c r="U581" s="1423"/>
      <c r="V581" s="1489"/>
      <c r="W581" s="1489"/>
      <c r="X581" s="1489"/>
      <c r="Y581" s="1489"/>
      <c r="Z581" s="1489"/>
      <c r="AD581" s="1489"/>
      <c r="AF581" s="1489"/>
      <c r="AG581" s="1489"/>
      <c r="AH581" s="1489"/>
      <c r="AI581" s="1430"/>
      <c r="AJ581" s="1425"/>
      <c r="AL581" s="748"/>
    </row>
    <row r="582" spans="1:38">
      <c r="A582" s="728">
        <v>577</v>
      </c>
      <c r="B582" s="727" t="s">
        <v>0</v>
      </c>
      <c r="E582" s="1488">
        <f>'1501 Summary'!AD421</f>
        <v>0</v>
      </c>
      <c r="F582" s="1489"/>
      <c r="G582" s="1489"/>
      <c r="H582" s="1489"/>
      <c r="I582" s="1489"/>
      <c r="J582" s="1489"/>
      <c r="K582" s="1405"/>
      <c r="L582" s="1427"/>
      <c r="M582" s="1435"/>
      <c r="N582" s="1489"/>
      <c r="O582" s="1423"/>
      <c r="P582" s="1423"/>
      <c r="Q582" s="1423"/>
      <c r="R582" s="1489"/>
      <c r="S582" s="1423"/>
      <c r="T582" s="1423"/>
      <c r="U582" s="1423"/>
      <c r="V582" s="1489"/>
      <c r="W582" s="1489"/>
      <c r="X582" s="1489"/>
      <c r="Y582" s="1489"/>
      <c r="Z582" s="1489"/>
      <c r="AD582" s="1489"/>
      <c r="AF582" s="1489"/>
      <c r="AG582" s="1489"/>
      <c r="AH582" s="1489"/>
      <c r="AI582" s="1430"/>
      <c r="AJ582" s="1425"/>
      <c r="AL582" s="748"/>
    </row>
    <row r="583" spans="1:38">
      <c r="A583" s="728">
        <v>578</v>
      </c>
      <c r="B583" s="1482" t="s">
        <v>2697</v>
      </c>
      <c r="E583" s="1488">
        <f>'Revenue Reconcilliation'!Q420</f>
        <v>-182553.09000000003</v>
      </c>
      <c r="F583" s="1489"/>
      <c r="G583" s="1489"/>
      <c r="H583" s="1489"/>
      <c r="I583" s="1489"/>
      <c r="J583" s="1489"/>
      <c r="K583" s="1405"/>
      <c r="L583" s="1427"/>
      <c r="M583" s="1435"/>
      <c r="N583" s="1489"/>
      <c r="O583" s="1423"/>
      <c r="P583" s="1423"/>
      <c r="Q583" s="1423"/>
      <c r="R583" s="1489"/>
      <c r="S583" s="1423"/>
      <c r="T583" s="1423"/>
      <c r="U583" s="1423"/>
      <c r="V583" s="1489"/>
      <c r="W583" s="1489"/>
      <c r="X583" s="1489"/>
      <c r="Y583" s="1489"/>
      <c r="Z583" s="1489"/>
      <c r="AD583" s="1489"/>
      <c r="AF583" s="1489"/>
      <c r="AG583" s="1489"/>
      <c r="AH583" s="1489"/>
      <c r="AI583" s="1430"/>
      <c r="AJ583" s="1425"/>
      <c r="AL583" s="748"/>
    </row>
    <row r="584" spans="1:38">
      <c r="A584" s="728">
        <v>579</v>
      </c>
      <c r="B584" s="1482" t="s">
        <v>2698</v>
      </c>
      <c r="E584" s="1492">
        <f>'Revenue Reconcilliation'!Q421</f>
        <v>182518.64000000004</v>
      </c>
      <c r="F584" s="1489"/>
      <c r="G584" s="1489"/>
      <c r="H584" s="1489"/>
      <c r="I584" s="1489"/>
      <c r="J584" s="1489"/>
      <c r="K584" s="1405"/>
      <c r="L584" s="1427"/>
      <c r="M584" s="1435"/>
      <c r="N584" s="1489"/>
      <c r="O584" s="1423"/>
      <c r="P584" s="1423"/>
      <c r="Q584" s="1423"/>
      <c r="R584" s="1489"/>
      <c r="S584" s="1423"/>
      <c r="T584" s="1423"/>
      <c r="U584" s="1423"/>
      <c r="V584" s="1489"/>
      <c r="W584" s="1489"/>
      <c r="X584" s="1489"/>
      <c r="Y584" s="1489"/>
      <c r="Z584" s="1489"/>
      <c r="AD584" s="1489"/>
      <c r="AF584" s="1489"/>
      <c r="AG584" s="1489"/>
      <c r="AH584" s="1489"/>
      <c r="AI584" s="1430"/>
      <c r="AJ584" s="1425"/>
      <c r="AL584" s="748"/>
    </row>
    <row r="585" spans="1:38">
      <c r="A585" s="728">
        <v>580</v>
      </c>
      <c r="B585" s="1443" t="s">
        <v>2678</v>
      </c>
      <c r="E585" s="1488">
        <f>SUM(E581:E584)</f>
        <v>7065.8800000000047</v>
      </c>
      <c r="F585" s="1489"/>
      <c r="G585" s="1489"/>
      <c r="H585" s="1489"/>
      <c r="I585" s="1489"/>
      <c r="J585" s="1489"/>
      <c r="K585" s="1405"/>
      <c r="L585" s="1427"/>
      <c r="M585" s="1435"/>
      <c r="N585" s="1489"/>
      <c r="O585" s="1423"/>
      <c r="P585" s="1423"/>
      <c r="Q585" s="1423"/>
      <c r="R585" s="1489"/>
      <c r="S585" s="1423"/>
      <c r="T585" s="1423"/>
      <c r="U585" s="1423"/>
      <c r="V585" s="1489"/>
      <c r="W585" s="1489"/>
      <c r="X585" s="1489"/>
      <c r="Y585" s="1489"/>
      <c r="Z585" s="1489"/>
      <c r="AD585" s="1489"/>
      <c r="AF585" s="1489"/>
      <c r="AG585" s="1489"/>
      <c r="AH585" s="1489"/>
      <c r="AI585" s="1430"/>
      <c r="AJ585" s="1425"/>
      <c r="AL585" s="748"/>
    </row>
    <row r="586" spans="1:38">
      <c r="A586" s="728">
        <v>581</v>
      </c>
      <c r="B586" s="1443"/>
      <c r="E586" s="1488"/>
      <c r="K586" s="1405"/>
      <c r="L586" s="1427"/>
      <c r="M586" s="1435"/>
      <c r="O586" s="1423"/>
      <c r="P586" s="1423"/>
      <c r="Q586" s="1423"/>
      <c r="S586" s="1423"/>
      <c r="T586" s="1423"/>
      <c r="U586" s="1423"/>
      <c r="AI586" s="1430"/>
      <c r="AJ586" s="1425"/>
      <c r="AL586" s="748"/>
    </row>
    <row r="587" spans="1:38">
      <c r="A587" s="728">
        <v>582</v>
      </c>
      <c r="B587" s="1444" t="s">
        <v>2778</v>
      </c>
      <c r="C587" s="1459">
        <f>E587-'Revenue Reconcilliation'!Q422</f>
        <v>0</v>
      </c>
      <c r="D587" s="1445" t="s">
        <v>2673</v>
      </c>
      <c r="E587" s="1492">
        <f>SUM(E578,E585)</f>
        <v>167933.19</v>
      </c>
      <c r="F587" s="1516"/>
      <c r="G587" s="1516"/>
      <c r="H587" s="1516"/>
      <c r="I587" s="1516"/>
      <c r="J587" s="1516"/>
      <c r="K587" s="1447"/>
      <c r="L587" s="1446"/>
      <c r="M587" s="1436"/>
      <c r="N587" s="1516"/>
      <c r="O587" s="1437"/>
      <c r="P587" s="1437"/>
      <c r="Q587" s="1437"/>
      <c r="R587" s="1516"/>
      <c r="S587" s="1437"/>
      <c r="T587" s="1437"/>
      <c r="U587" s="1437"/>
      <c r="V587" s="1516"/>
      <c r="W587" s="1489"/>
      <c r="X587" s="1489"/>
      <c r="Y587" s="1489"/>
      <c r="Z587" s="1489"/>
      <c r="AA587" s="1421" t="s">
        <v>1809</v>
      </c>
      <c r="AB587" s="1445"/>
      <c r="AC587" s="1470">
        <f>ROUND(SUM(AC8,AC44,AC84,AC119,AC285,AC321),0)</f>
        <v>963442</v>
      </c>
      <c r="AD587" s="1516"/>
      <c r="AE587" s="1447"/>
      <c r="AF587" s="1516"/>
      <c r="AG587" s="1516"/>
      <c r="AH587" s="1516"/>
      <c r="AI587" s="1490"/>
      <c r="AJ587" s="1440"/>
      <c r="AK587" s="1445"/>
    </row>
    <row r="588" spans="1:38">
      <c r="A588" s="728">
        <v>583</v>
      </c>
      <c r="E588" s="1435"/>
      <c r="K588" s="1405"/>
      <c r="L588" s="1427"/>
      <c r="Q588" s="1423"/>
      <c r="U588" s="1423"/>
      <c r="AA588" s="1421" t="s">
        <v>1810</v>
      </c>
      <c r="AC588" s="1441">
        <f>-SUM(E18,E54,E91,E126,E161,E194,E227,E260,E292,E328,E465,E492,E516)</f>
        <v>-3879096.7900000024</v>
      </c>
      <c r="AE588" s="384"/>
      <c r="AF588" s="384"/>
      <c r="AG588" s="384"/>
      <c r="AH588" s="1407"/>
      <c r="AI588" s="1407"/>
      <c r="AJ588" s="1407"/>
      <c r="AK588" s="1407"/>
    </row>
    <row r="589" spans="1:38">
      <c r="A589" s="728">
        <v>584</v>
      </c>
      <c r="B589" s="1521" t="s">
        <v>2779</v>
      </c>
      <c r="C589" s="1407"/>
      <c r="D589" s="1407"/>
      <c r="E589" s="1522">
        <f>SUM(E578,E560,E541,E509,E485,E458,E439,E420,E401,E383,E364,E321,E285,E187,E119,E84,E45,E9,E154,E220,E253)</f>
        <v>98705686.87999998</v>
      </c>
      <c r="F589" s="1523"/>
      <c r="G589" s="1523"/>
      <c r="H589" s="1523"/>
      <c r="I589" s="1523"/>
      <c r="J589" s="1523"/>
      <c r="K589" s="1524"/>
      <c r="L589" s="1523"/>
      <c r="M589" s="1522">
        <f>SUM(M578,M560,M541,M509,M485,M458,M439,M420,M401,M383,M364,M321,M285,M187,M119,M84,M50,M14,M154,M220,M253)</f>
        <v>109752998.32510225</v>
      </c>
      <c r="N589" s="1523"/>
      <c r="O589" s="1523"/>
      <c r="P589" s="1523" t="s">
        <v>2780</v>
      </c>
      <c r="Q589" s="1522">
        <f>SUM(Q578,Q560,Q541,Q509,Q485,Q458,Q439,Q420,Q401,Q383,Q364,Q321,Q285,Q119,Q84,Q50,Q14)</f>
        <v>-8223</v>
      </c>
      <c r="R589" s="1523"/>
      <c r="S589" s="1523"/>
      <c r="T589" s="1523" t="s">
        <v>2781</v>
      </c>
      <c r="U589" s="1522">
        <f>SUM(U578,U560,U541,U509,U485,U458,U439,U420,U401,U383,U364,U321,U285,U119,U84,U50,U14)</f>
        <v>1057399.3900221004</v>
      </c>
      <c r="V589" s="1523"/>
      <c r="W589" s="1523"/>
      <c r="X589" s="1523" t="s">
        <v>2782</v>
      </c>
      <c r="Y589" s="1522">
        <f>Y321+Y119</f>
        <v>-134104.11531761975</v>
      </c>
      <c r="Z589" s="1523"/>
      <c r="AA589" s="1525" t="s">
        <v>1811</v>
      </c>
      <c r="AB589" s="1407"/>
      <c r="AC589" s="1526">
        <f>SUM(AC587:AC588)</f>
        <v>-2915654.7900000024</v>
      </c>
      <c r="AD589" s="1523"/>
      <c r="AE589" s="1527" t="s">
        <v>2783</v>
      </c>
      <c r="AF589" s="1483"/>
      <c r="AG589" s="1528">
        <f>SUM(AG14,AG50,AG84,AG119,AG285, AG321)</f>
        <v>2.5465851649641991E-10</v>
      </c>
      <c r="AH589" s="1483"/>
      <c r="AI589" s="1445"/>
      <c r="AJ589" s="1445"/>
      <c r="AK589" s="1529">
        <f>SUM(AK321,AK285,AK119,AK84,AK50,AK14)</f>
        <v>-390562.99999999988</v>
      </c>
    </row>
    <row r="590" spans="1:38">
      <c r="A590" s="728">
        <v>585</v>
      </c>
      <c r="B590" s="1448" t="s">
        <v>2784</v>
      </c>
      <c r="E590" s="1435">
        <f>SUM(E587,E571,E550,E531,E498,E475,E448,E429,E410,E392,E373,E350,E311,E213,E147,E112,E76,E39,E182,E246,E279)</f>
        <v>245576227.90000004</v>
      </c>
      <c r="F590" s="1484"/>
      <c r="G590" s="1484"/>
      <c r="H590" s="1484"/>
      <c r="I590" s="1484"/>
      <c r="J590" s="1484"/>
      <c r="K590" s="1405"/>
      <c r="L590" s="1484"/>
      <c r="M590" s="1484"/>
      <c r="N590" s="1484"/>
      <c r="O590" s="1484"/>
      <c r="P590" s="1484"/>
      <c r="Q590" s="1423"/>
      <c r="R590" s="1484"/>
      <c r="S590" s="1484"/>
      <c r="T590" s="1484"/>
      <c r="U590" s="1423"/>
      <c r="V590" s="1484"/>
      <c r="W590" s="1484"/>
      <c r="X590" s="1484"/>
      <c r="Y590" s="1484"/>
      <c r="Z590" s="1484"/>
      <c r="AD590" s="1484"/>
      <c r="AF590" s="1484"/>
      <c r="AG590" s="1484"/>
      <c r="AH590" s="1484"/>
    </row>
    <row r="591" spans="1:38">
      <c r="A591" s="728">
        <v>586</v>
      </c>
      <c r="E591" s="1435"/>
      <c r="K591" s="1530" t="s">
        <v>1820</v>
      </c>
      <c r="M591" s="1435">
        <f>-E589</f>
        <v>-98705686.87999998</v>
      </c>
      <c r="Q591" s="1423"/>
      <c r="U591" s="1423"/>
      <c r="AC591" s="1441"/>
    </row>
    <row r="592" spans="1:38">
      <c r="A592" s="728">
        <v>587</v>
      </c>
      <c r="B592" s="1448" t="s">
        <v>122</v>
      </c>
      <c r="E592" s="1449">
        <f>'Allocation Report Summary 2019'!P12</f>
        <v>527669.75999999989</v>
      </c>
      <c r="F592" s="1449"/>
      <c r="G592" s="1449"/>
      <c r="H592" s="1449"/>
      <c r="I592" s="1449"/>
      <c r="J592" s="1449"/>
      <c r="K592" s="1421" t="s">
        <v>2785</v>
      </c>
      <c r="L592" s="1449"/>
      <c r="M592" s="1435">
        <f>-SUM(E342,E303,E205,E141,E107,E70,E33,E176,E238,E271)</f>
        <v>4221975.1099999994</v>
      </c>
      <c r="N592" s="1449"/>
      <c r="O592" s="1449"/>
      <c r="P592" s="1449"/>
      <c r="Q592" s="1423"/>
      <c r="R592" s="1449"/>
      <c r="S592" s="1449"/>
      <c r="T592" s="1449"/>
      <c r="U592" s="1423"/>
      <c r="V592" s="1449"/>
      <c r="W592" s="1449"/>
      <c r="X592" s="1449"/>
      <c r="Y592" s="1449"/>
      <c r="Z592" s="1449"/>
      <c r="AD592" s="1449"/>
      <c r="AF592" s="1449"/>
      <c r="AG592" s="1449"/>
      <c r="AH592" s="1449"/>
    </row>
    <row r="593" spans="1:34">
      <c r="A593" s="728">
        <v>588</v>
      </c>
      <c r="B593" s="1448" t="s">
        <v>126</v>
      </c>
      <c r="E593" s="1449">
        <f>'Allocation Report Summary 2019'!P14</f>
        <v>0</v>
      </c>
      <c r="F593" s="1449"/>
      <c r="G593" s="1449"/>
      <c r="H593" s="1449"/>
      <c r="I593" s="1449"/>
      <c r="J593" s="1449"/>
      <c r="K593" s="727" t="s">
        <v>2786</v>
      </c>
      <c r="L593" s="1449"/>
      <c r="M593" s="1434">
        <f>-'WACAP 2019'!AD167</f>
        <v>-338287.40000000066</v>
      </c>
      <c r="N593" s="1449"/>
      <c r="O593" s="1449"/>
      <c r="P593" s="1449"/>
      <c r="Q593" s="1423"/>
      <c r="R593" s="1449"/>
      <c r="S593" s="1449"/>
      <c r="T593" s="1449"/>
      <c r="U593" s="1423"/>
      <c r="V593" s="1449"/>
      <c r="W593" s="1449"/>
      <c r="X593" s="1449"/>
      <c r="Y593" s="1449"/>
      <c r="Z593" s="1449"/>
      <c r="AD593" s="1449"/>
      <c r="AF593" s="1449"/>
      <c r="AG593" s="1449"/>
      <c r="AH593" s="1449"/>
    </row>
    <row r="594" spans="1:34">
      <c r="A594" s="728">
        <v>589</v>
      </c>
      <c r="B594" s="1448" t="s">
        <v>128</v>
      </c>
      <c r="E594" s="1449">
        <f>'Allocation Report Summary 2019'!P15</f>
        <v>127945.33</v>
      </c>
      <c r="F594" s="1449"/>
      <c r="G594" s="1449"/>
      <c r="H594" s="1449"/>
      <c r="I594" s="1449"/>
      <c r="J594" s="1449"/>
      <c r="K594" s="384"/>
      <c r="L594" s="384"/>
      <c r="M594" s="384"/>
      <c r="N594" s="1449"/>
      <c r="O594" s="1449"/>
      <c r="P594" s="1449"/>
      <c r="Q594" s="1423"/>
      <c r="R594" s="1449"/>
      <c r="S594" s="1449"/>
      <c r="T594" s="1449"/>
      <c r="U594" s="1423"/>
      <c r="V594" s="1449"/>
      <c r="W594" s="1449"/>
      <c r="X594" s="1449"/>
      <c r="Y594" s="1449"/>
      <c r="Z594" s="1449"/>
      <c r="AD594" s="1449"/>
      <c r="AF594" s="1449"/>
      <c r="AG594" s="1449"/>
      <c r="AH594" s="1449"/>
    </row>
    <row r="595" spans="1:34">
      <c r="A595" s="728">
        <v>590</v>
      </c>
      <c r="B595" s="1448" t="s">
        <v>130</v>
      </c>
      <c r="E595" s="1449">
        <f>'Allocation Report Summary 2019'!P16</f>
        <v>91457.44</v>
      </c>
      <c r="F595" s="1449"/>
      <c r="G595" s="1449"/>
      <c r="H595" s="1449"/>
      <c r="I595" s="1449"/>
      <c r="J595" s="1449"/>
      <c r="K595" s="1421" t="s">
        <v>2182</v>
      </c>
      <c r="L595" s="1449"/>
      <c r="M595" s="1531">
        <f>SUM(M589:M594)</f>
        <v>14930999.155102273</v>
      </c>
      <c r="N595" s="1449"/>
      <c r="O595" s="1449"/>
      <c r="P595" s="1449"/>
      <c r="Q595" s="1423"/>
      <c r="R595" s="1449"/>
      <c r="S595" s="1449"/>
      <c r="T595" s="1449"/>
      <c r="U595" s="1423"/>
      <c r="V595" s="1449"/>
      <c r="W595" s="1449"/>
      <c r="X595" s="1449"/>
      <c r="Y595" s="1449"/>
      <c r="Z595" s="1449"/>
      <c r="AD595" s="1449"/>
      <c r="AF595" s="1449"/>
      <c r="AG595" s="1449"/>
      <c r="AH595" s="1449"/>
    </row>
    <row r="596" spans="1:34">
      <c r="A596" s="728">
        <v>591</v>
      </c>
      <c r="B596" s="1448" t="s">
        <v>1261</v>
      </c>
      <c r="E596" s="1449">
        <f>'Allocation Report Summary 2019'!P18</f>
        <v>1001689</v>
      </c>
      <c r="F596" s="1449"/>
      <c r="G596" s="1449"/>
      <c r="H596" s="1449"/>
      <c r="I596" s="1449"/>
      <c r="J596" s="1449"/>
      <c r="K596" s="1530"/>
      <c r="L596" s="1449"/>
      <c r="M596" s="1449"/>
      <c r="N596" s="1449"/>
      <c r="O596" s="1449"/>
      <c r="P596" s="1449"/>
      <c r="Q596" s="1423"/>
      <c r="R596" s="1449"/>
      <c r="S596" s="1449"/>
      <c r="T596" s="1449"/>
      <c r="U596" s="1423"/>
      <c r="V596" s="1449"/>
      <c r="W596" s="1449"/>
      <c r="X596" s="1449"/>
      <c r="Y596" s="1449"/>
      <c r="Z596" s="1449"/>
      <c r="AD596" s="1449"/>
      <c r="AF596" s="1449"/>
      <c r="AG596" s="1449"/>
      <c r="AH596" s="1449"/>
    </row>
    <row r="597" spans="1:34">
      <c r="A597" s="728">
        <v>592</v>
      </c>
      <c r="B597" s="1448"/>
      <c r="E597" s="1435"/>
      <c r="K597" s="1530"/>
      <c r="M597" s="1532"/>
      <c r="Q597" s="1423"/>
      <c r="U597" s="1423"/>
    </row>
    <row r="598" spans="1:34">
      <c r="A598" s="728">
        <v>593</v>
      </c>
      <c r="B598" s="1448" t="s">
        <v>2787</v>
      </c>
      <c r="E598" s="1435">
        <f>SUM(E590:E596)</f>
        <v>247324989.43000004</v>
      </c>
      <c r="F598" s="1484"/>
      <c r="G598" s="1484"/>
      <c r="H598" s="1484"/>
      <c r="I598" s="1484"/>
      <c r="J598" s="1484"/>
      <c r="K598" s="1405"/>
      <c r="L598" s="1484"/>
      <c r="M598" s="1484"/>
      <c r="N598" s="1484"/>
      <c r="O598" s="1484"/>
      <c r="P598" s="1484"/>
      <c r="Q598" s="1423"/>
      <c r="R598" s="1484"/>
      <c r="S598" s="1484"/>
      <c r="T598" s="1484"/>
      <c r="U598" s="1423"/>
      <c r="V598" s="1484"/>
      <c r="W598" s="1484"/>
      <c r="X598" s="1484"/>
      <c r="Y598" s="1484"/>
      <c r="Z598" s="1484"/>
      <c r="AD598" s="1484"/>
      <c r="AF598" s="1484"/>
      <c r="AG598" s="1484"/>
      <c r="AH598" s="1484"/>
    </row>
    <row r="599" spans="1:34" ht="15.75" customHeight="1">
      <c r="A599" s="728">
        <v>594</v>
      </c>
      <c r="D599" s="1404" t="s">
        <v>2788</v>
      </c>
      <c r="E599" s="1484">
        <f>E598-'Allocation Report Summary 2019'!P20</f>
        <v>0</v>
      </c>
      <c r="K599" s="1533"/>
      <c r="M599" s="1534"/>
      <c r="Q599" s="1423"/>
      <c r="U599" s="1423"/>
    </row>
    <row r="600" spans="1:34">
      <c r="A600" s="728">
        <v>595</v>
      </c>
      <c r="F600" s="1484"/>
      <c r="G600" s="1484"/>
      <c r="H600" s="1484"/>
      <c r="I600" s="1484"/>
      <c r="J600" s="1484"/>
      <c r="K600" s="1484"/>
      <c r="L600" s="1484"/>
      <c r="M600" s="1484"/>
      <c r="N600" s="1484"/>
      <c r="O600" s="1484"/>
      <c r="P600" s="1484"/>
      <c r="Q600" s="1484"/>
      <c r="R600" s="1484"/>
      <c r="S600" s="1484"/>
      <c r="T600" s="1484"/>
      <c r="U600" s="1484"/>
      <c r="V600" s="1484"/>
      <c r="W600" s="1484"/>
      <c r="X600" s="1484"/>
      <c r="Y600" s="1484"/>
      <c r="Z600" s="1484"/>
      <c r="AD600" s="1484"/>
      <c r="AF600" s="1484"/>
      <c r="AG600" s="1484"/>
      <c r="AH600" s="1484"/>
    </row>
    <row r="601" spans="1:34">
      <c r="A601" s="728">
        <v>595</v>
      </c>
      <c r="B601" s="1448" t="s">
        <v>3270</v>
      </c>
      <c r="E601" s="1435">
        <f>1407934-1001689</f>
        <v>406245</v>
      </c>
      <c r="F601" s="1429"/>
      <c r="G601" s="1429"/>
      <c r="H601" s="1429"/>
      <c r="I601" s="1429"/>
      <c r="J601" s="1429"/>
      <c r="K601" s="1429"/>
      <c r="L601" s="1429"/>
      <c r="M601" s="1429"/>
      <c r="N601" s="1429"/>
      <c r="O601" s="1429"/>
      <c r="P601" s="1429"/>
      <c r="Q601" s="1429"/>
      <c r="R601" s="1429"/>
      <c r="S601" s="1429"/>
      <c r="T601" s="1429"/>
      <c r="U601" s="1429"/>
      <c r="V601" s="1429"/>
      <c r="W601" s="1429"/>
      <c r="X601" s="1429"/>
      <c r="Y601" s="1429"/>
      <c r="Z601" s="1429"/>
      <c r="AD601" s="1429"/>
      <c r="AF601" s="1429"/>
      <c r="AG601" s="1429"/>
      <c r="AH601" s="1429"/>
    </row>
    <row r="602" spans="1:34">
      <c r="A602" s="728">
        <v>595</v>
      </c>
      <c r="C602" s="1484"/>
      <c r="E602" s="1422"/>
    </row>
    <row r="603" spans="1:34">
      <c r="A603" s="728">
        <v>595</v>
      </c>
      <c r="E603" s="1423"/>
    </row>
    <row r="604" spans="1:34">
      <c r="E604" s="1422"/>
    </row>
    <row r="605" spans="1:34">
      <c r="E605" s="1422"/>
    </row>
  </sheetData>
  <mergeCells count="8">
    <mergeCell ref="AE3:AG3"/>
    <mergeCell ref="AI3:AK3"/>
    <mergeCell ref="G3:I3"/>
    <mergeCell ref="K3:M3"/>
    <mergeCell ref="O3:Q3"/>
    <mergeCell ref="S3:U3"/>
    <mergeCell ref="W3:Y3"/>
    <mergeCell ref="AA3:AC3"/>
  </mergeCells>
  <dataValidations disablePrompts="1" count="1">
    <dataValidation type="list" allowBlank="1" showInputMessage="1" showErrorMessage="1" sqref="AM3" xr:uid="{5064D469-1DD5-4DDD-B5B6-AC2B24609DB3}">
      <formula1>"Yes, No"</formula1>
    </dataValidation>
  </dataValidations>
  <printOptions horizontalCentered="1"/>
  <pageMargins left="0.5" right="0.5" top="1" bottom="0.75" header="0.5" footer="0.3"/>
  <pageSetup scale="23" fitToHeight="0" orientation="landscape" useFirstPageNumber="1" horizontalDpi="1200" verticalDpi="1200" r:id="rId1"/>
  <headerFooter scaleWithDoc="0">
    <oddHeader>&amp;C&amp;10Cascade Natural Gas Corporation
SUMMARY OF REVENUES BY RATE SCHEDULE&amp;R&amp;9Docket No. UG-200568
Exhibit No. ___ (IDM-7)
Page &amp;P of 5</oddHead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43F2C-9571-40BC-951D-D41D348928D9}">
  <sheetPr codeName="Sheet82">
    <tabColor theme="5"/>
  </sheetPr>
  <dimension ref="A1:J42"/>
  <sheetViews>
    <sheetView topLeftCell="A9" zoomScale="80" zoomScaleNormal="80" workbookViewId="0">
      <selection activeCell="F27" sqref="F27"/>
    </sheetView>
  </sheetViews>
  <sheetFormatPr defaultColWidth="8.88671875" defaultRowHeight="14.4"/>
  <cols>
    <col min="1" max="1" width="6" style="830" customWidth="1"/>
    <col min="2" max="2" width="19.109375" style="830" bestFit="1" customWidth="1"/>
    <col min="3" max="3" width="12.6640625" style="830" customWidth="1"/>
    <col min="4" max="5" width="18.6640625" style="830" customWidth="1"/>
    <col min="6" max="7" width="14.6640625" style="830" customWidth="1"/>
    <col min="8" max="8" width="6" style="830" customWidth="1"/>
    <col min="9" max="9" width="12.6640625" style="830" customWidth="1"/>
    <col min="10" max="10" width="10.88671875" style="830" customWidth="1"/>
    <col min="11" max="11" width="8.88671875" style="830"/>
    <col min="12" max="12" width="10.5546875" style="830" bestFit="1" customWidth="1"/>
    <col min="13" max="16384" width="8.88671875" style="830"/>
  </cols>
  <sheetData>
    <row r="1" spans="1:10">
      <c r="A1" s="849" t="str">
        <f>'Exh 17, Class Revenue'!A1</f>
        <v>Cascade Natural Gas Corporation</v>
      </c>
      <c r="H1" s="1331" t="s">
        <v>2500</v>
      </c>
      <c r="J1" s="830" t="s">
        <v>49</v>
      </c>
    </row>
    <row r="2" spans="1:10">
      <c r="A2" s="849" t="str">
        <f>'Exh 17, Class Revenue'!A2</f>
        <v>Washington Jurisdiction</v>
      </c>
      <c r="H2" s="1331" t="s">
        <v>2454</v>
      </c>
    </row>
    <row r="3" spans="1:10">
      <c r="A3" s="846" t="s">
        <v>2455</v>
      </c>
      <c r="H3" s="1332" t="s">
        <v>2501</v>
      </c>
    </row>
    <row r="4" spans="1:10">
      <c r="A4" s="846"/>
    </row>
    <row r="5" spans="1:10">
      <c r="A5" s="846"/>
    </row>
    <row r="6" spans="1:10">
      <c r="A6" s="851" t="str">
        <f>'Exh 18, Class Rates'!C8</f>
        <v>Residential - 503</v>
      </c>
    </row>
    <row r="8" spans="1:10">
      <c r="A8" s="852" t="s">
        <v>2502</v>
      </c>
    </row>
    <row r="9" spans="1:10" ht="16.2">
      <c r="A9" s="853" t="s">
        <v>2503</v>
      </c>
      <c r="B9" s="853" t="s">
        <v>97</v>
      </c>
      <c r="C9" s="853" t="s">
        <v>98</v>
      </c>
      <c r="D9" s="853" t="s">
        <v>2504</v>
      </c>
      <c r="E9" s="853" t="s">
        <v>1098</v>
      </c>
      <c r="F9" s="853" t="s">
        <v>2505</v>
      </c>
      <c r="G9" s="853" t="s">
        <v>1100</v>
      </c>
    </row>
    <row r="10" spans="1:10">
      <c r="A10" s="852"/>
      <c r="B10" s="854"/>
      <c r="C10" s="1602"/>
      <c r="D10" s="855" t="s">
        <v>2506</v>
      </c>
      <c r="E10" s="856" t="s">
        <v>2314</v>
      </c>
    </row>
    <row r="11" spans="1:10" ht="16.2">
      <c r="A11" s="852"/>
      <c r="B11" s="857"/>
      <c r="D11" s="853" t="s">
        <v>2324</v>
      </c>
      <c r="E11" s="858" t="s">
        <v>2324</v>
      </c>
    </row>
    <row r="12" spans="1:10">
      <c r="A12" s="852">
        <f>MAX(A1:A11)+1</f>
        <v>1</v>
      </c>
      <c r="B12" s="857" t="s">
        <v>2462</v>
      </c>
      <c r="D12" s="859">
        <f>'Exh 18, Class Rates'!E9</f>
        <v>5</v>
      </c>
      <c r="E12" s="872">
        <f>'Exh 18, Class Rates'!H9</f>
        <v>5</v>
      </c>
    </row>
    <row r="13" spans="1:10">
      <c r="A13" s="852"/>
      <c r="B13" s="857"/>
      <c r="D13" s="859"/>
      <c r="E13" s="872"/>
    </row>
    <row r="14" spans="1:10">
      <c r="A14" s="852">
        <f>MAX(A3:A13)+1</f>
        <v>2</v>
      </c>
      <c r="B14" s="857" t="s">
        <v>2463</v>
      </c>
      <c r="D14" s="1615">
        <f>'Exh 18, Class Rates'!E10</f>
        <v>0.31073000000000001</v>
      </c>
      <c r="E14" s="1241">
        <f>'Exh 18, Class Rates'!H10</f>
        <v>0.30926988299236752</v>
      </c>
    </row>
    <row r="15" spans="1:10">
      <c r="A15" s="852"/>
      <c r="B15" s="857"/>
      <c r="D15" s="859"/>
      <c r="E15" s="835"/>
    </row>
    <row r="16" spans="1:10">
      <c r="A16" s="852">
        <f>MAX(A7:A15)+1</f>
        <v>3</v>
      </c>
      <c r="B16" s="860" t="s">
        <v>2507</v>
      </c>
      <c r="C16" s="1603"/>
      <c r="D16" s="869">
        <f>'Exh 20, Bill Impacts'!D15</f>
        <v>0.57362999999999997</v>
      </c>
      <c r="E16" s="866">
        <f>D16</f>
        <v>0.57362999999999997</v>
      </c>
    </row>
    <row r="17" spans="1:10">
      <c r="A17" s="852"/>
      <c r="D17" s="838"/>
      <c r="E17" s="838"/>
    </row>
    <row r="18" spans="1:10">
      <c r="A18" s="852"/>
    </row>
    <row r="19" spans="1:10" ht="16.2">
      <c r="A19" s="852"/>
      <c r="B19" s="852"/>
      <c r="C19" s="852" t="s">
        <v>1030</v>
      </c>
      <c r="D19" s="852" t="s">
        <v>2508</v>
      </c>
      <c r="E19" s="852" t="s">
        <v>2508</v>
      </c>
      <c r="F19" s="861" t="s">
        <v>2509</v>
      </c>
      <c r="G19" s="861"/>
    </row>
    <row r="20" spans="1:10">
      <c r="A20" s="852"/>
      <c r="B20" s="852"/>
      <c r="C20" s="852" t="s">
        <v>2510</v>
      </c>
      <c r="D20" s="852" t="s">
        <v>2506</v>
      </c>
      <c r="E20" s="852" t="s">
        <v>2314</v>
      </c>
      <c r="F20" s="852"/>
      <c r="G20" s="852"/>
    </row>
    <row r="21" spans="1:10" ht="16.2">
      <c r="A21" s="852"/>
      <c r="B21" s="853" t="s">
        <v>2511</v>
      </c>
      <c r="C21" s="853" t="s">
        <v>2512</v>
      </c>
      <c r="D21" s="853" t="s">
        <v>2324</v>
      </c>
      <c r="E21" s="853" t="s">
        <v>2324</v>
      </c>
      <c r="F21" s="853" t="s">
        <v>729</v>
      </c>
      <c r="G21" s="853" t="s">
        <v>2513</v>
      </c>
      <c r="I21" s="849"/>
    </row>
    <row r="22" spans="1:10">
      <c r="A22" s="852"/>
      <c r="I22" s="830" t="s">
        <v>2514</v>
      </c>
      <c r="J22" s="830" t="s">
        <v>2515</v>
      </c>
    </row>
    <row r="23" spans="1:10">
      <c r="A23" s="852">
        <f>MAX(A13:A22)+1</f>
        <v>4</v>
      </c>
      <c r="B23" s="890" t="s">
        <v>2516</v>
      </c>
      <c r="C23" s="1604">
        <f>ROUND(I23/$J$23,0)</f>
        <v>109</v>
      </c>
      <c r="D23" s="898">
        <f>D$12+(D$14+D$16)*$C23</f>
        <v>101.39524</v>
      </c>
      <c r="E23" s="898">
        <f>E$12+(E$14+E$16)*$C23</f>
        <v>101.23608724616807</v>
      </c>
      <c r="F23" s="898">
        <f>E23-D23</f>
        <v>-0.15915275383193261</v>
      </c>
      <c r="G23" s="836">
        <f>F23/D23</f>
        <v>-1.5696274680343241E-3</v>
      </c>
      <c r="I23" s="1605">
        <f>'Weather Normalization'!E4</f>
        <v>21127127.921285022</v>
      </c>
      <c r="J23" s="1606">
        <f>'Exh 2, Proof of Revenue'!K7/12</f>
        <v>193477.59333333335</v>
      </c>
    </row>
    <row r="24" spans="1:10">
      <c r="A24" s="852">
        <f>MAX(A14:A23)+1</f>
        <v>5</v>
      </c>
      <c r="B24" s="890" t="s">
        <v>2517</v>
      </c>
      <c r="C24" s="1604">
        <f t="shared" ref="C24:C34" si="0">ROUND(I24/$J$23,0)</f>
        <v>88</v>
      </c>
      <c r="D24" s="898">
        <f t="shared" ref="D24:E34" si="1">D$12+(D$14+D$16)*$C24</f>
        <v>82.823679999999996</v>
      </c>
      <c r="E24" s="898">
        <f t="shared" si="1"/>
        <v>82.695189703328339</v>
      </c>
      <c r="F24" s="898">
        <f t="shared" ref="F24:F34" si="2">E24-D24</f>
        <v>-0.12849029667165723</v>
      </c>
      <c r="G24" s="836">
        <f t="shared" ref="G24:G34" si="3">F24/D24</f>
        <v>-1.5513714999340436E-3</v>
      </c>
      <c r="I24" s="1607">
        <f>'Weather Normalization'!E5</f>
        <v>17020957.494531143</v>
      </c>
      <c r="J24" s="1608"/>
    </row>
    <row r="25" spans="1:10">
      <c r="A25" s="852">
        <f>MAX(A15:A24)+1</f>
        <v>6</v>
      </c>
      <c r="B25" s="890" t="s">
        <v>2518</v>
      </c>
      <c r="C25" s="1604">
        <f t="shared" si="0"/>
        <v>74</v>
      </c>
      <c r="D25" s="898">
        <f t="shared" si="1"/>
        <v>70.442639999999997</v>
      </c>
      <c r="E25" s="898">
        <f t="shared" si="1"/>
        <v>70.3345913414352</v>
      </c>
      <c r="F25" s="898">
        <f t="shared" si="2"/>
        <v>-0.10804865856479751</v>
      </c>
      <c r="G25" s="836">
        <f t="shared" si="3"/>
        <v>-1.5338530549791648E-3</v>
      </c>
      <c r="I25" s="1607">
        <f>'Weather Normalization'!E6</f>
        <v>14382332.729983674</v>
      </c>
      <c r="J25" s="1608"/>
    </row>
    <row r="26" spans="1:10">
      <c r="A26" s="852">
        <f>MAX(A16:A25)+1</f>
        <v>7</v>
      </c>
      <c r="B26" s="890" t="s">
        <v>2519</v>
      </c>
      <c r="C26" s="1604">
        <f t="shared" si="0"/>
        <v>49</v>
      </c>
      <c r="D26" s="898">
        <f t="shared" si="1"/>
        <v>48.333640000000003</v>
      </c>
      <c r="E26" s="898">
        <f t="shared" si="1"/>
        <v>48.262094266626008</v>
      </c>
      <c r="F26" s="898">
        <f t="shared" si="2"/>
        <v>-7.1545733373994835E-2</v>
      </c>
      <c r="G26" s="836">
        <f t="shared" si="3"/>
        <v>-1.480247160652391E-3</v>
      </c>
      <c r="I26" s="1607">
        <f>'Weather Normalization'!E7</f>
        <v>9454438.0865489114</v>
      </c>
      <c r="J26" s="1608"/>
    </row>
    <row r="27" spans="1:10">
      <c r="A27" s="852">
        <f t="shared" ref="A27:A35" si="4">MAX(A18:A26)+1</f>
        <v>8</v>
      </c>
      <c r="B27" s="890" t="s">
        <v>2520</v>
      </c>
      <c r="C27" s="1604">
        <f t="shared" si="0"/>
        <v>31</v>
      </c>
      <c r="D27" s="898">
        <f t="shared" si="1"/>
        <v>32.41516</v>
      </c>
      <c r="E27" s="898">
        <f t="shared" si="1"/>
        <v>32.369896372763392</v>
      </c>
      <c r="F27" s="898">
        <f t="shared" si="2"/>
        <v>-4.5263627236607817E-2</v>
      </c>
      <c r="G27" s="836">
        <f t="shared" si="3"/>
        <v>-1.39637216773287E-3</v>
      </c>
      <c r="I27" s="1607">
        <f>'Weather Normalization'!E8</f>
        <v>6001953.0208063405</v>
      </c>
      <c r="J27" s="1608"/>
    </row>
    <row r="28" spans="1:10">
      <c r="A28" s="852">
        <f t="shared" si="4"/>
        <v>9</v>
      </c>
      <c r="B28" s="890" t="s">
        <v>2521</v>
      </c>
      <c r="C28" s="1604">
        <f t="shared" si="0"/>
        <v>19</v>
      </c>
      <c r="D28" s="898">
        <f t="shared" si="1"/>
        <v>21.80284</v>
      </c>
      <c r="E28" s="898">
        <f t="shared" si="1"/>
        <v>21.775097776854984</v>
      </c>
      <c r="F28" s="898">
        <f t="shared" si="2"/>
        <v>-2.7742223145015288E-2</v>
      </c>
      <c r="G28" s="836">
        <f t="shared" si="3"/>
        <v>-1.2724132794175111E-3</v>
      </c>
      <c r="I28" s="1607">
        <f>'Weather Normalization'!E9</f>
        <v>3673706.3233785499</v>
      </c>
      <c r="J28" s="1608"/>
    </row>
    <row r="29" spans="1:10">
      <c r="A29" s="852">
        <f t="shared" si="4"/>
        <v>10</v>
      </c>
      <c r="B29" s="890" t="s">
        <v>2522</v>
      </c>
      <c r="C29" s="1604">
        <f t="shared" si="0"/>
        <v>16</v>
      </c>
      <c r="D29" s="898">
        <f t="shared" si="1"/>
        <v>19.149760000000001</v>
      </c>
      <c r="E29" s="898">
        <f t="shared" si="1"/>
        <v>19.126398127877881</v>
      </c>
      <c r="F29" s="898">
        <f t="shared" si="2"/>
        <v>-2.336187212211982E-2</v>
      </c>
      <c r="G29" s="836">
        <f t="shared" si="3"/>
        <v>-1.2199563922534705E-3</v>
      </c>
      <c r="I29" s="1607">
        <f>'Weather Normalization'!E10</f>
        <v>3078408.4761805134</v>
      </c>
      <c r="J29" s="1608"/>
    </row>
    <row r="30" spans="1:10">
      <c r="A30" s="852">
        <f t="shared" si="4"/>
        <v>11</v>
      </c>
      <c r="B30" s="890" t="s">
        <v>2523</v>
      </c>
      <c r="C30" s="1604">
        <f t="shared" si="0"/>
        <v>16</v>
      </c>
      <c r="D30" s="898">
        <f t="shared" si="1"/>
        <v>19.149760000000001</v>
      </c>
      <c r="E30" s="898">
        <f t="shared" si="1"/>
        <v>19.126398127877881</v>
      </c>
      <c r="F30" s="898">
        <f t="shared" si="2"/>
        <v>-2.336187212211982E-2</v>
      </c>
      <c r="G30" s="836">
        <f t="shared" si="3"/>
        <v>-1.2199563922534705E-3</v>
      </c>
      <c r="I30" s="1607">
        <f>'Weather Normalization'!E11</f>
        <v>3078938.801196483</v>
      </c>
      <c r="J30" s="1608"/>
    </row>
    <row r="31" spans="1:10">
      <c r="A31" s="852">
        <f t="shared" si="4"/>
        <v>12</v>
      </c>
      <c r="B31" s="890" t="s">
        <v>2524</v>
      </c>
      <c r="C31" s="1604">
        <f t="shared" si="0"/>
        <v>20</v>
      </c>
      <c r="D31" s="898">
        <f t="shared" si="1"/>
        <v>22.687200000000001</v>
      </c>
      <c r="E31" s="898">
        <f t="shared" si="1"/>
        <v>22.65799765984735</v>
      </c>
      <c r="F31" s="898">
        <f t="shared" si="2"/>
        <v>-2.9202340152650663E-2</v>
      </c>
      <c r="G31" s="836">
        <f t="shared" si="3"/>
        <v>-1.2871725092850005E-3</v>
      </c>
      <c r="I31" s="1607">
        <f>'Weather Normalization'!E12</f>
        <v>3922180.1070021633</v>
      </c>
      <c r="J31" s="1608"/>
    </row>
    <row r="32" spans="1:10">
      <c r="A32" s="852">
        <f t="shared" si="4"/>
        <v>13</v>
      </c>
      <c r="B32" s="890" t="s">
        <v>2525</v>
      </c>
      <c r="C32" s="1604">
        <f t="shared" si="0"/>
        <v>47</v>
      </c>
      <c r="D32" s="898">
        <f t="shared" si="1"/>
        <v>46.564920000000001</v>
      </c>
      <c r="E32" s="898">
        <f t="shared" si="1"/>
        <v>46.496294500641277</v>
      </c>
      <c r="F32" s="898">
        <f t="shared" si="2"/>
        <v>-6.8625499358724085E-2</v>
      </c>
      <c r="G32" s="836">
        <f t="shared" si="3"/>
        <v>-1.4737596319015277E-3</v>
      </c>
      <c r="I32" s="1607">
        <f>'Weather Normalization'!E13</f>
        <v>9041686.1170839723</v>
      </c>
      <c r="J32" s="1608"/>
    </row>
    <row r="33" spans="1:10">
      <c r="A33" s="852">
        <f t="shared" si="4"/>
        <v>14</v>
      </c>
      <c r="B33" s="890" t="s">
        <v>2526</v>
      </c>
      <c r="C33" s="1604">
        <f t="shared" si="0"/>
        <v>88</v>
      </c>
      <c r="D33" s="898">
        <f t="shared" si="1"/>
        <v>82.823679999999996</v>
      </c>
      <c r="E33" s="898">
        <f t="shared" si="1"/>
        <v>82.695189703328339</v>
      </c>
      <c r="F33" s="898">
        <f t="shared" si="2"/>
        <v>-0.12849029667165723</v>
      </c>
      <c r="G33" s="836">
        <f t="shared" si="3"/>
        <v>-1.5513714999340436E-3</v>
      </c>
      <c r="I33" s="1607">
        <f>'Weather Normalization'!E14</f>
        <v>16939826.735064078</v>
      </c>
      <c r="J33" s="1608"/>
    </row>
    <row r="34" spans="1:10" ht="16.2">
      <c r="A34" s="852">
        <f t="shared" si="4"/>
        <v>15</v>
      </c>
      <c r="B34" s="890" t="s">
        <v>2527</v>
      </c>
      <c r="C34" s="1609">
        <f t="shared" si="0"/>
        <v>118</v>
      </c>
      <c r="D34" s="1610">
        <f t="shared" si="1"/>
        <v>109.35448000000001</v>
      </c>
      <c r="E34" s="1610">
        <f t="shared" si="1"/>
        <v>109.18218619309937</v>
      </c>
      <c r="F34" s="1610">
        <f t="shared" si="2"/>
        <v>-0.17229380690064033</v>
      </c>
      <c r="G34" s="836">
        <f t="shared" si="3"/>
        <v>-1.5755532548885087E-3</v>
      </c>
      <c r="I34" s="1611">
        <f>'Weather Normalization'!E15</f>
        <v>22806992.536832273</v>
      </c>
      <c r="J34" s="1612"/>
    </row>
    <row r="35" spans="1:10" ht="16.2">
      <c r="A35" s="852">
        <f t="shared" si="4"/>
        <v>16</v>
      </c>
      <c r="B35" s="830" t="s">
        <v>51</v>
      </c>
      <c r="C35" s="1613">
        <f>SUM(C23:C34)</f>
        <v>675</v>
      </c>
      <c r="D35" s="1614">
        <f>SUM(D23:D34)</f>
        <v>656.94299999999998</v>
      </c>
      <c r="E35" s="1614">
        <f>SUM(E23:E34)</f>
        <v>655.9574210198482</v>
      </c>
      <c r="F35" s="1614">
        <f>SUM(F23:F34)</f>
        <v>-0.98557898015191725</v>
      </c>
      <c r="G35" s="836"/>
      <c r="I35" s="834">
        <f>'Weather Normalization'!E16</f>
        <v>130528548.34989311</v>
      </c>
    </row>
    <row r="36" spans="1:10">
      <c r="A36" s="852"/>
      <c r="I36" s="834">
        <f>ROUND(I35/J23, 0)-C35</f>
        <v>0</v>
      </c>
    </row>
    <row r="37" spans="1:10">
      <c r="A37" s="852">
        <f>MAX(A28:A36)+1</f>
        <v>17</v>
      </c>
      <c r="B37" s="830" t="s">
        <v>2528</v>
      </c>
      <c r="C37" s="1200">
        <f>C35/12</f>
        <v>56.25</v>
      </c>
      <c r="D37" s="893">
        <f>D35/12</f>
        <v>54.745249999999999</v>
      </c>
      <c r="E37" s="893">
        <f>E35/12</f>
        <v>54.663118418320686</v>
      </c>
      <c r="F37" s="893">
        <f>F35/12</f>
        <v>-8.2131581679326437E-2</v>
      </c>
      <c r="G37" s="836">
        <f>F37/D37</f>
        <v>-1.5002503720291064E-3</v>
      </c>
    </row>
    <row r="39" spans="1:10">
      <c r="D39" s="893"/>
    </row>
    <row r="40" spans="1:10">
      <c r="D40" s="893"/>
    </row>
    <row r="41" spans="1:10">
      <c r="D41" s="899"/>
      <c r="E41" s="893"/>
    </row>
    <row r="42" spans="1:10">
      <c r="D42" s="834"/>
      <c r="E42" s="893"/>
    </row>
  </sheetData>
  <printOptions horizontalCentered="1"/>
  <pageMargins left="0.7" right="0.7" top="0.5" bottom="0.75" header="0.3" footer="0.3"/>
  <pageSetup scale="75"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0897D-8CB7-44A7-954A-CC50512749E5}">
  <sheetPr codeName="Sheet83">
    <tabColor theme="5"/>
  </sheetPr>
  <dimension ref="A1:N417"/>
  <sheetViews>
    <sheetView zoomScale="80" zoomScaleNormal="80" workbookViewId="0">
      <selection activeCell="F27" sqref="F27"/>
    </sheetView>
  </sheetViews>
  <sheetFormatPr defaultColWidth="9.109375" defaultRowHeight="14.4" outlineLevelRow="1"/>
  <cols>
    <col min="1" max="1" width="4.5546875" style="830" customWidth="1"/>
    <col min="2" max="2" width="6.6640625" style="830" customWidth="1"/>
    <col min="3" max="3" width="22.5546875" style="830" customWidth="1"/>
    <col min="4" max="7" width="20.6640625" style="830" customWidth="1"/>
    <col min="8" max="8" width="7.44140625" style="830" customWidth="1"/>
    <col min="9" max="9" width="9.109375" style="830" customWidth="1"/>
    <col min="10" max="10" width="9.109375" style="848"/>
    <col min="11" max="12" width="9.109375" style="830"/>
    <col min="13" max="13" width="10.5546875" style="830" bestFit="1" customWidth="1"/>
    <col min="14" max="16384" width="9.109375" style="830"/>
  </cols>
  <sheetData>
    <row r="1" spans="1:10">
      <c r="A1" s="849" t="str">
        <f>'Exh 17, Class Revenue'!A1</f>
        <v>Cascade Natural Gas Corporation</v>
      </c>
      <c r="H1" s="847" t="s">
        <v>2529</v>
      </c>
      <c r="J1" s="848" t="s">
        <v>49</v>
      </c>
    </row>
    <row r="2" spans="1:10">
      <c r="A2" s="849" t="str">
        <f>'Exh 17, Class Revenue'!A2</f>
        <v>Washington Jurisdiction</v>
      </c>
      <c r="H2" s="847" t="s">
        <v>2454</v>
      </c>
    </row>
    <row r="3" spans="1:10">
      <c r="A3" s="849" t="s">
        <v>2455</v>
      </c>
      <c r="H3" s="850" t="s">
        <v>2530</v>
      </c>
    </row>
    <row r="4" spans="1:10">
      <c r="A4" s="849"/>
    </row>
    <row r="5" spans="1:10">
      <c r="B5" s="851" t="str">
        <f>'Exh 18, Class Rates'!C8</f>
        <v>Residential - 503</v>
      </c>
    </row>
    <row r="7" spans="1:10">
      <c r="B7" s="852" t="s">
        <v>2502</v>
      </c>
    </row>
    <row r="8" spans="1:10" ht="16.2">
      <c r="B8" s="853" t="s">
        <v>2503</v>
      </c>
      <c r="C8" s="853" t="s">
        <v>97</v>
      </c>
      <c r="D8" s="853" t="s">
        <v>98</v>
      </c>
      <c r="E8" s="853" t="s">
        <v>2504</v>
      </c>
      <c r="F8" s="853" t="s">
        <v>1098</v>
      </c>
      <c r="G8" s="853" t="s">
        <v>2505</v>
      </c>
    </row>
    <row r="9" spans="1:10">
      <c r="B9" s="852"/>
      <c r="C9" s="854"/>
      <c r="D9" s="855" t="s">
        <v>2506</v>
      </c>
      <c r="E9" s="856" t="s">
        <v>2314</v>
      </c>
    </row>
    <row r="10" spans="1:10" ht="16.2">
      <c r="B10" s="852"/>
      <c r="C10" s="857"/>
      <c r="D10" s="853" t="s">
        <v>2324</v>
      </c>
      <c r="E10" s="858" t="s">
        <v>2324</v>
      </c>
    </row>
    <row r="11" spans="1:10">
      <c r="B11" s="852">
        <f>MAX(B1:B10)+1</f>
        <v>1</v>
      </c>
      <c r="C11" s="857" t="s">
        <v>2462</v>
      </c>
      <c r="D11" s="859">
        <f>'Exh 18, Class Rates'!E9</f>
        <v>5</v>
      </c>
      <c r="E11" s="872">
        <f>'Exh 18, Class Rates'!H9</f>
        <v>5</v>
      </c>
    </row>
    <row r="12" spans="1:10">
      <c r="B12" s="852"/>
      <c r="C12" s="857"/>
      <c r="D12" s="859"/>
      <c r="E12" s="872"/>
    </row>
    <row r="13" spans="1:10">
      <c r="B13" s="852">
        <f>MAX(B3:B12)+1</f>
        <v>2</v>
      </c>
      <c r="C13" s="857" t="s">
        <v>2463</v>
      </c>
      <c r="D13" s="838">
        <f>'Exh 18, Class Rates'!E10</f>
        <v>0.31073000000000001</v>
      </c>
      <c r="E13" s="1241">
        <f>'Exh 18, Class Rates'!H10</f>
        <v>0.30926988299236752</v>
      </c>
    </row>
    <row r="14" spans="1:10">
      <c r="B14" s="852"/>
      <c r="C14" s="857"/>
      <c r="D14" s="859"/>
      <c r="E14" s="835"/>
    </row>
    <row r="15" spans="1:10">
      <c r="B15" s="852">
        <f>MAX(B6:B14)+1</f>
        <v>3</v>
      </c>
      <c r="C15" s="860" t="s">
        <v>2507</v>
      </c>
      <c r="D15" s="865">
        <v>0.57362999999999997</v>
      </c>
      <c r="E15" s="1245">
        <f>D15</f>
        <v>0.57362999999999997</v>
      </c>
    </row>
    <row r="16" spans="1:10">
      <c r="B16" s="852"/>
    </row>
    <row r="17" spans="2:7">
      <c r="B17" s="852"/>
      <c r="C17" s="852"/>
      <c r="D17" s="852"/>
      <c r="E17" s="852"/>
    </row>
    <row r="18" spans="2:7" ht="16.2">
      <c r="B18" s="852"/>
      <c r="C18" s="852" t="s">
        <v>2531</v>
      </c>
      <c r="D18" s="852" t="s">
        <v>2508</v>
      </c>
      <c r="E18" s="852" t="s">
        <v>2508</v>
      </c>
      <c r="F18" s="861" t="s">
        <v>2532</v>
      </c>
      <c r="G18" s="861"/>
    </row>
    <row r="19" spans="2:7" ht="16.2">
      <c r="B19" s="852"/>
      <c r="C19" s="853" t="s">
        <v>2533</v>
      </c>
      <c r="D19" s="853" t="s">
        <v>2534</v>
      </c>
      <c r="E19" s="853" t="s">
        <v>2477</v>
      </c>
      <c r="F19" s="853" t="s">
        <v>729</v>
      </c>
      <c r="G19" s="853" t="s">
        <v>2513</v>
      </c>
    </row>
    <row r="20" spans="2:7">
      <c r="B20" s="852"/>
      <c r="D20" s="852"/>
      <c r="E20" s="852"/>
      <c r="F20" s="852"/>
      <c r="G20" s="852"/>
    </row>
    <row r="21" spans="2:7">
      <c r="B21" s="852">
        <f t="shared" ref="B21:B53" si="0">MAX(B12:B20)+1</f>
        <v>4</v>
      </c>
      <c r="C21" s="852">
        <v>0</v>
      </c>
      <c r="D21" s="862">
        <f>D$11+(D$13+D$15)*$C21</f>
        <v>5</v>
      </c>
      <c r="E21" s="862">
        <f>E$11+(E$13+E$15)*$C21</f>
        <v>5</v>
      </c>
      <c r="F21" s="862">
        <f>E21-D21</f>
        <v>0</v>
      </c>
      <c r="G21" s="863">
        <f>F21/D21</f>
        <v>0</v>
      </c>
    </row>
    <row r="22" spans="2:7">
      <c r="B22" s="852"/>
      <c r="C22" s="852"/>
      <c r="D22" s="862"/>
      <c r="E22" s="862"/>
      <c r="F22" s="862"/>
      <c r="G22" s="863"/>
    </row>
    <row r="23" spans="2:7">
      <c r="B23" s="852">
        <f t="shared" si="0"/>
        <v>5</v>
      </c>
      <c r="C23" s="852">
        <v>25</v>
      </c>
      <c r="D23" s="862">
        <f>D$11+(D$13+D$15)*$C23</f>
        <v>27.109000000000002</v>
      </c>
      <c r="E23" s="862">
        <f>E$11+(E$13+E$15)*$C23</f>
        <v>27.072497074809188</v>
      </c>
      <c r="F23" s="862">
        <f>E23-D23</f>
        <v>-3.6502925190813329E-2</v>
      </c>
      <c r="G23" s="863">
        <f>F23/D23</f>
        <v>-1.3465242240884329E-3</v>
      </c>
    </row>
    <row r="24" spans="2:7">
      <c r="B24" s="852"/>
      <c r="C24" s="852"/>
      <c r="D24" s="862"/>
      <c r="E24" s="862"/>
      <c r="F24" s="862"/>
      <c r="G24" s="863"/>
    </row>
    <row r="25" spans="2:7">
      <c r="B25" s="852">
        <f t="shared" si="0"/>
        <v>6</v>
      </c>
      <c r="C25" s="852">
        <v>30</v>
      </c>
      <c r="D25" s="862">
        <f>D$11+(D$13+D$15)*$C25</f>
        <v>31.530799999999999</v>
      </c>
      <c r="E25" s="862">
        <f t="shared" ref="E25:E53" si="1">E$11+(E$13+E$15)*$C25</f>
        <v>31.486996489771027</v>
      </c>
      <c r="F25" s="862">
        <f>E25-D25</f>
        <v>-4.3803510228972442E-2</v>
      </c>
      <c r="G25" s="863">
        <f>F25/D25</f>
        <v>-1.3892292688093052E-3</v>
      </c>
    </row>
    <row r="26" spans="2:7">
      <c r="B26" s="852">
        <f t="shared" si="0"/>
        <v>7</v>
      </c>
      <c r="C26" s="852">
        <v>35</v>
      </c>
      <c r="D26" s="862">
        <f>D$11+(D$13+D$15)*$C26</f>
        <v>35.952600000000004</v>
      </c>
      <c r="E26" s="862">
        <f t="shared" si="1"/>
        <v>35.901495904732869</v>
      </c>
      <c r="F26" s="862">
        <f>E26-D26</f>
        <v>-5.1104095267135108E-2</v>
      </c>
      <c r="G26" s="863">
        <f>F26/D26</f>
        <v>-1.4214297510370627E-3</v>
      </c>
    </row>
    <row r="27" spans="2:7">
      <c r="B27" s="852">
        <f t="shared" si="0"/>
        <v>8</v>
      </c>
      <c r="C27" s="852">
        <v>40</v>
      </c>
      <c r="D27" s="862">
        <f>D$11+(D$13+D$15)*$C27</f>
        <v>40.374400000000001</v>
      </c>
      <c r="E27" s="862">
        <f t="shared" si="1"/>
        <v>40.3159953196947</v>
      </c>
      <c r="F27" s="862">
        <f>E27-D27</f>
        <v>-5.8404680305301326E-2</v>
      </c>
      <c r="G27" s="863">
        <f>F27/D27</f>
        <v>-1.4465770464775036E-3</v>
      </c>
    </row>
    <row r="28" spans="2:7">
      <c r="B28" s="852">
        <f t="shared" si="0"/>
        <v>9</v>
      </c>
      <c r="C28" s="852">
        <v>45</v>
      </c>
      <c r="D28" s="862">
        <f>D$11+(D$13+D$15)*$C28</f>
        <v>44.796199999999999</v>
      </c>
      <c r="E28" s="862">
        <f t="shared" si="1"/>
        <v>44.730494734656538</v>
      </c>
      <c r="F28" s="862">
        <f>E28-D28</f>
        <v>-6.5705265343460439E-2</v>
      </c>
      <c r="G28" s="863">
        <f>F28/D28</f>
        <v>-1.4667597997924029E-3</v>
      </c>
    </row>
    <row r="29" spans="2:7">
      <c r="B29" s="852">
        <f t="shared" si="0"/>
        <v>10</v>
      </c>
      <c r="C29" s="852">
        <v>50</v>
      </c>
      <c r="D29" s="862">
        <f>D$11+(D$13+D$15)*$C29</f>
        <v>49.218000000000004</v>
      </c>
      <c r="E29" s="862">
        <f t="shared" si="1"/>
        <v>49.144994149618377</v>
      </c>
      <c r="F29" s="862">
        <f>E29-D29</f>
        <v>-7.3005850381626658E-2</v>
      </c>
      <c r="G29" s="863">
        <f>F29/D29</f>
        <v>-1.4833160709827025E-3</v>
      </c>
    </row>
    <row r="30" spans="2:7">
      <c r="B30" s="852"/>
      <c r="C30" s="852"/>
      <c r="D30" s="862"/>
      <c r="E30" s="862"/>
      <c r="F30" s="862"/>
      <c r="G30" s="863"/>
    </row>
    <row r="31" spans="2:7">
      <c r="B31" s="852">
        <f t="shared" si="0"/>
        <v>11</v>
      </c>
      <c r="C31" s="852">
        <v>60</v>
      </c>
      <c r="D31" s="862">
        <f>D$11+(D$13+D$15)*$C31</f>
        <v>58.061599999999999</v>
      </c>
      <c r="E31" s="862">
        <f t="shared" si="1"/>
        <v>57.973992979542054</v>
      </c>
      <c r="F31" s="862">
        <f>E31-D31</f>
        <v>-8.7607020457944884E-2</v>
      </c>
      <c r="G31" s="863">
        <f>F31/D31</f>
        <v>-1.5088633530241139E-3</v>
      </c>
    </row>
    <row r="32" spans="2:7">
      <c r="B32" s="852">
        <f t="shared" si="0"/>
        <v>12</v>
      </c>
      <c r="C32" s="852">
        <v>70</v>
      </c>
      <c r="D32" s="862">
        <f>D$11+(D$13+D$15)*$C32</f>
        <v>66.905200000000008</v>
      </c>
      <c r="E32" s="862">
        <f t="shared" si="1"/>
        <v>66.802991809465738</v>
      </c>
      <c r="F32" s="862">
        <f>E32-D32</f>
        <v>-0.10220819053427022</v>
      </c>
      <c r="G32" s="863">
        <f>F32/D32</f>
        <v>-1.5276569016200565E-3</v>
      </c>
    </row>
    <row r="33" spans="2:7">
      <c r="B33" s="852">
        <f t="shared" si="0"/>
        <v>13</v>
      </c>
      <c r="C33" s="852">
        <v>80</v>
      </c>
      <c r="D33" s="862">
        <f>D$11+(D$13+D$15)*$C33</f>
        <v>75.748800000000003</v>
      </c>
      <c r="E33" s="862">
        <f t="shared" si="1"/>
        <v>75.6319906393894</v>
      </c>
      <c r="F33" s="862">
        <f>E33-D33</f>
        <v>-0.11680936061060265</v>
      </c>
      <c r="G33" s="863">
        <f>F33/D33</f>
        <v>-1.5420621925443393E-3</v>
      </c>
    </row>
    <row r="34" spans="2:7">
      <c r="B34" s="852">
        <f t="shared" si="0"/>
        <v>14</v>
      </c>
      <c r="C34" s="852">
        <v>90</v>
      </c>
      <c r="D34" s="862">
        <f>D$11+(D$13+D$15)*$C34</f>
        <v>84.592399999999998</v>
      </c>
      <c r="E34" s="862">
        <f t="shared" si="1"/>
        <v>84.460989469313077</v>
      </c>
      <c r="F34" s="862">
        <f>E34-D34</f>
        <v>-0.13141053068692088</v>
      </c>
      <c r="G34" s="863">
        <f>F34/D34</f>
        <v>-1.5534555194901775E-3</v>
      </c>
    </row>
    <row r="35" spans="2:7">
      <c r="B35" s="852">
        <f t="shared" si="0"/>
        <v>15</v>
      </c>
      <c r="C35" s="852">
        <v>100</v>
      </c>
      <c r="D35" s="862">
        <f>D$11+(D$13+D$15)*$C35</f>
        <v>93.436000000000007</v>
      </c>
      <c r="E35" s="862">
        <f t="shared" si="1"/>
        <v>93.289988299236754</v>
      </c>
      <c r="F35" s="862">
        <f>E35-D35</f>
        <v>-0.14601170076325332</v>
      </c>
      <c r="G35" s="863">
        <f>F35/D35</f>
        <v>-1.5626921182761817E-3</v>
      </c>
    </row>
    <row r="36" spans="2:7">
      <c r="B36" s="852"/>
      <c r="C36" s="852"/>
      <c r="D36" s="862"/>
      <c r="E36" s="862"/>
      <c r="F36" s="862"/>
      <c r="G36" s="863"/>
    </row>
    <row r="37" spans="2:7">
      <c r="B37" s="852">
        <f t="shared" si="0"/>
        <v>16</v>
      </c>
      <c r="C37" s="852">
        <v>110</v>
      </c>
      <c r="D37" s="862">
        <f>D$11+(D$13+D$15)*$C37</f>
        <v>102.2796</v>
      </c>
      <c r="E37" s="862">
        <f t="shared" si="1"/>
        <v>102.11898712916043</v>
      </c>
      <c r="F37" s="862">
        <f>E37-D37</f>
        <v>-0.16061287083957154</v>
      </c>
      <c r="G37" s="863">
        <f>F37/D37</f>
        <v>-1.5703314330479542E-3</v>
      </c>
    </row>
    <row r="38" spans="2:7">
      <c r="B38" s="852">
        <f t="shared" si="0"/>
        <v>17</v>
      </c>
      <c r="C38" s="852">
        <v>120</v>
      </c>
      <c r="D38" s="862">
        <f>D$11+(D$13+D$15)*$C38</f>
        <v>111.1232</v>
      </c>
      <c r="E38" s="862">
        <f t="shared" si="1"/>
        <v>110.94798595908411</v>
      </c>
      <c r="F38" s="862">
        <f>E38-D38</f>
        <v>-0.17521404091588977</v>
      </c>
      <c r="G38" s="863">
        <f>F38/D38</f>
        <v>-1.5767548173188837E-3</v>
      </c>
    </row>
    <row r="39" spans="2:7">
      <c r="B39" s="852">
        <f t="shared" si="0"/>
        <v>18</v>
      </c>
      <c r="C39" s="852">
        <v>130</v>
      </c>
      <c r="D39" s="862">
        <f>D$11+(D$13+D$15)*$C39</f>
        <v>119.96680000000001</v>
      </c>
      <c r="E39" s="862">
        <f t="shared" si="1"/>
        <v>119.77698478900778</v>
      </c>
      <c r="F39" s="862">
        <f>E39-D39</f>
        <v>-0.18981521099222221</v>
      </c>
      <c r="G39" s="863">
        <f>F39/D39</f>
        <v>-1.5822311755604233E-3</v>
      </c>
    </row>
    <row r="40" spans="2:7">
      <c r="B40" s="852">
        <f t="shared" si="0"/>
        <v>19</v>
      </c>
      <c r="C40" s="852">
        <v>140</v>
      </c>
      <c r="D40" s="862">
        <f>D$11+(D$13+D$15)*$C40</f>
        <v>128.81040000000002</v>
      </c>
      <c r="E40" s="862">
        <f t="shared" si="1"/>
        <v>128.60598361893148</v>
      </c>
      <c r="F40" s="862">
        <f>E40-D40</f>
        <v>-0.20441638106854043</v>
      </c>
      <c r="G40" s="863">
        <f>F40/D40</f>
        <v>-1.5869555646790975E-3</v>
      </c>
    </row>
    <row r="41" spans="2:7">
      <c r="B41" s="852">
        <f t="shared" si="0"/>
        <v>20</v>
      </c>
      <c r="C41" s="852">
        <v>150</v>
      </c>
      <c r="D41" s="862">
        <f>D$11+(D$13+D$15)*$C41</f>
        <v>137.654</v>
      </c>
      <c r="E41" s="862">
        <f t="shared" si="1"/>
        <v>137.43498244885512</v>
      </c>
      <c r="F41" s="862">
        <f>E41-D41</f>
        <v>-0.21901755114487287</v>
      </c>
      <c r="G41" s="863">
        <f>F41/D41</f>
        <v>-1.5910729157516154E-3</v>
      </c>
    </row>
    <row r="42" spans="2:7">
      <c r="B42" s="852"/>
      <c r="C42" s="852"/>
      <c r="D42" s="862"/>
      <c r="E42" s="862"/>
      <c r="F42" s="862"/>
      <c r="G42" s="863"/>
    </row>
    <row r="43" spans="2:7">
      <c r="B43" s="852">
        <f t="shared" si="0"/>
        <v>21</v>
      </c>
      <c r="C43" s="852">
        <v>160</v>
      </c>
      <c r="D43" s="862">
        <f>D$11+(D$13+D$15)*$C43</f>
        <v>146.49760000000001</v>
      </c>
      <c r="E43" s="862">
        <f t="shared" si="1"/>
        <v>146.2639812787788</v>
      </c>
      <c r="F43" s="862">
        <f>E43-D43</f>
        <v>-0.23361872122120531</v>
      </c>
      <c r="G43" s="863">
        <f>F43/D43</f>
        <v>-1.5946931637187591E-3</v>
      </c>
    </row>
    <row r="44" spans="2:7">
      <c r="B44" s="852">
        <f t="shared" si="0"/>
        <v>22</v>
      </c>
      <c r="C44" s="852">
        <v>170</v>
      </c>
      <c r="D44" s="862">
        <f>D$11+(D$13+D$15)*$C44</f>
        <v>155.34120000000001</v>
      </c>
      <c r="E44" s="862">
        <f t="shared" si="1"/>
        <v>155.09298010870248</v>
      </c>
      <c r="F44" s="862">
        <f>E44-D44</f>
        <v>-0.24821989129753774</v>
      </c>
      <c r="G44" s="863">
        <f>F44/D44</f>
        <v>-1.5979012090645477E-3</v>
      </c>
    </row>
    <row r="45" spans="2:7">
      <c r="B45" s="852">
        <f t="shared" si="0"/>
        <v>23</v>
      </c>
      <c r="C45" s="852">
        <v>180</v>
      </c>
      <c r="D45" s="862">
        <f>D$11+(D$13+D$15)*$C45</f>
        <v>164.1848</v>
      </c>
      <c r="E45" s="862">
        <f t="shared" si="1"/>
        <v>163.92197893862615</v>
      </c>
      <c r="F45" s="862">
        <f>E45-D45</f>
        <v>-0.26282106137384176</v>
      </c>
      <c r="G45" s="863">
        <f>F45/D45</f>
        <v>-1.6007636600577019E-3</v>
      </c>
    </row>
    <row r="46" spans="2:7">
      <c r="B46" s="852">
        <f t="shared" si="0"/>
        <v>24</v>
      </c>
      <c r="C46" s="852">
        <v>190</v>
      </c>
      <c r="D46" s="862">
        <f>D$11+(D$13+D$15)*$C46</f>
        <v>173.0284</v>
      </c>
      <c r="E46" s="862">
        <f t="shared" si="1"/>
        <v>172.75097776854983</v>
      </c>
      <c r="F46" s="862">
        <f>E46-D46</f>
        <v>-0.27742223145017419</v>
      </c>
      <c r="G46" s="863">
        <f>F46/D46</f>
        <v>-1.6033335073905451E-3</v>
      </c>
    </row>
    <row r="47" spans="2:7">
      <c r="B47" s="852">
        <f t="shared" si="0"/>
        <v>25</v>
      </c>
      <c r="C47" s="852">
        <v>200</v>
      </c>
      <c r="D47" s="862">
        <f>D$11+(D$13+D$15)*$C47</f>
        <v>181.87200000000001</v>
      </c>
      <c r="E47" s="862">
        <f t="shared" si="1"/>
        <v>181.57997659847351</v>
      </c>
      <c r="F47" s="862">
        <f>E47-D47</f>
        <v>-0.29202340152650663</v>
      </c>
      <c r="G47" s="863">
        <f>F47/D47</f>
        <v>-1.6056534349790325E-3</v>
      </c>
    </row>
    <row r="48" spans="2:7">
      <c r="B48" s="852"/>
      <c r="C48" s="852"/>
      <c r="D48" s="862"/>
      <c r="E48" s="862"/>
      <c r="F48" s="862"/>
      <c r="G48" s="863"/>
    </row>
    <row r="49" spans="1:8">
      <c r="B49" s="852">
        <f t="shared" si="0"/>
        <v>26</v>
      </c>
      <c r="C49" s="852">
        <v>210</v>
      </c>
      <c r="D49" s="862">
        <f>D$11+(D$13+D$15)*$C49</f>
        <v>190.71559999999999</v>
      </c>
      <c r="E49" s="862">
        <f t="shared" si="1"/>
        <v>190.40897542839718</v>
      </c>
      <c r="F49" s="862">
        <f>E49-D49</f>
        <v>-0.30662457160281065</v>
      </c>
      <c r="G49" s="863">
        <f>F49/D49</f>
        <v>-1.6077582096210832E-3</v>
      </c>
    </row>
    <row r="50" spans="1:8">
      <c r="B50" s="852">
        <f t="shared" si="0"/>
        <v>27</v>
      </c>
      <c r="C50" s="852">
        <v>220</v>
      </c>
      <c r="D50" s="862">
        <f>D$11+(D$13+D$15)*$C50</f>
        <v>199.5592</v>
      </c>
      <c r="E50" s="862">
        <f t="shared" si="1"/>
        <v>199.23797425832086</v>
      </c>
      <c r="F50" s="862">
        <f>E50-D50</f>
        <v>-0.32122574167914308</v>
      </c>
      <c r="G50" s="863">
        <f>F50/D50</f>
        <v>-1.6096764352590263E-3</v>
      </c>
    </row>
    <row r="51" spans="1:8">
      <c r="B51" s="852">
        <f t="shared" si="0"/>
        <v>28</v>
      </c>
      <c r="C51" s="852">
        <v>230</v>
      </c>
      <c r="D51" s="862">
        <f>D$11+(D$13+D$15)*$C51</f>
        <v>208.40280000000001</v>
      </c>
      <c r="E51" s="862">
        <f t="shared" si="1"/>
        <v>208.06697308824454</v>
      </c>
      <c r="F51" s="862">
        <f>E51-D51</f>
        <v>-0.33582691175547552</v>
      </c>
      <c r="G51" s="863">
        <f>F51/D51</f>
        <v>-1.6114318605866885E-3</v>
      </c>
    </row>
    <row r="52" spans="1:8">
      <c r="B52" s="852">
        <f t="shared" si="0"/>
        <v>29</v>
      </c>
      <c r="C52" s="852">
        <v>240</v>
      </c>
      <c r="D52" s="862">
        <f>D$11+(D$13+D$15)*$C52</f>
        <v>217.24639999999999</v>
      </c>
      <c r="E52" s="862">
        <f t="shared" si="1"/>
        <v>216.89597191816821</v>
      </c>
      <c r="F52" s="862">
        <f>E52-D52</f>
        <v>-0.35042808183177954</v>
      </c>
      <c r="G52" s="863">
        <f>F52/D52</f>
        <v>-1.6130443672796398E-3</v>
      </c>
    </row>
    <row r="53" spans="1:8">
      <c r="B53" s="852">
        <f t="shared" si="0"/>
        <v>30</v>
      </c>
      <c r="C53" s="852">
        <v>250</v>
      </c>
      <c r="D53" s="862">
        <f>D$11+(D$13+D$15)*$C53</f>
        <v>226.09</v>
      </c>
      <c r="E53" s="862">
        <f t="shared" si="1"/>
        <v>225.72497074809189</v>
      </c>
      <c r="F53" s="862">
        <f>E53-D53</f>
        <v>-0.36502925190811197</v>
      </c>
      <c r="G53" s="863">
        <f>F53/D53</f>
        <v>-1.6145307262953336E-3</v>
      </c>
    </row>
    <row r="54" spans="1:8">
      <c r="B54" s="852"/>
      <c r="C54" s="852"/>
      <c r="D54" s="862"/>
      <c r="E54" s="862"/>
      <c r="F54" s="862"/>
      <c r="G54" s="863"/>
    </row>
    <row r="55" spans="1:8">
      <c r="B55" s="852"/>
      <c r="C55" s="852"/>
      <c r="D55" s="864"/>
      <c r="E55" s="864"/>
      <c r="F55" s="864"/>
      <c r="G55" s="836"/>
    </row>
    <row r="56" spans="1:8">
      <c r="B56" s="852"/>
      <c r="C56" s="852"/>
      <c r="D56" s="864"/>
      <c r="E56" s="864"/>
      <c r="F56" s="864"/>
      <c r="G56" s="836"/>
    </row>
    <row r="57" spans="1:8">
      <c r="B57" s="852"/>
      <c r="C57" s="852"/>
      <c r="D57" s="864"/>
      <c r="E57" s="864"/>
      <c r="F57" s="864"/>
      <c r="G57" s="836"/>
    </row>
    <row r="58" spans="1:8">
      <c r="A58" s="849" t="str">
        <f>$A$1</f>
        <v>Cascade Natural Gas Corporation</v>
      </c>
      <c r="H58" s="847" t="str">
        <f>$H$1</f>
        <v>CNGC/508</v>
      </c>
    </row>
    <row r="59" spans="1:8">
      <c r="A59" s="849" t="str">
        <f>$A$2</f>
        <v>Washington Jurisdiction</v>
      </c>
      <c r="H59" s="847" t="s">
        <v>2535</v>
      </c>
    </row>
    <row r="60" spans="1:8">
      <c r="A60" s="849" t="str">
        <f>$A$3</f>
        <v>Test Year Ended December 31, 2019</v>
      </c>
      <c r="H60" s="850" t="str">
        <f>$H$3</f>
        <v>Impact of Recommended Rate Changes</v>
      </c>
    </row>
    <row r="61" spans="1:8">
      <c r="A61" s="849"/>
    </row>
    <row r="62" spans="1:8">
      <c r="B62" s="851" t="str">
        <f>'Exh 18, Class Rates'!C14</f>
        <v>General Commercial - 504</v>
      </c>
    </row>
    <row r="64" spans="1:8">
      <c r="B64" s="852" t="s">
        <v>2502</v>
      </c>
    </row>
    <row r="65" spans="2:7" ht="16.2">
      <c r="B65" s="853" t="s">
        <v>2503</v>
      </c>
      <c r="C65" s="853" t="s">
        <v>97</v>
      </c>
      <c r="D65" s="853" t="s">
        <v>98</v>
      </c>
      <c r="E65" s="853" t="s">
        <v>1098</v>
      </c>
      <c r="F65" s="853" t="s">
        <v>2505</v>
      </c>
      <c r="G65" s="853" t="s">
        <v>1100</v>
      </c>
    </row>
    <row r="66" spans="2:7">
      <c r="B66" s="852"/>
      <c r="C66" s="854"/>
      <c r="D66" s="855" t="s">
        <v>2506</v>
      </c>
      <c r="E66" s="856" t="s">
        <v>2314</v>
      </c>
    </row>
    <row r="67" spans="2:7" ht="16.2">
      <c r="B67" s="852"/>
      <c r="C67" s="857"/>
      <c r="D67" s="853" t="s">
        <v>2324</v>
      </c>
      <c r="E67" s="858" t="s">
        <v>2324</v>
      </c>
    </row>
    <row r="69" spans="2:7">
      <c r="B69" s="852">
        <f>MAX(B58:B67)+1</f>
        <v>1</v>
      </c>
      <c r="C69" s="857" t="s">
        <v>2462</v>
      </c>
      <c r="D69" s="859">
        <f>'Exh 18, Class Rates'!E15</f>
        <v>13</v>
      </c>
      <c r="E69" s="872">
        <f>'Exh 18, Class Rates'!H15</f>
        <v>13</v>
      </c>
    </row>
    <row r="71" spans="2:7">
      <c r="B71" s="852">
        <f>MAX(B60:B69)+1</f>
        <v>2</v>
      </c>
      <c r="C71" s="857" t="s">
        <v>2463</v>
      </c>
      <c r="D71" s="838">
        <f>'Exh 18, Class Rates'!E16</f>
        <v>0.26179999999999998</v>
      </c>
      <c r="E71" s="1241">
        <f>'Exh 18, Class Rates'!H16</f>
        <v>0.26056980454864936</v>
      </c>
    </row>
    <row r="73" spans="2:7">
      <c r="B73" s="852">
        <f>MAX(B63:B71)+1</f>
        <v>3</v>
      </c>
      <c r="C73" s="860" t="s">
        <v>2507</v>
      </c>
      <c r="D73" s="865">
        <f>$D$15</f>
        <v>0.57362999999999997</v>
      </c>
      <c r="E73" s="866">
        <f>D73</f>
        <v>0.57362999999999997</v>
      </c>
    </row>
    <row r="74" spans="2:7">
      <c r="B74" s="852"/>
      <c r="C74" s="852"/>
      <c r="D74" s="852"/>
      <c r="E74" s="852"/>
    </row>
    <row r="75" spans="2:7" ht="16.2">
      <c r="B75" s="852"/>
      <c r="C75" s="852" t="s">
        <v>2531</v>
      </c>
      <c r="D75" s="852" t="s">
        <v>2508</v>
      </c>
      <c r="E75" s="852" t="s">
        <v>2508</v>
      </c>
      <c r="F75" s="861" t="s">
        <v>2532</v>
      </c>
      <c r="G75" s="861"/>
    </row>
    <row r="76" spans="2:7" ht="16.2">
      <c r="B76" s="852"/>
      <c r="C76" s="853" t="s">
        <v>2533</v>
      </c>
      <c r="D76" s="853" t="s">
        <v>2534</v>
      </c>
      <c r="E76" s="853" t="s">
        <v>2477</v>
      </c>
      <c r="F76" s="853" t="s">
        <v>729</v>
      </c>
      <c r="G76" s="853" t="s">
        <v>2513</v>
      </c>
    </row>
    <row r="77" spans="2:7">
      <c r="B77" s="852"/>
    </row>
    <row r="78" spans="2:7">
      <c r="B78" s="852"/>
      <c r="C78" s="867"/>
      <c r="D78" s="862"/>
      <c r="E78" s="862"/>
      <c r="F78" s="862"/>
      <c r="G78" s="863"/>
    </row>
    <row r="79" spans="2:7">
      <c r="B79" s="852">
        <f>IF(ISBLANK(C79),"",MAX($B$61:B78)+1)</f>
        <v>4</v>
      </c>
      <c r="C79" s="867">
        <v>0</v>
      </c>
      <c r="D79" s="862">
        <f>D$69+(D$71+D$73)*C79</f>
        <v>13</v>
      </c>
      <c r="E79" s="862">
        <f>E$69+(E$71+E$73)*C79</f>
        <v>13</v>
      </c>
      <c r="F79" s="862">
        <f>E79-D79</f>
        <v>0</v>
      </c>
      <c r="G79" s="863">
        <f>F79/D79</f>
        <v>0</v>
      </c>
    </row>
    <row r="80" spans="2:7">
      <c r="B80" s="852" t="str">
        <f>IF(ISBLANK(C80),"",MAX($B$61:B79)+1)</f>
        <v/>
      </c>
      <c r="C80" s="867"/>
      <c r="D80" s="862"/>
      <c r="E80" s="862"/>
      <c r="F80" s="862"/>
      <c r="G80" s="863"/>
    </row>
    <row r="81" spans="2:11">
      <c r="B81" s="852">
        <f>IF(ISBLANK(C81),"",MAX($B$61:B80)+1)</f>
        <v>5</v>
      </c>
      <c r="C81" s="867">
        <v>50</v>
      </c>
      <c r="D81" s="862">
        <f t="shared" ref="D81:D121" si="2">D$69+(D$71+D$73)*C81</f>
        <v>54.771499999999996</v>
      </c>
      <c r="E81" s="862">
        <f>E$69+(E$71+E$73)*C81</f>
        <v>54.709990227432471</v>
      </c>
      <c r="F81" s="862">
        <f>E81-D81</f>
        <v>-6.1509772567525545E-2</v>
      </c>
      <c r="G81" s="863">
        <f>F81/D81</f>
        <v>-1.1230251603028135E-3</v>
      </c>
    </row>
    <row r="82" spans="2:11">
      <c r="B82" s="852" t="str">
        <f>IF(ISBLANK(C82),"",MAX($B$61:B81)+1)</f>
        <v/>
      </c>
      <c r="C82" s="867"/>
      <c r="D82" s="862"/>
      <c r="E82" s="862"/>
      <c r="F82" s="862"/>
      <c r="G82" s="863"/>
      <c r="K82" s="859"/>
    </row>
    <row r="83" spans="2:11">
      <c r="B83" s="852">
        <f>IF(ISBLANK(C83),"",MAX($B$61:B82)+1)</f>
        <v>6</v>
      </c>
      <c r="C83" s="867">
        <v>60</v>
      </c>
      <c r="D83" s="862">
        <f t="shared" si="2"/>
        <v>63.125799999999991</v>
      </c>
      <c r="E83" s="862">
        <f>E$69+(E$71+E$73)*C83</f>
        <v>63.051988272918962</v>
      </c>
      <c r="F83" s="862">
        <f>E83-D83</f>
        <v>-7.3811727081029233E-2</v>
      </c>
      <c r="G83" s="863">
        <f>F83/D83</f>
        <v>-1.1692798678358016E-3</v>
      </c>
      <c r="K83" s="859"/>
    </row>
    <row r="84" spans="2:11">
      <c r="B84" s="852">
        <f>IF(ISBLANK(C84),"",MAX($B$61:B83)+1)</f>
        <v>7</v>
      </c>
      <c r="C84" s="867">
        <v>70</v>
      </c>
      <c r="D84" s="862">
        <f t="shared" si="2"/>
        <v>71.480099999999993</v>
      </c>
      <c r="E84" s="862">
        <f>E$69+(E$71+E$73)*C84</f>
        <v>71.393986318405467</v>
      </c>
      <c r="F84" s="862">
        <f>E84-D84</f>
        <v>-8.6113681594525815E-2</v>
      </c>
      <c r="G84" s="863">
        <f>F84/D84</f>
        <v>-1.2047224555439321E-3</v>
      </c>
      <c r="K84" s="859"/>
    </row>
    <row r="85" spans="2:11">
      <c r="B85" s="852">
        <f>IF(ISBLANK(C85),"",MAX($B$61:B84)+1)</f>
        <v>8</v>
      </c>
      <c r="C85" s="867">
        <v>80</v>
      </c>
      <c r="D85" s="862">
        <f t="shared" si="2"/>
        <v>79.834399999999988</v>
      </c>
      <c r="E85" s="862">
        <f>E$69+(E$71+E$73)*C85</f>
        <v>79.735984363891959</v>
      </c>
      <c r="F85" s="862">
        <f>E85-D85</f>
        <v>-9.8415636108029503E-2</v>
      </c>
      <c r="G85" s="863">
        <f>F85/D85</f>
        <v>-1.2327472381333049E-3</v>
      </c>
      <c r="K85" s="859"/>
    </row>
    <row r="86" spans="2:11">
      <c r="B86" s="852">
        <f>IF(ISBLANK(C86),"",MAX($B$61:B85)+1)</f>
        <v>9</v>
      </c>
      <c r="C86" s="867">
        <v>90</v>
      </c>
      <c r="D86" s="862">
        <f t="shared" si="2"/>
        <v>88.188699999999997</v>
      </c>
      <c r="E86" s="862">
        <f>E$69+(E$71+E$73)*C86</f>
        <v>88.07798240937845</v>
      </c>
      <c r="F86" s="862">
        <f>E86-D86</f>
        <v>-0.1107175906215474</v>
      </c>
      <c r="G86" s="863">
        <f>F86/D86</f>
        <v>-1.2554623281843071E-3</v>
      </c>
      <c r="K86" s="859"/>
    </row>
    <row r="87" spans="2:11">
      <c r="B87" s="852">
        <f>IF(ISBLANK(C87),"",MAX($B$61:B86)+1)</f>
        <v>10</v>
      </c>
      <c r="C87" s="867">
        <v>100</v>
      </c>
      <c r="D87" s="862">
        <f t="shared" si="2"/>
        <v>96.542999999999992</v>
      </c>
      <c r="E87" s="862">
        <f>E$69+(E$71+E$73)*C87</f>
        <v>96.419980454864941</v>
      </c>
      <c r="F87" s="862">
        <f>E87-D87</f>
        <v>-0.12301954513505109</v>
      </c>
      <c r="G87" s="863">
        <f>F87/D87</f>
        <v>-1.2742461404250034E-3</v>
      </c>
    </row>
    <row r="88" spans="2:11">
      <c r="B88" s="852" t="str">
        <f>IF(ISBLANK(C88),"",MAX($B$61:B87)+1)</f>
        <v/>
      </c>
      <c r="C88" s="867"/>
      <c r="D88" s="862"/>
      <c r="E88" s="862"/>
      <c r="F88" s="862"/>
      <c r="G88" s="863"/>
      <c r="K88" s="859"/>
    </row>
    <row r="89" spans="2:11">
      <c r="B89" s="852">
        <f>IF(ISBLANK(C89),"",MAX($B$61:B88)+1)</f>
        <v>11</v>
      </c>
      <c r="C89" s="867">
        <v>110</v>
      </c>
      <c r="D89" s="862">
        <f t="shared" si="2"/>
        <v>104.89729999999999</v>
      </c>
      <c r="E89" s="862">
        <f>E$69+(E$71+E$73)*C89</f>
        <v>104.76197850035143</v>
      </c>
      <c r="F89" s="862">
        <f>E89-D89</f>
        <v>-0.13532149964855478</v>
      </c>
      <c r="G89" s="863">
        <f>F89/D89</f>
        <v>-1.2900379671216971E-3</v>
      </c>
      <c r="K89" s="859"/>
    </row>
    <row r="90" spans="2:11">
      <c r="B90" s="852">
        <f>IF(ISBLANK(C90),"",MAX($B$61:B89)+1)</f>
        <v>12</v>
      </c>
      <c r="C90" s="867">
        <v>120</v>
      </c>
      <c r="D90" s="862">
        <f t="shared" si="2"/>
        <v>113.25159999999998</v>
      </c>
      <c r="E90" s="862">
        <f>E$69+(E$71+E$73)*C90</f>
        <v>113.10397654583792</v>
      </c>
      <c r="F90" s="862">
        <f>E90-D90</f>
        <v>-0.14762345416205847</v>
      </c>
      <c r="G90" s="863">
        <f>F90/D90</f>
        <v>-1.3034999431536375E-3</v>
      </c>
      <c r="K90" s="859"/>
    </row>
    <row r="91" spans="2:11">
      <c r="B91" s="852">
        <f>IF(ISBLANK(C91),"",MAX($B$61:B90)+1)</f>
        <v>13</v>
      </c>
      <c r="C91" s="867">
        <v>130</v>
      </c>
      <c r="D91" s="862">
        <f t="shared" si="2"/>
        <v>121.60589999999999</v>
      </c>
      <c r="E91" s="862">
        <f>E$69+(E$71+E$73)*C91</f>
        <v>121.44597459132441</v>
      </c>
      <c r="F91" s="862">
        <f>E91-D91</f>
        <v>-0.15992540867557636</v>
      </c>
      <c r="G91" s="863">
        <f>F91/D91</f>
        <v>-1.3151122492870524E-3</v>
      </c>
      <c r="K91" s="859"/>
    </row>
    <row r="92" spans="2:11">
      <c r="B92" s="852">
        <f>IF(ISBLANK(C92),"",MAX($B$61:B91)+1)</f>
        <v>14</v>
      </c>
      <c r="C92" s="867">
        <v>140</v>
      </c>
      <c r="D92" s="862">
        <f t="shared" si="2"/>
        <v>129.96019999999999</v>
      </c>
      <c r="E92" s="862">
        <f>E$69+(E$71+E$73)*C92</f>
        <v>129.78797263681093</v>
      </c>
      <c r="F92" s="862">
        <f>E92-D92</f>
        <v>-0.17222736318905163</v>
      </c>
      <c r="G92" s="863">
        <f>F92/D92</f>
        <v>-1.3252315954349998E-3</v>
      </c>
      <c r="K92" s="859"/>
    </row>
    <row r="93" spans="2:11">
      <c r="B93" s="852">
        <f>IF(ISBLANK(C93),"",MAX($B$61:B92)+1)</f>
        <v>15</v>
      </c>
      <c r="C93" s="867">
        <v>150</v>
      </c>
      <c r="D93" s="862">
        <f t="shared" si="2"/>
        <v>138.31449999999998</v>
      </c>
      <c r="E93" s="862">
        <f>E$69+(E$71+E$73)*C93</f>
        <v>138.12997068229743</v>
      </c>
      <c r="F93" s="862">
        <f>E93-D93</f>
        <v>-0.18452931770255532</v>
      </c>
      <c r="G93" s="863">
        <f>F93/D93</f>
        <v>-1.3341285093215487E-3</v>
      </c>
      <c r="K93" s="859"/>
    </row>
    <row r="94" spans="2:11">
      <c r="B94" s="852" t="str">
        <f>IF(ISBLANK(C94),"",MAX($B$61:B93)+1)</f>
        <v/>
      </c>
      <c r="C94" s="867"/>
      <c r="D94" s="862"/>
      <c r="E94" s="862"/>
      <c r="F94" s="862"/>
      <c r="G94" s="863"/>
      <c r="K94" s="859"/>
    </row>
    <row r="95" spans="2:11">
      <c r="B95" s="852">
        <f>IF(ISBLANK(C95),"",MAX($B$61:B94)+1)</f>
        <v>16</v>
      </c>
      <c r="C95" s="867">
        <v>160</v>
      </c>
      <c r="D95" s="862">
        <f t="shared" si="2"/>
        <v>146.66879999999998</v>
      </c>
      <c r="E95" s="862">
        <f>E$69+(E$71+E$73)*C95</f>
        <v>146.47196872778392</v>
      </c>
      <c r="F95" s="862">
        <f>E95-D95</f>
        <v>-0.19683127221605901</v>
      </c>
      <c r="G95" s="863">
        <f>F95/D95</f>
        <v>-1.3420118813003109E-3</v>
      </c>
      <c r="K95" s="859"/>
    </row>
    <row r="96" spans="2:11">
      <c r="B96" s="852">
        <f>IF(ISBLANK(C96),"",MAX($B$61:B95)+1)</f>
        <v>17</v>
      </c>
      <c r="C96" s="867">
        <v>170</v>
      </c>
      <c r="D96" s="862">
        <f t="shared" si="2"/>
        <v>155.02309999999997</v>
      </c>
      <c r="E96" s="862">
        <f>E$69+(E$71+E$73)*C96</f>
        <v>154.81396677327041</v>
      </c>
      <c r="F96" s="862">
        <f>E96-D96</f>
        <v>-0.20913322672956269</v>
      </c>
      <c r="G96" s="863">
        <f>F96/D96</f>
        <v>-1.3490455727537556E-3</v>
      </c>
      <c r="K96" s="859"/>
    </row>
    <row r="97" spans="2:11">
      <c r="B97" s="852">
        <f>IF(ISBLANK(C97),"",MAX($B$61:B96)+1)</f>
        <v>18</v>
      </c>
      <c r="C97" s="867">
        <v>180</v>
      </c>
      <c r="D97" s="862">
        <f t="shared" si="2"/>
        <v>163.37739999999999</v>
      </c>
      <c r="E97" s="862">
        <f>E$69+(E$71+E$73)*C97</f>
        <v>163.1559648187569</v>
      </c>
      <c r="F97" s="862">
        <f>E97-D97</f>
        <v>-0.2214351812430948</v>
      </c>
      <c r="G97" s="863">
        <f>F97/D97</f>
        <v>-1.3553599288707913E-3</v>
      </c>
      <c r="K97" s="859"/>
    </row>
    <row r="98" spans="2:11">
      <c r="B98" s="852">
        <f>IF(ISBLANK(C98),"",MAX($B$61:B97)+1)</f>
        <v>19</v>
      </c>
      <c r="C98" s="867">
        <v>190</v>
      </c>
      <c r="D98" s="862">
        <f t="shared" si="2"/>
        <v>171.73169999999999</v>
      </c>
      <c r="E98" s="862">
        <f>E$69+(E$71+E$73)*C98</f>
        <v>171.49796286424339</v>
      </c>
      <c r="F98" s="862">
        <f>E98-D98</f>
        <v>-0.23373713575659849</v>
      </c>
      <c r="G98" s="863">
        <f>F98/D98</f>
        <v>-1.3610599310237919E-3</v>
      </c>
      <c r="K98" s="859"/>
    </row>
    <row r="99" spans="2:11">
      <c r="B99" s="852">
        <f>IF(ISBLANK(C99),"",MAX($B$61:B98)+1)</f>
        <v>20</v>
      </c>
      <c r="C99" s="867">
        <v>200</v>
      </c>
      <c r="D99" s="862">
        <f t="shared" si="2"/>
        <v>180.08599999999998</v>
      </c>
      <c r="E99" s="862">
        <f>E$69+(E$71+E$73)*C99</f>
        <v>179.83996090972988</v>
      </c>
      <c r="F99" s="862">
        <f>E99-D99</f>
        <v>-0.24603909027010218</v>
      </c>
      <c r="G99" s="863">
        <f>F99/D99</f>
        <v>-1.3662310799845753E-3</v>
      </c>
      <c r="K99" s="859"/>
    </row>
    <row r="100" spans="2:11">
      <c r="B100" s="852" t="str">
        <f>IF(ISBLANK(C100),"",MAX($B$61:B99)+1)</f>
        <v/>
      </c>
      <c r="C100" s="867"/>
      <c r="D100" s="862"/>
      <c r="E100" s="862"/>
      <c r="F100" s="862"/>
      <c r="G100" s="863"/>
      <c r="K100" s="859"/>
    </row>
    <row r="101" spans="2:11">
      <c r="B101" s="852">
        <f>IF(ISBLANK(C101),"",MAX($B$61:B100)+1)</f>
        <v>21</v>
      </c>
      <c r="C101" s="867">
        <v>250</v>
      </c>
      <c r="D101" s="862">
        <f t="shared" si="2"/>
        <v>221.85749999999999</v>
      </c>
      <c r="E101" s="862">
        <f>E$69+(E$71+E$73)*C101</f>
        <v>221.54995113716234</v>
      </c>
      <c r="F101" s="862">
        <f>E101-D101</f>
        <v>-0.30754886283764904</v>
      </c>
      <c r="G101" s="863">
        <f>F101/D101</f>
        <v>-1.3862450574699933E-3</v>
      </c>
      <c r="K101" s="859"/>
    </row>
    <row r="102" spans="2:11">
      <c r="B102" s="852">
        <f>IF(ISBLANK(C102),"",MAX($B$61:B101)+1)</f>
        <v>22</v>
      </c>
      <c r="C102" s="867">
        <v>300</v>
      </c>
      <c r="D102" s="862">
        <f t="shared" si="2"/>
        <v>263.62899999999996</v>
      </c>
      <c r="E102" s="862">
        <f>E$69+(E$71+E$73)*C102</f>
        <v>263.25994136459485</v>
      </c>
      <c r="F102" s="862">
        <f>E102-D102</f>
        <v>-0.36905863540511064</v>
      </c>
      <c r="G102" s="863">
        <f>F102/D102</f>
        <v>-1.3999166836922746E-3</v>
      </c>
      <c r="K102" s="859"/>
    </row>
    <row r="103" spans="2:11">
      <c r="B103" s="852">
        <f>IF(ISBLANK(C103),"",MAX($B$61:B102)+1)</f>
        <v>23</v>
      </c>
      <c r="C103" s="867">
        <v>350</v>
      </c>
      <c r="D103" s="862">
        <f t="shared" si="2"/>
        <v>305.40049999999997</v>
      </c>
      <c r="E103" s="862">
        <f>E$69+(E$71+E$73)*C103</f>
        <v>304.96993159202731</v>
      </c>
      <c r="F103" s="862">
        <f>E103-D103</f>
        <v>-0.4305684079726575</v>
      </c>
      <c r="G103" s="863">
        <f>F103/D103</f>
        <v>-1.4098484055286666E-3</v>
      </c>
      <c r="K103" s="859"/>
    </row>
    <row r="104" spans="2:11">
      <c r="B104" s="852">
        <f>IF(ISBLANK(C104),"",MAX($B$61:B103)+1)</f>
        <v>24</v>
      </c>
      <c r="C104" s="867">
        <v>400</v>
      </c>
      <c r="D104" s="862">
        <f t="shared" si="2"/>
        <v>347.17199999999997</v>
      </c>
      <c r="E104" s="862">
        <f>E$69+(E$71+E$73)*C104</f>
        <v>346.67992181945976</v>
      </c>
      <c r="F104" s="862">
        <f>E104-D104</f>
        <v>-0.49207818054020436</v>
      </c>
      <c r="G104" s="863">
        <f>F104/D104</f>
        <v>-1.4173901712701612E-3</v>
      </c>
      <c r="K104" s="859"/>
    </row>
    <row r="105" spans="2:11">
      <c r="B105" s="852">
        <f>IF(ISBLANK(C105),"",MAX($B$61:B104)+1)</f>
        <v>25</v>
      </c>
      <c r="C105" s="867">
        <v>450</v>
      </c>
      <c r="D105" s="862">
        <f t="shared" si="2"/>
        <v>388.94349999999997</v>
      </c>
      <c r="E105" s="862">
        <f>E$69+(E$71+E$73)*C105</f>
        <v>388.38991204689222</v>
      </c>
      <c r="F105" s="862">
        <f>E105-D105</f>
        <v>-0.55358795310775122</v>
      </c>
      <c r="G105" s="863">
        <f>F105/D105</f>
        <v>-1.4233120057482675E-3</v>
      </c>
      <c r="K105" s="859"/>
    </row>
    <row r="106" spans="2:11">
      <c r="B106" s="852" t="str">
        <f>IF(ISBLANK(C106),"",MAX($B$61:B105)+1)</f>
        <v/>
      </c>
      <c r="C106" s="867"/>
      <c r="D106" s="862"/>
      <c r="E106" s="862"/>
      <c r="F106" s="862"/>
      <c r="G106" s="863"/>
      <c r="K106" s="859"/>
    </row>
    <row r="107" spans="2:11">
      <c r="B107" s="852">
        <f>IF(ISBLANK(C107),"",MAX($B$61:B106)+1)</f>
        <v>26</v>
      </c>
      <c r="C107" s="867">
        <v>500</v>
      </c>
      <c r="D107" s="862">
        <f t="shared" si="2"/>
        <v>430.71499999999997</v>
      </c>
      <c r="E107" s="862">
        <f>E$69+(E$71+E$73)*C107</f>
        <v>430.09990227432468</v>
      </c>
      <c r="F107" s="862">
        <f>E107-D107</f>
        <v>-0.61509772567529808</v>
      </c>
      <c r="G107" s="863">
        <f>F107/D107</f>
        <v>-1.4280852203320017E-3</v>
      </c>
      <c r="K107" s="859"/>
    </row>
    <row r="108" spans="2:11">
      <c r="B108" s="852">
        <f>IF(ISBLANK(C108),"",MAX($B$61:B107)+1)</f>
        <v>27</v>
      </c>
      <c r="C108" s="867">
        <v>600</v>
      </c>
      <c r="D108" s="862">
        <f t="shared" si="2"/>
        <v>514.25799999999992</v>
      </c>
      <c r="E108" s="862">
        <f>E$69+(E$71+E$73)*C108</f>
        <v>513.5198827291897</v>
      </c>
      <c r="F108" s="862">
        <f>E108-D108</f>
        <v>-0.73811727081022127</v>
      </c>
      <c r="G108" s="863">
        <f>F108/D108</f>
        <v>-1.4353053735872293E-3</v>
      </c>
      <c r="K108" s="859"/>
    </row>
    <row r="109" spans="2:11">
      <c r="B109" s="852">
        <f>IF(ISBLANK(C109),"",MAX($B$61:B108)+1)</f>
        <v>28</v>
      </c>
      <c r="C109" s="867">
        <v>700</v>
      </c>
      <c r="D109" s="862">
        <f t="shared" si="2"/>
        <v>597.80099999999993</v>
      </c>
      <c r="E109" s="862">
        <f>E$69+(E$71+E$73)*C109</f>
        <v>596.93986318405462</v>
      </c>
      <c r="F109" s="862">
        <f>E109-D109</f>
        <v>-0.86113681594531499</v>
      </c>
      <c r="G109" s="863">
        <f>F109/D109</f>
        <v>-1.4405074865135976E-3</v>
      </c>
      <c r="K109" s="859"/>
    </row>
    <row r="110" spans="2:11">
      <c r="B110" s="852">
        <f>IF(ISBLANK(C110),"",MAX($B$61:B109)+1)</f>
        <v>29</v>
      </c>
      <c r="C110" s="867">
        <v>800</v>
      </c>
      <c r="D110" s="862">
        <f t="shared" si="2"/>
        <v>681.34399999999994</v>
      </c>
      <c r="E110" s="862">
        <f>E$69+(E$71+E$73)*C110</f>
        <v>680.35984363891953</v>
      </c>
      <c r="F110" s="862">
        <f>E110-D110</f>
        <v>-0.98415636108040871</v>
      </c>
      <c r="G110" s="863">
        <f>F110/D110</f>
        <v>-1.4444338852039628E-3</v>
      </c>
      <c r="K110" s="859"/>
    </row>
    <row r="111" spans="2:11">
      <c r="B111" s="852">
        <f>IF(ISBLANK(C111),"",MAX($B$61:B110)+1)</f>
        <v>30</v>
      </c>
      <c r="C111" s="867">
        <v>1000</v>
      </c>
      <c r="D111" s="862">
        <f t="shared" si="2"/>
        <v>848.43</v>
      </c>
      <c r="E111" s="862">
        <f>E$69+(E$71+E$73)*C111</f>
        <v>847.19980454864935</v>
      </c>
      <c r="F111" s="862">
        <f>E111-D111</f>
        <v>-1.2301954513505962</v>
      </c>
      <c r="G111" s="863">
        <f>F111/D111</f>
        <v>-1.449966940526144E-3</v>
      </c>
      <c r="K111" s="859"/>
    </row>
    <row r="112" spans="2:11">
      <c r="B112" s="852" t="str">
        <f>IF(ISBLANK(C112),"",MAX($B$61:B111)+1)</f>
        <v/>
      </c>
      <c r="C112" s="867"/>
      <c r="D112" s="862"/>
      <c r="E112" s="862"/>
      <c r="F112" s="862"/>
      <c r="G112" s="863"/>
      <c r="K112" s="859"/>
    </row>
    <row r="113" spans="1:11">
      <c r="B113" s="852">
        <f>IF(ISBLANK(C113),"",MAX($B$61:B112)+1)</f>
        <v>31</v>
      </c>
      <c r="C113" s="867">
        <v>1250</v>
      </c>
      <c r="D113" s="862">
        <f t="shared" si="2"/>
        <v>1057.2874999999999</v>
      </c>
      <c r="E113" s="862">
        <f>E$69+(E$71+E$73)*C113</f>
        <v>1055.7497556858118</v>
      </c>
      <c r="F113" s="862">
        <f>E113-D113</f>
        <v>-1.5377443141881031</v>
      </c>
      <c r="G113" s="863">
        <f>F113/D113</f>
        <v>-1.4544239993266764E-3</v>
      </c>
      <c r="K113" s="859"/>
    </row>
    <row r="114" spans="1:11">
      <c r="B114" s="852">
        <f>IF(ISBLANK(C114),"",MAX($B$61:B113)+1)</f>
        <v>32</v>
      </c>
      <c r="C114" s="867">
        <v>1500</v>
      </c>
      <c r="D114" s="862">
        <f t="shared" si="2"/>
        <v>1266.1449999999998</v>
      </c>
      <c r="E114" s="862">
        <f>E$69+(E$71+E$73)*C114</f>
        <v>1264.299706822974</v>
      </c>
      <c r="F114" s="862">
        <f>E114-D114</f>
        <v>-1.8452931770257237</v>
      </c>
      <c r="G114" s="863">
        <f>F114/D114</f>
        <v>-1.4574106259754799E-3</v>
      </c>
      <c r="K114" s="859"/>
    </row>
    <row r="115" spans="1:11">
      <c r="B115" s="852">
        <f>IF(ISBLANK(C115),"",MAX($B$61:B114)+1)</f>
        <v>33</v>
      </c>
      <c r="C115" s="867">
        <v>1750</v>
      </c>
      <c r="D115" s="862">
        <f t="shared" si="2"/>
        <v>1475.0024999999998</v>
      </c>
      <c r="E115" s="862">
        <f>E$69+(E$71+E$73)*C115</f>
        <v>1472.8496579601365</v>
      </c>
      <c r="F115" s="862">
        <f>E115-D115</f>
        <v>-2.1528420398633443</v>
      </c>
      <c r="G115" s="863">
        <f>F115/D115</f>
        <v>-1.4595514515150616E-3</v>
      </c>
      <c r="K115" s="859"/>
    </row>
    <row r="116" spans="1:11">
      <c r="B116" s="852">
        <f>IF(ISBLANK(C116),"",MAX($B$61:B115)+1)</f>
        <v>34</v>
      </c>
      <c r="C116" s="867">
        <v>2000</v>
      </c>
      <c r="D116" s="862">
        <f t="shared" si="2"/>
        <v>1683.86</v>
      </c>
      <c r="E116" s="862">
        <f>E$69+(E$71+E$73)*C116</f>
        <v>1681.3996090972987</v>
      </c>
      <c r="F116" s="862">
        <f>E116-D116</f>
        <v>-2.4603909027011923</v>
      </c>
      <c r="G116" s="863">
        <f>F116/D116</f>
        <v>-1.4611612026541353E-3</v>
      </c>
      <c r="K116" s="859"/>
    </row>
    <row r="117" spans="1:11">
      <c r="B117" s="852" t="str">
        <f>IF(ISBLANK(C117),"",MAX($B$61:B116)+1)</f>
        <v/>
      </c>
      <c r="C117" s="867"/>
      <c r="D117" s="862"/>
      <c r="E117" s="862"/>
      <c r="F117" s="862"/>
      <c r="G117" s="863"/>
      <c r="K117" s="859"/>
    </row>
    <row r="118" spans="1:11">
      <c r="B118" s="852">
        <f>IF(ISBLANK(C118),"",MAX($B$61:B117)+1)</f>
        <v>35</v>
      </c>
      <c r="C118" s="867">
        <v>2500</v>
      </c>
      <c r="D118" s="862">
        <f t="shared" si="2"/>
        <v>2101.5749999999998</v>
      </c>
      <c r="E118" s="862">
        <f>E$69+(E$71+E$73)*C118</f>
        <v>2098.4995113716236</v>
      </c>
      <c r="F118" s="862">
        <f>E118-D118</f>
        <v>-3.0754886283762062</v>
      </c>
      <c r="G118" s="863">
        <f>F118/D118</f>
        <v>-1.4634208288432278E-3</v>
      </c>
      <c r="K118" s="859"/>
    </row>
    <row r="119" spans="1:11">
      <c r="B119" s="852">
        <f>IF(ISBLANK(C119),"",MAX($B$61:B118)+1)</f>
        <v>36</v>
      </c>
      <c r="C119" s="867">
        <v>3000</v>
      </c>
      <c r="D119" s="862">
        <f t="shared" si="2"/>
        <v>2519.2899999999995</v>
      </c>
      <c r="E119" s="862">
        <f>E$69+(E$71+E$73)*C119</f>
        <v>2515.5994136459481</v>
      </c>
      <c r="F119" s="862">
        <f>E119-D119</f>
        <v>-3.6905863540514474</v>
      </c>
      <c r="G119" s="863">
        <f>F119/D119</f>
        <v>-1.4649311329983639E-3</v>
      </c>
      <c r="K119" s="859"/>
    </row>
    <row r="120" spans="1:11">
      <c r="B120" s="852">
        <f>IF(ISBLANK(C120),"",MAX($B$61:B119)+1)</f>
        <v>37</v>
      </c>
      <c r="C120" s="867">
        <v>3500</v>
      </c>
      <c r="D120" s="862">
        <f t="shared" si="2"/>
        <v>2937.0049999999997</v>
      </c>
      <c r="E120" s="862">
        <f>E$69+(E$71+E$73)*C120</f>
        <v>2932.699315920273</v>
      </c>
      <c r="F120" s="862">
        <f>E120-D120</f>
        <v>-4.3056840797266887</v>
      </c>
      <c r="G120" s="863">
        <f>F120/D120</f>
        <v>-1.4660118316879574E-3</v>
      </c>
      <c r="K120" s="859"/>
    </row>
    <row r="121" spans="1:11">
      <c r="B121" s="852">
        <f>IF(ISBLANK(C121),"",MAX($B$61:B120)+1)</f>
        <v>38</v>
      </c>
      <c r="C121" s="867">
        <v>4000</v>
      </c>
      <c r="D121" s="862">
        <f t="shared" si="2"/>
        <v>3354.72</v>
      </c>
      <c r="E121" s="862">
        <f>E$69+(E$71+E$73)*C121</f>
        <v>3349.7992181945974</v>
      </c>
      <c r="F121" s="862">
        <f>E121-D121</f>
        <v>-4.9207818054023846</v>
      </c>
      <c r="G121" s="863">
        <f>F121/D121</f>
        <v>-1.46682340266919E-3</v>
      </c>
    </row>
    <row r="122" spans="1:11">
      <c r="D122" s="852"/>
      <c r="E122" s="852"/>
      <c r="F122" s="852"/>
      <c r="G122" s="852"/>
    </row>
    <row r="123" spans="1:11">
      <c r="D123" s="852"/>
      <c r="E123" s="852"/>
      <c r="F123" s="852"/>
      <c r="G123" s="852"/>
    </row>
    <row r="127" spans="1:11">
      <c r="A127" s="849" t="str">
        <f>$A$1</f>
        <v>Cascade Natural Gas Corporation</v>
      </c>
      <c r="H127" s="847" t="str">
        <f>$H$1</f>
        <v>CNGC/508</v>
      </c>
    </row>
    <row r="128" spans="1:11">
      <c r="A128" s="849" t="str">
        <f>$A$2</f>
        <v>Washington Jurisdiction</v>
      </c>
      <c r="H128" s="847" t="s">
        <v>2536</v>
      </c>
    </row>
    <row r="129" spans="1:10">
      <c r="A129" s="849" t="str">
        <f>$A$3</f>
        <v>Test Year Ended December 31, 2019</v>
      </c>
      <c r="H129" s="850" t="str">
        <f>$H$3</f>
        <v>Impact of Recommended Rate Changes</v>
      </c>
    </row>
    <row r="130" spans="1:10">
      <c r="A130" s="849"/>
    </row>
    <row r="131" spans="1:10">
      <c r="B131" s="851" t="str">
        <f>'Exh 18, Class Rates'!C20</f>
        <v>General Industrial - 505</v>
      </c>
    </row>
    <row r="133" spans="1:10">
      <c r="B133" s="852" t="s">
        <v>2502</v>
      </c>
    </row>
    <row r="134" spans="1:10" ht="16.2">
      <c r="B134" s="853" t="s">
        <v>2503</v>
      </c>
      <c r="C134" s="853" t="s">
        <v>97</v>
      </c>
      <c r="D134" s="853" t="s">
        <v>98</v>
      </c>
      <c r="E134" s="853" t="s">
        <v>1098</v>
      </c>
      <c r="F134" s="853" t="s">
        <v>2505</v>
      </c>
      <c r="G134" s="853" t="s">
        <v>1100</v>
      </c>
    </row>
    <row r="135" spans="1:10">
      <c r="B135" s="852"/>
      <c r="C135" s="854"/>
      <c r="D135" s="855" t="s">
        <v>2506</v>
      </c>
      <c r="E135" s="856" t="s">
        <v>2314</v>
      </c>
    </row>
    <row r="136" spans="1:10" ht="16.2">
      <c r="B136" s="852"/>
      <c r="C136" s="857"/>
      <c r="D136" s="853" t="s">
        <v>2324</v>
      </c>
      <c r="E136" s="858" t="s">
        <v>2324</v>
      </c>
    </row>
    <row r="137" spans="1:10">
      <c r="B137" s="852">
        <f>MAX(B127:B136)+1</f>
        <v>1</v>
      </c>
      <c r="C137" s="857" t="s">
        <v>2462</v>
      </c>
      <c r="D137" s="859">
        <f>'Exh 18, Class Rates'!E21</f>
        <v>60</v>
      </c>
      <c r="E137" s="872">
        <f>'Exh 18, Class Rates'!H21</f>
        <v>60</v>
      </c>
    </row>
    <row r="138" spans="1:10">
      <c r="B138" s="852"/>
      <c r="C138" s="857"/>
      <c r="D138" s="859"/>
      <c r="E138" s="872"/>
    </row>
    <row r="139" spans="1:10">
      <c r="B139" s="852">
        <f>MAX(B129:B138)+1</f>
        <v>2</v>
      </c>
      <c r="C139" s="857" t="s">
        <v>2463</v>
      </c>
      <c r="D139" s="838" t="s">
        <v>49</v>
      </c>
      <c r="E139" s="1241" t="s">
        <v>49</v>
      </c>
    </row>
    <row r="140" spans="1:10">
      <c r="B140" s="852"/>
      <c r="C140" s="868" t="s">
        <v>2537</v>
      </c>
      <c r="D140" s="838">
        <f>'Exh 18, Class Rates'!E22</f>
        <v>0.20175999999999999</v>
      </c>
      <c r="E140" s="1241">
        <f>'Exh 18, Class Rates'!H22</f>
        <v>0.20081193187828683</v>
      </c>
      <c r="J140" s="848">
        <v>500</v>
      </c>
    </row>
    <row r="141" spans="1:10">
      <c r="B141" s="852"/>
      <c r="C141" s="868" t="s">
        <v>2538</v>
      </c>
      <c r="D141" s="838">
        <f>'Exh 18, Class Rates'!E23</f>
        <v>0.16481000000000001</v>
      </c>
      <c r="E141" s="1241">
        <f>'Exh 18, Class Rates'!H23</f>
        <v>0.16403555954034724</v>
      </c>
      <c r="J141" s="848">
        <v>3500</v>
      </c>
    </row>
    <row r="142" spans="1:10">
      <c r="B142" s="852"/>
      <c r="C142" s="868" t="s">
        <v>2539</v>
      </c>
      <c r="D142" s="838">
        <f>'Exh 18, Class Rates'!E24</f>
        <v>0.15923000000000001</v>
      </c>
      <c r="E142" s="1241">
        <f>'Exh 18, Class Rates'!H24</f>
        <v>0.15848177990176257</v>
      </c>
      <c r="J142" s="848">
        <v>4000</v>
      </c>
    </row>
    <row r="143" spans="1:10">
      <c r="B143" s="852"/>
      <c r="C143" s="857"/>
      <c r="D143" s="859"/>
      <c r="E143" s="835"/>
    </row>
    <row r="144" spans="1:10">
      <c r="B144" s="852">
        <f>MAX(B132:B143)+1</f>
        <v>3</v>
      </c>
      <c r="C144" s="860" t="s">
        <v>2507</v>
      </c>
      <c r="D144" s="869">
        <f>$D$15</f>
        <v>0.57362999999999997</v>
      </c>
      <c r="E144" s="866">
        <f>D144</f>
        <v>0.57362999999999997</v>
      </c>
    </row>
    <row r="145" spans="2:14">
      <c r="B145" s="852"/>
    </row>
    <row r="146" spans="2:14">
      <c r="B146" s="852"/>
      <c r="C146" s="852"/>
      <c r="D146" s="852"/>
      <c r="E146" s="852"/>
    </row>
    <row r="147" spans="2:14" ht="16.2">
      <c r="B147" s="852"/>
      <c r="C147" s="852" t="s">
        <v>2531</v>
      </c>
      <c r="D147" s="852" t="s">
        <v>2508</v>
      </c>
      <c r="E147" s="852" t="s">
        <v>2508</v>
      </c>
      <c r="F147" s="861" t="s">
        <v>2532</v>
      </c>
      <c r="G147" s="861"/>
    </row>
    <row r="148" spans="2:14" ht="16.2">
      <c r="B148" s="852"/>
      <c r="C148" s="853" t="s">
        <v>2533</v>
      </c>
      <c r="D148" s="853" t="s">
        <v>2534</v>
      </c>
      <c r="E148" s="853" t="s">
        <v>2477</v>
      </c>
      <c r="F148" s="853" t="s">
        <v>729</v>
      </c>
      <c r="G148" s="853" t="s">
        <v>2513</v>
      </c>
    </row>
    <row r="149" spans="2:14">
      <c r="B149" s="852"/>
    </row>
    <row r="150" spans="2:14">
      <c r="B150" s="852">
        <f>MAX(B138:B149)+1</f>
        <v>4</v>
      </c>
      <c r="C150" s="867">
        <v>0</v>
      </c>
      <c r="D150" s="862">
        <f>D$137+(D$140+D$144)*$C150</f>
        <v>60</v>
      </c>
      <c r="E150" s="862">
        <f>E$137+(E$140+E$144)*$C150</f>
        <v>60</v>
      </c>
      <c r="F150" s="862">
        <f>E150-D150</f>
        <v>0</v>
      </c>
      <c r="G150" s="863">
        <f>F150/D150</f>
        <v>0</v>
      </c>
      <c r="J150" s="870"/>
      <c r="K150" s="871"/>
      <c r="M150" s="871"/>
      <c r="N150" s="871"/>
    </row>
    <row r="151" spans="2:14">
      <c r="B151" s="852"/>
      <c r="C151" s="867"/>
      <c r="D151" s="862"/>
      <c r="E151" s="862"/>
      <c r="F151" s="862"/>
      <c r="G151" s="863"/>
    </row>
    <row r="152" spans="2:14">
      <c r="B152" s="852">
        <f t="shared" ref="B152:B199" si="3">MAX(B143:B151)+1</f>
        <v>5</v>
      </c>
      <c r="C152" s="867">
        <v>100</v>
      </c>
      <c r="D152" s="862">
        <f>D$137+(D$140+D$144)*$C152</f>
        <v>137.53899999999999</v>
      </c>
      <c r="E152" s="862">
        <f>E$137+(E$140+E$144)*$C152</f>
        <v>137.44419318782866</v>
      </c>
      <c r="F152" s="862">
        <f>E152-D152</f>
        <v>-9.4806812171327692E-2</v>
      </c>
      <c r="G152" s="863">
        <f>F152/D152</f>
        <v>-6.8930857554095715E-4</v>
      </c>
      <c r="M152" s="859"/>
    </row>
    <row r="153" spans="2:14">
      <c r="B153" s="852">
        <f t="shared" si="3"/>
        <v>6</v>
      </c>
      <c r="C153" s="867">
        <f>+C152+100</f>
        <v>200</v>
      </c>
      <c r="D153" s="862">
        <f t="shared" ref="D153:E156" si="4">D$137+(D$140+D$144)*$C153</f>
        <v>215.078</v>
      </c>
      <c r="E153" s="862">
        <f t="shared" si="4"/>
        <v>214.88838637565735</v>
      </c>
      <c r="F153" s="862">
        <f>E153-D153</f>
        <v>-0.18961362434265538</v>
      </c>
      <c r="G153" s="863">
        <f>F153/D153</f>
        <v>-8.8160399642295067E-4</v>
      </c>
      <c r="M153" s="859"/>
    </row>
    <row r="154" spans="2:14">
      <c r="B154" s="852">
        <f t="shared" si="3"/>
        <v>7</v>
      </c>
      <c r="C154" s="867">
        <f t="shared" ref="C154:C168" si="5">+C153+100</f>
        <v>300</v>
      </c>
      <c r="D154" s="862">
        <f t="shared" si="4"/>
        <v>292.61700000000002</v>
      </c>
      <c r="E154" s="862">
        <f t="shared" si="4"/>
        <v>292.33257956348604</v>
      </c>
      <c r="F154" s="862">
        <f>E154-D154</f>
        <v>-0.28442043651398308</v>
      </c>
      <c r="G154" s="863">
        <f>F154/D154</f>
        <v>-9.7198876522547578E-4</v>
      </c>
      <c r="M154" s="859"/>
    </row>
    <row r="155" spans="2:14">
      <c r="B155" s="852">
        <f t="shared" si="3"/>
        <v>8</v>
      </c>
      <c r="C155" s="867">
        <f t="shared" si="5"/>
        <v>400</v>
      </c>
      <c r="D155" s="862">
        <f t="shared" si="4"/>
        <v>370.15600000000001</v>
      </c>
      <c r="E155" s="862">
        <f t="shared" si="4"/>
        <v>369.7767727513147</v>
      </c>
      <c r="F155" s="862">
        <f>E155-D155</f>
        <v>-0.37922724868531077</v>
      </c>
      <c r="G155" s="863">
        <f>F155/D155</f>
        <v>-1.024506555844862E-3</v>
      </c>
      <c r="M155" s="859"/>
    </row>
    <row r="156" spans="2:14">
      <c r="B156" s="852">
        <f t="shared" si="3"/>
        <v>9</v>
      </c>
      <c r="C156" s="867">
        <f t="shared" si="5"/>
        <v>500</v>
      </c>
      <c r="D156" s="862">
        <f t="shared" si="4"/>
        <v>447.69499999999999</v>
      </c>
      <c r="E156" s="862">
        <f t="shared" si="4"/>
        <v>447.22096593914341</v>
      </c>
      <c r="F156" s="862">
        <f>E156-D156</f>
        <v>-0.47403406085658162</v>
      </c>
      <c r="G156" s="863">
        <f>F156/D156</f>
        <v>-1.0588325999990654E-3</v>
      </c>
      <c r="M156" s="859"/>
    </row>
    <row r="157" spans="2:14">
      <c r="B157" s="852"/>
      <c r="C157" s="867"/>
      <c r="D157" s="862"/>
      <c r="E157" s="862"/>
      <c r="F157" s="862"/>
      <c r="G157" s="863"/>
    </row>
    <row r="158" spans="2:14">
      <c r="B158" s="852">
        <f t="shared" si="3"/>
        <v>10</v>
      </c>
      <c r="C158" s="867">
        <f>+C156+100</f>
        <v>600</v>
      </c>
      <c r="D158" s="862">
        <f t="shared" ref="D158:E162" si="6">D$137+(D$144*$C158)+D$141*($C158-$J$140)+D$140*$J$140</f>
        <v>521.53899999999999</v>
      </c>
      <c r="E158" s="862">
        <f t="shared" si="6"/>
        <v>520.98752189317815</v>
      </c>
      <c r="F158" s="862">
        <f>E158-D158</f>
        <v>-0.55147810682183263</v>
      </c>
      <c r="G158" s="863">
        <f>F158/D158</f>
        <v>-1.0574053077944941E-3</v>
      </c>
      <c r="M158" s="859"/>
    </row>
    <row r="159" spans="2:14">
      <c r="B159" s="852">
        <f t="shared" si="3"/>
        <v>11</v>
      </c>
      <c r="C159" s="867">
        <f t="shared" si="5"/>
        <v>700</v>
      </c>
      <c r="D159" s="862">
        <f t="shared" si="6"/>
        <v>595.38300000000004</v>
      </c>
      <c r="E159" s="862">
        <f t="shared" si="6"/>
        <v>594.75407784721278</v>
      </c>
      <c r="F159" s="862">
        <f>E159-D159</f>
        <v>-0.62892215278725416</v>
      </c>
      <c r="G159" s="863">
        <f>F159/D159</f>
        <v>-1.0563320632051203E-3</v>
      </c>
      <c r="M159" s="859"/>
    </row>
    <row r="160" spans="2:14">
      <c r="B160" s="852">
        <f>MAX(B150:B159)+1</f>
        <v>12</v>
      </c>
      <c r="C160" s="867">
        <f t="shared" si="5"/>
        <v>800</v>
      </c>
      <c r="D160" s="862">
        <f t="shared" si="6"/>
        <v>669.22699999999998</v>
      </c>
      <c r="E160" s="862">
        <f t="shared" si="6"/>
        <v>668.52063380124764</v>
      </c>
      <c r="F160" s="862">
        <f>E160-D160</f>
        <v>-0.70636619875233464</v>
      </c>
      <c r="G160" s="863">
        <f>F160/D160</f>
        <v>-1.0554956670193144E-3</v>
      </c>
      <c r="M160" s="859"/>
    </row>
    <row r="161" spans="2:13">
      <c r="B161" s="852">
        <f>MAX(B151:B160)+1</f>
        <v>13</v>
      </c>
      <c r="C161" s="867">
        <f t="shared" si="5"/>
        <v>900</v>
      </c>
      <c r="D161" s="862">
        <f t="shared" si="6"/>
        <v>743.07099999999991</v>
      </c>
      <c r="E161" s="862">
        <f t="shared" si="6"/>
        <v>742.28718975528227</v>
      </c>
      <c r="F161" s="862">
        <f>E161-D161</f>
        <v>-0.78381024471764249</v>
      </c>
      <c r="G161" s="863">
        <f>F161/D161</f>
        <v>-1.0548255075459043E-3</v>
      </c>
      <c r="M161" s="859"/>
    </row>
    <row r="162" spans="2:13">
      <c r="B162" s="852">
        <f>MAX(B152:B161)+1</f>
        <v>14</v>
      </c>
      <c r="C162" s="867">
        <f t="shared" si="5"/>
        <v>1000</v>
      </c>
      <c r="D162" s="862">
        <f t="shared" si="6"/>
        <v>816.91499999999996</v>
      </c>
      <c r="E162" s="862">
        <f t="shared" si="6"/>
        <v>816.05374570931713</v>
      </c>
      <c r="F162" s="862">
        <f>E162-D162</f>
        <v>-0.86125429068283665</v>
      </c>
      <c r="G162" s="863">
        <f>F162/D162</f>
        <v>-1.0542765045112854E-3</v>
      </c>
      <c r="M162" s="859"/>
    </row>
    <row r="163" spans="2:13">
      <c r="B163" s="852"/>
      <c r="C163" s="867"/>
      <c r="D163" s="862"/>
      <c r="E163" s="862"/>
      <c r="F163" s="862"/>
      <c r="G163" s="863"/>
    </row>
    <row r="164" spans="2:13">
      <c r="B164" s="852">
        <f>MAX(B154:B163)+1</f>
        <v>15</v>
      </c>
      <c r="C164" s="867">
        <f>+C162+100</f>
        <v>1100</v>
      </c>
      <c r="D164" s="862">
        <f t="shared" ref="D164:E168" si="7">D$137+(D$144*$C164)+D$141*($C164-$J$140)+D$140*$J$140</f>
        <v>890.7589999999999</v>
      </c>
      <c r="E164" s="862">
        <f t="shared" si="7"/>
        <v>889.82030166335176</v>
      </c>
      <c r="F164" s="862">
        <f>E164-D164</f>
        <v>-0.9386983366481445</v>
      </c>
      <c r="G164" s="863">
        <f>F164/D164</f>
        <v>-1.0538185262771913E-3</v>
      </c>
      <c r="M164" s="859"/>
    </row>
    <row r="165" spans="2:13">
      <c r="B165" s="852">
        <f>MAX(B155:B164)+1</f>
        <v>16</v>
      </c>
      <c r="C165" s="867">
        <f t="shared" si="5"/>
        <v>1200</v>
      </c>
      <c r="D165" s="862">
        <f t="shared" si="7"/>
        <v>964.60299999999995</v>
      </c>
      <c r="E165" s="862">
        <f t="shared" si="7"/>
        <v>963.58685761738639</v>
      </c>
      <c r="F165" s="862">
        <f>E165-D165</f>
        <v>-1.016142382613566</v>
      </c>
      <c r="G165" s="863">
        <f>F165/D165</f>
        <v>-1.0534306679676158E-3</v>
      </c>
      <c r="M165" s="859"/>
    </row>
    <row r="166" spans="2:13">
      <c r="B166" s="852">
        <f>MAX(B155:B165)+1</f>
        <v>17</v>
      </c>
      <c r="C166" s="867">
        <f t="shared" si="5"/>
        <v>1300</v>
      </c>
      <c r="D166" s="862">
        <f t="shared" si="7"/>
        <v>1038.4470000000001</v>
      </c>
      <c r="E166" s="862">
        <f t="shared" si="7"/>
        <v>1037.3534135714212</v>
      </c>
      <c r="F166" s="862">
        <f>E166-D166</f>
        <v>-1.0935864285788739</v>
      </c>
      <c r="G166" s="863">
        <f>F166/D166</f>
        <v>-1.0530979708919894E-3</v>
      </c>
      <c r="M166" s="859"/>
    </row>
    <row r="167" spans="2:13">
      <c r="B167" s="852">
        <f>MAX(B156:B166)+1</f>
        <v>18</v>
      </c>
      <c r="C167" s="867">
        <f t="shared" si="5"/>
        <v>1400</v>
      </c>
      <c r="D167" s="862">
        <f t="shared" si="7"/>
        <v>1112.2910000000002</v>
      </c>
      <c r="E167" s="862">
        <f t="shared" si="7"/>
        <v>1111.1199695254559</v>
      </c>
      <c r="F167" s="862">
        <f>E167-D167</f>
        <v>-1.1710304745442954</v>
      </c>
      <c r="G167" s="863">
        <f>F167/D167</f>
        <v>-1.0528094487362526E-3</v>
      </c>
      <c r="M167" s="859"/>
    </row>
    <row r="168" spans="2:13">
      <c r="B168" s="852">
        <f>MAX(B158:B167)+1</f>
        <v>19</v>
      </c>
      <c r="C168" s="867">
        <f t="shared" si="5"/>
        <v>1500</v>
      </c>
      <c r="D168" s="862">
        <f t="shared" si="7"/>
        <v>1186.1349999999998</v>
      </c>
      <c r="E168" s="862">
        <f t="shared" si="7"/>
        <v>1184.8865254794907</v>
      </c>
      <c r="F168" s="862">
        <f>E168-D168</f>
        <v>-1.2484745205090348</v>
      </c>
      <c r="G168" s="863">
        <f>F168/D168</f>
        <v>-1.0525568510405942E-3</v>
      </c>
      <c r="M168" s="859"/>
    </row>
    <row r="169" spans="2:13">
      <c r="B169" s="852"/>
      <c r="C169" s="867"/>
      <c r="D169" s="862"/>
      <c r="E169" s="862"/>
      <c r="F169" s="862"/>
      <c r="G169" s="863"/>
    </row>
    <row r="170" spans="2:13">
      <c r="B170" s="852">
        <f>MAX(B160:B169)+1</f>
        <v>20</v>
      </c>
      <c r="C170" s="867">
        <f>+C168+500</f>
        <v>2000</v>
      </c>
      <c r="D170" s="862">
        <f t="shared" ref="D170:E174" si="8">D$137+(D$144*$C170)+D$141*($C170-$J$140)+D$140*$J$140</f>
        <v>1555.355</v>
      </c>
      <c r="E170" s="862">
        <f t="shared" si="8"/>
        <v>1553.7193052496643</v>
      </c>
      <c r="F170" s="862">
        <f>E170-D170</f>
        <v>-1.6356947503356878</v>
      </c>
      <c r="G170" s="863">
        <f>F170/D170</f>
        <v>-1.0516536419889271E-3</v>
      </c>
      <c r="M170" s="859"/>
    </row>
    <row r="171" spans="2:13">
      <c r="B171" s="852">
        <f>MAX(B161:B170)+1</f>
        <v>21</v>
      </c>
      <c r="C171" s="867">
        <f>+C170+500</f>
        <v>2500</v>
      </c>
      <c r="D171" s="862">
        <f t="shared" si="8"/>
        <v>1924.5750000000003</v>
      </c>
      <c r="E171" s="862">
        <f t="shared" si="8"/>
        <v>1922.5520850198379</v>
      </c>
      <c r="F171" s="862">
        <f>E171-D171</f>
        <v>-2.0229149801623407</v>
      </c>
      <c r="G171" s="863">
        <f>F171/D171</f>
        <v>-1.0510969851329985E-3</v>
      </c>
      <c r="M171" s="859"/>
    </row>
    <row r="172" spans="2:13">
      <c r="B172" s="852">
        <f>MAX(B162:B171)+1</f>
        <v>22</v>
      </c>
      <c r="C172" s="867">
        <f>+C171+500</f>
        <v>3000</v>
      </c>
      <c r="D172" s="862">
        <f t="shared" si="8"/>
        <v>2293.7950000000001</v>
      </c>
      <c r="E172" s="862">
        <f t="shared" si="8"/>
        <v>2291.3848647900113</v>
      </c>
      <c r="F172" s="862">
        <f>E172-D172</f>
        <v>-2.4101352099887663</v>
      </c>
      <c r="G172" s="863">
        <f>F172/D172</f>
        <v>-1.0507195324729395E-3</v>
      </c>
      <c r="M172" s="859"/>
    </row>
    <row r="173" spans="2:13">
      <c r="B173" s="852">
        <f t="shared" si="3"/>
        <v>23</v>
      </c>
      <c r="C173" s="867">
        <f>+C172+500</f>
        <v>3500</v>
      </c>
      <c r="D173" s="862">
        <f t="shared" si="8"/>
        <v>2663.0150000000003</v>
      </c>
      <c r="E173" s="862">
        <f t="shared" si="8"/>
        <v>2660.2176445601849</v>
      </c>
      <c r="F173" s="862">
        <f>E173-D173</f>
        <v>-2.7973554398154192</v>
      </c>
      <c r="G173" s="863">
        <f>F173/D173</f>
        <v>-1.0504467454428229E-3</v>
      </c>
      <c r="M173" s="859"/>
    </row>
    <row r="174" spans="2:13">
      <c r="B174" s="852">
        <f t="shared" si="3"/>
        <v>24</v>
      </c>
      <c r="C174" s="867">
        <f>+C173+500</f>
        <v>4000</v>
      </c>
      <c r="D174" s="862">
        <f t="shared" si="8"/>
        <v>3032.2350000000001</v>
      </c>
      <c r="E174" s="862">
        <f t="shared" si="8"/>
        <v>3029.0504243303585</v>
      </c>
      <c r="F174" s="862">
        <f>E174-D174</f>
        <v>-3.1845756696416174</v>
      </c>
      <c r="G174" s="863">
        <f>F174/D174</f>
        <v>-1.0502403902209482E-3</v>
      </c>
      <c r="M174" s="859"/>
    </row>
    <row r="175" spans="2:13">
      <c r="B175" s="852"/>
      <c r="C175" s="867"/>
      <c r="D175" s="862"/>
      <c r="E175" s="862"/>
      <c r="F175" s="862"/>
      <c r="G175" s="863"/>
    </row>
    <row r="176" spans="2:13">
      <c r="B176" s="852">
        <f t="shared" si="3"/>
        <v>25</v>
      </c>
      <c r="C176" s="867">
        <f>+C174+1000</f>
        <v>5000</v>
      </c>
      <c r="D176" s="862">
        <f t="shared" ref="D176:E180" si="9">D$137+(D$144*$C176)+D$142*($C176-$J$140-$J$141)+D$140*$J$140+D$141*$J$141</f>
        <v>3765.0950000000003</v>
      </c>
      <c r="E176" s="862">
        <f t="shared" si="9"/>
        <v>3761.162204232121</v>
      </c>
      <c r="F176" s="862">
        <f>E176-D176</f>
        <v>-3.93279576787927</v>
      </c>
      <c r="G176" s="863">
        <f>F176/D176</f>
        <v>-1.0445409127470275E-3</v>
      </c>
    </row>
    <row r="177" spans="2:7">
      <c r="B177" s="852">
        <f t="shared" si="3"/>
        <v>26</v>
      </c>
      <c r="C177" s="867">
        <f>+C176+1000</f>
        <v>6000</v>
      </c>
      <c r="D177" s="862">
        <f t="shared" si="9"/>
        <v>4497.9549999999999</v>
      </c>
      <c r="E177" s="862">
        <f t="shared" si="9"/>
        <v>4493.2739841338835</v>
      </c>
      <c r="F177" s="862">
        <f>E177-D177</f>
        <v>-4.6810158661164678</v>
      </c>
      <c r="G177" s="863">
        <f>F177/D177</f>
        <v>-1.0406986877628762E-3</v>
      </c>
    </row>
    <row r="178" spans="2:7">
      <c r="B178" s="852">
        <f t="shared" si="3"/>
        <v>27</v>
      </c>
      <c r="C178" s="867">
        <f>+C177+1000</f>
        <v>7000</v>
      </c>
      <c r="D178" s="862">
        <f t="shared" si="9"/>
        <v>5230.8150000000005</v>
      </c>
      <c r="E178" s="862">
        <f t="shared" si="9"/>
        <v>5225.3857640356455</v>
      </c>
      <c r="F178" s="862">
        <f>E178-D178</f>
        <v>-5.4292359643550299</v>
      </c>
      <c r="G178" s="863">
        <f>F178/D178</f>
        <v>-1.0379330877415909E-3</v>
      </c>
    </row>
    <row r="179" spans="2:7">
      <c r="B179" s="852">
        <f t="shared" si="3"/>
        <v>28</v>
      </c>
      <c r="C179" s="867">
        <f>+C178+1000</f>
        <v>8000</v>
      </c>
      <c r="D179" s="862">
        <f t="shared" si="9"/>
        <v>5963.6750000000002</v>
      </c>
      <c r="E179" s="862">
        <f t="shared" si="9"/>
        <v>5957.4975439374084</v>
      </c>
      <c r="F179" s="862">
        <f>E179-D179</f>
        <v>-6.1774560625917729</v>
      </c>
      <c r="G179" s="863">
        <f>F179/D179</f>
        <v>-1.0358472020342779E-3</v>
      </c>
    </row>
    <row r="180" spans="2:7">
      <c r="B180" s="852">
        <f t="shared" si="3"/>
        <v>29</v>
      </c>
      <c r="C180" s="867">
        <f>+C179+1000</f>
        <v>9000</v>
      </c>
      <c r="D180" s="862">
        <f t="shared" si="9"/>
        <v>6696.5349999999999</v>
      </c>
      <c r="E180" s="862">
        <f t="shared" si="9"/>
        <v>6689.6093238391713</v>
      </c>
      <c r="F180" s="862">
        <f>E180-D180</f>
        <v>-6.925676160828516</v>
      </c>
      <c r="G180" s="863">
        <f>F180/D180</f>
        <v>-1.0342178695143857E-3</v>
      </c>
    </row>
    <row r="181" spans="2:7">
      <c r="B181" s="852"/>
      <c r="C181" s="867"/>
      <c r="D181" s="862"/>
      <c r="E181" s="862"/>
      <c r="F181" s="862"/>
      <c r="G181" s="863"/>
    </row>
    <row r="182" spans="2:7">
      <c r="B182" s="852">
        <f t="shared" si="3"/>
        <v>30</v>
      </c>
      <c r="C182" s="867">
        <f>+C180+1000</f>
        <v>10000</v>
      </c>
      <c r="D182" s="862">
        <f t="shared" ref="D182:E186" si="10">D$137+(D$144*$C182)+D$142*($C182-$J$140-$J$141)+D$140*$J$140+D$141*$J$141</f>
        <v>7429.3950000000004</v>
      </c>
      <c r="E182" s="862">
        <f t="shared" si="10"/>
        <v>7421.7211037409343</v>
      </c>
      <c r="F182" s="862">
        <f>E182-D182</f>
        <v>-7.6738962590661686</v>
      </c>
      <c r="G182" s="863">
        <f>F182/D182</f>
        <v>-1.0329099824502759E-3</v>
      </c>
    </row>
    <row r="183" spans="2:7">
      <c r="B183" s="852">
        <f t="shared" si="3"/>
        <v>31</v>
      </c>
      <c r="C183" s="867">
        <f>+C182+2500</f>
        <v>12500</v>
      </c>
      <c r="D183" s="862">
        <f t="shared" si="10"/>
        <v>9261.5449999999983</v>
      </c>
      <c r="E183" s="862">
        <f t="shared" si="10"/>
        <v>9252.0005534953416</v>
      </c>
      <c r="F183" s="862">
        <f>E183-D183</f>
        <v>-9.544446504656662</v>
      </c>
      <c r="G183" s="863">
        <f>F183/D183</f>
        <v>-1.0305458219613103E-3</v>
      </c>
    </row>
    <row r="184" spans="2:7">
      <c r="B184" s="852">
        <f t="shared" si="3"/>
        <v>32</v>
      </c>
      <c r="C184" s="867">
        <f>+C183+2500</f>
        <v>15000</v>
      </c>
      <c r="D184" s="862">
        <f t="shared" si="10"/>
        <v>11093.695</v>
      </c>
      <c r="E184" s="862">
        <f t="shared" si="10"/>
        <v>11082.280003249747</v>
      </c>
      <c r="F184" s="862">
        <f>E184-D184</f>
        <v>-11.414996750252612</v>
      </c>
      <c r="G184" s="863">
        <f>F184/D184</f>
        <v>-1.0289625548793807E-3</v>
      </c>
    </row>
    <row r="185" spans="2:7">
      <c r="B185" s="852">
        <f t="shared" si="3"/>
        <v>33</v>
      </c>
      <c r="C185" s="867">
        <f>+C184+2500</f>
        <v>17500</v>
      </c>
      <c r="D185" s="862">
        <f t="shared" si="10"/>
        <v>12925.844999999998</v>
      </c>
      <c r="E185" s="862">
        <f t="shared" si="10"/>
        <v>12912.559453004154</v>
      </c>
      <c r="F185" s="862">
        <f>E185-D185</f>
        <v>-13.285546995843106</v>
      </c>
      <c r="G185" s="863">
        <f>F185/D185</f>
        <v>-1.0278281223272527E-3</v>
      </c>
    </row>
    <row r="186" spans="2:7">
      <c r="B186" s="852">
        <f t="shared" si="3"/>
        <v>34</v>
      </c>
      <c r="C186" s="867">
        <f>+C185+2500</f>
        <v>20000</v>
      </c>
      <c r="D186" s="862">
        <f t="shared" si="10"/>
        <v>14757.994999999999</v>
      </c>
      <c r="E186" s="862">
        <f t="shared" si="10"/>
        <v>14742.838902758562</v>
      </c>
      <c r="F186" s="862">
        <f>E186-D186</f>
        <v>-15.156097241437237</v>
      </c>
      <c r="G186" s="863">
        <f>F186/D186</f>
        <v>-1.0269753609102889E-3</v>
      </c>
    </row>
    <row r="187" spans="2:7">
      <c r="B187" s="852"/>
      <c r="C187" s="867"/>
      <c r="D187" s="862"/>
      <c r="E187" s="862"/>
      <c r="F187" s="862"/>
      <c r="G187" s="863"/>
    </row>
    <row r="188" spans="2:7">
      <c r="B188" s="852">
        <f t="shared" si="3"/>
        <v>35</v>
      </c>
      <c r="C188" s="867">
        <f>+C186+5000</f>
        <v>25000</v>
      </c>
      <c r="D188" s="862">
        <f t="shared" ref="D188:E192" si="11">D$137+(D$144*$C188)+D$142*($C188-$J$140-$J$141)+D$140*$J$140+D$141*$J$141</f>
        <v>18422.295000000002</v>
      </c>
      <c r="E188" s="862">
        <f t="shared" si="11"/>
        <v>18403.397802267373</v>
      </c>
      <c r="F188" s="862">
        <f>E188-D188</f>
        <v>-18.897197732629138</v>
      </c>
      <c r="G188" s="863">
        <f>F188/D188</f>
        <v>-1.0257786954681344E-3</v>
      </c>
    </row>
    <row r="189" spans="2:7">
      <c r="B189" s="852">
        <f t="shared" si="3"/>
        <v>36</v>
      </c>
      <c r="C189" s="867">
        <f>+C188+5000</f>
        <v>30000</v>
      </c>
      <c r="D189" s="862">
        <f t="shared" si="11"/>
        <v>22086.594999999998</v>
      </c>
      <c r="E189" s="862">
        <f t="shared" si="11"/>
        <v>22063.956701776184</v>
      </c>
      <c r="F189" s="862">
        <f>E189-D189</f>
        <v>-22.638298223813763</v>
      </c>
      <c r="G189" s="863">
        <f>F189/D189</f>
        <v>-1.0249790981277905E-3</v>
      </c>
    </row>
    <row r="190" spans="2:7">
      <c r="B190" s="852">
        <f t="shared" si="3"/>
        <v>37</v>
      </c>
      <c r="C190" s="867">
        <f>+C189+5000</f>
        <v>35000</v>
      </c>
      <c r="D190" s="862">
        <f t="shared" si="11"/>
        <v>25750.895</v>
      </c>
      <c r="E190" s="862">
        <f t="shared" si="11"/>
        <v>25724.515601284995</v>
      </c>
      <c r="F190" s="862">
        <f>E190-D190</f>
        <v>-26.379398715005664</v>
      </c>
      <c r="G190" s="863">
        <f>F190/D190</f>
        <v>-1.0244070629391974E-3</v>
      </c>
    </row>
    <row r="191" spans="2:7">
      <c r="B191" s="852">
        <f t="shared" si="3"/>
        <v>38</v>
      </c>
      <c r="C191" s="867">
        <f>+C190+5000</f>
        <v>40000</v>
      </c>
      <c r="D191" s="862">
        <f t="shared" si="11"/>
        <v>29415.195000000003</v>
      </c>
      <c r="E191" s="862">
        <f t="shared" si="11"/>
        <v>29385.074500793813</v>
      </c>
      <c r="F191" s="862">
        <f>E191-D191</f>
        <v>-30.120499206190289</v>
      </c>
      <c r="G191" s="863">
        <f>F191/D191</f>
        <v>-1.0239775465092204E-3</v>
      </c>
    </row>
    <row r="192" spans="2:7">
      <c r="B192" s="852">
        <f t="shared" si="3"/>
        <v>39</v>
      </c>
      <c r="C192" s="867">
        <f>+C191+5000</f>
        <v>45000</v>
      </c>
      <c r="D192" s="862">
        <f t="shared" si="11"/>
        <v>33079.495000000003</v>
      </c>
      <c r="E192" s="862">
        <f t="shared" si="11"/>
        <v>33045.63340030262</v>
      </c>
      <c r="F192" s="862">
        <f>E192-D192</f>
        <v>-33.861599697382189</v>
      </c>
      <c r="G192" s="863">
        <f>F192/D192</f>
        <v>-1.0236431873395342E-3</v>
      </c>
    </row>
    <row r="193" spans="1:8">
      <c r="B193" s="852"/>
      <c r="C193" s="867"/>
      <c r="D193" s="862"/>
      <c r="E193" s="862"/>
      <c r="F193" s="862"/>
      <c r="G193" s="863"/>
    </row>
    <row r="194" spans="1:8">
      <c r="B194" s="852">
        <f t="shared" si="3"/>
        <v>40</v>
      </c>
      <c r="C194" s="867">
        <f>+C192+5000</f>
        <v>50000</v>
      </c>
      <c r="D194" s="862">
        <f t="shared" ref="D194:E199" si="12">D$137+(D$144*$C194)+D$142*($C194-$J$140-$J$141)+D$140*$J$140+D$141*$J$141</f>
        <v>36743.794999999998</v>
      </c>
      <c r="E194" s="862">
        <f t="shared" si="12"/>
        <v>36706.192299811431</v>
      </c>
      <c r="F194" s="862">
        <f t="shared" ref="F194:F199" si="13">E194-D194</f>
        <v>-37.602700188566814</v>
      </c>
      <c r="G194" s="863">
        <f t="shared" ref="G194:G199" si="14">F194/D194</f>
        <v>-1.0233755165618254E-3</v>
      </c>
    </row>
    <row r="195" spans="1:8">
      <c r="B195" s="852">
        <f t="shared" si="3"/>
        <v>41</v>
      </c>
      <c r="C195" s="867">
        <f>+C194+10000</f>
        <v>60000</v>
      </c>
      <c r="D195" s="862">
        <f t="shared" si="12"/>
        <v>44072.39499999999</v>
      </c>
      <c r="E195" s="862">
        <f t="shared" si="12"/>
        <v>44027.310098829053</v>
      </c>
      <c r="F195" s="862">
        <f t="shared" si="13"/>
        <v>-45.084901170936064</v>
      </c>
      <c r="G195" s="863">
        <f t="shared" si="14"/>
        <v>-1.0229737043093773E-3</v>
      </c>
    </row>
    <row r="196" spans="1:8">
      <c r="B196" s="852">
        <f t="shared" si="3"/>
        <v>42</v>
      </c>
      <c r="C196" s="867">
        <f>+C195+10000</f>
        <v>70000</v>
      </c>
      <c r="D196" s="862">
        <f t="shared" si="12"/>
        <v>51400.994999999995</v>
      </c>
      <c r="E196" s="862">
        <f t="shared" si="12"/>
        <v>51348.427897846683</v>
      </c>
      <c r="F196" s="862">
        <f t="shared" si="13"/>
        <v>-52.56710215331259</v>
      </c>
      <c r="G196" s="863">
        <f t="shared" si="14"/>
        <v>-1.0226864704333562E-3</v>
      </c>
    </row>
    <row r="197" spans="1:8">
      <c r="B197" s="852">
        <f t="shared" si="3"/>
        <v>43</v>
      </c>
      <c r="C197" s="867">
        <f>+C196+10000</f>
        <v>80000</v>
      </c>
      <c r="D197" s="862">
        <f t="shared" si="12"/>
        <v>58729.595000000001</v>
      </c>
      <c r="E197" s="862">
        <f t="shared" si="12"/>
        <v>58669.545696864312</v>
      </c>
      <c r="F197" s="862">
        <f t="shared" si="13"/>
        <v>-60.049303135689115</v>
      </c>
      <c r="G197" s="863">
        <f t="shared" si="14"/>
        <v>-1.022470921784649E-3</v>
      </c>
    </row>
    <row r="198" spans="1:8">
      <c r="B198" s="852">
        <f t="shared" si="3"/>
        <v>44</v>
      </c>
      <c r="C198" s="867">
        <f>+C197+10000</f>
        <v>90000</v>
      </c>
      <c r="D198" s="862">
        <f t="shared" si="12"/>
        <v>66058.194999999992</v>
      </c>
      <c r="E198" s="862">
        <f t="shared" si="12"/>
        <v>65990.663495881934</v>
      </c>
      <c r="F198" s="862">
        <f t="shared" si="13"/>
        <v>-67.531504118058365</v>
      </c>
      <c r="G198" s="863">
        <f t="shared" si="14"/>
        <v>-1.022303199747713E-3</v>
      </c>
    </row>
    <row r="199" spans="1:8">
      <c r="B199" s="852">
        <f t="shared" si="3"/>
        <v>45</v>
      </c>
      <c r="C199" s="867">
        <f>+C198+10000</f>
        <v>100000</v>
      </c>
      <c r="D199" s="862">
        <f t="shared" si="12"/>
        <v>73386.795000000013</v>
      </c>
      <c r="E199" s="862">
        <f t="shared" si="12"/>
        <v>73311.781294899571</v>
      </c>
      <c r="F199" s="862">
        <f t="shared" si="13"/>
        <v>-75.013705100442166</v>
      </c>
      <c r="G199" s="863">
        <f t="shared" si="14"/>
        <v>-1.0221689760459242E-3</v>
      </c>
    </row>
    <row r="201" spans="1:8">
      <c r="A201" s="849" t="str">
        <f>$A$1</f>
        <v>Cascade Natural Gas Corporation</v>
      </c>
      <c r="H201" s="847" t="str">
        <f>$H$1</f>
        <v>CNGC/508</v>
      </c>
    </row>
    <row r="202" spans="1:8">
      <c r="A202" s="849" t="str">
        <f>$A$2</f>
        <v>Washington Jurisdiction</v>
      </c>
      <c r="H202" s="847" t="s">
        <v>2540</v>
      </c>
    </row>
    <row r="203" spans="1:8">
      <c r="A203" s="849" t="str">
        <f>$A$3</f>
        <v>Test Year Ended December 31, 2019</v>
      </c>
      <c r="H203" s="850" t="str">
        <f>$H$3</f>
        <v>Impact of Recommended Rate Changes</v>
      </c>
    </row>
    <row r="204" spans="1:8">
      <c r="A204" s="849"/>
    </row>
    <row r="205" spans="1:8">
      <c r="B205" s="851" t="str">
        <f>'Exh 18, Class Rates'!C28</f>
        <v>Large Volume General Service - 511</v>
      </c>
    </row>
    <row r="207" spans="1:8">
      <c r="B207" s="852" t="s">
        <v>2502</v>
      </c>
    </row>
    <row r="208" spans="1:8" ht="16.2">
      <c r="B208" s="853" t="s">
        <v>2503</v>
      </c>
      <c r="C208" s="853" t="s">
        <v>97</v>
      </c>
      <c r="D208" s="853" t="s">
        <v>98</v>
      </c>
      <c r="E208" s="853" t="s">
        <v>1098</v>
      </c>
      <c r="F208" s="853" t="s">
        <v>2505</v>
      </c>
      <c r="G208" s="853" t="s">
        <v>1100</v>
      </c>
    </row>
    <row r="209" spans="2:10">
      <c r="B209" s="852"/>
      <c r="C209" s="854"/>
      <c r="D209" s="855" t="s">
        <v>2506</v>
      </c>
      <c r="E209" s="856" t="s">
        <v>2314</v>
      </c>
    </row>
    <row r="210" spans="2:10" ht="16.2">
      <c r="B210" s="852"/>
      <c r="C210" s="857"/>
      <c r="D210" s="853" t="s">
        <v>2324</v>
      </c>
      <c r="E210" s="858" t="s">
        <v>2324</v>
      </c>
    </row>
    <row r="211" spans="2:10">
      <c r="B211" s="852">
        <f>MAX(B201:B210)+1</f>
        <v>1</v>
      </c>
      <c r="C211" s="857" t="s">
        <v>2462</v>
      </c>
      <c r="D211" s="859">
        <f>'Exh 18, Class Rates'!$E$29</f>
        <v>125</v>
      </c>
      <c r="E211" s="872">
        <f>'Exh 18, Class Rates'!$H$29</f>
        <v>125</v>
      </c>
    </row>
    <row r="212" spans="2:10">
      <c r="B212" s="852"/>
      <c r="C212" s="857"/>
      <c r="D212" s="859"/>
      <c r="E212" s="872"/>
    </row>
    <row r="213" spans="2:10">
      <c r="B213" s="852">
        <f>MAX(B203:B212)+1</f>
        <v>2</v>
      </c>
      <c r="C213" s="857" t="s">
        <v>2463</v>
      </c>
      <c r="D213" s="838" t="s">
        <v>49</v>
      </c>
      <c r="E213" s="1241" t="s">
        <v>49</v>
      </c>
    </row>
    <row r="214" spans="2:10">
      <c r="B214" s="852"/>
      <c r="C214" s="868" t="s">
        <v>2541</v>
      </c>
      <c r="D214" s="838">
        <f>'Exh 18, Class Rates'!$E$22</f>
        <v>0.20175999999999999</v>
      </c>
      <c r="E214" s="838">
        <f>'Exh 18, Class Rates'!$H$22</f>
        <v>0.20081193187828683</v>
      </c>
      <c r="J214" s="848">
        <v>20000</v>
      </c>
    </row>
    <row r="215" spans="2:10">
      <c r="B215" s="852"/>
      <c r="C215" s="868" t="s">
        <v>2542</v>
      </c>
      <c r="D215" s="838">
        <f>'Exh 18, Class Rates'!$E$23</f>
        <v>0.16481000000000001</v>
      </c>
      <c r="E215" s="838">
        <f>'Exh 18, Class Rates'!$H$23</f>
        <v>0.16403555954034724</v>
      </c>
      <c r="J215" s="848">
        <v>80000</v>
      </c>
    </row>
    <row r="216" spans="2:10">
      <c r="B216" s="852"/>
      <c r="C216" s="868" t="s">
        <v>2543</v>
      </c>
      <c r="D216" s="838">
        <f>'Exh 18, Class Rates'!$E$24</f>
        <v>0.15923000000000001</v>
      </c>
      <c r="E216" s="838">
        <f>'Exh 18, Class Rates'!$H$24</f>
        <v>0.15848177990176257</v>
      </c>
      <c r="J216" s="848">
        <v>100000</v>
      </c>
    </row>
    <row r="217" spans="2:10">
      <c r="B217" s="852"/>
      <c r="C217" s="857"/>
      <c r="D217" s="859"/>
      <c r="E217" s="835"/>
    </row>
    <row r="218" spans="2:10">
      <c r="B218" s="852">
        <f>MAX(B206:B217)+1</f>
        <v>3</v>
      </c>
      <c r="C218" s="860" t="s">
        <v>2507</v>
      </c>
      <c r="D218" s="869">
        <f>$D$15</f>
        <v>0.57362999999999997</v>
      </c>
      <c r="E218" s="866">
        <f>D218</f>
        <v>0.57362999999999997</v>
      </c>
    </row>
    <row r="219" spans="2:10">
      <c r="B219" s="852"/>
    </row>
    <row r="220" spans="2:10">
      <c r="B220" s="852"/>
      <c r="C220" s="852"/>
      <c r="D220" s="852"/>
      <c r="E220" s="852"/>
    </row>
    <row r="221" spans="2:10" ht="16.2">
      <c r="B221" s="852"/>
      <c r="C221" s="852" t="s">
        <v>2531</v>
      </c>
      <c r="D221" s="852" t="s">
        <v>2508</v>
      </c>
      <c r="E221" s="852" t="s">
        <v>2508</v>
      </c>
      <c r="F221" s="861" t="s">
        <v>2532</v>
      </c>
      <c r="G221" s="861"/>
    </row>
    <row r="222" spans="2:10" ht="16.2">
      <c r="B222" s="852"/>
      <c r="C222" s="853" t="s">
        <v>2533</v>
      </c>
      <c r="D222" s="853" t="s">
        <v>2534</v>
      </c>
      <c r="E222" s="853" t="s">
        <v>2477</v>
      </c>
      <c r="F222" s="853" t="s">
        <v>729</v>
      </c>
      <c r="G222" s="853" t="s">
        <v>2513</v>
      </c>
    </row>
    <row r="223" spans="2:10">
      <c r="B223" s="852"/>
    </row>
    <row r="224" spans="2:10">
      <c r="B224" s="852">
        <f>MAX(B212:B223)+1</f>
        <v>4</v>
      </c>
      <c r="C224" s="867">
        <v>0</v>
      </c>
      <c r="D224" s="862">
        <f>D$211+(D$214+D$218)*$C224</f>
        <v>125</v>
      </c>
      <c r="E224" s="862">
        <f>E$211+(E$214+E$218)*$C224</f>
        <v>125</v>
      </c>
      <c r="F224" s="862">
        <f>E224-D224</f>
        <v>0</v>
      </c>
      <c r="G224" s="863">
        <f>F224/D224</f>
        <v>0</v>
      </c>
    </row>
    <row r="225" spans="2:7">
      <c r="B225" s="852"/>
      <c r="C225" s="867"/>
      <c r="D225" s="862"/>
      <c r="E225" s="862"/>
      <c r="F225" s="862"/>
      <c r="G225" s="863"/>
    </row>
    <row r="226" spans="2:7">
      <c r="B226" s="852">
        <f>MAX(B217:B225)+1</f>
        <v>5</v>
      </c>
      <c r="C226" s="867">
        <v>1000</v>
      </c>
      <c r="D226" s="862">
        <f t="shared" ref="D226:E236" si="15">D$211+(D$214+D$218)*$C226</f>
        <v>900.39</v>
      </c>
      <c r="E226" s="862">
        <f t="shared" si="15"/>
        <v>899.44193187828682</v>
      </c>
      <c r="F226" s="862">
        <f>E226-D226</f>
        <v>-0.94806812171316324</v>
      </c>
      <c r="G226" s="863">
        <f>F226/D226</f>
        <v>-1.0529527446030756E-3</v>
      </c>
    </row>
    <row r="227" spans="2:7">
      <c r="B227" s="852">
        <f>MAX(B218:B226)+1</f>
        <v>6</v>
      </c>
      <c r="C227" s="867">
        <f>+C226+1000</f>
        <v>2000</v>
      </c>
      <c r="D227" s="862">
        <f t="shared" si="15"/>
        <v>1675.78</v>
      </c>
      <c r="E227" s="862">
        <f t="shared" si="15"/>
        <v>1673.8838637565736</v>
      </c>
      <c r="F227" s="862">
        <f>E227-D227</f>
        <v>-1.8961362434263265</v>
      </c>
      <c r="G227" s="863">
        <f>F227/D227</f>
        <v>-1.1314947328565363E-3</v>
      </c>
    </row>
    <row r="228" spans="2:7">
      <c r="B228" s="852">
        <f>MAX(B219:B227)+1</f>
        <v>7</v>
      </c>
      <c r="C228" s="867">
        <f>+C227+1000</f>
        <v>3000</v>
      </c>
      <c r="D228" s="862">
        <f t="shared" si="15"/>
        <v>2451.17</v>
      </c>
      <c r="E228" s="862">
        <f t="shared" si="15"/>
        <v>2448.3257956348602</v>
      </c>
      <c r="F228" s="862">
        <f>E228-D228</f>
        <v>-2.8442043651398308</v>
      </c>
      <c r="G228" s="863">
        <f>F228/D228</f>
        <v>-1.1603456166401477E-3</v>
      </c>
    </row>
    <row r="229" spans="2:7">
      <c r="B229" s="852">
        <f>MAX(B220:B228)+1</f>
        <v>8</v>
      </c>
      <c r="C229" s="867">
        <f>+C228+1000</f>
        <v>4000</v>
      </c>
      <c r="D229" s="862">
        <f t="shared" si="15"/>
        <v>3226.56</v>
      </c>
      <c r="E229" s="862">
        <f t="shared" si="15"/>
        <v>3222.7677275131473</v>
      </c>
      <c r="F229" s="862">
        <f>E229-D229</f>
        <v>-3.7922724868526529</v>
      </c>
      <c r="G229" s="863">
        <f>F229/D229</f>
        <v>-1.1753299138564455E-3</v>
      </c>
    </row>
    <row r="230" spans="2:7">
      <c r="B230" s="852">
        <f>MAX(B221:B229)+1</f>
        <v>9</v>
      </c>
      <c r="C230" s="867">
        <f>+C229+1000</f>
        <v>5000</v>
      </c>
      <c r="D230" s="862">
        <f t="shared" si="15"/>
        <v>4001.9500000000003</v>
      </c>
      <c r="E230" s="862">
        <f t="shared" si="15"/>
        <v>3997.2096593914339</v>
      </c>
      <c r="F230" s="862">
        <f>E230-D230</f>
        <v>-4.7403406085663846</v>
      </c>
      <c r="G230" s="863">
        <f>F230/D230</f>
        <v>-1.1845077046355862E-3</v>
      </c>
    </row>
    <row r="231" spans="2:7">
      <c r="B231" s="852"/>
      <c r="C231" s="867"/>
      <c r="D231" s="862"/>
      <c r="E231" s="862"/>
      <c r="F231" s="862"/>
      <c r="G231" s="863"/>
    </row>
    <row r="232" spans="2:7">
      <c r="B232" s="852">
        <f t="shared" ref="B232:B273" si="16">MAX(B223:B231)+1</f>
        <v>10</v>
      </c>
      <c r="C232" s="867">
        <f>+C230+3000</f>
        <v>8000</v>
      </c>
      <c r="D232" s="862">
        <f t="shared" si="15"/>
        <v>6328.12</v>
      </c>
      <c r="E232" s="862">
        <f t="shared" si="15"/>
        <v>6320.5354550262946</v>
      </c>
      <c r="F232" s="862">
        <f>E232-D232</f>
        <v>-7.5845449737053059</v>
      </c>
      <c r="G232" s="863">
        <f>F232/D232</f>
        <v>-1.1985463255604044E-3</v>
      </c>
    </row>
    <row r="233" spans="2:7">
      <c r="B233" s="852">
        <f t="shared" si="16"/>
        <v>11</v>
      </c>
      <c r="C233" s="867">
        <f>+C232+3000</f>
        <v>11000</v>
      </c>
      <c r="D233" s="862">
        <f t="shared" si="15"/>
        <v>8654.2900000000009</v>
      </c>
      <c r="E233" s="862">
        <f t="shared" si="15"/>
        <v>8643.8612506611553</v>
      </c>
      <c r="F233" s="862">
        <f>E233-D233</f>
        <v>-10.428749338845591</v>
      </c>
      <c r="G233" s="863">
        <f>F233/D233</f>
        <v>-1.2050381185337664E-3</v>
      </c>
    </row>
    <row r="234" spans="2:7">
      <c r="B234" s="852">
        <f t="shared" si="16"/>
        <v>12</v>
      </c>
      <c r="C234" s="867">
        <f>+C233+3000</f>
        <v>14000</v>
      </c>
      <c r="D234" s="862">
        <f t="shared" si="15"/>
        <v>10980.460000000001</v>
      </c>
      <c r="E234" s="862">
        <f t="shared" si="15"/>
        <v>10967.187046296016</v>
      </c>
      <c r="F234" s="862">
        <f>E234-D234</f>
        <v>-13.272953703984967</v>
      </c>
      <c r="G234" s="863">
        <f>F234/D234</f>
        <v>-1.2087793866545633E-3</v>
      </c>
    </row>
    <row r="235" spans="2:7">
      <c r="B235" s="852">
        <f t="shared" si="16"/>
        <v>13</v>
      </c>
      <c r="C235" s="867">
        <f>+C234+3000</f>
        <v>17000</v>
      </c>
      <c r="D235" s="862">
        <f t="shared" si="15"/>
        <v>13306.630000000001</v>
      </c>
      <c r="E235" s="862">
        <f t="shared" si="15"/>
        <v>13290.512841930875</v>
      </c>
      <c r="F235" s="862">
        <f>E235-D235</f>
        <v>-16.117158069126162</v>
      </c>
      <c r="G235" s="863">
        <f>F235/D235</f>
        <v>-1.2112126112416262E-3</v>
      </c>
    </row>
    <row r="236" spans="2:7">
      <c r="B236" s="852">
        <f t="shared" si="16"/>
        <v>14</v>
      </c>
      <c r="C236" s="867">
        <f>+C235+3000</f>
        <v>20000</v>
      </c>
      <c r="D236" s="862">
        <f t="shared" si="15"/>
        <v>15632.800000000001</v>
      </c>
      <c r="E236" s="862">
        <f t="shared" si="15"/>
        <v>15613.838637565736</v>
      </c>
      <c r="F236" s="862">
        <f>E236-D236</f>
        <v>-18.961362434265538</v>
      </c>
      <c r="G236" s="863">
        <f>F236/D236</f>
        <v>-1.2129217052777197E-3</v>
      </c>
    </row>
    <row r="237" spans="2:7">
      <c r="B237" s="852"/>
      <c r="C237" s="867"/>
      <c r="D237" s="862"/>
      <c r="E237" s="862"/>
      <c r="F237" s="862"/>
      <c r="G237" s="863"/>
    </row>
    <row r="238" spans="2:7">
      <c r="B238" s="852">
        <f t="shared" si="16"/>
        <v>15</v>
      </c>
      <c r="C238" s="867">
        <f>+C236+3000</f>
        <v>23000</v>
      </c>
      <c r="D238" s="862">
        <f t="shared" ref="D238:E242" si="17">D$211+(D$218*$C238)+D$215*($C238-$J$214)+D$214*$J$214</f>
        <v>17848.12</v>
      </c>
      <c r="E238" s="862">
        <f t="shared" si="17"/>
        <v>17826.835316186778</v>
      </c>
      <c r="F238" s="862">
        <f>E238-D238</f>
        <v>-21.284683813220909</v>
      </c>
      <c r="G238" s="863">
        <f>F238/D238</f>
        <v>-1.1925448626085497E-3</v>
      </c>
    </row>
    <row r="239" spans="2:7">
      <c r="B239" s="852">
        <f t="shared" si="16"/>
        <v>16</v>
      </c>
      <c r="C239" s="867">
        <f>+C238+3000</f>
        <v>26000</v>
      </c>
      <c r="D239" s="862">
        <f t="shared" si="17"/>
        <v>20063.439999999999</v>
      </c>
      <c r="E239" s="862">
        <f t="shared" si="17"/>
        <v>20039.831994807821</v>
      </c>
      <c r="F239" s="862">
        <f>E239-D239</f>
        <v>-23.608005192178098</v>
      </c>
      <c r="G239" s="863">
        <f>F239/D239</f>
        <v>-1.1766678691280308E-3</v>
      </c>
    </row>
    <row r="240" spans="2:7">
      <c r="B240" s="852">
        <f t="shared" si="16"/>
        <v>17</v>
      </c>
      <c r="C240" s="867">
        <f>+C239+3000</f>
        <v>29000</v>
      </c>
      <c r="D240" s="862">
        <f t="shared" si="17"/>
        <v>22278.760000000002</v>
      </c>
      <c r="E240" s="862">
        <f t="shared" si="17"/>
        <v>22252.828673428863</v>
      </c>
      <c r="F240" s="862">
        <f>E240-D240</f>
        <v>-25.931326571138925</v>
      </c>
      <c r="G240" s="863">
        <f>F240/D240</f>
        <v>-1.16394837823734E-3</v>
      </c>
    </row>
    <row r="241" spans="2:7">
      <c r="B241" s="852">
        <f t="shared" si="16"/>
        <v>18</v>
      </c>
      <c r="C241" s="867">
        <f>+C240+3000</f>
        <v>32000</v>
      </c>
      <c r="D241" s="862">
        <f t="shared" si="17"/>
        <v>24494.080000000002</v>
      </c>
      <c r="E241" s="862">
        <f t="shared" si="17"/>
        <v>24465.825352049906</v>
      </c>
      <c r="F241" s="862">
        <f>E241-D241</f>
        <v>-28.254647950096114</v>
      </c>
      <c r="G241" s="863">
        <f>F241/D241</f>
        <v>-1.1535296671724806E-3</v>
      </c>
    </row>
    <row r="242" spans="2:7">
      <c r="B242" s="852">
        <f t="shared" si="16"/>
        <v>19</v>
      </c>
      <c r="C242" s="867">
        <f>+C241+3000</f>
        <v>35000</v>
      </c>
      <c r="D242" s="862">
        <f t="shared" si="17"/>
        <v>26709.4</v>
      </c>
      <c r="E242" s="862">
        <f t="shared" si="17"/>
        <v>26678.822030670945</v>
      </c>
      <c r="F242" s="862">
        <f>E242-D242</f>
        <v>-30.577969329056941</v>
      </c>
      <c r="G242" s="863">
        <f>F242/D242</f>
        <v>-1.1448392449496035E-3</v>
      </c>
    </row>
    <row r="243" spans="2:7">
      <c r="B243" s="852"/>
      <c r="C243" s="867"/>
      <c r="D243" s="862"/>
      <c r="E243" s="862"/>
      <c r="F243" s="862"/>
      <c r="G243" s="863"/>
    </row>
    <row r="244" spans="2:7">
      <c r="B244" s="852">
        <f t="shared" si="16"/>
        <v>20</v>
      </c>
      <c r="C244" s="867">
        <f>+C242+5000</f>
        <v>40000</v>
      </c>
      <c r="D244" s="862">
        <f t="shared" ref="D244:E248" si="18">D$211+(D$218*$C244)+D$215*($C244-$J$214)+D$214*$J$214</f>
        <v>30401.600000000002</v>
      </c>
      <c r="E244" s="862">
        <f t="shared" si="18"/>
        <v>30367.149828372683</v>
      </c>
      <c r="F244" s="862">
        <f>E244-D244</f>
        <v>-34.450171627318923</v>
      </c>
      <c r="G244" s="863">
        <f>F244/D244</f>
        <v>-1.1331696893360521E-3</v>
      </c>
    </row>
    <row r="245" spans="2:7">
      <c r="B245" s="852">
        <f t="shared" si="16"/>
        <v>21</v>
      </c>
      <c r="C245" s="867">
        <f>+C244+5000</f>
        <v>45000</v>
      </c>
      <c r="D245" s="862">
        <f t="shared" si="18"/>
        <v>34093.799999999996</v>
      </c>
      <c r="E245" s="862">
        <f t="shared" si="18"/>
        <v>34055.477626074418</v>
      </c>
      <c r="F245" s="862">
        <f>E245-D245</f>
        <v>-38.322373925577267</v>
      </c>
      <c r="G245" s="863">
        <f>F245/D245</f>
        <v>-1.1240276509388004E-3</v>
      </c>
    </row>
    <row r="246" spans="2:7">
      <c r="B246" s="852">
        <f t="shared" si="16"/>
        <v>22</v>
      </c>
      <c r="C246" s="867">
        <f>+C245+5000</f>
        <v>50000</v>
      </c>
      <c r="D246" s="862">
        <f t="shared" si="18"/>
        <v>37786</v>
      </c>
      <c r="E246" s="862">
        <f t="shared" si="18"/>
        <v>37743.805423776153</v>
      </c>
      <c r="F246" s="862">
        <f>E246-D246</f>
        <v>-42.194576223846525</v>
      </c>
      <c r="G246" s="863">
        <f>F246/D246</f>
        <v>-1.1166722125614387E-3</v>
      </c>
    </row>
    <row r="247" spans="2:7">
      <c r="B247" s="852">
        <f t="shared" si="16"/>
        <v>23</v>
      </c>
      <c r="C247" s="867">
        <f>+C246+5000</f>
        <v>55000</v>
      </c>
      <c r="D247" s="862">
        <f t="shared" si="18"/>
        <v>41478.199999999997</v>
      </c>
      <c r="E247" s="862">
        <f t="shared" si="18"/>
        <v>41432.133221477889</v>
      </c>
      <c r="F247" s="862">
        <f>E247-D247</f>
        <v>-46.066778522108507</v>
      </c>
      <c r="G247" s="863">
        <f>F247/D247</f>
        <v>-1.1106262692717743E-3</v>
      </c>
    </row>
    <row r="248" spans="2:7">
      <c r="B248" s="852">
        <f t="shared" si="16"/>
        <v>24</v>
      </c>
      <c r="C248" s="867">
        <f>+C247+5000</f>
        <v>60000</v>
      </c>
      <c r="D248" s="862">
        <f t="shared" si="18"/>
        <v>45170.399999999994</v>
      </c>
      <c r="E248" s="862">
        <f t="shared" si="18"/>
        <v>45120.461019179624</v>
      </c>
      <c r="F248" s="862">
        <f>E248-D248</f>
        <v>-49.938980820370489</v>
      </c>
      <c r="G248" s="863">
        <f>F248/D248</f>
        <v>-1.1055687091628698E-3</v>
      </c>
    </row>
    <row r="249" spans="2:7">
      <c r="B249" s="852"/>
      <c r="C249" s="867"/>
      <c r="D249" s="862"/>
      <c r="E249" s="862"/>
      <c r="F249" s="862"/>
      <c r="G249" s="863"/>
    </row>
    <row r="250" spans="2:7">
      <c r="B250" s="852">
        <f t="shared" si="16"/>
        <v>25</v>
      </c>
      <c r="C250" s="867">
        <f>+C248+7500</f>
        <v>67500</v>
      </c>
      <c r="D250" s="862">
        <f t="shared" ref="D250:E254" si="19">D$211+(D$218*$C250)+D$215*($C250-$J$214)+D$214*$J$214</f>
        <v>50708.7</v>
      </c>
      <c r="E250" s="862">
        <f t="shared" si="19"/>
        <v>50652.95271573223</v>
      </c>
      <c r="F250" s="862">
        <f>E250-D250</f>
        <v>-55.7472842677671</v>
      </c>
      <c r="G250" s="863">
        <f>F250/D250</f>
        <v>-1.0993633098022055E-3</v>
      </c>
    </row>
    <row r="251" spans="2:7">
      <c r="B251" s="852">
        <f t="shared" si="16"/>
        <v>26</v>
      </c>
      <c r="C251" s="867">
        <f>+C250+7500</f>
        <v>75000</v>
      </c>
      <c r="D251" s="862">
        <f t="shared" si="19"/>
        <v>56247</v>
      </c>
      <c r="E251" s="862">
        <f t="shared" si="19"/>
        <v>56185.444412284836</v>
      </c>
      <c r="F251" s="862">
        <f>E251-D251</f>
        <v>-61.555587715163711</v>
      </c>
      <c r="G251" s="863">
        <f>F251/D251</f>
        <v>-1.0943799263100915E-3</v>
      </c>
    </row>
    <row r="252" spans="2:7">
      <c r="B252" s="852">
        <f t="shared" si="16"/>
        <v>27</v>
      </c>
      <c r="C252" s="867">
        <f>+C251+7500</f>
        <v>82500</v>
      </c>
      <c r="D252" s="862">
        <f t="shared" si="19"/>
        <v>61785.299999999996</v>
      </c>
      <c r="E252" s="862">
        <f t="shared" si="19"/>
        <v>61717.936108837435</v>
      </c>
      <c r="F252" s="862">
        <f>E252-D252</f>
        <v>-67.363891162560321</v>
      </c>
      <c r="G252" s="863">
        <f>F252/D252</f>
        <v>-1.0902899421474093E-3</v>
      </c>
    </row>
    <row r="253" spans="2:7">
      <c r="B253" s="852">
        <f t="shared" si="16"/>
        <v>28</v>
      </c>
      <c r="C253" s="867">
        <f>+C252+7500</f>
        <v>90000</v>
      </c>
      <c r="D253" s="862">
        <f t="shared" si="19"/>
        <v>67323.599999999991</v>
      </c>
      <c r="E253" s="862">
        <f t="shared" si="19"/>
        <v>67250.427805390034</v>
      </c>
      <c r="F253" s="862">
        <f>E253-D253</f>
        <v>-73.172194609956932</v>
      </c>
      <c r="G253" s="863">
        <f>F253/D253</f>
        <v>-1.0868728738504319E-3</v>
      </c>
    </row>
    <row r="254" spans="2:7">
      <c r="B254" s="852">
        <f t="shared" si="16"/>
        <v>29</v>
      </c>
      <c r="C254" s="867">
        <f>+C253+10000</f>
        <v>100000</v>
      </c>
      <c r="D254" s="862">
        <f t="shared" si="19"/>
        <v>74708</v>
      </c>
      <c r="E254" s="862">
        <f t="shared" si="19"/>
        <v>74627.083400793519</v>
      </c>
      <c r="F254" s="862">
        <f>E254-D254</f>
        <v>-80.916599206480896</v>
      </c>
      <c r="G254" s="863">
        <f>F254/D254</f>
        <v>-1.083104877743761E-3</v>
      </c>
    </row>
    <row r="255" spans="2:7">
      <c r="B255" s="852"/>
      <c r="C255" s="867"/>
      <c r="D255" s="862"/>
      <c r="E255" s="862"/>
      <c r="F255" s="862"/>
      <c r="G255" s="863"/>
    </row>
    <row r="256" spans="2:7">
      <c r="B256" s="852">
        <f t="shared" si="16"/>
        <v>30</v>
      </c>
      <c r="C256" s="867">
        <f>+C254+10000</f>
        <v>110000</v>
      </c>
      <c r="D256" s="862">
        <f t="shared" ref="D256:E260" si="20">D$211+(D$218*$C256)+D$216*($C256-$J$214-$J$215)+D$214*$J$214+D$215*$J$215</f>
        <v>82036.600000000006</v>
      </c>
      <c r="E256" s="862">
        <f t="shared" si="20"/>
        <v>81948.201199811141</v>
      </c>
      <c r="F256" s="862">
        <f>E256-D256</f>
        <v>-88.398800188864698</v>
      </c>
      <c r="G256" s="863">
        <f>F256/D256</f>
        <v>-1.0775531919760776E-3</v>
      </c>
    </row>
    <row r="257" spans="2:7">
      <c r="B257" s="852">
        <f t="shared" si="16"/>
        <v>31</v>
      </c>
      <c r="C257" s="867">
        <f>+C256+10000</f>
        <v>120000</v>
      </c>
      <c r="D257" s="862">
        <f t="shared" si="20"/>
        <v>89365.2</v>
      </c>
      <c r="E257" s="862">
        <f t="shared" si="20"/>
        <v>89269.318998828763</v>
      </c>
      <c r="F257" s="862">
        <f>E257-D257</f>
        <v>-95.881001171233947</v>
      </c>
      <c r="G257" s="863">
        <f>F257/D257</f>
        <v>-1.0729120638820699E-3</v>
      </c>
    </row>
    <row r="258" spans="2:7">
      <c r="B258" s="852">
        <f t="shared" si="16"/>
        <v>32</v>
      </c>
      <c r="C258" s="867">
        <f>+C257+10000</f>
        <v>130000</v>
      </c>
      <c r="D258" s="862">
        <f t="shared" si="20"/>
        <v>96693.799999999988</v>
      </c>
      <c r="E258" s="862">
        <f t="shared" si="20"/>
        <v>96590.436797846385</v>
      </c>
      <c r="F258" s="862">
        <f>E258-D258</f>
        <v>-103.3632021536032</v>
      </c>
      <c r="G258" s="863">
        <f>F258/D258</f>
        <v>-1.0689744549661219E-3</v>
      </c>
    </row>
    <row r="259" spans="2:7">
      <c r="B259" s="852">
        <f t="shared" si="16"/>
        <v>33</v>
      </c>
      <c r="C259" s="867">
        <f>+C258+10000</f>
        <v>140000</v>
      </c>
      <c r="D259" s="862">
        <f t="shared" si="20"/>
        <v>104022.39999999999</v>
      </c>
      <c r="E259" s="862">
        <f t="shared" si="20"/>
        <v>103911.55459686402</v>
      </c>
      <c r="F259" s="862">
        <f>E259-D259</f>
        <v>-110.84540313597245</v>
      </c>
      <c r="G259" s="863">
        <f>F259/D259</f>
        <v>-1.0655916719473158E-3</v>
      </c>
    </row>
    <row r="260" spans="2:7">
      <c r="B260" s="852">
        <f t="shared" si="16"/>
        <v>34</v>
      </c>
      <c r="C260" s="867">
        <f>+C259+10000</f>
        <v>150000</v>
      </c>
      <c r="D260" s="862">
        <f t="shared" si="20"/>
        <v>111351</v>
      </c>
      <c r="E260" s="862">
        <f t="shared" si="20"/>
        <v>111232.67239588164</v>
      </c>
      <c r="F260" s="862">
        <f>E260-D260</f>
        <v>-118.32760411835625</v>
      </c>
      <c r="G260" s="863">
        <f>F260/D260</f>
        <v>-1.0626541667192594E-3</v>
      </c>
    </row>
    <row r="261" spans="2:7">
      <c r="B261" s="852"/>
      <c r="C261" s="867"/>
      <c r="D261" s="862"/>
      <c r="E261" s="862"/>
      <c r="F261" s="862"/>
      <c r="G261" s="863"/>
    </row>
    <row r="262" spans="2:7">
      <c r="B262" s="852">
        <f t="shared" si="16"/>
        <v>35</v>
      </c>
      <c r="C262" s="867">
        <f>+C260+15000</f>
        <v>165000</v>
      </c>
      <c r="D262" s="862">
        <f t="shared" ref="D262:E266" si="21">D$211+(D$218*$C262)+D$216*($C262-$J$214-$J$215)+D$214*$J$214+D$215*$J$215</f>
        <v>122343.9</v>
      </c>
      <c r="E262" s="862">
        <f t="shared" si="21"/>
        <v>122214.34909440808</v>
      </c>
      <c r="F262" s="862">
        <f>E262-D262</f>
        <v>-129.55090559191012</v>
      </c>
      <c r="G262" s="863">
        <f>F262/D262</f>
        <v>-1.0589077640316366E-3</v>
      </c>
    </row>
    <row r="263" spans="2:7">
      <c r="B263" s="852">
        <f t="shared" si="16"/>
        <v>36</v>
      </c>
      <c r="C263" s="867">
        <f>+C262+15000</f>
        <v>180000</v>
      </c>
      <c r="D263" s="862">
        <f t="shared" si="21"/>
        <v>133336.79999999999</v>
      </c>
      <c r="E263" s="862">
        <f t="shared" si="21"/>
        <v>133196.02579293452</v>
      </c>
      <c r="F263" s="862">
        <f>E263-D263</f>
        <v>-140.774207065464</v>
      </c>
      <c r="G263" s="863">
        <f>F263/D263</f>
        <v>-1.0557791027343091E-3</v>
      </c>
    </row>
    <row r="264" spans="2:7">
      <c r="B264" s="852">
        <f t="shared" si="16"/>
        <v>37</v>
      </c>
      <c r="C264" s="867">
        <f>+C263+15000</f>
        <v>195000</v>
      </c>
      <c r="D264" s="862">
        <f t="shared" si="21"/>
        <v>144329.69999999998</v>
      </c>
      <c r="E264" s="862">
        <f t="shared" si="21"/>
        <v>144177.70249146095</v>
      </c>
      <c r="F264" s="862">
        <f>E264-D264</f>
        <v>-151.99750853903242</v>
      </c>
      <c r="G264" s="863">
        <f>F264/D264</f>
        <v>-1.0531270316437465E-3</v>
      </c>
    </row>
    <row r="265" spans="2:7">
      <c r="B265" s="852">
        <f t="shared" si="16"/>
        <v>38</v>
      </c>
      <c r="C265" s="867">
        <f>+C264+15000</f>
        <v>210000</v>
      </c>
      <c r="D265" s="862">
        <f t="shared" si="21"/>
        <v>155322.59999999998</v>
      </c>
      <c r="E265" s="862">
        <f t="shared" si="21"/>
        <v>155159.37918998738</v>
      </c>
      <c r="F265" s="862">
        <f>E265-D265</f>
        <v>-163.22081001260085</v>
      </c>
      <c r="G265" s="863">
        <f>F265/D265</f>
        <v>-1.0508503592690367E-3</v>
      </c>
    </row>
    <row r="266" spans="2:7">
      <c r="B266" s="852">
        <f t="shared" si="16"/>
        <v>39</v>
      </c>
      <c r="C266" s="867">
        <f>+C265+15000</f>
        <v>225000</v>
      </c>
      <c r="D266" s="862">
        <f t="shared" si="21"/>
        <v>166315.5</v>
      </c>
      <c r="E266" s="862">
        <f t="shared" si="21"/>
        <v>166141.0558885138</v>
      </c>
      <c r="F266" s="862">
        <f>E266-D266</f>
        <v>-174.44411148619838</v>
      </c>
      <c r="G266" s="863">
        <f>F266/D266</f>
        <v>-1.0488746478001052E-3</v>
      </c>
    </row>
    <row r="267" spans="2:7">
      <c r="B267" s="852"/>
      <c r="C267" s="867"/>
      <c r="D267" s="862"/>
      <c r="E267" s="862"/>
      <c r="F267" s="862"/>
      <c r="G267" s="863"/>
    </row>
    <row r="268" spans="2:7">
      <c r="B268" s="852">
        <f t="shared" si="16"/>
        <v>40</v>
      </c>
      <c r="C268" s="867">
        <f>+C266+25000</f>
        <v>250000</v>
      </c>
      <c r="D268" s="862">
        <f t="shared" ref="D268:E273" si="22">D$211+(D$218*$C268)+D$216*($C268-$J$214-$J$215)+D$214*$J$214+D$215*$J$215</f>
        <v>184637</v>
      </c>
      <c r="E268" s="862">
        <f t="shared" si="22"/>
        <v>184443.85038605786</v>
      </c>
      <c r="F268" s="862">
        <f t="shared" ref="F268:F273" si="23">E268-D268</f>
        <v>-193.14961394213606</v>
      </c>
      <c r="G268" s="863">
        <f t="shared" ref="G268:G273" si="24">F268/D268</f>
        <v>-1.0461045941070103E-3</v>
      </c>
    </row>
    <row r="269" spans="2:7">
      <c r="B269" s="852">
        <f t="shared" si="16"/>
        <v>41</v>
      </c>
      <c r="C269" s="867">
        <f>+C268+25000</f>
        <v>275000</v>
      </c>
      <c r="D269" s="862">
        <f t="shared" si="22"/>
        <v>202958.5</v>
      </c>
      <c r="E269" s="862">
        <f t="shared" si="22"/>
        <v>202746.64488360193</v>
      </c>
      <c r="F269" s="862">
        <f t="shared" si="23"/>
        <v>-211.85511639807373</v>
      </c>
      <c r="G269" s="863">
        <f t="shared" si="24"/>
        <v>-1.0438346578146454E-3</v>
      </c>
    </row>
    <row r="270" spans="2:7">
      <c r="B270" s="852">
        <f t="shared" si="16"/>
        <v>42</v>
      </c>
      <c r="C270" s="867">
        <f>+C269+25000</f>
        <v>300000</v>
      </c>
      <c r="D270" s="862">
        <f t="shared" si="22"/>
        <v>221280</v>
      </c>
      <c r="E270" s="862">
        <f t="shared" si="22"/>
        <v>221049.43938114599</v>
      </c>
      <c r="F270" s="862">
        <f t="shared" si="23"/>
        <v>-230.56061885401141</v>
      </c>
      <c r="G270" s="863">
        <f t="shared" si="24"/>
        <v>-1.0419406130423509E-3</v>
      </c>
    </row>
    <row r="271" spans="2:7">
      <c r="B271" s="852">
        <f t="shared" si="16"/>
        <v>43</v>
      </c>
      <c r="C271" s="867">
        <f>+C270+25000</f>
        <v>325000</v>
      </c>
      <c r="D271" s="862">
        <f t="shared" si="22"/>
        <v>239601.5</v>
      </c>
      <c r="E271" s="862">
        <f t="shared" si="22"/>
        <v>239352.23387869005</v>
      </c>
      <c r="F271" s="862">
        <f t="shared" si="23"/>
        <v>-249.26612130994909</v>
      </c>
      <c r="G271" s="863">
        <f t="shared" si="24"/>
        <v>-1.0403362304073601E-3</v>
      </c>
    </row>
    <row r="272" spans="2:7">
      <c r="B272" s="852">
        <f t="shared" si="16"/>
        <v>44</v>
      </c>
      <c r="C272" s="867">
        <f>+C271+25000</f>
        <v>350000</v>
      </c>
      <c r="D272" s="862">
        <f t="shared" si="22"/>
        <v>257923</v>
      </c>
      <c r="E272" s="862">
        <f t="shared" si="22"/>
        <v>257655.02837623414</v>
      </c>
      <c r="F272" s="862">
        <f t="shared" si="23"/>
        <v>-267.97162376585766</v>
      </c>
      <c r="G272" s="863">
        <f t="shared" si="24"/>
        <v>-1.0389597816629677E-3</v>
      </c>
    </row>
    <row r="273" spans="1:10">
      <c r="B273" s="852">
        <f t="shared" si="16"/>
        <v>45</v>
      </c>
      <c r="C273" s="867">
        <f>+C272+25000</f>
        <v>375000</v>
      </c>
      <c r="D273" s="862">
        <f t="shared" si="22"/>
        <v>276244.5</v>
      </c>
      <c r="E273" s="862">
        <f t="shared" si="22"/>
        <v>275957.82287377823</v>
      </c>
      <c r="F273" s="862">
        <f t="shared" si="23"/>
        <v>-286.67712622176623</v>
      </c>
      <c r="G273" s="863">
        <f t="shared" si="24"/>
        <v>-1.0377659146942879E-3</v>
      </c>
    </row>
    <row r="274" spans="1:10">
      <c r="B274" s="852"/>
      <c r="C274" s="867"/>
    </row>
    <row r="275" spans="1:10">
      <c r="A275" s="849" t="str">
        <f>$A$1</f>
        <v>Cascade Natural Gas Corporation</v>
      </c>
      <c r="H275" s="847" t="str">
        <f>$H$1</f>
        <v>CNGC/508</v>
      </c>
    </row>
    <row r="276" spans="1:10">
      <c r="A276" s="849" t="str">
        <f>$A$2</f>
        <v>Washington Jurisdiction</v>
      </c>
      <c r="H276" s="847" t="s">
        <v>2544</v>
      </c>
    </row>
    <row r="277" spans="1:10">
      <c r="A277" s="849" t="str">
        <f>$A$3</f>
        <v>Test Year Ended December 31, 2019</v>
      </c>
      <c r="H277" s="850" t="str">
        <f>$H$3</f>
        <v>Impact of Recommended Rate Changes</v>
      </c>
    </row>
    <row r="278" spans="1:10">
      <c r="A278" s="849"/>
    </row>
    <row r="279" spans="1:10">
      <c r="B279" s="851" t="str">
        <f>'Exh 18, Class Rates'!C48</f>
        <v>Interruptible Service - 570</v>
      </c>
    </row>
    <row r="281" spans="1:10">
      <c r="B281" s="852" t="s">
        <v>2502</v>
      </c>
    </row>
    <row r="282" spans="1:10" ht="16.2">
      <c r="B282" s="853" t="s">
        <v>2503</v>
      </c>
      <c r="C282" s="853" t="s">
        <v>97</v>
      </c>
      <c r="D282" s="853" t="s">
        <v>98</v>
      </c>
      <c r="E282" s="853" t="s">
        <v>1098</v>
      </c>
      <c r="F282" s="853" t="s">
        <v>2505</v>
      </c>
      <c r="G282" s="853" t="s">
        <v>1100</v>
      </c>
    </row>
    <row r="283" spans="1:10">
      <c r="B283" s="852"/>
      <c r="C283" s="854"/>
      <c r="D283" s="855" t="s">
        <v>2506</v>
      </c>
      <c r="E283" s="856" t="s">
        <v>2314</v>
      </c>
    </row>
    <row r="284" spans="1:10" ht="16.2">
      <c r="B284" s="852"/>
      <c r="C284" s="857"/>
      <c r="D284" s="853" t="s">
        <v>2324</v>
      </c>
      <c r="E284" s="858" t="s">
        <v>2324</v>
      </c>
    </row>
    <row r="285" spans="1:10">
      <c r="B285" s="852">
        <f>MAX(B275:B284)+1</f>
        <v>1</v>
      </c>
      <c r="C285" s="857" t="s">
        <v>2462</v>
      </c>
      <c r="D285" s="859">
        <f>'Exh 18, Class Rates'!$E$49</f>
        <v>163</v>
      </c>
      <c r="E285" s="872">
        <f>'Exh 18, Class Rates'!$H$49</f>
        <v>163</v>
      </c>
    </row>
    <row r="286" spans="1:10">
      <c r="B286" s="852"/>
      <c r="C286" s="857"/>
      <c r="D286" s="859"/>
      <c r="E286" s="872"/>
    </row>
    <row r="287" spans="1:10">
      <c r="B287" s="852">
        <f>MAX(B277:B286)+1</f>
        <v>2</v>
      </c>
      <c r="C287" s="857" t="s">
        <v>2463</v>
      </c>
      <c r="D287" s="838" t="s">
        <v>49</v>
      </c>
      <c r="E287" s="1241" t="s">
        <v>49</v>
      </c>
    </row>
    <row r="288" spans="1:10">
      <c r="B288" s="852"/>
      <c r="C288" s="868" t="s">
        <v>2545</v>
      </c>
      <c r="D288" s="838">
        <f>'Exh 18, Class Rates'!E50</f>
        <v>8.9639999999999997E-2</v>
      </c>
      <c r="E288" s="1241">
        <f>'Exh 18, Class Rates'!H50</f>
        <v>8.9218782581134179E-2</v>
      </c>
      <c r="J288" s="848">
        <v>30000</v>
      </c>
    </row>
    <row r="289" spans="2:10">
      <c r="B289" s="852"/>
      <c r="C289" s="868" t="s">
        <v>2546</v>
      </c>
      <c r="D289" s="838">
        <f>'Exh 18, Class Rates'!E51</f>
        <v>2.8170000000000001E-2</v>
      </c>
      <c r="E289" s="1241">
        <f>'Exh 18, Class Rates'!H51</f>
        <v>2.8037629465758031E-2</v>
      </c>
      <c r="J289" s="848">
        <v>30000</v>
      </c>
    </row>
    <row r="291" spans="2:10">
      <c r="B291" s="852">
        <f>MAX(B280:B289)+1</f>
        <v>3</v>
      </c>
      <c r="C291" s="860" t="s">
        <v>2507</v>
      </c>
      <c r="D291" s="869">
        <f>$D$15</f>
        <v>0.57362999999999997</v>
      </c>
      <c r="E291" s="866">
        <f>D291</f>
        <v>0.57362999999999997</v>
      </c>
    </row>
    <row r="292" spans="2:10">
      <c r="B292" s="852"/>
    </row>
    <row r="293" spans="2:10">
      <c r="B293" s="852"/>
      <c r="C293" s="852"/>
      <c r="D293" s="852"/>
      <c r="E293" s="852"/>
    </row>
    <row r="294" spans="2:10" ht="16.2">
      <c r="B294" s="852"/>
      <c r="C294" s="852" t="s">
        <v>2531</v>
      </c>
      <c r="D294" s="852" t="s">
        <v>2508</v>
      </c>
      <c r="E294" s="852" t="s">
        <v>2508</v>
      </c>
      <c r="F294" s="861" t="s">
        <v>2532</v>
      </c>
      <c r="G294" s="861"/>
    </row>
    <row r="295" spans="2:10" ht="16.2">
      <c r="B295" s="852"/>
      <c r="C295" s="853" t="s">
        <v>2533</v>
      </c>
      <c r="D295" s="853" t="s">
        <v>2534</v>
      </c>
      <c r="E295" s="853" t="s">
        <v>2477</v>
      </c>
      <c r="F295" s="853" t="s">
        <v>729</v>
      </c>
      <c r="G295" s="853" t="s">
        <v>2513</v>
      </c>
    </row>
    <row r="296" spans="2:10">
      <c r="B296" s="852"/>
    </row>
    <row r="297" spans="2:10">
      <c r="B297" s="852">
        <f>MAX(B286:B296)+1</f>
        <v>4</v>
      </c>
      <c r="C297" s="867">
        <v>0</v>
      </c>
      <c r="D297" s="862">
        <f>D$285+(D$288+D$291)*$C297</f>
        <v>163</v>
      </c>
      <c r="E297" s="862">
        <f>E$285+(E$288+E$291)*$C297</f>
        <v>163</v>
      </c>
      <c r="F297" s="862">
        <f>E297-D297</f>
        <v>0</v>
      </c>
      <c r="G297" s="863">
        <f>F297/D297</f>
        <v>0</v>
      </c>
    </row>
    <row r="298" spans="2:10">
      <c r="B298" s="852"/>
      <c r="C298" s="867"/>
      <c r="D298" s="862"/>
      <c r="E298" s="862"/>
      <c r="F298" s="862"/>
      <c r="G298" s="863"/>
    </row>
    <row r="299" spans="2:10">
      <c r="B299" s="852">
        <f>MAX(B289:B298)+1</f>
        <v>5</v>
      </c>
      <c r="C299" s="867">
        <v>500</v>
      </c>
      <c r="D299" s="862">
        <f>D$285+(D$288+D$291)*$C299</f>
        <v>494.63499999999999</v>
      </c>
      <c r="E299" s="862">
        <f>E$285+(E$288+E$291)*$C299</f>
        <v>494.42439129056703</v>
      </c>
      <c r="F299" s="862">
        <f>E299-D299</f>
        <v>-0.21060870943296095</v>
      </c>
      <c r="G299" s="863">
        <f>F299/D299</f>
        <v>-4.2578610375925877E-4</v>
      </c>
    </row>
    <row r="300" spans="2:10">
      <c r="B300" s="852">
        <f>MAX(B291:B299)+1</f>
        <v>6</v>
      </c>
      <c r="C300" s="867">
        <f>+C299+500</f>
        <v>1000</v>
      </c>
      <c r="D300" s="862">
        <f t="shared" ref="D300:E303" si="25">D$285+(D$288+D$291)*$C300</f>
        <v>826.27</v>
      </c>
      <c r="E300" s="862">
        <f t="shared" si="25"/>
        <v>825.84878258113406</v>
      </c>
      <c r="F300" s="862">
        <f>E300-D300</f>
        <v>-0.4212174188659219</v>
      </c>
      <c r="G300" s="863">
        <f>F300/D300</f>
        <v>-5.0978181328853998E-4</v>
      </c>
    </row>
    <row r="301" spans="2:10">
      <c r="B301" s="852">
        <f>MAX(B291:B300)+1</f>
        <v>7</v>
      </c>
      <c r="C301" s="867">
        <f>+C300+500</f>
        <v>1500</v>
      </c>
      <c r="D301" s="862">
        <f t="shared" si="25"/>
        <v>1157.9050000000002</v>
      </c>
      <c r="E301" s="862">
        <f t="shared" si="25"/>
        <v>1157.2731738717011</v>
      </c>
      <c r="F301" s="862">
        <f>E301-D301</f>
        <v>-0.63182612829905338</v>
      </c>
      <c r="G301" s="863">
        <f>F301/D301</f>
        <v>-5.4566318333460287E-4</v>
      </c>
    </row>
    <row r="302" spans="2:10">
      <c r="B302" s="852">
        <f>MAX(B293:B301)+1</f>
        <v>8</v>
      </c>
      <c r="C302" s="867">
        <f>+C301+500</f>
        <v>2000</v>
      </c>
      <c r="D302" s="862">
        <f t="shared" si="25"/>
        <v>1489.54</v>
      </c>
      <c r="E302" s="862">
        <f t="shared" si="25"/>
        <v>1488.6975651622681</v>
      </c>
      <c r="F302" s="862">
        <f>E302-D302</f>
        <v>-0.8424348377318438</v>
      </c>
      <c r="G302" s="863">
        <f>F302/D302</f>
        <v>-5.6556711315697717E-4</v>
      </c>
    </row>
    <row r="303" spans="2:10">
      <c r="B303" s="852">
        <f>MAX(B294:B302)+1</f>
        <v>9</v>
      </c>
      <c r="C303" s="867">
        <f>+C302+500</f>
        <v>2500</v>
      </c>
      <c r="D303" s="862">
        <f t="shared" si="25"/>
        <v>1821.175</v>
      </c>
      <c r="E303" s="862">
        <f t="shared" si="25"/>
        <v>1820.1219564528353</v>
      </c>
      <c r="F303" s="862">
        <f>E303-D303</f>
        <v>-1.0530435471646342</v>
      </c>
      <c r="G303" s="863">
        <f>F303/D303</f>
        <v>-5.7822205288598529E-4</v>
      </c>
    </row>
    <row r="304" spans="2:10">
      <c r="B304" s="852"/>
      <c r="C304" s="867"/>
      <c r="D304" s="862"/>
      <c r="E304" s="862"/>
      <c r="F304" s="862"/>
      <c r="G304" s="863"/>
    </row>
    <row r="305" spans="2:7">
      <c r="B305" s="852">
        <f>MAX(B296:B304)+1</f>
        <v>10</v>
      </c>
      <c r="C305" s="867">
        <f>+C303+500</f>
        <v>3000</v>
      </c>
      <c r="D305" s="862">
        <f>D$285+(D$288+D$291)*$C305</f>
        <v>2152.8100000000004</v>
      </c>
      <c r="E305" s="862">
        <f>E$285+(E$288+E$291)*$C305</f>
        <v>2151.5463477434023</v>
      </c>
      <c r="F305" s="862">
        <f>E305-D305</f>
        <v>-1.2636522565981068</v>
      </c>
      <c r="G305" s="863">
        <f>F305/D305</f>
        <v>-5.8697806894157244E-4</v>
      </c>
    </row>
    <row r="306" spans="2:7">
      <c r="B306" s="852">
        <f>MAX(B297:B305)+1</f>
        <v>11</v>
      </c>
      <c r="C306" s="867">
        <f>+C305+500</f>
        <v>3500</v>
      </c>
      <c r="D306" s="862">
        <f t="shared" ref="D306:E309" si="26">D$285+(D$288+D$291)*$C306</f>
        <v>2484.4450000000002</v>
      </c>
      <c r="E306" s="862">
        <f t="shared" si="26"/>
        <v>2482.9707390339695</v>
      </c>
      <c r="F306" s="862">
        <f>E306-D306</f>
        <v>-1.4742609660306698</v>
      </c>
      <c r="G306" s="863">
        <f>F306/D306</f>
        <v>-5.9339649943173213E-4</v>
      </c>
    </row>
    <row r="307" spans="2:7">
      <c r="B307" s="852">
        <f>MAX(B298:B306)+1</f>
        <v>12</v>
      </c>
      <c r="C307" s="867">
        <f>+C306+500</f>
        <v>4000</v>
      </c>
      <c r="D307" s="862">
        <f t="shared" si="26"/>
        <v>2816.08</v>
      </c>
      <c r="E307" s="862">
        <f t="shared" si="26"/>
        <v>2814.3951303245362</v>
      </c>
      <c r="F307" s="862">
        <f>E307-D307</f>
        <v>-1.6848696754636876</v>
      </c>
      <c r="G307" s="863">
        <f>F307/D307</f>
        <v>-5.9830320000272988E-4</v>
      </c>
    </row>
    <row r="308" spans="2:7">
      <c r="B308" s="852">
        <f>MAX(B299:B307)+1</f>
        <v>13</v>
      </c>
      <c r="C308" s="867">
        <f>+C307+500</f>
        <v>4500</v>
      </c>
      <c r="D308" s="862">
        <f t="shared" si="26"/>
        <v>3147.7150000000001</v>
      </c>
      <c r="E308" s="862">
        <f t="shared" si="26"/>
        <v>3145.8195216151034</v>
      </c>
      <c r="F308" s="862">
        <f>E308-D308</f>
        <v>-1.8954783848967054</v>
      </c>
      <c r="G308" s="863">
        <f>F308/D308</f>
        <v>-6.0217598635731162E-4</v>
      </c>
    </row>
    <row r="309" spans="2:7">
      <c r="B309" s="852">
        <f>MAX(B300:B308)+1</f>
        <v>14</v>
      </c>
      <c r="C309" s="867">
        <f>+C308+500</f>
        <v>5000</v>
      </c>
      <c r="D309" s="862">
        <f t="shared" si="26"/>
        <v>3479.35</v>
      </c>
      <c r="E309" s="862">
        <f t="shared" si="26"/>
        <v>3477.2439129056706</v>
      </c>
      <c r="F309" s="862">
        <f>E309-D309</f>
        <v>-2.1060870943292684</v>
      </c>
      <c r="G309" s="863">
        <f>F309/D309</f>
        <v>-6.0531050176879835E-4</v>
      </c>
    </row>
    <row r="310" spans="2:7">
      <c r="B310" s="852"/>
      <c r="C310" s="867"/>
      <c r="D310" s="862"/>
      <c r="E310" s="862"/>
      <c r="F310" s="862"/>
      <c r="G310" s="863"/>
    </row>
    <row r="311" spans="2:7">
      <c r="B311" s="852">
        <f>MAX(B302:B310)+1</f>
        <v>15</v>
      </c>
      <c r="C311" s="867">
        <f>+C309+1000</f>
        <v>6000</v>
      </c>
      <c r="D311" s="862">
        <f>D$285+(D$288+D$291)*$C311</f>
        <v>4142.6200000000008</v>
      </c>
      <c r="E311" s="862">
        <f>E$285+(E$288+E$291)*$C311</f>
        <v>4140.0926954868046</v>
      </c>
      <c r="F311" s="862">
        <f>E311-D311</f>
        <v>-2.5273045131962135</v>
      </c>
      <c r="G311" s="863">
        <f>F311/D311</f>
        <v>-6.1007394190058784E-4</v>
      </c>
    </row>
    <row r="312" spans="2:7">
      <c r="B312" s="852">
        <f>MAX(B303:B311)+1</f>
        <v>16</v>
      </c>
      <c r="C312" s="867">
        <f>+C311+1000</f>
        <v>7000</v>
      </c>
      <c r="D312" s="862">
        <f t="shared" ref="D312:E315" si="27">D$285+(D$288+D$291)*$C312</f>
        <v>4805.8900000000003</v>
      </c>
      <c r="E312" s="862">
        <f t="shared" si="27"/>
        <v>4802.941478067939</v>
      </c>
      <c r="F312" s="862">
        <f>E312-D312</f>
        <v>-2.9485219320613396</v>
      </c>
      <c r="G312" s="863">
        <f>F312/D312</f>
        <v>-6.1352255920575367E-4</v>
      </c>
    </row>
    <row r="313" spans="2:7">
      <c r="B313" s="852">
        <f>MAX(B304:B312)+1</f>
        <v>17</v>
      </c>
      <c r="C313" s="867">
        <f>+C312+1000</f>
        <v>8000</v>
      </c>
      <c r="D313" s="862">
        <f t="shared" si="27"/>
        <v>5469.16</v>
      </c>
      <c r="E313" s="862">
        <f t="shared" si="27"/>
        <v>5465.7902606490725</v>
      </c>
      <c r="F313" s="862">
        <f>E313-D313</f>
        <v>-3.3697393509273752</v>
      </c>
      <c r="G313" s="863">
        <f>F313/D313</f>
        <v>-6.161347173839082E-4</v>
      </c>
    </row>
    <row r="314" spans="2:7">
      <c r="B314" s="852">
        <f>MAX(B305:B313)+1</f>
        <v>18</v>
      </c>
      <c r="C314" s="867">
        <f>+C313+1000</f>
        <v>9000</v>
      </c>
      <c r="D314" s="862">
        <f t="shared" si="27"/>
        <v>6132.43</v>
      </c>
      <c r="E314" s="862">
        <f t="shared" si="27"/>
        <v>6128.6390432302069</v>
      </c>
      <c r="F314" s="862">
        <f>E314-D314</f>
        <v>-3.7909567697934108</v>
      </c>
      <c r="G314" s="863">
        <f>F314/D314</f>
        <v>-6.1818182511555952E-4</v>
      </c>
    </row>
    <row r="315" spans="2:7">
      <c r="B315" s="852">
        <f>MAX(B306:B314)+1</f>
        <v>19</v>
      </c>
      <c r="C315" s="867">
        <f>+C314+1000</f>
        <v>10000</v>
      </c>
      <c r="D315" s="862">
        <f t="shared" si="27"/>
        <v>6795.7</v>
      </c>
      <c r="E315" s="862">
        <f t="shared" si="27"/>
        <v>6791.4878258113413</v>
      </c>
      <c r="F315" s="862">
        <f>E315-D315</f>
        <v>-4.2121741886585369</v>
      </c>
      <c r="G315" s="863">
        <f>F315/D315</f>
        <v>-6.1982933158593483E-4</v>
      </c>
    </row>
    <row r="316" spans="2:7">
      <c r="B316" s="852"/>
      <c r="C316" s="867"/>
      <c r="D316" s="862"/>
      <c r="E316" s="862"/>
      <c r="F316" s="862"/>
      <c r="G316" s="863"/>
    </row>
    <row r="317" spans="2:7">
      <c r="B317" s="852">
        <f>MAX(B308:B316)+1</f>
        <v>20</v>
      </c>
      <c r="C317" s="867">
        <f>+C315+1000</f>
        <v>11000</v>
      </c>
      <c r="D317" s="862">
        <f>D$285+(D$288+D$291)*$C317</f>
        <v>7458.97</v>
      </c>
      <c r="E317" s="862">
        <f>E$285+(E$288+E$291)*$C317</f>
        <v>7454.3366083924748</v>
      </c>
      <c r="F317" s="862">
        <f>E317-D317</f>
        <v>-4.633391607525482</v>
      </c>
      <c r="G317" s="863">
        <f>F317/D317</f>
        <v>-6.2118383738310815E-4</v>
      </c>
    </row>
    <row r="318" spans="2:7">
      <c r="B318" s="852">
        <f>MAX(B309:B317)+1</f>
        <v>21</v>
      </c>
      <c r="C318" s="867">
        <f>+C317+1000</f>
        <v>12000</v>
      </c>
      <c r="D318" s="862">
        <f t="shared" ref="D318:E321" si="28">D$285+(D$288+D$291)*$C318</f>
        <v>8122.2400000000007</v>
      </c>
      <c r="E318" s="862">
        <f t="shared" si="28"/>
        <v>8117.1853909736092</v>
      </c>
      <c r="F318" s="862">
        <f>E318-D318</f>
        <v>-5.0546090263915175</v>
      </c>
      <c r="G318" s="863">
        <f>F318/D318</f>
        <v>-6.2231712266462417E-4</v>
      </c>
    </row>
    <row r="319" spans="2:7">
      <c r="B319" s="852">
        <f>MAX(B310:B318)+1</f>
        <v>22</v>
      </c>
      <c r="C319" s="867">
        <f>+C318+1000</f>
        <v>13000</v>
      </c>
      <c r="D319" s="862">
        <f t="shared" si="28"/>
        <v>8785.51</v>
      </c>
      <c r="E319" s="862">
        <f t="shared" si="28"/>
        <v>8780.0341735547427</v>
      </c>
      <c r="F319" s="862">
        <f>E319-D319</f>
        <v>-5.4758264452575531</v>
      </c>
      <c r="G319" s="863">
        <f>F319/D319</f>
        <v>-6.232792911575484E-4</v>
      </c>
    </row>
    <row r="320" spans="2:7">
      <c r="B320" s="852">
        <f>MAX(B311:B319)+1</f>
        <v>23</v>
      </c>
      <c r="C320" s="867">
        <f>+C319+1000</f>
        <v>14000</v>
      </c>
      <c r="D320" s="862">
        <f t="shared" si="28"/>
        <v>9448.7800000000007</v>
      </c>
      <c r="E320" s="862">
        <f t="shared" si="28"/>
        <v>9442.882956135878</v>
      </c>
      <c r="F320" s="862">
        <f>E320-D320</f>
        <v>-5.8970438641226792</v>
      </c>
      <c r="G320" s="863">
        <f>F320/D320</f>
        <v>-6.2410637819090701E-4</v>
      </c>
    </row>
    <row r="321" spans="2:7">
      <c r="B321" s="852">
        <f>MAX(B312:B320)+1</f>
        <v>24</v>
      </c>
      <c r="C321" s="867">
        <f>+C320+1000</f>
        <v>15000</v>
      </c>
      <c r="D321" s="862">
        <f t="shared" si="28"/>
        <v>10112.050000000001</v>
      </c>
      <c r="E321" s="862">
        <f t="shared" si="28"/>
        <v>10105.731738717011</v>
      </c>
      <c r="F321" s="862">
        <f>E321-D321</f>
        <v>-6.3182612829896243</v>
      </c>
      <c r="G321" s="863">
        <f>F321/D321</f>
        <v>-6.2482496457094488E-4</v>
      </c>
    </row>
    <row r="322" spans="2:7">
      <c r="B322" s="852"/>
      <c r="C322" s="867"/>
      <c r="D322" s="862"/>
      <c r="E322" s="862"/>
      <c r="F322" s="862"/>
      <c r="G322" s="863"/>
    </row>
    <row r="323" spans="2:7">
      <c r="B323" s="852">
        <f>MAX(B314:B322)+1</f>
        <v>25</v>
      </c>
      <c r="C323" s="867">
        <f>+C321+2000</f>
        <v>17000</v>
      </c>
      <c r="D323" s="862">
        <f>D$285+(D$288+D$291)*$C323</f>
        <v>11438.59</v>
      </c>
      <c r="E323" s="862">
        <f>E$285+(E$288+E$291)*$C323</f>
        <v>11431.42930387928</v>
      </c>
      <c r="F323" s="862">
        <f>E323-D323</f>
        <v>-7.1606961207198765</v>
      </c>
      <c r="G323" s="863">
        <f>F323/D323</f>
        <v>-6.260121326771811E-4</v>
      </c>
    </row>
    <row r="324" spans="2:7">
      <c r="B324" s="852">
        <f>MAX(B315:B323)+1</f>
        <v>26</v>
      </c>
      <c r="C324" s="867">
        <f>+C323+2000</f>
        <v>19000</v>
      </c>
      <c r="D324" s="862">
        <f t="shared" ref="D324:E327" si="29">D$285+(D$288+D$291)*$C324</f>
        <v>12765.130000000001</v>
      </c>
      <c r="E324" s="862">
        <f t="shared" si="29"/>
        <v>12757.126869041547</v>
      </c>
      <c r="F324" s="862">
        <f>E324-D324</f>
        <v>-8.0031309584537667</v>
      </c>
      <c r="G324" s="863">
        <f>F324/D324</f>
        <v>-6.2695256205410883E-4</v>
      </c>
    </row>
    <row r="325" spans="2:7">
      <c r="B325" s="852">
        <f>MAX(B316:B324)+1</f>
        <v>27</v>
      </c>
      <c r="C325" s="867">
        <f>+C324+2000</f>
        <v>21000</v>
      </c>
      <c r="D325" s="862">
        <f t="shared" si="29"/>
        <v>14091.67</v>
      </c>
      <c r="E325" s="862">
        <f t="shared" si="29"/>
        <v>14082.824434203816</v>
      </c>
      <c r="F325" s="862">
        <f>E325-D325</f>
        <v>-8.8455657961840188</v>
      </c>
      <c r="G325" s="863">
        <f>F325/D325</f>
        <v>-6.277159340364924E-4</v>
      </c>
    </row>
    <row r="326" spans="2:7">
      <c r="B326" s="852">
        <f>MAX(B317:B325)+1</f>
        <v>28</v>
      </c>
      <c r="C326" s="867">
        <f>+C325+2000</f>
        <v>23000</v>
      </c>
      <c r="D326" s="862">
        <f t="shared" si="29"/>
        <v>15418.210000000001</v>
      </c>
      <c r="E326" s="862">
        <f t="shared" si="29"/>
        <v>15408.521999366085</v>
      </c>
      <c r="F326" s="862">
        <f>E326-D326</f>
        <v>-9.68800063391609</v>
      </c>
      <c r="G326" s="863">
        <f>F326/D326</f>
        <v>-6.2834794920526378E-4</v>
      </c>
    </row>
    <row r="327" spans="2:7">
      <c r="B327" s="852">
        <f>MAX(B319:B326)+1</f>
        <v>29</v>
      </c>
      <c r="C327" s="867">
        <f>+C326+2000</f>
        <v>25000</v>
      </c>
      <c r="D327" s="862">
        <f t="shared" si="29"/>
        <v>16744.75</v>
      </c>
      <c r="E327" s="862">
        <f t="shared" si="29"/>
        <v>16734.219564528354</v>
      </c>
      <c r="F327" s="862">
        <f>E327-D327</f>
        <v>-10.530435471646342</v>
      </c>
      <c r="G327" s="863">
        <f>F327/D327</f>
        <v>-6.2887982631250642E-4</v>
      </c>
    </row>
    <row r="328" spans="2:7">
      <c r="C328" s="867"/>
      <c r="D328" s="862"/>
      <c r="E328" s="862"/>
      <c r="F328" s="862"/>
      <c r="G328" s="863"/>
    </row>
    <row r="329" spans="2:7">
      <c r="B329" s="852">
        <f>MAX(B320:B327)+1</f>
        <v>30</v>
      </c>
      <c r="C329" s="867">
        <f>+C327+5000</f>
        <v>30000</v>
      </c>
      <c r="D329" s="862">
        <f t="shared" ref="D329:E333" si="30">D$285+(D$291*$C329)+D$289*($C329-$J$288)+D$288*$J$288</f>
        <v>20061.099999999999</v>
      </c>
      <c r="E329" s="862">
        <f t="shared" si="30"/>
        <v>20048.463477434023</v>
      </c>
      <c r="F329" s="862">
        <f>E329-D329</f>
        <v>-12.636522565975611</v>
      </c>
      <c r="G329" s="863">
        <f>F329/D329</f>
        <v>-6.2990177836587283E-4</v>
      </c>
    </row>
    <row r="330" spans="2:7">
      <c r="B330" s="852">
        <f>MAX(B321:B329)+1</f>
        <v>31</v>
      </c>
      <c r="C330" s="867">
        <f>+C329+5000</f>
        <v>35000</v>
      </c>
      <c r="D330" s="862">
        <f t="shared" si="30"/>
        <v>23070.1</v>
      </c>
      <c r="E330" s="862">
        <f t="shared" si="30"/>
        <v>23056.801624762815</v>
      </c>
      <c r="F330" s="862">
        <f>E330-D330</f>
        <v>-13.298375237183791</v>
      </c>
      <c r="G330" s="863">
        <f>F330/D330</f>
        <v>-5.7643335907446396E-4</v>
      </c>
    </row>
    <row r="331" spans="2:7">
      <c r="B331" s="852">
        <f>MAX(B322:B330)+1</f>
        <v>32</v>
      </c>
      <c r="C331" s="867">
        <f>+C330+5000</f>
        <v>40000</v>
      </c>
      <c r="D331" s="862">
        <f t="shared" si="30"/>
        <v>26079.100000000002</v>
      </c>
      <c r="E331" s="862">
        <f t="shared" si="30"/>
        <v>26065.139772091607</v>
      </c>
      <c r="F331" s="862">
        <f>E331-D331</f>
        <v>-13.960227908395609</v>
      </c>
      <c r="G331" s="863">
        <f>F331/D331</f>
        <v>-5.3530328532792957E-4</v>
      </c>
    </row>
    <row r="332" spans="2:7">
      <c r="B332" s="852">
        <f>MAX(B323:B331)+1</f>
        <v>33</v>
      </c>
      <c r="C332" s="867">
        <f>+C331+5000</f>
        <v>45000</v>
      </c>
      <c r="D332" s="862">
        <f t="shared" si="30"/>
        <v>29088.1</v>
      </c>
      <c r="E332" s="862">
        <f t="shared" si="30"/>
        <v>29073.477919420395</v>
      </c>
      <c r="F332" s="862">
        <f>E332-D332</f>
        <v>-14.622080579603789</v>
      </c>
      <c r="G332" s="863">
        <f>F332/D332</f>
        <v>-5.0268256020860038E-4</v>
      </c>
    </row>
    <row r="333" spans="2:7">
      <c r="B333" s="852">
        <f>MAX(B325:B332)+1</f>
        <v>34</v>
      </c>
      <c r="C333" s="867">
        <f>+C332+5000</f>
        <v>50000</v>
      </c>
      <c r="D333" s="862">
        <f t="shared" si="30"/>
        <v>32097.100000000002</v>
      </c>
      <c r="E333" s="862">
        <f t="shared" si="30"/>
        <v>32081.816066749187</v>
      </c>
      <c r="F333" s="862">
        <f>E333-D333</f>
        <v>-15.283933250815608</v>
      </c>
      <c r="G333" s="863">
        <f>F333/D333</f>
        <v>-4.7617801143454104E-4</v>
      </c>
    </row>
    <row r="334" spans="2:7">
      <c r="C334" s="867"/>
      <c r="D334" s="862"/>
      <c r="E334" s="862"/>
      <c r="F334" s="862"/>
      <c r="G334" s="863"/>
    </row>
    <row r="335" spans="2:7">
      <c r="B335" s="852">
        <f>MAX(B326:B333)+1</f>
        <v>35</v>
      </c>
      <c r="C335" s="867">
        <f>+C333+10000</f>
        <v>60000</v>
      </c>
      <c r="D335" s="862">
        <f t="shared" ref="D335:E339" si="31">D$285+(D$291*$C335)+D$289*($C335-$J$288)+D$288*$J$288</f>
        <v>38115.099999999991</v>
      </c>
      <c r="E335" s="862">
        <f t="shared" si="31"/>
        <v>38098.492361406767</v>
      </c>
      <c r="F335" s="862">
        <f>E335-D335</f>
        <v>-16.607638593224692</v>
      </c>
      <c r="G335" s="863">
        <f>F335/D335</f>
        <v>-4.3572333781689398E-4</v>
      </c>
    </row>
    <row r="336" spans="2:7">
      <c r="B336" s="852">
        <f>MAX(B327:B335)+1</f>
        <v>36</v>
      </c>
      <c r="C336" s="867">
        <f>+C335+10000</f>
        <v>70000</v>
      </c>
      <c r="D336" s="862">
        <f t="shared" si="31"/>
        <v>44133.1</v>
      </c>
      <c r="E336" s="862">
        <f t="shared" si="31"/>
        <v>44115.16865606435</v>
      </c>
      <c r="F336" s="862">
        <f>E336-D336</f>
        <v>-17.931343935648329</v>
      </c>
      <c r="G336" s="863">
        <f>F336/D336</f>
        <v>-4.0630148200893046E-4</v>
      </c>
    </row>
    <row r="337" spans="1:8">
      <c r="B337" s="852">
        <f>MAX(B327:B336)+1</f>
        <v>37</v>
      </c>
      <c r="C337" s="867">
        <f>+C336+10000</f>
        <v>80000</v>
      </c>
      <c r="D337" s="862">
        <f t="shared" si="31"/>
        <v>50151.1</v>
      </c>
      <c r="E337" s="862">
        <f t="shared" si="31"/>
        <v>50131.844950721934</v>
      </c>
      <c r="F337" s="862">
        <f>E337-D337</f>
        <v>-19.255049278064689</v>
      </c>
      <c r="G337" s="863">
        <f>F337/D337</f>
        <v>-3.839407167153799E-4</v>
      </c>
    </row>
    <row r="338" spans="1:8">
      <c r="B338" s="852">
        <f>MAX(B329:B337)+1</f>
        <v>38</v>
      </c>
      <c r="C338" s="867">
        <f>+C337+10000</f>
        <v>90000</v>
      </c>
      <c r="D338" s="862">
        <f t="shared" si="31"/>
        <v>56169.099999999991</v>
      </c>
      <c r="E338" s="862">
        <f t="shared" si="31"/>
        <v>56148.52124537951</v>
      </c>
      <c r="F338" s="862">
        <f>E338-D338</f>
        <v>-20.57875462048105</v>
      </c>
      <c r="G338" s="863">
        <f>F338/D338</f>
        <v>-3.6637145014751978E-4</v>
      </c>
    </row>
    <row r="339" spans="1:8">
      <c r="B339" s="852">
        <f>MAX(B331:B338)+1</f>
        <v>39</v>
      </c>
      <c r="C339" s="867">
        <f>+C338+10000</f>
        <v>100000</v>
      </c>
      <c r="D339" s="862">
        <f t="shared" si="31"/>
        <v>62187.1</v>
      </c>
      <c r="E339" s="862">
        <f t="shared" si="31"/>
        <v>62165.197540037094</v>
      </c>
      <c r="F339" s="862">
        <f>E339-D339</f>
        <v>-21.902459962904686</v>
      </c>
      <c r="G339" s="863">
        <f>F339/D339</f>
        <v>-3.5220262663646779E-4</v>
      </c>
    </row>
    <row r="340" spans="1:8">
      <c r="C340" s="867"/>
      <c r="D340" s="862"/>
      <c r="E340" s="862"/>
      <c r="F340" s="862"/>
      <c r="G340" s="863"/>
    </row>
    <row r="341" spans="1:8">
      <c r="B341" s="852">
        <f>MAX(B332:B339)+1</f>
        <v>40</v>
      </c>
      <c r="C341" s="867">
        <f>+C339+15000</f>
        <v>115000</v>
      </c>
      <c r="D341" s="862">
        <f t="shared" ref="D341:E346" si="32">D$285+(D$291*$C341)+D$289*($C341-$J$288)+D$288*$J$288</f>
        <v>71214.099999999991</v>
      </c>
      <c r="E341" s="862">
        <f t="shared" si="32"/>
        <v>71190.211982023451</v>
      </c>
      <c r="F341" s="862">
        <f t="shared" ref="F341:F346" si="33">E341-D341</f>
        <v>-23.888017976540141</v>
      </c>
      <c r="G341" s="863">
        <f t="shared" ref="G341:G346" si="34">F341/D341</f>
        <v>-3.3543944214053315E-4</v>
      </c>
    </row>
    <row r="342" spans="1:8">
      <c r="B342" s="852">
        <f>MAX(B333:B341)+1</f>
        <v>41</v>
      </c>
      <c r="C342" s="867">
        <f>+C341+15000</f>
        <v>130000</v>
      </c>
      <c r="D342" s="862">
        <f t="shared" si="32"/>
        <v>80241.099999999991</v>
      </c>
      <c r="E342" s="862">
        <f t="shared" si="32"/>
        <v>80215.22642400983</v>
      </c>
      <c r="F342" s="862">
        <f t="shared" si="33"/>
        <v>-25.873575990161044</v>
      </c>
      <c r="G342" s="863">
        <f t="shared" si="34"/>
        <v>-3.224479224507272E-4</v>
      </c>
    </row>
    <row r="343" spans="1:8">
      <c r="B343" s="852">
        <f>MAX(B333:B342)+1</f>
        <v>42</v>
      </c>
      <c r="C343" s="867">
        <f>+C342+15000</f>
        <v>145000</v>
      </c>
      <c r="D343" s="862">
        <f t="shared" si="32"/>
        <v>89268.099999999991</v>
      </c>
      <c r="E343" s="862">
        <f t="shared" si="32"/>
        <v>89240.240865996195</v>
      </c>
      <c r="F343" s="862">
        <f t="shared" si="33"/>
        <v>-27.859134003796498</v>
      </c>
      <c r="G343" s="863">
        <f t="shared" si="34"/>
        <v>-3.1208386874814742E-4</v>
      </c>
    </row>
    <row r="344" spans="1:8">
      <c r="B344" s="852">
        <f>MAX(B335:B343)+1</f>
        <v>43</v>
      </c>
      <c r="C344" s="867">
        <f>+C343+15000</f>
        <v>160000</v>
      </c>
      <c r="D344" s="862">
        <f t="shared" si="32"/>
        <v>98295.1</v>
      </c>
      <c r="E344" s="862">
        <f t="shared" si="32"/>
        <v>98265.255307982574</v>
      </c>
      <c r="F344" s="862">
        <f t="shared" si="33"/>
        <v>-29.844692017431953</v>
      </c>
      <c r="G344" s="863">
        <f t="shared" si="34"/>
        <v>-3.0362339544323116E-4</v>
      </c>
    </row>
    <row r="345" spans="1:8">
      <c r="B345" s="852">
        <f>MAX(B336:B344)+1</f>
        <v>44</v>
      </c>
      <c r="C345" s="867">
        <f>+C344+15000</f>
        <v>175000</v>
      </c>
      <c r="D345" s="862">
        <f t="shared" si="32"/>
        <v>107322.09999999999</v>
      </c>
      <c r="E345" s="862">
        <f t="shared" si="32"/>
        <v>107290.26974996894</v>
      </c>
      <c r="F345" s="862">
        <f t="shared" si="33"/>
        <v>-31.830250031052856</v>
      </c>
      <c r="G345" s="863">
        <f t="shared" si="34"/>
        <v>-2.965861647419577E-4</v>
      </c>
    </row>
    <row r="346" spans="1:8" hidden="1" outlineLevel="1">
      <c r="A346" s="849" t="str">
        <f>$A$1</f>
        <v>Cascade Natural Gas Corporation</v>
      </c>
      <c r="C346" s="867">
        <f>+C345+15000</f>
        <v>190000</v>
      </c>
      <c r="D346" s="862">
        <f t="shared" si="32"/>
        <v>116349.09999999999</v>
      </c>
      <c r="E346" s="862">
        <f t="shared" si="32"/>
        <v>116315.28419195532</v>
      </c>
      <c r="F346" s="862">
        <f t="shared" si="33"/>
        <v>-33.815808044673759</v>
      </c>
      <c r="G346" s="863">
        <f t="shared" si="34"/>
        <v>-2.9064090779106812E-4</v>
      </c>
      <c r="H346" s="847" t="str">
        <f>$H$1</f>
        <v>CNGC/508</v>
      </c>
    </row>
    <row r="347" spans="1:8" hidden="1" outlineLevel="1">
      <c r="A347" s="849" t="str">
        <f>$A$2</f>
        <v>Washington Jurisdiction</v>
      </c>
      <c r="H347" s="847"/>
    </row>
    <row r="348" spans="1:8" hidden="1" outlineLevel="1">
      <c r="A348" s="849" t="str">
        <f>$A$3</f>
        <v>Test Year Ended December 31, 2019</v>
      </c>
      <c r="H348" s="850" t="str">
        <f>$H$3</f>
        <v>Impact of Recommended Rate Changes</v>
      </c>
    </row>
    <row r="349" spans="1:8" hidden="1" outlineLevel="1">
      <c r="A349" s="849"/>
    </row>
    <row r="350" spans="1:8" hidden="1" outlineLevel="1">
      <c r="B350" s="851" t="str">
        <f>'Exh 18, Class Rates'!C36</f>
        <v>Non-Core Industrial 663</v>
      </c>
    </row>
    <row r="351" spans="1:8" hidden="1" outlineLevel="1"/>
    <row r="352" spans="1:8" hidden="1" outlineLevel="1">
      <c r="B352" s="852" t="s">
        <v>2502</v>
      </c>
    </row>
    <row r="353" spans="2:10" ht="16.2" hidden="1" outlineLevel="1">
      <c r="B353" s="853" t="s">
        <v>2503</v>
      </c>
      <c r="C353" s="853" t="s">
        <v>97</v>
      </c>
      <c r="D353" s="853" t="s">
        <v>98</v>
      </c>
      <c r="E353" s="853" t="s">
        <v>1098</v>
      </c>
      <c r="F353" s="853" t="s">
        <v>2505</v>
      </c>
      <c r="G353" s="853" t="s">
        <v>1100</v>
      </c>
    </row>
    <row r="354" spans="2:10" hidden="1" outlineLevel="1">
      <c r="B354" s="852"/>
      <c r="C354" s="854"/>
      <c r="D354" s="855" t="s">
        <v>2506</v>
      </c>
      <c r="E354" s="856" t="s">
        <v>2314</v>
      </c>
    </row>
    <row r="355" spans="2:10" ht="16.2" hidden="1" outlineLevel="1">
      <c r="B355" s="852"/>
      <c r="C355" s="857"/>
      <c r="D355" s="853" t="s">
        <v>2324</v>
      </c>
      <c r="E355" s="858" t="s">
        <v>2324</v>
      </c>
    </row>
    <row r="356" spans="2:10" hidden="1" outlineLevel="1">
      <c r="B356" s="852">
        <f>MAX(B347:B355)+1</f>
        <v>1</v>
      </c>
      <c r="C356" s="857" t="s">
        <v>2462</v>
      </c>
      <c r="D356" s="859">
        <f>'Exh 18, Class Rates'!$E$37</f>
        <v>625</v>
      </c>
      <c r="E356" s="872">
        <f>'Exh 18, Class Rates'!$H$37</f>
        <v>625</v>
      </c>
    </row>
    <row r="357" spans="2:10" hidden="1" outlineLevel="1">
      <c r="B357" s="852">
        <f t="shared" ref="B357:B368" si="35">MAX(B348:B356)+1</f>
        <v>2</v>
      </c>
      <c r="C357" s="857" t="s">
        <v>2547</v>
      </c>
      <c r="D357" s="892" t="s">
        <v>2467</v>
      </c>
      <c r="E357" s="1241">
        <f>'Exh 18, Class Rates'!$H$38</f>
        <v>0.2</v>
      </c>
    </row>
    <row r="358" spans="2:10" hidden="1" outlineLevel="1">
      <c r="B358" s="852"/>
      <c r="C358" s="857"/>
      <c r="D358" s="859"/>
      <c r="E358" s="872"/>
    </row>
    <row r="359" spans="2:10" hidden="1" outlineLevel="1">
      <c r="B359" s="852">
        <f t="shared" si="35"/>
        <v>3</v>
      </c>
      <c r="C359" s="857" t="s">
        <v>2463</v>
      </c>
      <c r="D359" s="859"/>
      <c r="E359" s="872"/>
    </row>
    <row r="360" spans="2:10" hidden="1" outlineLevel="1">
      <c r="B360" s="852">
        <f t="shared" si="35"/>
        <v>4</v>
      </c>
      <c r="C360" s="868" t="s">
        <v>2548</v>
      </c>
      <c r="D360" s="838">
        <f>'Exh 18, Class Rates'!$E$39</f>
        <v>4.0000000000000002E-4</v>
      </c>
      <c r="E360" s="1241">
        <f>'Exh 18, Class Rates'!$H$39</f>
        <v>4.0000000000000002E-4</v>
      </c>
      <c r="J360" s="1242">
        <v>10000</v>
      </c>
    </row>
    <row r="361" spans="2:10" hidden="1" outlineLevel="1">
      <c r="B361" s="852">
        <f t="shared" si="35"/>
        <v>5</v>
      </c>
      <c r="C361" s="868" t="s">
        <v>2549</v>
      </c>
      <c r="D361" s="838">
        <f>'Exh 18, Class Rates'!$E$40</f>
        <v>5.9889999999999999E-2</v>
      </c>
      <c r="E361" s="1241">
        <f>'Exh 18, Class Rates'!$H$40</f>
        <v>5.9608577518787662E-2</v>
      </c>
      <c r="J361" s="1243">
        <v>10000</v>
      </c>
    </row>
    <row r="362" spans="2:10" hidden="1" outlineLevel="1">
      <c r="B362" s="852">
        <f t="shared" si="35"/>
        <v>6</v>
      </c>
      <c r="C362" s="868" t="s">
        <v>2550</v>
      </c>
      <c r="D362" s="838">
        <f>'Exh 18, Class Rates'!$E$41</f>
        <v>2.3029999999999998E-2</v>
      </c>
      <c r="E362" s="1241">
        <f>'Exh 18, Class Rates'!$H$41</f>
        <v>2.2921782271792951E-2</v>
      </c>
      <c r="J362" s="1243">
        <v>30000</v>
      </c>
    </row>
    <row r="363" spans="2:10" hidden="1" outlineLevel="1">
      <c r="B363" s="852">
        <f t="shared" si="35"/>
        <v>7</v>
      </c>
      <c r="C363" s="868" t="s">
        <v>2551</v>
      </c>
      <c r="D363" s="838">
        <f>'Exh 18, Class Rates'!$E$42</f>
        <v>1.473E-2</v>
      </c>
      <c r="E363" s="1241">
        <f>'Exh 18, Class Rates'!$H$42</f>
        <v>1.4660783884650898E-2</v>
      </c>
      <c r="J363" s="1243">
        <v>50000</v>
      </c>
    </row>
    <row r="364" spans="2:10" hidden="1" outlineLevel="1">
      <c r="B364" s="852">
        <f t="shared" si="35"/>
        <v>8</v>
      </c>
      <c r="C364" s="868" t="s">
        <v>2552</v>
      </c>
      <c r="D364" s="838" t="e">
        <f>'Exh 18, Class Rates'!#REF!</f>
        <v>#REF!</v>
      </c>
      <c r="E364" s="1241" t="e">
        <f>'Exh 18, Class Rates'!#REF!</f>
        <v>#REF!</v>
      </c>
      <c r="J364" s="1244">
        <v>400000</v>
      </c>
    </row>
    <row r="365" spans="2:10" hidden="1" outlineLevel="1">
      <c r="B365" s="852">
        <f t="shared" si="35"/>
        <v>9</v>
      </c>
      <c r="C365" s="868" t="s">
        <v>2553</v>
      </c>
      <c r="D365" s="838">
        <f>'Exh 18, Class Rates'!$E$43</f>
        <v>7.9799999999999992E-3</v>
      </c>
      <c r="E365" s="1241">
        <f>'Exh 18, Class Rates'!$H$43</f>
        <v>7.9425020637823602E-3</v>
      </c>
    </row>
    <row r="366" spans="2:10" hidden="1" outlineLevel="1">
      <c r="B366" s="852">
        <f t="shared" si="35"/>
        <v>10</v>
      </c>
      <c r="C366" s="868" t="s">
        <v>2554</v>
      </c>
      <c r="D366" s="838" t="e">
        <f>'Exh 18, Class Rates'!#REF!</f>
        <v>#REF!</v>
      </c>
      <c r="E366" s="1241" t="e">
        <f>'Exh 18, Class Rates'!#REF!</f>
        <v>#REF!</v>
      </c>
    </row>
    <row r="367" spans="2:10" hidden="1" outlineLevel="1">
      <c r="B367" s="852"/>
      <c r="C367" s="857"/>
      <c r="D367" s="859"/>
      <c r="E367" s="835"/>
    </row>
    <row r="368" spans="2:10" hidden="1" outlineLevel="1">
      <c r="B368" s="852">
        <f t="shared" si="35"/>
        <v>11</v>
      </c>
      <c r="C368" s="860" t="s">
        <v>2507</v>
      </c>
      <c r="D368" s="869">
        <v>0</v>
      </c>
      <c r="E368" s="866">
        <f>D368</f>
        <v>0</v>
      </c>
    </row>
    <row r="369" spans="2:8" hidden="1" outlineLevel="1">
      <c r="B369" s="852"/>
    </row>
    <row r="370" spans="2:8" hidden="1" outlineLevel="1">
      <c r="B370" s="852"/>
      <c r="C370" s="852"/>
      <c r="D370" s="852"/>
      <c r="E370" s="852"/>
    </row>
    <row r="371" spans="2:8" ht="16.2" hidden="1" outlineLevel="1">
      <c r="B371" s="852"/>
      <c r="C371" s="852" t="s">
        <v>2531</v>
      </c>
      <c r="D371" s="852" t="s">
        <v>2547</v>
      </c>
      <c r="E371" s="852" t="s">
        <v>2508</v>
      </c>
      <c r="F371" s="852" t="s">
        <v>2508</v>
      </c>
      <c r="G371" s="861" t="s">
        <v>2532</v>
      </c>
      <c r="H371" s="861"/>
    </row>
    <row r="372" spans="2:8" ht="16.2" hidden="1" outlineLevel="1">
      <c r="B372" s="852"/>
      <c r="C372" s="853" t="s">
        <v>2533</v>
      </c>
      <c r="D372" s="853" t="s">
        <v>2533</v>
      </c>
      <c r="E372" s="853" t="s">
        <v>2534</v>
      </c>
      <c r="F372" s="853" t="s">
        <v>2477</v>
      </c>
      <c r="G372" s="853" t="s">
        <v>729</v>
      </c>
      <c r="H372" s="853" t="s">
        <v>2513</v>
      </c>
    </row>
    <row r="373" spans="2:8" hidden="1" outlineLevel="1">
      <c r="B373" s="852"/>
      <c r="D373" s="852"/>
    </row>
    <row r="374" spans="2:8" hidden="1" outlineLevel="1">
      <c r="B374" s="852">
        <f>MAX(B364:B373)+1</f>
        <v>12</v>
      </c>
      <c r="C374" s="867">
        <v>0</v>
      </c>
      <c r="E374" s="862">
        <f>D$356+(D$368+D$360)*$C374</f>
        <v>625</v>
      </c>
      <c r="F374" s="862">
        <f>E$356+(E$368+E$360)*$C374</f>
        <v>625</v>
      </c>
      <c r="G374" s="862">
        <f>F374-E374</f>
        <v>0</v>
      </c>
      <c r="H374" s="863">
        <f>G374/E374</f>
        <v>0</v>
      </c>
    </row>
    <row r="375" spans="2:8" hidden="1" outlineLevel="1">
      <c r="B375" s="852"/>
      <c r="C375" s="867"/>
      <c r="E375" s="862"/>
      <c r="F375" s="862"/>
      <c r="G375" s="862"/>
      <c r="H375" s="863"/>
    </row>
    <row r="376" spans="2:8" hidden="1" outlineLevel="1">
      <c r="B376" s="852">
        <f>MAX(B373:B375)+1</f>
        <v>13</v>
      </c>
      <c r="C376" s="867">
        <f>MAX(C373:C375)+2000</f>
        <v>2000</v>
      </c>
      <c r="D376" s="852"/>
      <c r="E376" s="862">
        <f>D$356+(D$368+D$360)*$C376</f>
        <v>625.79999999999995</v>
      </c>
      <c r="F376" s="862">
        <f>E$356+(E$368+E$360)*$C376+(D376*$E$357)</f>
        <v>625.79999999999995</v>
      </c>
      <c r="G376" s="862">
        <f>F376-E376</f>
        <v>0</v>
      </c>
      <c r="H376" s="863">
        <f>G376/E376</f>
        <v>0</v>
      </c>
    </row>
    <row r="377" spans="2:8" hidden="1" outlineLevel="1">
      <c r="B377" s="852">
        <f>MAX(B374:B376)+1</f>
        <v>14</v>
      </c>
      <c r="C377" s="867">
        <f>MAX(C374:C376)+2000</f>
        <v>4000</v>
      </c>
      <c r="D377" s="852"/>
      <c r="E377" s="862">
        <f>D$356+(D$368+D$360)*$C377</f>
        <v>626.6</v>
      </c>
      <c r="F377" s="862">
        <f>E$356+(E$368+E$360)*$C377+(D377*$E$357)</f>
        <v>626.6</v>
      </c>
      <c r="G377" s="862">
        <f>F377-E377</f>
        <v>0</v>
      </c>
      <c r="H377" s="863">
        <f>G377/E377</f>
        <v>0</v>
      </c>
    </row>
    <row r="378" spans="2:8" hidden="1" outlineLevel="1">
      <c r="B378" s="852">
        <f>MAX(B375:B377)+1</f>
        <v>15</v>
      </c>
      <c r="C378" s="867">
        <f>MAX(C375:C377)+2000</f>
        <v>6000</v>
      </c>
      <c r="D378" s="852"/>
      <c r="E378" s="862">
        <f>D$356+(D$368+D$360)*$C378</f>
        <v>627.4</v>
      </c>
      <c r="F378" s="862">
        <f>E$356+(E$368+E$360)*$C378+(D378*$E$357)</f>
        <v>627.4</v>
      </c>
      <c r="G378" s="862">
        <f>F378-E378</f>
        <v>0</v>
      </c>
      <c r="H378" s="863">
        <f>G378/E378</f>
        <v>0</v>
      </c>
    </row>
    <row r="379" spans="2:8" hidden="1" outlineLevel="1">
      <c r="B379" s="852">
        <f>MAX(B376:B378)+1</f>
        <v>16</v>
      </c>
      <c r="C379" s="867">
        <f>MAX(C376:C378)+2000</f>
        <v>8000</v>
      </c>
      <c r="D379" s="852"/>
      <c r="E379" s="862">
        <f>D$356+(D$368+D$360)*$C379</f>
        <v>628.20000000000005</v>
      </c>
      <c r="F379" s="862">
        <f>E$356+(E$368+E$360)*$C379+(D379*$E$357)</f>
        <v>628.20000000000005</v>
      </c>
      <c r="G379" s="862">
        <f>F379-E379</f>
        <v>0</v>
      </c>
      <c r="H379" s="863">
        <f>G379/E379</f>
        <v>0</v>
      </c>
    </row>
    <row r="380" spans="2:8" hidden="1" outlineLevel="1">
      <c r="B380" s="852">
        <f>MAX(B376:B379)+1</f>
        <v>17</v>
      </c>
      <c r="C380" s="867">
        <f>MAX(C377:C379)+2000</f>
        <v>10000</v>
      </c>
      <c r="D380" s="852"/>
      <c r="E380" s="862">
        <f>D$356+(D$368+D$360)*$C380</f>
        <v>629</v>
      </c>
      <c r="F380" s="862">
        <f>E$356+(E$368+E$360)*$C380+(D380*$E$357)</f>
        <v>629</v>
      </c>
      <c r="G380" s="862">
        <f>F380-E380</f>
        <v>0</v>
      </c>
      <c r="H380" s="863">
        <f>G380/E380</f>
        <v>0</v>
      </c>
    </row>
    <row r="381" spans="2:8" hidden="1" outlineLevel="1">
      <c r="B381" s="852"/>
      <c r="C381" s="867"/>
      <c r="E381" s="862"/>
      <c r="F381" s="862"/>
      <c r="G381" s="862"/>
      <c r="H381" s="863"/>
    </row>
    <row r="382" spans="2:8" hidden="1" outlineLevel="1">
      <c r="B382" s="852">
        <f>MAX(B376:B381)+1</f>
        <v>18</v>
      </c>
      <c r="C382" s="867">
        <f>MAX(C379:C381)+2000</f>
        <v>12000</v>
      </c>
      <c r="D382" s="852"/>
      <c r="E382" s="862">
        <f>D$356+(D$368*$C382)+D$361*($C382-$J$360)+D$360*$J$360</f>
        <v>748.78</v>
      </c>
      <c r="F382" s="862">
        <f>E$356+(E$368*$C382)+E$361*($C382-$J$360)+E$360*$J$360+(D382*$E$357)</f>
        <v>748.21715503757537</v>
      </c>
      <c r="G382" s="862">
        <f>F382-E382</f>
        <v>-0.56284496242460591</v>
      </c>
      <c r="H382" s="863">
        <f>G382/E382</f>
        <v>-7.5168268707044247E-4</v>
      </c>
    </row>
    <row r="383" spans="2:8" hidden="1" outlineLevel="1">
      <c r="B383" s="852">
        <f>MAX(B376:B382)+1</f>
        <v>19</v>
      </c>
      <c r="C383" s="867">
        <f>MAX(C382:C382)+2000</f>
        <v>14000</v>
      </c>
      <c r="D383" s="852"/>
      <c r="E383" s="862">
        <f>D$356+(D$368*$C383)+D$361*($C383-$J$360)+D$360*$J$360</f>
        <v>868.56</v>
      </c>
      <c r="F383" s="862">
        <f>E$356+(E$368*$C383)+E$361*($C383-$J$360)+E$360*$J$360+(D383*$E$357)</f>
        <v>867.43431007515062</v>
      </c>
      <c r="G383" s="862">
        <f>F383-E383</f>
        <v>-1.1256899248493255</v>
      </c>
      <c r="H383" s="863">
        <f>G383/E383</f>
        <v>-1.2960416377099172E-3</v>
      </c>
    </row>
    <row r="384" spans="2:8" hidden="1" outlineLevel="1">
      <c r="B384" s="852">
        <f>MAX(B376:B383)+1</f>
        <v>20</v>
      </c>
      <c r="C384" s="867">
        <f>MAX(C383:C383)+2000</f>
        <v>16000</v>
      </c>
      <c r="D384" s="852"/>
      <c r="E384" s="862">
        <f>D$356+(D$368*$C384)+D$361*($C384-$J$360)+D$360*$J$360</f>
        <v>988.33999999999992</v>
      </c>
      <c r="F384" s="862">
        <f>E$356+(E$368*$C384)+E$361*($C384-$J$360)+E$360*$J$360+(D384*$E$357)</f>
        <v>986.65146511272599</v>
      </c>
      <c r="G384" s="862">
        <f>F384-E384</f>
        <v>-1.6885348872739314</v>
      </c>
      <c r="H384" s="863">
        <f>G384/E384</f>
        <v>-1.7084554781491507E-3</v>
      </c>
    </row>
    <row r="385" spans="2:8" hidden="1" outlineLevel="1">
      <c r="B385" s="852">
        <f>MAX(B376:B384)+1</f>
        <v>21</v>
      </c>
      <c r="C385" s="867">
        <f>MAX(C384:C384)+2000</f>
        <v>18000</v>
      </c>
      <c r="D385" s="852"/>
      <c r="E385" s="862">
        <f>D$356+(D$368*$C385)+D$361*($C385-$J$360)+D$360*$J$360</f>
        <v>1108.1199999999999</v>
      </c>
      <c r="F385" s="862">
        <f>E$356+(E$368*$C385)+E$361*($C385-$J$360)+E$360*$J$360+(D385*$E$357)</f>
        <v>1105.8686201503012</v>
      </c>
      <c r="G385" s="862">
        <f>F385-E385</f>
        <v>-2.251379849698651</v>
      </c>
      <c r="H385" s="863">
        <f>G385/E385</f>
        <v>-2.0317112313636169E-3</v>
      </c>
    </row>
    <row r="386" spans="2:8" hidden="1" outlineLevel="1">
      <c r="B386" s="852">
        <f>MAX(B377:B385)+1</f>
        <v>22</v>
      </c>
      <c r="C386" s="867">
        <f>MAX(C385:C385)+2000</f>
        <v>20000</v>
      </c>
      <c r="D386" s="852"/>
      <c r="E386" s="862">
        <f>D$356+(D$368*$C386)+D$361*($C386-$J$360)+D$360*$J$360</f>
        <v>1227.9000000000001</v>
      </c>
      <c r="F386" s="862">
        <f>E$356+(E$368*$C386)+E$361*($C386-$J$360)+E$360*$J$360+(D386*$E$357)</f>
        <v>1225.0857751878766</v>
      </c>
      <c r="G386" s="862">
        <f>F386-E386</f>
        <v>-2.8142248121234843</v>
      </c>
      <c r="H386" s="863">
        <f>G386/E386</f>
        <v>-2.2919006532482159E-3</v>
      </c>
    </row>
    <row r="387" spans="2:8" hidden="1" outlineLevel="1">
      <c r="B387" s="852"/>
      <c r="C387" s="867"/>
      <c r="E387" s="862"/>
      <c r="F387" s="862"/>
      <c r="G387" s="862"/>
      <c r="H387" s="863"/>
    </row>
    <row r="388" spans="2:8" hidden="1" outlineLevel="1">
      <c r="B388" s="852">
        <f>MAX(B385:B387)+1</f>
        <v>23</v>
      </c>
      <c r="C388" s="867">
        <f>MAX(C386:C387)+5000</f>
        <v>25000</v>
      </c>
      <c r="D388" s="852"/>
      <c r="E388" s="862">
        <f t="shared" ref="E388:E393" si="36">D$356+(D$368*$C388)+D$362*($C388-$J$360-$J$361)+D$360*$J$360+D$361*$J$361</f>
        <v>1343.05</v>
      </c>
      <c r="F388" s="862">
        <f t="shared" ref="F388:F393" si="37">E$356+(E$368*$C388)+E$362*($C388-$J$360-$J$361)+E$360*$J$360+E$361*$J$361+(D388*$E$357)</f>
        <v>1339.6946865468412</v>
      </c>
      <c r="G388" s="862">
        <f t="shared" ref="G388:G393" si="38">F388-E388</f>
        <v>-3.3553134531587148</v>
      </c>
      <c r="H388" s="863">
        <f t="shared" ref="H388:H393" si="39">G388/E388</f>
        <v>-2.4982788825127248E-3</v>
      </c>
    </row>
    <row r="389" spans="2:8" hidden="1" outlineLevel="1">
      <c r="B389" s="852">
        <f>MAX(B386:B388)+1</f>
        <v>24</v>
      </c>
      <c r="C389" s="867">
        <f>MAX(C387:C388)+5000</f>
        <v>30000</v>
      </c>
      <c r="D389" s="852"/>
      <c r="E389" s="862">
        <f t="shared" si="36"/>
        <v>1458.1999999999998</v>
      </c>
      <c r="F389" s="862">
        <f t="shared" si="37"/>
        <v>1454.3035979058061</v>
      </c>
      <c r="G389" s="862">
        <f t="shared" si="38"/>
        <v>-3.8964020941937179</v>
      </c>
      <c r="H389" s="863">
        <f t="shared" si="39"/>
        <v>-2.6720628817677398E-3</v>
      </c>
    </row>
    <row r="390" spans="2:8" hidden="1" outlineLevel="1">
      <c r="B390" s="852">
        <f>MAX(B387:B389)+1</f>
        <v>25</v>
      </c>
      <c r="C390" s="867">
        <f>MAX(C388:C389)+5000</f>
        <v>35000</v>
      </c>
      <c r="D390" s="852"/>
      <c r="E390" s="862">
        <f t="shared" si="36"/>
        <v>1573.35</v>
      </c>
      <c r="F390" s="862">
        <f t="shared" si="37"/>
        <v>1568.912509264771</v>
      </c>
      <c r="G390" s="862">
        <f t="shared" si="38"/>
        <v>-4.4374907352289483</v>
      </c>
      <c r="H390" s="863">
        <f t="shared" si="39"/>
        <v>-2.8204091494130031E-3</v>
      </c>
    </row>
    <row r="391" spans="2:8" hidden="1" outlineLevel="1">
      <c r="B391" s="852">
        <f>MAX(B388:B390)+1</f>
        <v>26</v>
      </c>
      <c r="C391" s="867">
        <f>MAX(C388:C390)+5000</f>
        <v>40000</v>
      </c>
      <c r="D391" s="852"/>
      <c r="E391" s="862">
        <f t="shared" si="36"/>
        <v>1688.5</v>
      </c>
      <c r="F391" s="862">
        <f t="shared" si="37"/>
        <v>1683.5214206237356</v>
      </c>
      <c r="G391" s="862">
        <f t="shared" si="38"/>
        <v>-4.9785793762644062</v>
      </c>
      <c r="H391" s="863">
        <f t="shared" si="39"/>
        <v>-2.9485219877195181E-3</v>
      </c>
    </row>
    <row r="392" spans="2:8" hidden="1" outlineLevel="1">
      <c r="B392" s="852">
        <f>MAX(B388:B391)+1</f>
        <v>27</v>
      </c>
      <c r="C392" s="867">
        <f>MAX(C389:C391)+5000</f>
        <v>45000</v>
      </c>
      <c r="D392" s="852"/>
      <c r="E392" s="862">
        <f t="shared" si="36"/>
        <v>1803.65</v>
      </c>
      <c r="F392" s="862">
        <f t="shared" si="37"/>
        <v>1798.1303319827002</v>
      </c>
      <c r="G392" s="862">
        <f t="shared" si="38"/>
        <v>-5.519668017299864</v>
      </c>
      <c r="H392" s="863">
        <f t="shared" si="39"/>
        <v>-3.0602766708063447E-3</v>
      </c>
    </row>
    <row r="393" spans="2:8" hidden="1" outlineLevel="1">
      <c r="B393" s="852">
        <f>MAX(B388:B392)+1</f>
        <v>28</v>
      </c>
      <c r="C393" s="867">
        <f>MAX(C390:C392)+5000</f>
        <v>50000</v>
      </c>
      <c r="D393" s="852"/>
      <c r="E393" s="862">
        <f t="shared" si="36"/>
        <v>1918.8000000000002</v>
      </c>
      <c r="F393" s="862">
        <f t="shared" si="37"/>
        <v>1912.7392433416651</v>
      </c>
      <c r="G393" s="862">
        <f t="shared" si="38"/>
        <v>-6.0607566583350945</v>
      </c>
      <c r="H393" s="863">
        <f t="shared" si="39"/>
        <v>-3.158618229276159E-3</v>
      </c>
    </row>
    <row r="394" spans="2:8" hidden="1" outlineLevel="1">
      <c r="B394" s="852"/>
      <c r="C394" s="867"/>
      <c r="E394" s="862"/>
      <c r="F394" s="862"/>
      <c r="G394" s="862"/>
      <c r="H394" s="863"/>
    </row>
    <row r="395" spans="2:8" hidden="1" outlineLevel="1">
      <c r="B395" s="852">
        <f>MAX(B388:B394)+1</f>
        <v>29</v>
      </c>
      <c r="C395" s="867">
        <f>MAX(C392:C394)+10000</f>
        <v>60000</v>
      </c>
      <c r="D395" s="852"/>
      <c r="E395" s="862">
        <f>D$356+(D$368*$C395)+D$363*($C395-$J$360-$J$361-$J$362)+D$360*$J$360+D$361*$J$361+D$362*$J$362</f>
        <v>2066.1</v>
      </c>
      <c r="F395" s="862">
        <f>E$356+(E$368*$C395)+E$363*($C395-$J$360-$J$361-$J$362)+E$360*$J$360+E$361*$J$361+E$362*$J$362+(D395*$E$357)</f>
        <v>2059.3470821881738</v>
      </c>
      <c r="G395" s="862">
        <f>F395-E395</f>
        <v>-6.752917811826137</v>
      </c>
      <c r="H395" s="863">
        <f>G395/E395</f>
        <v>-3.2684370610455145E-3</v>
      </c>
    </row>
    <row r="396" spans="2:8" hidden="1" outlineLevel="1">
      <c r="B396" s="852">
        <f>MAX(B388:B395)+1</f>
        <v>30</v>
      </c>
      <c r="C396" s="867">
        <f>MAX(C393:C395)+10000</f>
        <v>70000</v>
      </c>
      <c r="D396" s="852"/>
      <c r="E396" s="862">
        <f>D$356+(D$368*$C396)+D$363*($C396-$J$360-$J$361-$J$362)+D$360*$J$360+D$361*$J$361+D$362*$J$362</f>
        <v>2213.4</v>
      </c>
      <c r="F396" s="862">
        <f>E$356+(E$368*$C396)+E$363*($C396-$J$360-$J$361-$J$362)+E$360*$J$360+E$361*$J$361+E$362*$J$362+(D396*$E$357)</f>
        <v>2205.9549210346831</v>
      </c>
      <c r="G396" s="862">
        <f>F396-E396</f>
        <v>-7.4450789653169522</v>
      </c>
      <c r="H396" s="863">
        <f>G396/E396</f>
        <v>-3.3636391819449499E-3</v>
      </c>
    </row>
    <row r="397" spans="2:8" hidden="1" outlineLevel="1">
      <c r="B397" s="852">
        <f>MAX(B388:B396)+1</f>
        <v>31</v>
      </c>
      <c r="C397" s="867">
        <f>MAX(C394:C396)+10000</f>
        <v>80000</v>
      </c>
      <c r="D397" s="852"/>
      <c r="E397" s="862">
        <f>D$356+(D$368*$C397)+D$363*($C397-$J$360-$J$361-$J$362)+D$360*$J$360+D$361*$J$361+D$362*$J$362</f>
        <v>2360.7000000000003</v>
      </c>
      <c r="F397" s="862">
        <f>E$356+(E$368*$C397)+E$363*($C397-$J$360-$J$361-$J$362)+E$360*$J$360+E$361*$J$361+E$362*$J$362+(D397*$E$357)</f>
        <v>2352.5627598811921</v>
      </c>
      <c r="G397" s="862">
        <f>F397-E397</f>
        <v>-8.1372401188082222</v>
      </c>
      <c r="H397" s="863">
        <f>G397/E397</f>
        <v>-3.4469606975931805E-3</v>
      </c>
    </row>
    <row r="398" spans="2:8" hidden="1" outlineLevel="1">
      <c r="B398" s="852">
        <f>MAX(B389:B397)+1</f>
        <v>32</v>
      </c>
      <c r="C398" s="867">
        <f>MAX(C395:C397)+10000</f>
        <v>90000</v>
      </c>
      <c r="D398" s="852"/>
      <c r="E398" s="862">
        <f>D$356+(D$368*$C398)+D$363*($C398-$J$360-$J$361-$J$362)+D$360*$J$360+D$361*$J$361+D$362*$J$362</f>
        <v>2508</v>
      </c>
      <c r="F398" s="862">
        <f>E$356+(E$368*$C398)+E$363*($C398-$J$360-$J$361-$J$362)+E$360*$J$360+E$361*$J$361+E$362*$J$362+(D398*$E$357)</f>
        <v>2499.170598727701</v>
      </c>
      <c r="G398" s="862">
        <f>F398-E398</f>
        <v>-8.8294012722990374</v>
      </c>
      <c r="H398" s="863">
        <f>G398/E398</f>
        <v>-3.5204949251591059E-3</v>
      </c>
    </row>
    <row r="399" spans="2:8" hidden="1" outlineLevel="1">
      <c r="B399" s="852">
        <f>MAX(B390:B398)+1</f>
        <v>33</v>
      </c>
      <c r="C399" s="867">
        <f>MAX(C396:C398)+10000</f>
        <v>100000</v>
      </c>
      <c r="D399" s="852"/>
      <c r="E399" s="862">
        <f>D$356+(D$368*$C399)+D$363*($C399-$J$360-$J$361-$J$362)+D$360*$J$360+D$361*$J$361+D$362*$J$362</f>
        <v>2655.3</v>
      </c>
      <c r="F399" s="862">
        <f>E$356+(E$368*$C399)+E$363*($C399-$J$360-$J$361-$J$362)+E$360*$J$360+E$361*$J$361+E$362*$J$362+(D399*$E$357)</f>
        <v>2645.7784375742103</v>
      </c>
      <c r="G399" s="862">
        <f>F399-E399</f>
        <v>-9.5215624257898526</v>
      </c>
      <c r="H399" s="863">
        <f>G399/E399</f>
        <v>-3.5858706834594402E-3</v>
      </c>
    </row>
    <row r="400" spans="2:8" hidden="1" outlineLevel="1">
      <c r="B400" s="852"/>
      <c r="C400" s="867"/>
      <c r="E400" s="852"/>
      <c r="F400" s="852"/>
      <c r="G400" s="862"/>
      <c r="H400" s="863"/>
    </row>
    <row r="401" spans="2:8" hidden="1" outlineLevel="1">
      <c r="B401" s="852">
        <f>MAX(B392:B400)+1</f>
        <v>34</v>
      </c>
      <c r="C401" s="867">
        <f>MAX(C398:C400)+25000</f>
        <v>125000</v>
      </c>
      <c r="D401" s="852"/>
      <c r="E401" s="862" t="e">
        <f>D$356+(D$368*$C401)+D$364*($C401-$J$360-$J$361-$J$362-$J$363)+D$360*$J$360+D$361*$J$361+D$362*$J$362+D$363*$J$363</f>
        <v>#REF!</v>
      </c>
      <c r="F401" s="862" t="e">
        <f>E$356+(E$368*$C401)+E$364*($C401-$J$360-$J$361-$J$362-$J$363)+E$360*$J$360+E$361*$J$361+E$362*$J$362+E$363*$J$363+(D401*$E$357)</f>
        <v>#REF!</v>
      </c>
      <c r="G401" s="862" t="e">
        <f>F401-E401</f>
        <v>#REF!</v>
      </c>
      <c r="H401" s="863" t="e">
        <f>G401/E401</f>
        <v>#REF!</v>
      </c>
    </row>
    <row r="402" spans="2:8" hidden="1" outlineLevel="1">
      <c r="B402" s="852">
        <f>MAX(B393:B401)+1</f>
        <v>35</v>
      </c>
      <c r="C402" s="867">
        <f>MAX(C399:C401)+25000</f>
        <v>150000</v>
      </c>
      <c r="D402" s="852"/>
      <c r="E402" s="862" t="e">
        <f>D$356+(D$368*$C402)+D$364*($C402-$J$360-$J$361-$J$362-$J$363)+D$360*$J$360+D$361*$J$361+D$362*$J$362+D$363*$J$363</f>
        <v>#REF!</v>
      </c>
      <c r="F402" s="862" t="e">
        <f>E$356+(E$368*$C402)+E$364*($C402-$J$360-$J$361-$J$362-$J$363)+E$360*$J$360+E$361*$J$361+E$362*$J$362+E$363*$J$363+(D402*$E$357)</f>
        <v>#REF!</v>
      </c>
      <c r="G402" s="862" t="e">
        <f>F402-E402</f>
        <v>#REF!</v>
      </c>
      <c r="H402" s="863" t="e">
        <f>G402/E402</f>
        <v>#REF!</v>
      </c>
    </row>
    <row r="403" spans="2:8" hidden="1" outlineLevel="1">
      <c r="B403" s="852">
        <f>MAX(B394:B402)+1</f>
        <v>36</v>
      </c>
      <c r="C403" s="867">
        <f>MAX(C400:C402)+25000</f>
        <v>175000</v>
      </c>
      <c r="D403" s="852"/>
      <c r="E403" s="862" t="e">
        <f>D$356+(D$368*$C403)+D$364*($C403-$J$360-$J$361-$J$362-$J$363)+D$360*$J$360+D$361*$J$361+D$362*$J$362+D$363*$J$363</f>
        <v>#REF!</v>
      </c>
      <c r="F403" s="862" t="e">
        <f>E$356+(E$368*$C403)+E$364*($C403-$J$360-$J$361-$J$362-$J$363)+E$360*$J$360+E$361*$J$361+E$362*$J$362+E$363*$J$363+(D403*$E$357)</f>
        <v>#REF!</v>
      </c>
      <c r="G403" s="862" t="e">
        <f>F403-E403</f>
        <v>#REF!</v>
      </c>
      <c r="H403" s="863" t="e">
        <f>G403/E403</f>
        <v>#REF!</v>
      </c>
    </row>
    <row r="404" spans="2:8" hidden="1" outlineLevel="1">
      <c r="B404" s="852">
        <f>MAX(B395:B403)+1</f>
        <v>37</v>
      </c>
      <c r="C404" s="867">
        <f>MAX(C401:C403)+25000</f>
        <v>200000</v>
      </c>
      <c r="D404" s="852"/>
      <c r="E404" s="862" t="e">
        <f>D$356+(D$368*$C404)+D$364*($C404-$J$360-$J$361-$J$362-$J$363)+D$360*$J$360+D$361*$J$361+D$362*$J$362+D$363*$J$363</f>
        <v>#REF!</v>
      </c>
      <c r="F404" s="862" t="e">
        <f>E$356+(E$368*$C404)+E$364*($C404-$J$360-$J$361-$J$362-$J$363)+E$360*$J$360+E$361*$J$361+E$362*$J$362+E$363*$J$363+(D404*$E$357)</f>
        <v>#REF!</v>
      </c>
      <c r="G404" s="862" t="e">
        <f>F404-E404</f>
        <v>#REF!</v>
      </c>
      <c r="H404" s="863" t="e">
        <f>G404/E404</f>
        <v>#REF!</v>
      </c>
    </row>
    <row r="405" spans="2:8" hidden="1" outlineLevel="1">
      <c r="B405" s="852">
        <f>MAX(B397:B404)+1</f>
        <v>38</v>
      </c>
      <c r="C405" s="867">
        <f>MAX(C403:C404)+50000</f>
        <v>250000</v>
      </c>
      <c r="D405" s="852"/>
      <c r="E405" s="862" t="e">
        <f>D$356+(D$368*$C405)+D$364*($C405-$J$360-$J$361-$J$362-$J$363)+D$360*$J$360+D$361*$J$361+D$362*$J$362+D$363*$J$363</f>
        <v>#REF!</v>
      </c>
      <c r="F405" s="862" t="e">
        <f>E$356+(E$368*$C405)+E$364*($C405-$J$360-$J$361-$J$362-$J$363)+E$360*$J$360+E$361*$J$361+E$362*$J$362+E$363*$J$363+(D405*$E$357)</f>
        <v>#REF!</v>
      </c>
      <c r="G405" s="862" t="e">
        <f>F405-E405</f>
        <v>#REF!</v>
      </c>
      <c r="H405" s="863" t="e">
        <f>G405/E405</f>
        <v>#REF!</v>
      </c>
    </row>
    <row r="406" spans="2:8" hidden="1" outlineLevel="1">
      <c r="B406" s="852"/>
      <c r="C406" s="867"/>
      <c r="E406" s="862"/>
      <c r="F406" s="862"/>
      <c r="G406" s="862"/>
      <c r="H406" s="863"/>
    </row>
    <row r="407" spans="2:8" hidden="1" outlineLevel="1">
      <c r="B407" s="852">
        <f>MAX(B399:B406)+1</f>
        <v>39</v>
      </c>
      <c r="C407" s="867">
        <f>MAX(C404:C405)+50000</f>
        <v>300000</v>
      </c>
      <c r="D407" s="852"/>
      <c r="E407" s="862" t="e">
        <f>D$356+(D$368*$C407)+D$364*($C407-$J$360-$J$361-$J$362-$J$363)+D$360*$J$360+D$361*$J$361+D$362*$J$362+D$363*$J$363</f>
        <v>#REF!</v>
      </c>
      <c r="F407" s="862" t="e">
        <f>E$356+(E$368*$C407)+E$364*($C407-$J$360-$J$361-$J$362-$J$363)+E$360*$J$360+E$361*$J$361+E$362*$J$362+E$363*$J$363+(D407*$E$357)</f>
        <v>#REF!</v>
      </c>
      <c r="G407" s="862" t="e">
        <f>F407-E407</f>
        <v>#REF!</v>
      </c>
      <c r="H407" s="863" t="e">
        <f>G407/E407</f>
        <v>#REF!</v>
      </c>
    </row>
    <row r="408" spans="2:8" hidden="1" outlineLevel="1">
      <c r="B408" s="852">
        <f>MAX(B400:B407)+1</f>
        <v>40</v>
      </c>
      <c r="C408" s="867">
        <f>MAX(C405:C407)+50000</f>
        <v>350000</v>
      </c>
      <c r="D408" s="852"/>
      <c r="E408" s="862" t="e">
        <f>D$356+(D$368*$C408)+D$364*($C408-$J$360-$J$361-$J$362-$J$363)+D$360*$J$360+D$361*$J$361+D$362*$J$362+D$363*$J$363</f>
        <v>#REF!</v>
      </c>
      <c r="F408" s="862" t="e">
        <f>E$356+(E$368*$C408)+E$364*($C408-$J$360-$J$361-$J$362-$J$363)+E$360*$J$360+E$361*$J$361+E$362*$J$362+E$363*$J$363+(D408*$E$357)</f>
        <v>#REF!</v>
      </c>
      <c r="G408" s="862" t="e">
        <f>F408-E408</f>
        <v>#REF!</v>
      </c>
      <c r="H408" s="863" t="e">
        <f>G408/E408</f>
        <v>#REF!</v>
      </c>
    </row>
    <row r="409" spans="2:8" hidden="1" outlineLevel="1">
      <c r="B409" s="852">
        <f>MAX(B401:B408)+1</f>
        <v>41</v>
      </c>
      <c r="C409" s="867">
        <f>MAX(C406:C408)+50000</f>
        <v>400000</v>
      </c>
      <c r="D409" s="852"/>
      <c r="E409" s="862" t="e">
        <f>D$356+(D$368*$C409)+D$364*($C409-$J$360-$J$361-$J$362-$J$363)+D$360*$J$360+D$361*$J$361+D$362*$J$362+D$363*$J$363</f>
        <v>#REF!</v>
      </c>
      <c r="F409" s="862" t="e">
        <f>E$356+(E$368*$C409)+E$364*($C409-$J$360-$J$361-$J$362-$J$363)+E$360*$J$360+E$361*$J$361+E$362*$J$362+E$363*$J$363+(D409*$E$357)</f>
        <v>#REF!</v>
      </c>
      <c r="G409" s="862" t="e">
        <f>F409-E409</f>
        <v>#REF!</v>
      </c>
      <c r="H409" s="863" t="e">
        <f>G409/E409</f>
        <v>#REF!</v>
      </c>
    </row>
    <row r="410" spans="2:8" hidden="1" outlineLevel="1">
      <c r="B410" s="852">
        <f>MAX(B401:B409)+1</f>
        <v>42</v>
      </c>
      <c r="C410" s="867">
        <f>MAX(C407:C409)+50000</f>
        <v>450000</v>
      </c>
      <c r="D410" s="852"/>
      <c r="E410" s="862" t="e">
        <f>D$356+(D$368*$C410)+D$364*($C410-$J$360-$J$361-$J$362-$J$363)+D$360*$J$360+D$361*$J$361+D$362*$J$362+D$363*$J$363</f>
        <v>#REF!</v>
      </c>
      <c r="F410" s="862" t="e">
        <f>E$356+(E$368*$C410)+E$364*($C410-$J$360-$J$361-$J$362-$J$363)+E$360*$J$360+E$361*$J$361+E$362*$J$362+E$363*$J$363+(D410*$E$357)</f>
        <v>#REF!</v>
      </c>
      <c r="G410" s="862" t="e">
        <f>F410-E410</f>
        <v>#REF!</v>
      </c>
      <c r="H410" s="863" t="e">
        <f>G410/E410</f>
        <v>#REF!</v>
      </c>
    </row>
    <row r="411" spans="2:8" hidden="1" outlineLevel="1">
      <c r="B411" s="852">
        <f>MAX(B402:B410)+1</f>
        <v>43</v>
      </c>
      <c r="C411" s="867">
        <f>MAX(C408:C410)+50000</f>
        <v>500000</v>
      </c>
      <c r="D411" s="852"/>
      <c r="E411" s="862" t="e">
        <f>D$356+(D$368*$C411)+D$364*($C411-$J$360-$J$361-$J$362-$J$363)+D$360*$J$360+D$361*$J$361+D$362*$J$362+D$363*$J$363</f>
        <v>#REF!</v>
      </c>
      <c r="F411" s="862" t="e">
        <f>E$356+(E$368*$C411)+E$364*($C411-$J$360-$J$361-$J$362-$J$363)+E$360*$J$360+E$361*$J$361+E$362*$J$362+E$363*$J$363+(D411*$E$357)</f>
        <v>#REF!</v>
      </c>
      <c r="G411" s="862" t="e">
        <f>F411-E411</f>
        <v>#REF!</v>
      </c>
      <c r="H411" s="863" t="e">
        <f>G411/E411</f>
        <v>#REF!</v>
      </c>
    </row>
    <row r="412" spans="2:8" hidden="1" outlineLevel="1">
      <c r="B412" s="852"/>
      <c r="C412" s="867"/>
      <c r="E412" s="862"/>
      <c r="F412" s="862"/>
      <c r="G412" s="862"/>
      <c r="H412" s="863"/>
    </row>
    <row r="413" spans="2:8" hidden="1" outlineLevel="1">
      <c r="B413" s="852">
        <f>MAX(B404:B412)+1</f>
        <v>44</v>
      </c>
      <c r="C413" s="867">
        <f>MAX(C410:C412)+100000</f>
        <v>600000</v>
      </c>
      <c r="D413" s="852"/>
      <c r="E413" s="862" t="e">
        <f>D$356+(D$368*$C413)+D$365*($C413-$J$360-$J$361-$J$362-$J$363-$J$364)+(D$360*$J$360)+(D$361*$J$361)+(D$362*$J$362)+(D$363*$J$363)+(D$364*$J$364)</f>
        <v>#REF!</v>
      </c>
      <c r="F413" s="862" t="e">
        <f>E$356+(E$368*$C413)+E$365*($C413-$J$360-$J$361-$J$362-$J$363-$J$364)+(E$360*$J$360)+(E$361*$J$361)+(E$362*$J$362)+(E$363*$J$363)+(E$364*$J$364)+(D413*$E$357)</f>
        <v>#REF!</v>
      </c>
      <c r="G413" s="862" t="e">
        <f>F413-E413</f>
        <v>#REF!</v>
      </c>
      <c r="H413" s="863" t="e">
        <f>G413/E413</f>
        <v>#REF!</v>
      </c>
    </row>
    <row r="414" spans="2:8" hidden="1" outlineLevel="1">
      <c r="B414" s="852">
        <f>MAX(B405:B413)+1</f>
        <v>45</v>
      </c>
      <c r="C414" s="867">
        <f>MAX(C411:C413)+200000</f>
        <v>800000</v>
      </c>
      <c r="D414" s="852"/>
      <c r="E414" s="862" t="e">
        <f>D$356+(D$368*$C414)+D$365*($C414-$J$360-$J$361-$J$362-$J$363-$J$364)+(D$360*$J$360)+(D$361*$J$361)+(D$362*$J$362)+(D$363*$J$363)+(D$364*$J$364)</f>
        <v>#REF!</v>
      </c>
      <c r="F414" s="862" t="e">
        <f>E$356+(E$368*$C414)+E$365*($C414-$J$360-$J$361-$J$362-$J$363-$J$364)+(E$360*$J$360)+(E$361*$J$361)+(E$362*$J$362)+(E$363*$J$363)+(E$364*$J$364)+(D414*$E$357)</f>
        <v>#REF!</v>
      </c>
      <c r="G414" s="862" t="e">
        <f>F414-E414</f>
        <v>#REF!</v>
      </c>
      <c r="H414" s="863" t="e">
        <f>G414/E414</f>
        <v>#REF!</v>
      </c>
    </row>
    <row r="415" spans="2:8" hidden="1" outlineLevel="1">
      <c r="B415" s="852">
        <f>MAX(B406:B414)+1</f>
        <v>46</v>
      </c>
      <c r="C415" s="867">
        <f>MAX(C412:C414)+200000</f>
        <v>1000000</v>
      </c>
      <c r="D415" s="852"/>
      <c r="E415" s="862" t="e">
        <f>D$356+(D$368*$C415)+D$365*($C415-$J$360-$J$361-$J$362-$J$363-$J$364)+(D$360*$J$360)+(D$361*$J$361)+(D$362*$J$362)+(D$363*$J$363)+(D$364*$J$364)</f>
        <v>#REF!</v>
      </c>
      <c r="F415" s="862" t="e">
        <f>E$356+(E$368*$C415)+E$365*($C415-$J$360-$J$361-$J$362-$J$363-$J$364)+(E$360*$J$360)+(E$361*$J$361)+(E$362*$J$362)+(E$363*$J$363)+(E$364*$J$364)+(D415*$E$357)</f>
        <v>#REF!</v>
      </c>
      <c r="G415" s="862" t="e">
        <f>F415-E415</f>
        <v>#REF!</v>
      </c>
      <c r="H415" s="863" t="e">
        <f>G415/E415</f>
        <v>#REF!</v>
      </c>
    </row>
    <row r="416" spans="2:8" hidden="1" outlineLevel="1">
      <c r="B416" s="852"/>
    </row>
    <row r="417" spans="2:7" collapsed="1">
      <c r="B417" s="852"/>
      <c r="C417" s="867"/>
      <c r="D417" s="864"/>
      <c r="E417" s="864"/>
      <c r="F417" s="864"/>
      <c r="G417" s="836"/>
    </row>
  </sheetData>
  <printOptions horizontalCentered="1"/>
  <pageMargins left="0.7" right="0.7" top="0.5" bottom="0.25" header="0.3" footer="0.3"/>
  <pageSetup scale="70" orientation="portrait" r:id="rId1"/>
  <rowBreaks count="6" manualBreakCount="6">
    <brk id="57" max="16383" man="1"/>
    <brk id="126" max="16383" man="1"/>
    <brk id="200" max="16383" man="1"/>
    <brk id="274" max="16383" man="1"/>
    <brk id="345" max="7" man="1"/>
    <brk id="274" max="7"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711C3-5AC1-4987-8C9D-C7C806664B38}">
  <sheetPr codeName="Sheet84">
    <tabColor theme="5" tint="0.79998168889431442"/>
  </sheetPr>
  <dimension ref="A1:M18"/>
  <sheetViews>
    <sheetView showGridLines="0" zoomScale="80" zoomScaleNormal="80" workbookViewId="0">
      <selection activeCell="F27" sqref="F27"/>
    </sheetView>
  </sheetViews>
  <sheetFormatPr defaultColWidth="8.88671875" defaultRowHeight="14.4"/>
  <cols>
    <col min="1" max="16384" width="8.88671875" style="613"/>
  </cols>
  <sheetData>
    <row r="1" spans="1:13">
      <c r="A1" s="873" t="str">
        <f ca="1">MID(CELL("filename",A1),FIND("]",CELL("filename",A1))+1,255)</f>
        <v>RD WPs ---&gt;</v>
      </c>
    </row>
    <row r="2" spans="1:13">
      <c r="B2" s="1834" t="s">
        <v>2599</v>
      </c>
      <c r="C2" s="1834"/>
      <c r="D2" s="1834"/>
      <c r="E2" s="1834"/>
      <c r="F2" s="1834"/>
      <c r="G2" s="1834"/>
      <c r="H2" s="1834"/>
      <c r="I2" s="1834"/>
      <c r="J2" s="1834"/>
      <c r="K2" s="1834"/>
      <c r="L2" s="1834"/>
      <c r="M2" s="1834"/>
    </row>
    <row r="3" spans="1:13">
      <c r="B3" s="1834"/>
      <c r="C3" s="1834"/>
      <c r="D3" s="1834"/>
      <c r="E3" s="1834"/>
      <c r="F3" s="1834"/>
      <c r="G3" s="1834"/>
      <c r="H3" s="1834"/>
      <c r="I3" s="1834"/>
      <c r="J3" s="1834"/>
      <c r="K3" s="1834"/>
      <c r="L3" s="1834"/>
      <c r="M3" s="1834"/>
    </row>
    <row r="4" spans="1:13">
      <c r="B4" s="1834"/>
      <c r="C4" s="1834"/>
      <c r="D4" s="1834"/>
      <c r="E4" s="1834"/>
      <c r="F4" s="1834"/>
      <c r="G4" s="1834"/>
      <c r="H4" s="1834"/>
      <c r="I4" s="1834"/>
      <c r="J4" s="1834"/>
      <c r="K4" s="1834"/>
      <c r="L4" s="1834"/>
      <c r="M4" s="1834"/>
    </row>
    <row r="5" spans="1:13">
      <c r="B5" s="1834"/>
      <c r="C5" s="1834"/>
      <c r="D5" s="1834"/>
      <c r="E5" s="1834"/>
      <c r="F5" s="1834"/>
      <c r="G5" s="1834"/>
      <c r="H5" s="1834"/>
      <c r="I5" s="1834"/>
      <c r="J5" s="1834"/>
      <c r="K5" s="1834"/>
      <c r="L5" s="1834"/>
      <c r="M5" s="1834"/>
    </row>
    <row r="6" spans="1:13">
      <c r="B6" s="1834"/>
      <c r="C6" s="1834"/>
      <c r="D6" s="1834"/>
      <c r="E6" s="1834"/>
      <c r="F6" s="1834"/>
      <c r="G6" s="1834"/>
      <c r="H6" s="1834"/>
      <c r="I6" s="1834"/>
      <c r="J6" s="1834"/>
      <c r="K6" s="1834"/>
      <c r="L6" s="1834"/>
      <c r="M6" s="1834"/>
    </row>
    <row r="7" spans="1:13">
      <c r="B7" s="1834"/>
      <c r="C7" s="1834"/>
      <c r="D7" s="1834"/>
      <c r="E7" s="1834"/>
      <c r="F7" s="1834"/>
      <c r="G7" s="1834"/>
      <c r="H7" s="1834"/>
      <c r="I7" s="1834"/>
      <c r="J7" s="1834"/>
      <c r="K7" s="1834"/>
      <c r="L7" s="1834"/>
      <c r="M7" s="1834"/>
    </row>
    <row r="8" spans="1:13">
      <c r="B8" s="1834"/>
      <c r="C8" s="1834"/>
      <c r="D8" s="1834"/>
      <c r="E8" s="1834"/>
      <c r="F8" s="1834"/>
      <c r="G8" s="1834"/>
      <c r="H8" s="1834"/>
      <c r="I8" s="1834"/>
      <c r="J8" s="1834"/>
      <c r="K8" s="1834"/>
      <c r="L8" s="1834"/>
      <c r="M8" s="1834"/>
    </row>
    <row r="9" spans="1:13">
      <c r="B9" s="1834"/>
      <c r="C9" s="1834"/>
      <c r="D9" s="1834"/>
      <c r="E9" s="1834"/>
      <c r="F9" s="1834"/>
      <c r="G9" s="1834"/>
      <c r="H9" s="1834"/>
      <c r="I9" s="1834"/>
      <c r="J9" s="1834"/>
      <c r="K9" s="1834"/>
      <c r="L9" s="1834"/>
      <c r="M9" s="1834"/>
    </row>
    <row r="10" spans="1:13">
      <c r="B10" s="1834"/>
      <c r="C10" s="1834"/>
      <c r="D10" s="1834"/>
      <c r="E10" s="1834"/>
      <c r="F10" s="1834"/>
      <c r="G10" s="1834"/>
      <c r="H10" s="1834"/>
      <c r="I10" s="1834"/>
      <c r="J10" s="1834"/>
      <c r="K10" s="1834"/>
      <c r="L10" s="1834"/>
      <c r="M10" s="1834"/>
    </row>
    <row r="11" spans="1:13">
      <c r="B11" s="1834"/>
      <c r="C11" s="1834"/>
      <c r="D11" s="1834"/>
      <c r="E11" s="1834"/>
      <c r="F11" s="1834"/>
      <c r="G11" s="1834"/>
      <c r="H11" s="1834"/>
      <c r="I11" s="1834"/>
      <c r="J11" s="1834"/>
      <c r="K11" s="1834"/>
      <c r="L11" s="1834"/>
      <c r="M11" s="1834"/>
    </row>
    <row r="12" spans="1:13">
      <c r="B12" s="1834"/>
      <c r="C12" s="1834"/>
      <c r="D12" s="1834"/>
      <c r="E12" s="1834"/>
      <c r="F12" s="1834"/>
      <c r="G12" s="1834"/>
      <c r="H12" s="1834"/>
      <c r="I12" s="1834"/>
      <c r="J12" s="1834"/>
      <c r="K12" s="1834"/>
      <c r="L12" s="1834"/>
      <c r="M12" s="1834"/>
    </row>
    <row r="13" spans="1:13">
      <c r="B13" s="1834"/>
      <c r="C13" s="1834"/>
      <c r="D13" s="1834"/>
      <c r="E13" s="1834"/>
      <c r="F13" s="1834"/>
      <c r="G13" s="1834"/>
      <c r="H13" s="1834"/>
      <c r="I13" s="1834"/>
      <c r="J13" s="1834"/>
      <c r="K13" s="1834"/>
      <c r="L13" s="1834"/>
      <c r="M13" s="1834"/>
    </row>
    <row r="14" spans="1:13">
      <c r="B14" s="1834"/>
      <c r="C14" s="1834"/>
      <c r="D14" s="1834"/>
      <c r="E14" s="1834"/>
      <c r="F14" s="1834"/>
      <c r="G14" s="1834"/>
      <c r="H14" s="1834"/>
      <c r="I14" s="1834"/>
      <c r="J14" s="1834"/>
      <c r="K14" s="1834"/>
      <c r="L14" s="1834"/>
      <c r="M14" s="1834"/>
    </row>
    <row r="15" spans="1:13">
      <c r="B15" s="1834"/>
      <c r="C15" s="1834"/>
      <c r="D15" s="1834"/>
      <c r="E15" s="1834"/>
      <c r="F15" s="1834"/>
      <c r="G15" s="1834"/>
      <c r="H15" s="1834"/>
      <c r="I15" s="1834"/>
      <c r="J15" s="1834"/>
      <c r="K15" s="1834"/>
      <c r="L15" s="1834"/>
      <c r="M15" s="1834"/>
    </row>
    <row r="16" spans="1:13">
      <c r="B16" s="1834"/>
      <c r="C16" s="1834"/>
      <c r="D16" s="1834"/>
      <c r="E16" s="1834"/>
      <c r="F16" s="1834"/>
      <c r="G16" s="1834"/>
      <c r="H16" s="1834"/>
      <c r="I16" s="1834"/>
      <c r="J16" s="1834"/>
      <c r="K16" s="1834"/>
      <c r="L16" s="1834"/>
      <c r="M16" s="1834"/>
    </row>
    <row r="17" spans="2:13">
      <c r="B17" s="1834"/>
      <c r="C17" s="1834"/>
      <c r="D17" s="1834"/>
      <c r="E17" s="1834"/>
      <c r="F17" s="1834"/>
      <c r="G17" s="1834"/>
      <c r="H17" s="1834"/>
      <c r="I17" s="1834"/>
      <c r="J17" s="1834"/>
      <c r="K17" s="1834"/>
      <c r="L17" s="1834"/>
      <c r="M17" s="1834"/>
    </row>
    <row r="18" spans="2:13">
      <c r="B18" s="1834"/>
      <c r="C18" s="1834"/>
      <c r="D18" s="1834"/>
      <c r="E18" s="1834"/>
      <c r="F18" s="1834"/>
      <c r="G18" s="1834"/>
      <c r="H18" s="1834"/>
      <c r="I18" s="1834"/>
      <c r="J18" s="1834"/>
      <c r="K18" s="1834"/>
      <c r="L18" s="1834"/>
      <c r="M18" s="1834"/>
    </row>
  </sheetData>
  <mergeCells count="1">
    <mergeCell ref="B2:M1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222C0-B8CB-4C4F-8198-970E4E6F8E64}">
  <sheetPr codeName="Sheet47">
    <tabColor theme="8"/>
  </sheetPr>
  <dimension ref="B1:D55"/>
  <sheetViews>
    <sheetView topLeftCell="A20" zoomScale="80" zoomScaleNormal="80" workbookViewId="0">
      <selection activeCell="G53" sqref="G53"/>
    </sheetView>
  </sheetViews>
  <sheetFormatPr defaultColWidth="8.88671875" defaultRowHeight="14.4"/>
  <cols>
    <col min="1" max="1" width="8.88671875" style="384"/>
    <col min="2" max="2" width="46.5546875" style="384" customWidth="1"/>
    <col min="3" max="3" width="8.88671875" style="384"/>
    <col min="4" max="4" width="18.6640625" style="584" customWidth="1"/>
    <col min="5" max="16384" width="8.88671875" style="384"/>
  </cols>
  <sheetData>
    <row r="1" spans="2:4" ht="18">
      <c r="B1" s="1839" t="s">
        <v>52</v>
      </c>
      <c r="C1" s="1839"/>
      <c r="D1" s="1839"/>
    </row>
    <row r="2" spans="2:4">
      <c r="B2" s="1840" t="s">
        <v>2789</v>
      </c>
      <c r="C2" s="1840"/>
      <c r="D2" s="1840"/>
    </row>
    <row r="4" spans="2:4">
      <c r="B4" s="1246"/>
      <c r="C4" s="1247"/>
      <c r="D4" s="1248"/>
    </row>
    <row r="5" spans="2:4" ht="28.8">
      <c r="B5" s="1249" t="s">
        <v>1821</v>
      </c>
      <c r="D5" s="1250">
        <f>'Exh 2, Proof of Revenue'!M589</f>
        <v>109752998.32510225</v>
      </c>
    </row>
    <row r="6" spans="2:4">
      <c r="B6" s="1251" t="s">
        <v>2790</v>
      </c>
      <c r="D6" s="1252"/>
    </row>
    <row r="7" spans="2:4">
      <c r="B7" s="1251"/>
      <c r="D7" s="1253"/>
    </row>
    <row r="8" spans="2:4">
      <c r="B8" s="1249" t="s">
        <v>1820</v>
      </c>
      <c r="D8" s="1250">
        <f>-'Exh 2, Proof of Revenue'!E589</f>
        <v>-98705686.87999998</v>
      </c>
    </row>
    <row r="9" spans="2:4">
      <c r="B9" s="1251" t="s">
        <v>2791</v>
      </c>
      <c r="D9" s="1252"/>
    </row>
    <row r="10" spans="2:4">
      <c r="B10" s="1251"/>
      <c r="D10" s="1253"/>
    </row>
    <row r="11" spans="2:4">
      <c r="B11" s="1249" t="s">
        <v>2342</v>
      </c>
      <c r="D11" s="1250">
        <f>'Exh 2, Proof of Revenue'!M592</f>
        <v>4221975.1099999994</v>
      </c>
    </row>
    <row r="12" spans="2:4">
      <c r="B12" s="1251" t="s">
        <v>2792</v>
      </c>
      <c r="D12" s="1254"/>
    </row>
    <row r="13" spans="2:4">
      <c r="B13" s="1251"/>
      <c r="D13" s="1250"/>
    </row>
    <row r="14" spans="2:4">
      <c r="B14" s="1249" t="s">
        <v>2793</v>
      </c>
      <c r="D14" s="1250">
        <f>'Exh 2, Proof of Revenue'!M593</f>
        <v>-338287.40000000066</v>
      </c>
    </row>
    <row r="15" spans="2:4">
      <c r="B15" s="1251" t="s">
        <v>2794</v>
      </c>
      <c r="D15" s="1252"/>
    </row>
    <row r="16" spans="2:4">
      <c r="B16" s="1251"/>
      <c r="D16" s="1252"/>
    </row>
    <row r="17" spans="2:4" ht="21" customHeight="1">
      <c r="B17" s="1249" t="s">
        <v>2795</v>
      </c>
      <c r="D17" s="1255">
        <f>SUM(D5:D16)</f>
        <v>14930999.155102273</v>
      </c>
    </row>
    <row r="18" spans="2:4">
      <c r="B18" s="1256" t="s">
        <v>2796</v>
      </c>
      <c r="D18" s="1253"/>
    </row>
    <row r="19" spans="2:4">
      <c r="B19" s="1257"/>
      <c r="D19" s="1252"/>
    </row>
    <row r="20" spans="2:4">
      <c r="B20" s="1251" t="s">
        <v>2780</v>
      </c>
      <c r="D20" s="1254">
        <f>'Exh 2, Proof of Revenue'!Q589</f>
        <v>-8223</v>
      </c>
    </row>
    <row r="21" spans="2:4">
      <c r="B21" s="1251" t="s">
        <v>2797</v>
      </c>
      <c r="D21" s="1252"/>
    </row>
    <row r="22" spans="2:4">
      <c r="B22" s="1257"/>
      <c r="D22" s="1252"/>
    </row>
    <row r="23" spans="2:4">
      <c r="B23" s="1258" t="s">
        <v>2798</v>
      </c>
      <c r="D23" s="1259">
        <f>SUM(D17,D20)</f>
        <v>14922776.155102273</v>
      </c>
    </row>
    <row r="24" spans="2:4">
      <c r="B24" s="1260" t="s">
        <v>2799</v>
      </c>
      <c r="D24" s="1252"/>
    </row>
    <row r="25" spans="2:4">
      <c r="B25" s="1261"/>
      <c r="C25" s="1247"/>
      <c r="D25" s="1262"/>
    </row>
    <row r="26" spans="2:4">
      <c r="B26" s="1249" t="s">
        <v>2782</v>
      </c>
      <c r="D26" s="1263">
        <f>'Exh 2, Proof of Revenue'!Y589</f>
        <v>-134104.11531761975</v>
      </c>
    </row>
    <row r="27" spans="2:4">
      <c r="B27" s="1251" t="s">
        <v>2800</v>
      </c>
      <c r="D27" s="1264"/>
    </row>
    <row r="28" spans="2:4">
      <c r="B28" s="1251"/>
      <c r="D28" s="1264"/>
    </row>
    <row r="29" spans="2:4">
      <c r="B29" s="1257" t="s">
        <v>2801</v>
      </c>
      <c r="D29" s="1263">
        <f>'Exh 2, Proof of Revenue'!U589</f>
        <v>1057399.3900221004</v>
      </c>
    </row>
    <row r="30" spans="2:4">
      <c r="B30" s="1251" t="s">
        <v>2802</v>
      </c>
      <c r="D30" s="1255"/>
    </row>
    <row r="31" spans="2:4">
      <c r="B31" s="1251"/>
      <c r="D31" s="1255"/>
    </row>
    <row r="32" spans="2:4">
      <c r="B32" s="1258" t="s">
        <v>2803</v>
      </c>
      <c r="D32" s="1255">
        <f>SUM(D26:D29)</f>
        <v>923295.27470448066</v>
      </c>
    </row>
    <row r="33" spans="2:4">
      <c r="B33" s="1260" t="s">
        <v>2804</v>
      </c>
      <c r="D33" s="1252"/>
    </row>
    <row r="34" spans="2:4">
      <c r="B34" s="1257"/>
      <c r="D34" s="1253"/>
    </row>
    <row r="35" spans="2:4">
      <c r="B35" s="1265"/>
      <c r="C35" s="1266"/>
      <c r="D35" s="1267"/>
    </row>
    <row r="36" spans="2:4">
      <c r="B36" s="1261"/>
      <c r="C36" s="1247"/>
      <c r="D36" s="1262"/>
    </row>
    <row r="37" spans="2:4">
      <c r="B37" s="1249" t="s">
        <v>2805</v>
      </c>
      <c r="D37" s="1250">
        <f>'Exh 2, Proof of Revenue'!AC587</f>
        <v>963442</v>
      </c>
    </row>
    <row r="38" spans="2:4">
      <c r="B38" s="1251" t="s">
        <v>2806</v>
      </c>
      <c r="D38" s="1250"/>
    </row>
    <row r="39" spans="2:4">
      <c r="B39" s="1251"/>
      <c r="D39" s="1250"/>
    </row>
    <row r="40" spans="2:4">
      <c r="B40" s="1249" t="s">
        <v>2807</v>
      </c>
      <c r="D40" s="1250">
        <f>'Exh 2, Proof of Revenue'!AC588</f>
        <v>-3879096.7900000024</v>
      </c>
    </row>
    <row r="41" spans="2:4">
      <c r="B41" s="1251" t="s">
        <v>2808</v>
      </c>
      <c r="D41" s="1268"/>
    </row>
    <row r="42" spans="2:4">
      <c r="B42" s="1251"/>
      <c r="D42" s="1250"/>
    </row>
    <row r="43" spans="2:4">
      <c r="B43" s="1258" t="s">
        <v>2809</v>
      </c>
      <c r="D43" s="1255">
        <f>'Exh 2, Proof of Revenue'!AC589</f>
        <v>-2915654.7900000024</v>
      </c>
    </row>
    <row r="44" spans="2:4">
      <c r="B44" s="1269" t="s">
        <v>2810</v>
      </c>
      <c r="D44" s="1252"/>
    </row>
    <row r="45" spans="2:4">
      <c r="B45" s="1260" t="s">
        <v>2811</v>
      </c>
      <c r="D45" s="1252"/>
    </row>
    <row r="46" spans="2:4">
      <c r="B46" s="1270"/>
      <c r="C46" s="1266"/>
      <c r="D46" s="1271"/>
    </row>
    <row r="47" spans="2:4">
      <c r="B47" s="1246"/>
      <c r="C47" s="1247"/>
      <c r="D47" s="1248"/>
    </row>
    <row r="48" spans="2:4">
      <c r="B48" s="1258" t="s">
        <v>2812</v>
      </c>
      <c r="D48" s="1259">
        <f>'Exh 2, Proof of Revenue'!AG589</f>
        <v>2.5465851649641991E-10</v>
      </c>
    </row>
    <row r="49" spans="2:4">
      <c r="B49" s="1269" t="s">
        <v>2813</v>
      </c>
      <c r="D49" s="1252"/>
    </row>
    <row r="50" spans="2:4">
      <c r="B50" s="1260" t="s">
        <v>2814</v>
      </c>
      <c r="D50" s="1252"/>
    </row>
    <row r="51" spans="2:4">
      <c r="B51" s="1270"/>
      <c r="C51" s="1266"/>
      <c r="D51" s="1271"/>
    </row>
    <row r="52" spans="2:4">
      <c r="B52" s="1773"/>
      <c r="C52" s="1774"/>
      <c r="D52" s="1775"/>
    </row>
    <row r="53" spans="2:4">
      <c r="B53" s="1776" t="s">
        <v>3270</v>
      </c>
      <c r="C53" s="613"/>
      <c r="D53" s="1259">
        <f>'Exh 2, Proof of Revenue'!E601</f>
        <v>406245</v>
      </c>
    </row>
    <row r="54" spans="2:4">
      <c r="B54" s="1777" t="s">
        <v>3320</v>
      </c>
      <c r="C54" s="613"/>
      <c r="D54" s="1778"/>
    </row>
    <row r="55" spans="2:4">
      <c r="B55" s="1779"/>
      <c r="C55" s="1729"/>
      <c r="D55" s="1780"/>
    </row>
  </sheetData>
  <mergeCells count="2">
    <mergeCell ref="B1:D1"/>
    <mergeCell ref="B2:D2"/>
  </mergeCells>
  <pageMargins left="0.7" right="0.7" top="1.5" bottom="0.75" header="0.3" footer="0.3"/>
  <pageSetup scale="79" orientation="portrait" r:id="rId1"/>
  <headerFooter scaleWithDoc="0">
    <oddHeader>&amp;RDocket No. UG-200568
Exhibit No. ___ (IDM-8)
Page 1 of 1</oddHeader>
  </headerFooter>
  <cellWatches>
    <cellWatch r="D48"/>
    <cellWatch r="D43"/>
  </cellWatch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BD728-44C2-4EE1-A414-AC4A69EFB39F}">
  <sheetPr codeName="Sheet48">
    <tabColor theme="8"/>
    <pageSetUpPr fitToPage="1"/>
  </sheetPr>
  <dimension ref="A1:W45"/>
  <sheetViews>
    <sheetView tabSelected="1" zoomScale="80" zoomScaleNormal="80" workbookViewId="0">
      <selection activeCell="P7" sqref="P7"/>
    </sheetView>
  </sheetViews>
  <sheetFormatPr defaultColWidth="8.88671875" defaultRowHeight="14.4"/>
  <cols>
    <col min="1" max="1" width="8.88671875" style="384"/>
    <col min="2" max="2" width="28.5546875" style="384" customWidth="1"/>
    <col min="3" max="3" width="15.88671875" style="384" customWidth="1"/>
    <col min="4" max="4" width="28.6640625" style="384" customWidth="1"/>
    <col min="5" max="6" width="8.88671875" style="384"/>
    <col min="7" max="7" width="15.33203125" style="384" bestFit="1" customWidth="1"/>
    <col min="8" max="8" width="15.109375" style="1299" customWidth="1"/>
    <col min="9" max="10" width="11.5546875" style="1299" customWidth="1"/>
    <col min="11" max="11" width="13.6640625" style="1299" customWidth="1"/>
    <col min="12" max="12" width="12.5546875" style="808" customWidth="1"/>
    <col min="13" max="16" width="8.88671875" style="384"/>
    <col min="17" max="17" width="20" style="384" bestFit="1" customWidth="1"/>
    <col min="18" max="22" width="8.88671875" style="384"/>
    <col min="23" max="23" width="10.88671875" style="384" bestFit="1" customWidth="1"/>
    <col min="24" max="16384" width="8.88671875" style="384"/>
  </cols>
  <sheetData>
    <row r="1" spans="1:20">
      <c r="A1" s="1841" t="s">
        <v>52</v>
      </c>
      <c r="B1" s="1842"/>
      <c r="C1" s="1842"/>
      <c r="D1" s="1842"/>
      <c r="E1" s="1842"/>
      <c r="F1" s="1842"/>
      <c r="G1" s="1842"/>
      <c r="H1" s="1842"/>
      <c r="I1" s="1842"/>
      <c r="J1" s="1842"/>
      <c r="K1" s="1842"/>
      <c r="L1" s="1843"/>
    </row>
    <row r="2" spans="1:20">
      <c r="A2" s="1844" t="s">
        <v>2815</v>
      </c>
      <c r="B2" s="1845"/>
      <c r="C2" s="1845"/>
      <c r="D2" s="1845"/>
      <c r="E2" s="1845"/>
      <c r="F2" s="1845"/>
      <c r="G2" s="1845"/>
      <c r="H2" s="1845"/>
      <c r="I2" s="1845"/>
      <c r="J2" s="1845"/>
      <c r="K2" s="1845"/>
      <c r="L2" s="1846"/>
    </row>
    <row r="3" spans="1:20">
      <c r="A3" s="1847"/>
      <c r="B3" s="1848"/>
      <c r="C3" s="1848"/>
      <c r="D3" s="1848"/>
      <c r="E3" s="1848"/>
      <c r="F3" s="1848"/>
      <c r="G3" s="1848"/>
      <c r="H3" s="1848"/>
      <c r="I3" s="1848"/>
      <c r="J3" s="1848"/>
      <c r="K3" s="1848"/>
      <c r="L3" s="1849"/>
    </row>
    <row r="4" spans="1:20" ht="57.6">
      <c r="A4" s="1272" t="s">
        <v>649</v>
      </c>
      <c r="B4" s="1273" t="s">
        <v>2448</v>
      </c>
      <c r="C4" s="1274" t="s">
        <v>2593</v>
      </c>
      <c r="D4" s="1274" t="s">
        <v>2816</v>
      </c>
      <c r="E4" s="1274" t="s">
        <v>2610</v>
      </c>
      <c r="F4" s="1274" t="s">
        <v>2817</v>
      </c>
      <c r="G4" s="1274" t="s">
        <v>2818</v>
      </c>
      <c r="H4" s="1275" t="s">
        <v>2819</v>
      </c>
      <c r="I4" s="1276" t="s">
        <v>2820</v>
      </c>
      <c r="J4" s="1275" t="s">
        <v>2821</v>
      </c>
      <c r="K4" s="1275" t="s">
        <v>2822</v>
      </c>
      <c r="L4" s="1276" t="s">
        <v>2823</v>
      </c>
      <c r="M4" s="1829" t="s">
        <v>733</v>
      </c>
      <c r="N4" s="1829" t="s">
        <v>2696</v>
      </c>
      <c r="O4" s="1830" t="s">
        <v>2339</v>
      </c>
      <c r="P4" s="1810"/>
    </row>
    <row r="5" spans="1:20">
      <c r="A5" s="1277"/>
      <c r="B5" s="1272" t="s">
        <v>97</v>
      </c>
      <c r="C5" s="1272" t="s">
        <v>98</v>
      </c>
      <c r="D5" s="1272" t="s">
        <v>2504</v>
      </c>
      <c r="E5" s="1272" t="s">
        <v>1098</v>
      </c>
      <c r="F5" s="1272" t="s">
        <v>2505</v>
      </c>
      <c r="G5" s="1278" t="s">
        <v>1100</v>
      </c>
      <c r="H5" s="1279" t="s">
        <v>1101</v>
      </c>
      <c r="I5" s="1280" t="s">
        <v>1102</v>
      </c>
      <c r="J5" s="1278" t="s">
        <v>2824</v>
      </c>
      <c r="K5" s="1280" t="s">
        <v>2825</v>
      </c>
      <c r="L5" s="1280" t="s">
        <v>2826</v>
      </c>
      <c r="M5" s="1831"/>
      <c r="N5" s="1831"/>
      <c r="O5" s="1831"/>
    </row>
    <row r="6" spans="1:20">
      <c r="A6" s="1281"/>
      <c r="B6" s="1282" t="s">
        <v>2827</v>
      </c>
      <c r="C6" s="1281"/>
      <c r="D6" s="1281"/>
      <c r="E6" s="1281"/>
      <c r="F6" s="1281"/>
      <c r="G6" s="1281"/>
      <c r="H6" s="1283"/>
      <c r="I6" s="1284"/>
      <c r="J6" s="1284"/>
      <c r="K6" s="1284"/>
      <c r="L6" s="1285"/>
      <c r="M6" s="1831"/>
      <c r="N6" s="1831"/>
      <c r="O6" s="1831"/>
    </row>
    <row r="7" spans="1:20">
      <c r="A7" s="1286">
        <v>1</v>
      </c>
      <c r="B7" s="1286" t="s">
        <v>2828</v>
      </c>
      <c r="C7" s="1287">
        <v>503</v>
      </c>
      <c r="D7" s="1287"/>
      <c r="E7" s="1286">
        <f>'Exh 2, Proof of Revenue'!L13</f>
        <v>0.31073000000000001</v>
      </c>
      <c r="F7" s="1288">
        <f>E7*(1+L8)</f>
        <v>0.30926988299236752</v>
      </c>
      <c r="G7" s="1284">
        <f>'Exh 2, Proof of Revenue'!AE13</f>
        <v>131741687.23064102</v>
      </c>
      <c r="H7" s="1289">
        <f>G7*E7</f>
        <v>40936094.473177083</v>
      </c>
      <c r="I7" s="1284">
        <f>F7*G7</f>
        <v>40743736.195037425</v>
      </c>
      <c r="J7" s="1284"/>
      <c r="K7" s="1284" t="s">
        <v>49</v>
      </c>
      <c r="L7" s="1285" t="s">
        <v>49</v>
      </c>
      <c r="M7" s="1831">
        <f>+'Exh 2, Proof of Revenue'!AB8</f>
        <v>3.47E-3</v>
      </c>
      <c r="N7" s="1832">
        <f>+M7+F7</f>
        <v>0.31273988299236749</v>
      </c>
      <c r="O7" s="1832">
        <f>+N7-E7</f>
        <v>2.0098829923674844E-3</v>
      </c>
      <c r="P7" s="1290"/>
    </row>
    <row r="8" spans="1:20">
      <c r="A8" s="1286">
        <v>2</v>
      </c>
      <c r="B8" s="1286" t="s">
        <v>2829</v>
      </c>
      <c r="C8" s="1287"/>
      <c r="D8" s="1287"/>
      <c r="E8" s="1286"/>
      <c r="F8" s="1288"/>
      <c r="G8" s="1284">
        <f>SUM(G7)</f>
        <v>131741687.23064102</v>
      </c>
      <c r="H8" s="1289">
        <f>SUM(H7)</f>
        <v>40936094.473177083</v>
      </c>
      <c r="I8" s="1284">
        <f>SUM(I7)</f>
        <v>40743736.195037425</v>
      </c>
      <c r="J8" s="1291">
        <f>H8/$H$43</f>
        <v>0.4925153640761088</v>
      </c>
      <c r="K8" s="1292">
        <f>J8*$K$43</f>
        <v>-192358.27813965728</v>
      </c>
      <c r="L8" s="1285">
        <f>K8/H8</f>
        <v>-4.6989895009573492E-3</v>
      </c>
      <c r="M8" s="1831"/>
      <c r="N8" s="1832"/>
      <c r="O8" s="1832"/>
      <c r="P8" s="1290"/>
      <c r="Q8" s="1293">
        <f>G8/$G$31*$Q$31</f>
        <v>17690404.582961347</v>
      </c>
      <c r="R8" s="384">
        <f>Q8/G8</f>
        <v>0.13428099301620938</v>
      </c>
      <c r="S8" s="384">
        <f>R8*56</f>
        <v>7.519735608907725</v>
      </c>
      <c r="T8" s="384">
        <f>S8*12</f>
        <v>90.236827306892707</v>
      </c>
    </row>
    <row r="9" spans="1:20">
      <c r="A9" s="1286">
        <v>3</v>
      </c>
      <c r="B9" s="1286"/>
      <c r="C9" s="1287"/>
      <c r="D9" s="1287"/>
      <c r="E9" s="1286"/>
      <c r="F9" s="1288"/>
      <c r="G9" s="1284"/>
      <c r="H9" s="1284"/>
      <c r="I9" s="1284"/>
      <c r="J9" s="1284"/>
      <c r="K9" s="1284"/>
      <c r="L9" s="1285"/>
      <c r="M9" s="1831"/>
      <c r="N9" s="1832"/>
      <c r="O9" s="1832"/>
      <c r="P9" s="1290"/>
    </row>
    <row r="10" spans="1:20">
      <c r="A10" s="1286">
        <v>4</v>
      </c>
      <c r="B10" s="1294" t="s">
        <v>2830</v>
      </c>
      <c r="C10" s="1287"/>
      <c r="D10" s="1287"/>
      <c r="E10" s="1286"/>
      <c r="F10" s="1288"/>
      <c r="G10" s="1284"/>
      <c r="H10" s="1284"/>
      <c r="I10" s="1284"/>
      <c r="J10" s="1284"/>
      <c r="K10" s="1284"/>
      <c r="L10" s="1285"/>
      <c r="M10" s="1831"/>
      <c r="N10" s="1832"/>
      <c r="O10" s="1832"/>
      <c r="P10" s="1290"/>
    </row>
    <row r="11" spans="1:20">
      <c r="A11" s="1286">
        <v>5</v>
      </c>
      <c r="B11" s="1286" t="s">
        <v>2831</v>
      </c>
      <c r="C11" s="1287">
        <v>504</v>
      </c>
      <c r="D11" s="1287"/>
      <c r="E11" s="1286">
        <f>'Exh 2, Proof of Revenue'!L49</f>
        <v>0.26179999999999998</v>
      </c>
      <c r="F11" s="1288">
        <f>E11*(1+L12)</f>
        <v>0.26056980454864936</v>
      </c>
      <c r="G11" s="1284">
        <f>'Exh 2, Proof of Revenue'!AE49</f>
        <v>93296003.311035588</v>
      </c>
      <c r="H11" s="1289">
        <f>G11*E11</f>
        <v>24424893.666829117</v>
      </c>
      <c r="I11" s="1284">
        <f>F11*G11</f>
        <v>24310121.347926687</v>
      </c>
      <c r="J11" s="1284"/>
      <c r="K11" s="1284"/>
      <c r="L11" s="1285" t="s">
        <v>49</v>
      </c>
      <c r="M11" s="1831">
        <f>+'Exh 2, Proof of Revenue'!AB44</f>
        <v>2.2599999999999999E-3</v>
      </c>
      <c r="N11" s="1832">
        <f>+M11+F11</f>
        <v>0.26282980454864935</v>
      </c>
      <c r="O11" s="1832">
        <f t="shared" ref="O11:O37" si="0">+N11-E11</f>
        <v>1.0298045486493712E-3</v>
      </c>
      <c r="P11" s="1290"/>
    </row>
    <row r="12" spans="1:20">
      <c r="A12" s="1286">
        <v>6</v>
      </c>
      <c r="B12" s="1286" t="s">
        <v>2829</v>
      </c>
      <c r="C12" s="1287"/>
      <c r="D12" s="1287"/>
      <c r="E12" s="1286"/>
      <c r="F12" s="1288"/>
      <c r="G12" s="1284">
        <f>SUM(G11)</f>
        <v>93296003.311035588</v>
      </c>
      <c r="H12" s="1289">
        <f>SUM(H11)</f>
        <v>24424893.666829117</v>
      </c>
      <c r="I12" s="1284">
        <f>SUM(I11)</f>
        <v>24310121.347926687</v>
      </c>
      <c r="J12" s="1291">
        <f>H12/$H$43</f>
        <v>0.29386377844913542</v>
      </c>
      <c r="K12" s="1292">
        <f t="shared" ref="K12:K41" si="1">J12*$K$43</f>
        <v>-114772.31890242967</v>
      </c>
      <c r="L12" s="1285">
        <f>K12/H12</f>
        <v>-4.6989895009573492E-3</v>
      </c>
      <c r="M12" s="1831"/>
      <c r="N12" s="1832"/>
      <c r="O12" s="1832"/>
      <c r="P12" s="1290"/>
      <c r="Q12" s="1293">
        <f>G12/$G$31*$Q$31</f>
        <v>12527879.969049418</v>
      </c>
      <c r="R12" s="384">
        <f>Q12/G12</f>
        <v>0.13428099301620938</v>
      </c>
    </row>
    <row r="13" spans="1:20">
      <c r="A13" s="1286">
        <v>7</v>
      </c>
      <c r="B13" s="1286"/>
      <c r="C13" s="1287"/>
      <c r="D13" s="1287"/>
      <c r="E13" s="1286"/>
      <c r="F13" s="1288"/>
      <c r="G13" s="1284"/>
      <c r="H13" s="1284"/>
      <c r="I13" s="1284"/>
      <c r="J13" s="1291"/>
      <c r="K13" s="1284"/>
      <c r="L13" s="1285"/>
      <c r="M13" s="1831"/>
      <c r="N13" s="1832"/>
      <c r="O13" s="1832"/>
      <c r="P13" s="1290"/>
    </row>
    <row r="14" spans="1:20">
      <c r="A14" s="1286">
        <v>8</v>
      </c>
      <c r="B14" s="1294" t="s">
        <v>2832</v>
      </c>
      <c r="C14" s="1287"/>
      <c r="D14" s="1287"/>
      <c r="E14" s="1286"/>
      <c r="F14" s="1288"/>
      <c r="G14" s="1284"/>
      <c r="H14" s="1284"/>
      <c r="I14" s="1284"/>
      <c r="J14" s="1284"/>
      <c r="K14" s="1284"/>
      <c r="L14" s="1285"/>
      <c r="M14" s="1831"/>
      <c r="N14" s="1832"/>
      <c r="O14" s="1832"/>
      <c r="P14" s="1290"/>
    </row>
    <row r="15" spans="1:20">
      <c r="A15" s="1286">
        <v>9</v>
      </c>
      <c r="B15" s="1286" t="s">
        <v>2831</v>
      </c>
      <c r="C15" s="1287">
        <v>505</v>
      </c>
      <c r="D15" s="1287" t="s">
        <v>2833</v>
      </c>
      <c r="E15" s="1286">
        <f>'Exh 2, Proof of Revenue'!L81</f>
        <v>0.20175999999999999</v>
      </c>
      <c r="F15" s="1288">
        <f>E15*(1+L16)</f>
        <v>0.20081193187828683</v>
      </c>
      <c r="G15" s="1284">
        <f>'Exh 2, Proof of Revenue'!AE81</f>
        <v>1796054.322900241</v>
      </c>
      <c r="H15" s="1289">
        <f>G15*E15</f>
        <v>362371.92018835264</v>
      </c>
      <c r="I15" s="1284">
        <f>F15*G15</f>
        <v>360669.13833994576</v>
      </c>
      <c r="J15" s="1291">
        <f>H15/$H$43</f>
        <v>4.3598135215236044E-3</v>
      </c>
      <c r="K15" s="1284">
        <f>J15*$K$43</f>
        <v>-1702.7818484068234</v>
      </c>
      <c r="L15" s="1285">
        <f>K15/H15</f>
        <v>-4.6989895009573492E-3</v>
      </c>
      <c r="M15" s="1831">
        <f>+'Exh 2, Proof of Revenue'!AB81</f>
        <v>1.9E-3</v>
      </c>
      <c r="N15" s="1832">
        <f>+M15+F15</f>
        <v>0.20271193187828684</v>
      </c>
      <c r="O15" s="1832">
        <f t="shared" si="0"/>
        <v>9.5193187828684911E-4</v>
      </c>
      <c r="P15" s="1290"/>
    </row>
    <row r="16" spans="1:20">
      <c r="A16" s="1286">
        <v>10</v>
      </c>
      <c r="B16" s="1286"/>
      <c r="C16" s="1287"/>
      <c r="D16" s="1287" t="s">
        <v>2834</v>
      </c>
      <c r="E16" s="1286">
        <f>'Exh 2, Proof of Revenue'!L82</f>
        <v>0.16481000000000001</v>
      </c>
      <c r="F16" s="1288">
        <f>E16*(1+L17)</f>
        <v>0.16403555954034724</v>
      </c>
      <c r="G16" s="1284">
        <f>'Exh 2, Proof of Revenue'!AE82</f>
        <v>5955588.143686397</v>
      </c>
      <c r="H16" s="1289">
        <f>G16*E16</f>
        <v>981540.48196095519</v>
      </c>
      <c r="I16" s="1284">
        <f>F16*G16</f>
        <v>976928.23354145605</v>
      </c>
      <c r="J16" s="1291">
        <f>H16/$H$43</f>
        <v>1.1809230314953401E-2</v>
      </c>
      <c r="K16" s="1284">
        <f t="shared" si="1"/>
        <v>-4612.2484194991448</v>
      </c>
      <c r="L16" s="1285">
        <f>K16/H16</f>
        <v>-4.6989895009573492E-3</v>
      </c>
      <c r="M16" s="1831">
        <f>+M15</f>
        <v>1.9E-3</v>
      </c>
      <c r="N16" s="1832">
        <f>+M16+F16</f>
        <v>0.16593555954034725</v>
      </c>
      <c r="O16" s="1832">
        <f t="shared" si="0"/>
        <v>1.1255595403472374E-3</v>
      </c>
      <c r="P16" s="1290"/>
    </row>
    <row r="17" spans="1:18">
      <c r="A17" s="1286">
        <v>11</v>
      </c>
      <c r="B17" s="1286"/>
      <c r="C17" s="1287"/>
      <c r="D17" s="1287" t="s">
        <v>2835</v>
      </c>
      <c r="E17" s="1286">
        <f>'Exh 2, Proof of Revenue'!L83</f>
        <v>0.15923000000000001</v>
      </c>
      <c r="F17" s="1288">
        <f>E17*(1+L18)</f>
        <v>0.15848177990176257</v>
      </c>
      <c r="G17" s="1284">
        <f>'Exh 2, Proof of Revenue'!AE83</f>
        <v>5561734.9161735196</v>
      </c>
      <c r="H17" s="1289">
        <f>G17*E17</f>
        <v>885595.05070230959</v>
      </c>
      <c r="I17" s="1284">
        <f>F17*G17</f>
        <v>881433.64885695965</v>
      </c>
      <c r="J17" s="1291">
        <f>H17/$H$43</f>
        <v>1.0654879866628289E-2</v>
      </c>
      <c r="K17" s="1284">
        <f t="shared" si="1"/>
        <v>-4161.4018453499448</v>
      </c>
      <c r="L17" s="1285">
        <f>K17/H17</f>
        <v>-4.69898950095735E-3</v>
      </c>
      <c r="M17" s="1831">
        <f>+M15</f>
        <v>1.9E-3</v>
      </c>
      <c r="N17" s="1832">
        <f>+M17+F17</f>
        <v>0.16038177990176258</v>
      </c>
      <c r="O17" s="1832">
        <f t="shared" si="0"/>
        <v>1.1517799017625729E-3</v>
      </c>
      <c r="P17" s="1290"/>
    </row>
    <row r="18" spans="1:18">
      <c r="A18" s="1286">
        <v>12</v>
      </c>
      <c r="B18" s="1286" t="s">
        <v>2829</v>
      </c>
      <c r="C18" s="1287"/>
      <c r="D18" s="1287"/>
      <c r="E18" s="1286"/>
      <c r="F18" s="1288"/>
      <c r="G18" s="1284">
        <f>SUM(G15:G17)</f>
        <v>13313377.382760158</v>
      </c>
      <c r="H18" s="1289">
        <f>SUM(H15:H17)</f>
        <v>2229507.4528516172</v>
      </c>
      <c r="I18" s="1284">
        <f>SUM(I15:I17)</f>
        <v>2219031.0207383614</v>
      </c>
      <c r="J18" s="1291">
        <f>H18/$H$43</f>
        <v>2.6823923703105292E-2</v>
      </c>
      <c r="K18" s="1292">
        <f t="shared" si="1"/>
        <v>-10476.432113255913</v>
      </c>
      <c r="L18" s="1285">
        <f>K18/H18</f>
        <v>-4.69898950095735E-3</v>
      </c>
      <c r="M18" s="1831"/>
      <c r="N18" s="1832"/>
      <c r="O18" s="1832"/>
      <c r="P18" s="1290"/>
      <c r="Q18" s="1293">
        <f>G18/$G$31*$Q$31</f>
        <v>1787733.5353565768</v>
      </c>
      <c r="R18" s="384">
        <f>Q18/G18</f>
        <v>0.13428099301620938</v>
      </c>
    </row>
    <row r="19" spans="1:18">
      <c r="A19" s="1286">
        <v>13</v>
      </c>
      <c r="B19" s="1286"/>
      <c r="C19" s="1287"/>
      <c r="D19" s="1287"/>
      <c r="E19" s="1286"/>
      <c r="F19" s="1288"/>
      <c r="G19" s="1284"/>
      <c r="H19" s="1284"/>
      <c r="I19" s="1284"/>
      <c r="J19" s="1284"/>
      <c r="K19" s="1284"/>
      <c r="L19" s="1285"/>
      <c r="M19" s="1831"/>
      <c r="N19" s="1832"/>
      <c r="O19" s="1832"/>
      <c r="P19" s="1290"/>
    </row>
    <row r="20" spans="1:18">
      <c r="A20" s="1286">
        <v>14</v>
      </c>
      <c r="B20" s="1294" t="s">
        <v>2836</v>
      </c>
      <c r="C20" s="1287"/>
      <c r="D20" s="1287"/>
      <c r="E20" s="1286"/>
      <c r="F20" s="1288"/>
      <c r="G20" s="1284"/>
      <c r="H20" s="1284"/>
      <c r="I20" s="1284"/>
      <c r="J20" s="1284"/>
      <c r="K20" s="1284"/>
      <c r="L20" s="1285"/>
      <c r="M20" s="1831"/>
      <c r="N20" s="1832"/>
      <c r="O20" s="1832"/>
      <c r="P20" s="1290"/>
    </row>
    <row r="21" spans="1:18">
      <c r="A21" s="1286">
        <v>15</v>
      </c>
      <c r="B21" s="1286" t="s">
        <v>2837</v>
      </c>
      <c r="C21" s="1287">
        <v>511</v>
      </c>
      <c r="D21" s="1287" t="s">
        <v>2838</v>
      </c>
      <c r="E21" s="1286">
        <f>'Exh 2, Proof of Revenue'!L116</f>
        <v>0.16113</v>
      </c>
      <c r="F21" s="1288">
        <f>E21*(1+L22)</f>
        <v>0.16037285182171074</v>
      </c>
      <c r="G21" s="1284">
        <f>'Exh 2, Proof of Revenue'!AE116</f>
        <v>9125954.6466492154</v>
      </c>
      <c r="H21" s="1289">
        <f>G21*E21</f>
        <v>1470465.0722145881</v>
      </c>
      <c r="I21" s="1284">
        <f>F21*G21</f>
        <v>1463555.3722787271</v>
      </c>
      <c r="J21" s="1291">
        <f>H21/$H$43</f>
        <v>1.7691639852881198E-2</v>
      </c>
      <c r="K21" s="1284">
        <f t="shared" si="1"/>
        <v>-6909.6999358608391</v>
      </c>
      <c r="L21" s="1285">
        <f>K21/H21</f>
        <v>-4.6989895009573492E-3</v>
      </c>
      <c r="M21" s="1831">
        <f>+'Exh 2, Proof of Revenue'!AB116</f>
        <v>1.2600000000000001E-3</v>
      </c>
      <c r="N21" s="1832">
        <f>+M21+F21</f>
        <v>0.16163285182171075</v>
      </c>
      <c r="O21" s="1832">
        <f t="shared" si="0"/>
        <v>5.028518217107536E-4</v>
      </c>
      <c r="P21" s="1290"/>
    </row>
    <row r="22" spans="1:18">
      <c r="A22" s="1286">
        <v>16</v>
      </c>
      <c r="B22" s="1286"/>
      <c r="C22" s="1287"/>
      <c r="D22" s="1287" t="s">
        <v>2839</v>
      </c>
      <c r="E22" s="1286">
        <f>'Exh 2, Proof of Revenue'!L117</f>
        <v>0.12471</v>
      </c>
      <c r="F22" s="1288">
        <f>E22*(1+L23)</f>
        <v>0.12412398901933561</v>
      </c>
      <c r="G22" s="1284">
        <f>'Exh 2, Proof of Revenue'!AE117</f>
        <v>4226512.8625064138</v>
      </c>
      <c r="H22" s="1289">
        <f>G22*E22</f>
        <v>527088.4190831749</v>
      </c>
      <c r="I22" s="1284">
        <f>F22*G22</f>
        <v>524611.63613582682</v>
      </c>
      <c r="J22" s="1291">
        <f>H22/$H$43</f>
        <v>6.3415708793409676E-3</v>
      </c>
      <c r="K22" s="1284">
        <f t="shared" si="1"/>
        <v>-2476.7829473480465</v>
      </c>
      <c r="L22" s="1285">
        <f>K22/H22</f>
        <v>-4.69898950095735E-3</v>
      </c>
      <c r="M22" s="1831">
        <f>+M21</f>
        <v>1.2600000000000001E-3</v>
      </c>
      <c r="N22" s="1832">
        <f>+M22+F22</f>
        <v>0.12538398901933562</v>
      </c>
      <c r="O22" s="1832">
        <f t="shared" si="0"/>
        <v>6.7398901933561628E-4</v>
      </c>
      <c r="P22" s="1290"/>
    </row>
    <row r="23" spans="1:18">
      <c r="A23" s="1286">
        <v>17</v>
      </c>
      <c r="B23" s="1286"/>
      <c r="C23" s="1287"/>
      <c r="D23" s="1287" t="s">
        <v>2840</v>
      </c>
      <c r="E23" s="1286">
        <f>'Exh 2, Proof of Revenue'!L118</f>
        <v>3.4639999999999997E-2</v>
      </c>
      <c r="F23" s="1288">
        <f>E23*(1+L24)</f>
        <v>3.4477227003686835E-2</v>
      </c>
      <c r="G23" s="1284">
        <f>'Exh 2, Proof of Revenue'!AE118</f>
        <v>-693612.92290251562</v>
      </c>
      <c r="H23" s="1289">
        <f>G23*E23</f>
        <v>-24026.751649343139</v>
      </c>
      <c r="I23" s="1284">
        <f>F23*G23</f>
        <v>-23913.850195600768</v>
      </c>
      <c r="J23" s="1291">
        <f>H23/$H$43</f>
        <v>-2.8907360334279769E-4</v>
      </c>
      <c r="K23" s="1284">
        <f t="shared" si="1"/>
        <v>112.90145374237309</v>
      </c>
      <c r="L23" s="1285">
        <f>K23/H23</f>
        <v>-4.6989895009573492E-3</v>
      </c>
      <c r="M23" s="1831">
        <f>+M21</f>
        <v>1.2600000000000001E-3</v>
      </c>
      <c r="N23" s="1832">
        <f>+M23+F23</f>
        <v>3.5737227003686832E-2</v>
      </c>
      <c r="O23" s="1832">
        <f t="shared" si="0"/>
        <v>1.0972270036868348E-3</v>
      </c>
      <c r="P23" s="1290"/>
    </row>
    <row r="24" spans="1:18">
      <c r="A24" s="1286">
        <v>18</v>
      </c>
      <c r="B24" s="1286" t="s">
        <v>2841</v>
      </c>
      <c r="C24" s="1287"/>
      <c r="D24" s="1287"/>
      <c r="E24" s="1286"/>
      <c r="F24" s="1288"/>
      <c r="G24" s="1284">
        <f>SUM(G21:G23)</f>
        <v>12658854.586253114</v>
      </c>
      <c r="H24" s="1289">
        <f>SUM(H21:H23)</f>
        <v>1973526.7396484197</v>
      </c>
      <c r="I24" s="1284">
        <f>SUM(I21:I23)</f>
        <v>1964253.1582189533</v>
      </c>
      <c r="J24" s="1291">
        <f>H24/$H$43</f>
        <v>2.3744137128879367E-2</v>
      </c>
      <c r="K24" s="1292">
        <f t="shared" si="1"/>
        <v>-9273.5814294665124</v>
      </c>
      <c r="L24" s="1285">
        <f>K24/H24</f>
        <v>-4.6989895009573492E-3</v>
      </c>
      <c r="M24" s="1831"/>
      <c r="N24" s="1832"/>
      <c r="O24" s="1832"/>
      <c r="P24" s="1290"/>
      <c r="Q24" s="1293">
        <f>G24/$G$31*$Q$31</f>
        <v>1699843.5642898644</v>
      </c>
      <c r="R24" s="384">
        <f>Q24/G24</f>
        <v>0.13428099301620938</v>
      </c>
    </row>
    <row r="25" spans="1:18">
      <c r="A25" s="1286">
        <v>19</v>
      </c>
      <c r="B25" s="1286"/>
      <c r="C25" s="1287"/>
      <c r="D25" s="1287"/>
      <c r="E25" s="1286"/>
      <c r="F25" s="1288"/>
      <c r="G25" s="1284"/>
      <c r="H25" s="1284"/>
      <c r="I25" s="1284"/>
      <c r="J25" s="1291"/>
      <c r="K25" s="1284"/>
      <c r="L25" s="1285"/>
      <c r="M25" s="1831"/>
      <c r="N25" s="1832"/>
      <c r="O25" s="1832"/>
      <c r="P25" s="1290"/>
    </row>
    <row r="26" spans="1:18">
      <c r="A26" s="1286">
        <v>20</v>
      </c>
      <c r="B26" s="1294" t="s">
        <v>2842</v>
      </c>
      <c r="C26" s="1287"/>
      <c r="D26" s="1287"/>
      <c r="E26" s="1286"/>
      <c r="F26" s="1288"/>
      <c r="G26" s="1284"/>
      <c r="H26" s="1284"/>
      <c r="I26" s="1284"/>
      <c r="J26" s="1284"/>
      <c r="K26" s="1284"/>
      <c r="L26" s="1285"/>
      <c r="M26" s="1831"/>
      <c r="N26" s="1832"/>
      <c r="O26" s="1832"/>
      <c r="P26" s="1290"/>
    </row>
    <row r="27" spans="1:18">
      <c r="A27" s="1286">
        <v>21</v>
      </c>
      <c r="B27" s="1286" t="s">
        <v>2843</v>
      </c>
      <c r="C27" s="1287">
        <v>570</v>
      </c>
      <c r="D27" s="1287" t="s">
        <v>2844</v>
      </c>
      <c r="E27" s="1286">
        <f>'Exh 2, Proof of Revenue'!L283</f>
        <v>8.9639999999999997E-2</v>
      </c>
      <c r="F27" s="1288">
        <f>E27*(1+L28)</f>
        <v>8.9218782581134179E-2</v>
      </c>
      <c r="G27" s="1284">
        <f>'Exh 2, Proof of Revenue'!S283</f>
        <v>1301512.7114810457</v>
      </c>
      <c r="H27" s="1289">
        <f>G27*E27</f>
        <v>116667.59945716093</v>
      </c>
      <c r="I27" s="1284">
        <f>F27*G27</f>
        <v>116119.37963220984</v>
      </c>
      <c r="J27" s="1291">
        <f>H27/$H$43</f>
        <v>1.4036655416695811E-3</v>
      </c>
      <c r="K27" s="1284">
        <f t="shared" si="1"/>
        <v>-548.2198249510966</v>
      </c>
      <c r="L27" s="1285">
        <f>K27/H27</f>
        <v>-4.6989895009573492E-3</v>
      </c>
      <c r="M27" s="1831">
        <f>+'Exh 2, Proof of Revenue'!AB283</f>
        <v>1.1900000000000001E-3</v>
      </c>
      <c r="N27" s="1832">
        <f>+M27+F27</f>
        <v>9.0408782581134176E-2</v>
      </c>
      <c r="O27" s="1832">
        <f t="shared" si="0"/>
        <v>7.6878258113417808E-4</v>
      </c>
      <c r="P27" s="1290"/>
    </row>
    <row r="28" spans="1:18">
      <c r="A28" s="1286">
        <v>22</v>
      </c>
      <c r="B28" s="1286"/>
      <c r="C28" s="1287"/>
      <c r="D28" s="1287" t="s">
        <v>2845</v>
      </c>
      <c r="E28" s="1286">
        <f>'Exh 2, Proof of Revenue'!L284</f>
        <v>2.8170000000000001E-2</v>
      </c>
      <c r="F28" s="1288">
        <f>E28*(1+L29)</f>
        <v>2.8037629465758031E-2</v>
      </c>
      <c r="G28" s="1284">
        <f>'Exh 2, Proof of Revenue'!S284</f>
        <v>1032498.538383325</v>
      </c>
      <c r="H28" s="1289">
        <f>G28*E28</f>
        <v>29085.483826258267</v>
      </c>
      <c r="I28" s="1284">
        <f>F28*G28</f>
        <v>28948.811443128412</v>
      </c>
      <c r="J28" s="1291">
        <f>H28/$H$43</f>
        <v>3.4993684278810945E-4</v>
      </c>
      <c r="K28" s="1284">
        <f t="shared" si="1"/>
        <v>-136.67238312985239</v>
      </c>
      <c r="L28" s="1285">
        <f>K28/H28</f>
        <v>-4.6989895009573492E-3</v>
      </c>
      <c r="M28" s="1831">
        <f>+M27</f>
        <v>1.1900000000000001E-3</v>
      </c>
      <c r="N28" s="1832">
        <f>+M28+F28</f>
        <v>2.9227629465758031E-2</v>
      </c>
      <c r="O28" s="1832">
        <f t="shared" si="0"/>
        <v>1.0576294657580303E-3</v>
      </c>
      <c r="P28" s="1290"/>
    </row>
    <row r="29" spans="1:18">
      <c r="A29" s="1286">
        <v>23</v>
      </c>
      <c r="B29" s="1286" t="s">
        <v>2829</v>
      </c>
      <c r="C29" s="1287"/>
      <c r="D29" s="1287"/>
      <c r="E29" s="1286"/>
      <c r="F29" s="1288"/>
      <c r="G29" s="1284">
        <f>SUM(G27:G28)</f>
        <v>2334011.2498643706</v>
      </c>
      <c r="H29" s="1289">
        <f>SUM(H27:H28)</f>
        <v>145753.0832834192</v>
      </c>
      <c r="I29" s="1284">
        <f>SUM(I27:I28)</f>
        <v>145068.19107533825</v>
      </c>
      <c r="J29" s="1291">
        <f>H29/$H$43</f>
        <v>1.7536023844576904E-3</v>
      </c>
      <c r="K29" s="1292">
        <f t="shared" si="1"/>
        <v>-684.89220808094899</v>
      </c>
      <c r="L29" s="1285">
        <f>K29/H29</f>
        <v>-4.69898950095735E-3</v>
      </c>
      <c r="M29" s="1831"/>
      <c r="N29" s="1832"/>
      <c r="O29" s="1832"/>
      <c r="P29" s="1290"/>
      <c r="Q29" s="1293">
        <f>G29/$G$31*$Q$31</f>
        <v>313413.34834279167</v>
      </c>
      <c r="R29" s="384">
        <f>Q29/G29</f>
        <v>0.13428099301620938</v>
      </c>
    </row>
    <row r="30" spans="1:18">
      <c r="A30" s="1286">
        <v>24</v>
      </c>
      <c r="B30" s="1286"/>
      <c r="C30" s="1287"/>
      <c r="D30" s="1287"/>
      <c r="E30" s="1286"/>
      <c r="F30" s="1288"/>
      <c r="G30" s="1284"/>
      <c r="H30" s="1284"/>
      <c r="I30" s="1284"/>
      <c r="J30" s="1291"/>
      <c r="K30" s="1284"/>
      <c r="L30" s="1285"/>
      <c r="M30" s="1831"/>
      <c r="N30" s="1832"/>
      <c r="O30" s="1832"/>
      <c r="P30" s="1290"/>
    </row>
    <row r="31" spans="1:18">
      <c r="A31" s="1286">
        <v>25</v>
      </c>
      <c r="B31" s="1294" t="s">
        <v>2846</v>
      </c>
      <c r="C31" s="1287"/>
      <c r="D31" s="1287"/>
      <c r="E31" s="1286"/>
      <c r="F31" s="1288"/>
      <c r="G31" s="1292">
        <f>G8+G12+G24+G18+G29</f>
        <v>253343933.76055425</v>
      </c>
      <c r="H31" s="1292">
        <f>H8+H12+H24+H18+H29</f>
        <v>69709775.415789664</v>
      </c>
      <c r="I31" s="1292">
        <f>I8+I12+I24+I18+I29</f>
        <v>69382209.912996769</v>
      </c>
      <c r="J31" s="1295">
        <f>H31/$H$43</f>
        <v>0.83870080574168671</v>
      </c>
      <c r="K31" s="1292">
        <f t="shared" si="1"/>
        <v>-327565.50279289036</v>
      </c>
      <c r="L31" s="1296">
        <f>K31/H31</f>
        <v>-4.6989895009573492E-3</v>
      </c>
      <c r="M31" s="1831"/>
      <c r="N31" s="1832"/>
      <c r="O31" s="1832"/>
      <c r="P31" s="1290"/>
      <c r="Q31" s="384">
        <f>25*1360771</f>
        <v>34019275</v>
      </c>
    </row>
    <row r="32" spans="1:18">
      <c r="A32" s="1286">
        <v>26</v>
      </c>
      <c r="B32" s="1286"/>
      <c r="C32" s="1287"/>
      <c r="D32" s="1287"/>
      <c r="E32" s="1286"/>
      <c r="F32" s="1288"/>
      <c r="G32" s="1286"/>
      <c r="H32" s="1284"/>
      <c r="I32" s="1284"/>
      <c r="J32" s="1284"/>
      <c r="K32" s="1284"/>
      <c r="L32" s="1285"/>
      <c r="M32" s="1831"/>
      <c r="N32" s="1832"/>
      <c r="O32" s="1832"/>
      <c r="P32" s="1290"/>
      <c r="Q32" s="1790">
        <f>Q31/G31</f>
        <v>0.13428099301620938</v>
      </c>
    </row>
    <row r="33" spans="1:23">
      <c r="A33" s="1286">
        <v>27</v>
      </c>
      <c r="B33" s="1294" t="s">
        <v>2847</v>
      </c>
      <c r="C33" s="1287"/>
      <c r="D33" s="1287"/>
      <c r="E33" s="1286"/>
      <c r="F33" s="1288"/>
      <c r="G33" s="1286"/>
      <c r="H33" s="1284"/>
      <c r="I33" s="1284"/>
      <c r="J33" s="1284"/>
      <c r="K33" s="1284"/>
      <c r="L33" s="1285"/>
      <c r="M33" s="1831"/>
      <c r="N33" s="1832"/>
      <c r="O33" s="1832"/>
      <c r="P33" s="1290"/>
    </row>
    <row r="34" spans="1:23">
      <c r="A34" s="1286">
        <v>28</v>
      </c>
      <c r="B34" s="1286" t="s">
        <v>2848</v>
      </c>
      <c r="C34" s="1287">
        <v>663</v>
      </c>
      <c r="D34" s="1287" t="s">
        <v>2849</v>
      </c>
      <c r="E34" s="1286">
        <f>'Exh 2, Proof of Revenue'!L317</f>
        <v>5.9889999999999999E-2</v>
      </c>
      <c r="F34" s="1288">
        <f>E34*(1+L35)</f>
        <v>5.9608577518787662E-2</v>
      </c>
      <c r="G34" s="1297">
        <f>'Exh 2, Proof of Revenue'!S317+'Exh 2, Proof of Revenue'!W317</f>
        <v>125670307.7394866</v>
      </c>
      <c r="H34" s="1289">
        <f>G34*E34</f>
        <v>7526394.7305178531</v>
      </c>
      <c r="I34" s="1284">
        <f>F34*G34</f>
        <v>7491028.2806990882</v>
      </c>
      <c r="J34" s="1291">
        <f>H34/$H$43</f>
        <v>9.055248402630077E-2</v>
      </c>
      <c r="K34" s="1284">
        <f>J34*$K$43</f>
        <v>-35366.449818764107</v>
      </c>
      <c r="L34" s="1285">
        <f>K34/H34</f>
        <v>-4.6989895009573492E-3</v>
      </c>
      <c r="M34" s="1831">
        <f>+'Exh 2, Proof of Revenue'!AB317</f>
        <v>3.8999999999999999E-4</v>
      </c>
      <c r="N34" s="1832">
        <f>+M34+F34</f>
        <v>5.9998577518787663E-2</v>
      </c>
      <c r="O34" s="1832">
        <f t="shared" si="0"/>
        <v>1.085775187876642E-4</v>
      </c>
      <c r="P34" s="1290"/>
    </row>
    <row r="35" spans="1:23">
      <c r="A35" s="1286">
        <v>29</v>
      </c>
      <c r="B35" s="1286"/>
      <c r="C35" s="1287"/>
      <c r="D35" s="1287" t="s">
        <v>2850</v>
      </c>
      <c r="E35" s="1286">
        <f>'Exh 2, Proof of Revenue'!L318</f>
        <v>2.3029999999999998E-2</v>
      </c>
      <c r="F35" s="1288">
        <f>E35*(1+L36)</f>
        <v>2.2921782271792951E-2</v>
      </c>
      <c r="G35" s="1297">
        <f>'Exh 2, Proof of Revenue'!S318+'Exh 2, Proof of Revenue'!W318</f>
        <v>99243995.968259618</v>
      </c>
      <c r="H35" s="1289">
        <f>G35*E35</f>
        <v>2285589.227149019</v>
      </c>
      <c r="I35" s="1284">
        <f>F35*G35</f>
        <v>2274849.2673671446</v>
      </c>
      <c r="J35" s="1291">
        <f>H35/$H$43</f>
        <v>2.7498661629172406E-2</v>
      </c>
      <c r="K35" s="1284">
        <f t="shared" si="1"/>
        <v>-10739.959781874462</v>
      </c>
      <c r="L35" s="1285">
        <f>K35/H35</f>
        <v>-4.6989895009573492E-3</v>
      </c>
      <c r="M35" s="1831">
        <f>+M34</f>
        <v>3.8999999999999999E-4</v>
      </c>
      <c r="N35" s="1832">
        <f>+M35+F35</f>
        <v>2.3311782271792952E-2</v>
      </c>
      <c r="O35" s="1832">
        <f t="shared" si="0"/>
        <v>2.8178227179295398E-4</v>
      </c>
      <c r="P35" s="1290"/>
    </row>
    <row r="36" spans="1:23">
      <c r="A36" s="1286">
        <v>30</v>
      </c>
      <c r="B36" s="1286"/>
      <c r="C36" s="1287"/>
      <c r="D36" s="1287" t="s">
        <v>2850</v>
      </c>
      <c r="E36" s="1286">
        <f>'Exh 2, Proof of Revenue'!L319</f>
        <v>1.473E-2</v>
      </c>
      <c r="F36" s="1288">
        <f>E36*(1+L37)</f>
        <v>1.4660783884650898E-2</v>
      </c>
      <c r="G36" s="1297">
        <f>'Exh 2, Proof of Revenue'!S319+'Exh 2, Proof of Revenue'!W319</f>
        <v>36535700.346506834</v>
      </c>
      <c r="H36" s="1289">
        <f>G36*E36</f>
        <v>538170.86610404565</v>
      </c>
      <c r="I36" s="1284">
        <f>F36*G36</f>
        <v>535642.00685450167</v>
      </c>
      <c r="J36" s="1291">
        <f>H36/$H$43</f>
        <v>6.4749073761314665E-3</v>
      </c>
      <c r="K36" s="1284">
        <f t="shared" si="1"/>
        <v>-2528.8592495440339</v>
      </c>
      <c r="L36" s="1285">
        <f>K36/H36</f>
        <v>-4.6989895009573492E-3</v>
      </c>
      <c r="M36" s="1831">
        <f>+M35</f>
        <v>3.8999999999999999E-4</v>
      </c>
      <c r="N36" s="1832">
        <f>+M36+F36</f>
        <v>1.5050783884650898E-2</v>
      </c>
      <c r="O36" s="1832">
        <f t="shared" si="0"/>
        <v>3.2078388465089751E-4</v>
      </c>
      <c r="P36" s="1290"/>
    </row>
    <row r="37" spans="1:23">
      <c r="A37" s="1286">
        <v>31</v>
      </c>
      <c r="B37" s="1286"/>
      <c r="C37" s="1287"/>
      <c r="D37" s="1287" t="s">
        <v>2851</v>
      </c>
      <c r="E37" s="1286">
        <f>'Exh 2, Proof of Revenue'!L320</f>
        <v>7.9799999999999992E-3</v>
      </c>
      <c r="F37" s="1288">
        <f>E37*(1+L38)</f>
        <v>7.9425020637823602E-3</v>
      </c>
      <c r="G37" s="1297">
        <f>'Exh 2, Proof of Revenue'!S320+'Exh 2, Proof of Revenue'!W320+'Exh 2, Proof of Revenue'!AE320</f>
        <v>383013835.04329479</v>
      </c>
      <c r="H37" s="1289">
        <f>G37*E37</f>
        <v>3056450.4036454922</v>
      </c>
      <c r="I37" s="1284">
        <f>F37*G37</f>
        <v>3042088.1752885655</v>
      </c>
      <c r="J37" s="1291">
        <f>H37/$H$43</f>
        <v>3.6773141226708675E-2</v>
      </c>
      <c r="K37" s="1284">
        <f t="shared" si="1"/>
        <v>-14362.22835692702</v>
      </c>
      <c r="L37" s="1285">
        <f>K37/H37</f>
        <v>-4.6989895009573492E-3</v>
      </c>
      <c r="M37" s="1831">
        <f>+M36</f>
        <v>3.8999999999999999E-4</v>
      </c>
      <c r="N37" s="1832">
        <f>+M37+F37</f>
        <v>8.3325020637823599E-3</v>
      </c>
      <c r="O37" s="1832">
        <f t="shared" si="0"/>
        <v>3.5250206378236067E-4</v>
      </c>
      <c r="P37" s="1290"/>
    </row>
    <row r="38" spans="1:23">
      <c r="A38" s="1286">
        <v>32</v>
      </c>
      <c r="B38" s="1286" t="s">
        <v>51</v>
      </c>
      <c r="C38" s="1287"/>
      <c r="D38" s="1287"/>
      <c r="E38" s="1286"/>
      <c r="F38" s="1288"/>
      <c r="G38" s="1284">
        <f>SUM(G34:G37)</f>
        <v>644463839.09754777</v>
      </c>
      <c r="H38" s="1289">
        <f>SUM(H34:H37)</f>
        <v>13406605.227416411</v>
      </c>
      <c r="I38" s="1284">
        <f>SUM(I34:I37)</f>
        <v>13343607.7302093</v>
      </c>
      <c r="J38" s="1291">
        <f>H38/$H$43</f>
        <v>0.16129919425831335</v>
      </c>
      <c r="K38" s="1292">
        <f>J38*$K$43</f>
        <v>-62997.497207109634</v>
      </c>
      <c r="L38" s="1285">
        <f>K38/H38</f>
        <v>-4.6989895009573492E-3</v>
      </c>
      <c r="M38" s="1831"/>
      <c r="N38" s="1832"/>
      <c r="O38" s="1832"/>
      <c r="P38" s="1290"/>
    </row>
    <row r="39" spans="1:23">
      <c r="A39" s="1286">
        <v>33</v>
      </c>
      <c r="B39" s="1286"/>
      <c r="C39" s="1287"/>
      <c r="D39" s="1287"/>
      <c r="E39" s="1286"/>
      <c r="F39" s="1288"/>
      <c r="H39" s="1284"/>
      <c r="I39" s="1284"/>
      <c r="J39" s="1284"/>
      <c r="K39" s="1284"/>
      <c r="L39" s="1285"/>
      <c r="M39" s="1831"/>
      <c r="N39" s="1832"/>
      <c r="O39" s="1832"/>
      <c r="P39" s="1290"/>
    </row>
    <row r="40" spans="1:23">
      <c r="A40" s="1286">
        <v>34</v>
      </c>
      <c r="C40" s="1298"/>
      <c r="D40" s="1286"/>
      <c r="E40" s="1286"/>
      <c r="F40" s="1286"/>
      <c r="H40" s="384"/>
      <c r="I40" s="1284"/>
      <c r="K40" s="1284"/>
      <c r="L40" s="1285"/>
      <c r="M40" s="1831"/>
      <c r="N40" s="1832"/>
      <c r="O40" s="1832"/>
      <c r="P40" s="1290"/>
      <c r="W40" s="1299"/>
    </row>
    <row r="41" spans="1:23">
      <c r="A41" s="1286">
        <v>35</v>
      </c>
      <c r="B41" s="1294" t="s">
        <v>2852</v>
      </c>
      <c r="C41" s="1286"/>
      <c r="D41" s="1286"/>
      <c r="E41" s="1286"/>
      <c r="F41" s="1286"/>
      <c r="G41" s="1292">
        <f>SUM(G38:G39)</f>
        <v>644463839.09754777</v>
      </c>
      <c r="H41" s="1292">
        <f>SUM(H38:H39)</f>
        <v>13406605.227416411</v>
      </c>
      <c r="I41" s="1292">
        <f>+I38</f>
        <v>13343607.7302093</v>
      </c>
      <c r="J41" s="1295">
        <f>H41/$H$43</f>
        <v>0.16129919425831335</v>
      </c>
      <c r="K41" s="1292">
        <f t="shared" si="1"/>
        <v>-62997.497207109634</v>
      </c>
      <c r="L41" s="1296">
        <f>K41/H41</f>
        <v>-4.6989895009573492E-3</v>
      </c>
      <c r="M41" s="1831"/>
      <c r="N41" s="1832"/>
      <c r="O41" s="1832"/>
      <c r="P41" s="1290"/>
    </row>
    <row r="42" spans="1:23" ht="15" thickBot="1">
      <c r="A42" s="1286">
        <v>36</v>
      </c>
      <c r="B42" s="1294"/>
      <c r="C42" s="1286"/>
      <c r="D42" s="1286"/>
      <c r="E42" s="1286"/>
      <c r="F42" s="1286"/>
      <c r="G42" s="1284"/>
      <c r="H42" s="1284"/>
      <c r="I42" s="1284"/>
      <c r="J42" s="1291"/>
      <c r="K42" s="1300"/>
      <c r="L42" s="1285"/>
      <c r="M42" s="1831"/>
      <c r="N42" s="1832"/>
      <c r="O42" s="1832"/>
      <c r="P42" s="1290"/>
    </row>
    <row r="43" spans="1:23">
      <c r="A43" s="1286">
        <v>37</v>
      </c>
      <c r="B43" s="1301" t="s">
        <v>51</v>
      </c>
      <c r="C43" s="1277"/>
      <c r="D43" s="1277"/>
      <c r="E43" s="1277"/>
      <c r="F43" s="1277"/>
      <c r="G43" s="1302">
        <f>G31+G41</f>
        <v>897807772.85810208</v>
      </c>
      <c r="H43" s="1302">
        <f>H31+H41</f>
        <v>83116380.643206075</v>
      </c>
      <c r="I43" s="1302">
        <f>+I31+I41</f>
        <v>82725817.643206075</v>
      </c>
      <c r="J43" s="1303">
        <f>J31+J41</f>
        <v>1</v>
      </c>
      <c r="K43" s="1809">
        <v>-390563</v>
      </c>
      <c r="L43" s="1304">
        <f>K43/H43</f>
        <v>-4.6989895009573492E-3</v>
      </c>
      <c r="M43" s="1831"/>
      <c r="N43" s="1831"/>
      <c r="O43" s="1831"/>
    </row>
    <row r="44" spans="1:23">
      <c r="A44" s="1286">
        <v>38</v>
      </c>
      <c r="K44" s="1305" t="s">
        <v>2853</v>
      </c>
      <c r="L44" s="1306"/>
      <c r="M44" s="1831"/>
      <c r="N44" s="1831"/>
      <c r="O44" s="1831"/>
    </row>
    <row r="45" spans="1:23">
      <c r="A45" s="1307">
        <v>39</v>
      </c>
      <c r="B45" s="1266"/>
      <c r="C45" s="1266"/>
      <c r="D45" s="1266"/>
      <c r="E45" s="1266"/>
      <c r="F45" s="1266"/>
      <c r="G45" s="1266"/>
      <c r="H45" s="1308"/>
      <c r="I45" s="1308"/>
      <c r="J45" s="1308"/>
      <c r="K45" s="1309" t="s">
        <v>2854</v>
      </c>
      <c r="L45" s="1310"/>
      <c r="M45" s="1831"/>
      <c r="N45" s="1831"/>
      <c r="O45" s="1831"/>
    </row>
  </sheetData>
  <mergeCells count="3">
    <mergeCell ref="A1:L1"/>
    <mergeCell ref="A2:L2"/>
    <mergeCell ref="A3:L3"/>
  </mergeCells>
  <pageMargins left="0.7" right="0.7" top="1.5" bottom="0.75" header="0.3" footer="0.3"/>
  <pageSetup scale="50" fitToHeight="0" orientation="portrait" r:id="rId1"/>
  <headerFooter scaleWithDoc="0">
    <oddHeader>&amp;RDocket No. UG-200568
Exhibit No. ___ (IDM-9)
Page 1 of 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0F7BB-2E9C-4EAA-A80E-308AAF384945}">
  <sheetPr codeName="Sheet49">
    <tabColor theme="8"/>
    <pageSetUpPr fitToPage="1"/>
  </sheetPr>
  <dimension ref="A3:T66"/>
  <sheetViews>
    <sheetView zoomScale="80" zoomScaleNormal="80" workbookViewId="0">
      <selection activeCell="J44" sqref="J44"/>
    </sheetView>
  </sheetViews>
  <sheetFormatPr defaultColWidth="12.33203125" defaultRowHeight="14.4"/>
  <cols>
    <col min="1" max="1" width="3.6640625" style="584" bestFit="1" customWidth="1"/>
    <col min="2" max="2" width="17.33203125" style="584" bestFit="1" customWidth="1"/>
    <col min="3" max="3" width="2.88671875" style="384" bestFit="1" customWidth="1"/>
    <col min="4" max="4" width="22.6640625" style="384" bestFit="1" customWidth="1"/>
    <col min="5" max="5" width="16.6640625" style="384" customWidth="1"/>
    <col min="6" max="6" width="16.44140625" style="384" customWidth="1"/>
    <col min="7" max="7" width="16.6640625" style="384" customWidth="1"/>
    <col min="8" max="9" width="16.33203125" style="384" customWidth="1"/>
    <col min="10" max="10" width="20.109375" style="384" bestFit="1" customWidth="1"/>
    <col min="11" max="11" width="13.33203125" style="384" bestFit="1" customWidth="1"/>
    <col min="12" max="12" width="18" style="384" customWidth="1"/>
    <col min="13" max="13" width="16" style="384" customWidth="1"/>
    <col min="14" max="14" width="19.5546875" style="384" customWidth="1"/>
    <col min="15" max="15" width="16.109375" style="384" customWidth="1"/>
    <col min="16" max="16" width="6.33203125" style="384" customWidth="1"/>
    <col min="17" max="17" width="12.33203125" style="384"/>
    <col min="18" max="18" width="2.6640625" style="384" bestFit="1" customWidth="1"/>
    <col min="19" max="16384" width="12.33203125" style="384"/>
  </cols>
  <sheetData>
    <row r="3" spans="1:14" ht="15" thickBot="1"/>
    <row r="4" spans="1:14" ht="6.75" customHeight="1">
      <c r="B4" s="1343"/>
      <c r="C4" s="1344"/>
      <c r="D4" s="1344"/>
      <c r="E4" s="1344"/>
      <c r="F4" s="1344"/>
      <c r="G4" s="1344"/>
      <c r="H4" s="1344"/>
      <c r="I4" s="1344"/>
      <c r="J4" s="1345"/>
    </row>
    <row r="5" spans="1:14" s="584" customFormat="1" ht="18" customHeight="1">
      <c r="B5" s="1346" t="s">
        <v>778</v>
      </c>
      <c r="C5" s="584" t="s">
        <v>776</v>
      </c>
      <c r="D5" s="584" t="s">
        <v>777</v>
      </c>
      <c r="E5" s="584" t="s">
        <v>780</v>
      </c>
      <c r="F5" s="584" t="s">
        <v>781</v>
      </c>
      <c r="G5" s="584" t="s">
        <v>782</v>
      </c>
      <c r="H5" s="584" t="s">
        <v>783</v>
      </c>
      <c r="I5" s="584" t="s">
        <v>784</v>
      </c>
      <c r="J5" s="1347" t="s">
        <v>785</v>
      </c>
    </row>
    <row r="6" spans="1:14" ht="15" customHeight="1">
      <c r="B6" s="1850" t="s">
        <v>2856</v>
      </c>
      <c r="C6" s="1845"/>
      <c r="D6" s="1845"/>
      <c r="E6" s="1845"/>
      <c r="F6" s="1845"/>
      <c r="G6" s="1845"/>
      <c r="H6" s="1845"/>
      <c r="I6" s="1845"/>
      <c r="J6" s="1851"/>
    </row>
    <row r="7" spans="1:14" ht="81" customHeight="1">
      <c r="A7" s="584">
        <v>1</v>
      </c>
      <c r="B7" s="1348" t="s">
        <v>2857</v>
      </c>
      <c r="D7" s="1349" t="s">
        <v>2858</v>
      </c>
      <c r="E7" s="1350"/>
      <c r="F7" s="1349" t="s">
        <v>2859</v>
      </c>
      <c r="H7" s="584" t="s">
        <v>2860</v>
      </c>
      <c r="J7" s="1351" t="s">
        <v>2861</v>
      </c>
      <c r="L7" s="1352"/>
    </row>
    <row r="8" spans="1:14">
      <c r="A8" s="584">
        <f t="shared" ref="A8:A65" si="0">A7+1</f>
        <v>2</v>
      </c>
      <c r="B8" s="1346">
        <v>503</v>
      </c>
      <c r="D8" s="1353">
        <f>'Exh 2, Proof of Revenue'!AJ13</f>
        <v>40743736.195037425</v>
      </c>
      <c r="F8" s="1299">
        <f>'Exh 2, Proof of Revenue'!AE13</f>
        <v>131741687.23064102</v>
      </c>
      <c r="G8" s="1350"/>
      <c r="H8" s="1354">
        <f>D8/F8</f>
        <v>0.30926988299236752</v>
      </c>
      <c r="J8" s="1355">
        <f>'End of Period Calculations'!AB99/12</f>
        <v>195359</v>
      </c>
      <c r="L8" s="1356"/>
      <c r="M8" s="1357"/>
      <c r="N8" s="1358"/>
    </row>
    <row r="9" spans="1:14">
      <c r="A9" s="584">
        <f t="shared" si="0"/>
        <v>3</v>
      </c>
      <c r="B9" s="1346" t="s">
        <v>49</v>
      </c>
      <c r="D9" s="1353"/>
      <c r="F9" s="1299"/>
      <c r="G9" s="584"/>
      <c r="H9" s="1354"/>
      <c r="J9" s="1359"/>
      <c r="L9" s="1356"/>
      <c r="M9" s="1357"/>
      <c r="N9" s="1358"/>
    </row>
    <row r="10" spans="1:14">
      <c r="A10" s="584">
        <f t="shared" si="0"/>
        <v>4</v>
      </c>
      <c r="B10" s="1346">
        <v>504</v>
      </c>
      <c r="D10" s="1353">
        <f>'Exh 2, Proof of Revenue'!AJ49</f>
        <v>24310121.347926687</v>
      </c>
      <c r="F10" s="1299">
        <f>'Exh 2, Proof of Revenue'!AE49</f>
        <v>93296003.311035588</v>
      </c>
      <c r="G10" s="1350"/>
      <c r="H10" s="1354">
        <f>D10/F10</f>
        <v>0.26056980454864936</v>
      </c>
      <c r="J10" s="1355">
        <f>'End of Period Calculations'!AB100/12</f>
        <v>26843</v>
      </c>
      <c r="L10" s="1352"/>
    </row>
    <row r="11" spans="1:14">
      <c r="A11" s="584">
        <f t="shared" si="0"/>
        <v>5</v>
      </c>
      <c r="B11" s="1346"/>
      <c r="D11" s="1353"/>
      <c r="F11" s="1299"/>
      <c r="G11" s="1350"/>
      <c r="H11" s="1354"/>
      <c r="J11" s="1359"/>
      <c r="L11" s="1352"/>
    </row>
    <row r="12" spans="1:14">
      <c r="A12" s="584">
        <f t="shared" si="0"/>
        <v>6</v>
      </c>
      <c r="B12" s="1346">
        <v>505</v>
      </c>
      <c r="D12" s="1353">
        <f>SUM('Exh 2, Proof of Revenue'!AJ81:AJ83)</f>
        <v>2219031.0207383614</v>
      </c>
      <c r="F12" s="1299">
        <f>SUM('Exh 2, Proof of Revenue'!AE81:AE83)</f>
        <v>13313377.382760158</v>
      </c>
      <c r="G12" s="1350"/>
      <c r="H12" s="1354">
        <f>D12/F12</f>
        <v>0.16667679109072978</v>
      </c>
      <c r="J12" s="1360">
        <f>'End of Period Calculations'!AB102/12</f>
        <v>488</v>
      </c>
      <c r="L12" s="1352"/>
      <c r="M12" s="1361"/>
      <c r="N12" s="747"/>
    </row>
    <row r="13" spans="1:14">
      <c r="A13" s="584">
        <f t="shared" si="0"/>
        <v>7</v>
      </c>
      <c r="B13" s="1346"/>
      <c r="D13" s="1353"/>
      <c r="F13" s="1299"/>
      <c r="G13" s="1350"/>
      <c r="H13" s="1354"/>
      <c r="J13" s="1359"/>
      <c r="L13" s="1352"/>
      <c r="M13" s="1290"/>
      <c r="N13" s="747"/>
    </row>
    <row r="14" spans="1:14">
      <c r="A14" s="584">
        <f t="shared" si="0"/>
        <v>8</v>
      </c>
      <c r="B14" s="1346">
        <v>511</v>
      </c>
      <c r="D14" s="1362">
        <f>SUM('Exh 2, Proof of Revenue'!AJ116:AJ118)</f>
        <v>1964253.1582189533</v>
      </c>
      <c r="F14" s="1299">
        <f>SUM('Exh 2, Proof of Revenue'!AE116:AE118)</f>
        <v>12658854.586253114</v>
      </c>
      <c r="G14" s="1350"/>
      <c r="H14" s="1354">
        <f>D14/F14</f>
        <v>0.15516831675687581</v>
      </c>
      <c r="J14" s="1360">
        <f>'End of Period Calculations'!AB107/12</f>
        <v>90</v>
      </c>
      <c r="L14" s="1352"/>
      <c r="N14" s="1363"/>
    </row>
    <row r="15" spans="1:14">
      <c r="A15" s="584">
        <f t="shared" si="0"/>
        <v>9</v>
      </c>
      <c r="B15" s="1346"/>
      <c r="D15" s="1353"/>
      <c r="F15" s="1299"/>
      <c r="G15" s="1350"/>
      <c r="H15" s="1354"/>
      <c r="J15" s="1359"/>
      <c r="L15" s="1352"/>
    </row>
    <row r="16" spans="1:14">
      <c r="A16" s="584">
        <f t="shared" si="0"/>
        <v>10</v>
      </c>
      <c r="B16" s="1346">
        <v>570</v>
      </c>
      <c r="D16" s="1353">
        <f>SUM('Exh 2, Proof of Revenue'!AJ283:AJ284)</f>
        <v>145068.19107533825</v>
      </c>
      <c r="F16" s="1299">
        <f>SUM('Exh 2, Proof of Revenue'!S283:S284)</f>
        <v>2334011.2498643706</v>
      </c>
      <c r="G16" s="1350"/>
      <c r="H16" s="1354">
        <f>D16/F16</f>
        <v>6.2154023929305469E-2</v>
      </c>
      <c r="J16" s="1360">
        <f>'End of Period Calculations'!AB112/12</f>
        <v>8</v>
      </c>
      <c r="N16" s="779"/>
    </row>
    <row r="17" spans="1:18" ht="15" thickBot="1">
      <c r="A17" s="584">
        <f t="shared" si="0"/>
        <v>11</v>
      </c>
      <c r="B17" s="1364"/>
      <c r="C17" s="1365"/>
      <c r="D17" s="1366"/>
      <c r="E17" s="1365"/>
      <c r="F17" s="1367"/>
      <c r="G17" s="1368"/>
      <c r="H17" s="1369"/>
      <c r="I17" s="1365"/>
      <c r="J17" s="1370"/>
    </row>
    <row r="18" spans="1:18">
      <c r="A18" s="584">
        <f t="shared" si="0"/>
        <v>12</v>
      </c>
      <c r="B18" s="1343"/>
      <c r="C18" s="1344"/>
      <c r="D18" s="1371"/>
      <c r="E18" s="1344"/>
      <c r="F18" s="1372"/>
      <c r="G18" s="1344"/>
      <c r="H18" s="1373"/>
      <c r="I18" s="1344"/>
      <c r="J18" s="1345"/>
    </row>
    <row r="19" spans="1:18">
      <c r="A19" s="584">
        <f t="shared" si="0"/>
        <v>13</v>
      </c>
      <c r="B19" s="1374" t="s">
        <v>2862</v>
      </c>
      <c r="D19" s="1375"/>
      <c r="F19" s="1299"/>
      <c r="H19" s="1354"/>
      <c r="J19" s="1376"/>
    </row>
    <row r="20" spans="1:18">
      <c r="A20" s="584">
        <f t="shared" si="0"/>
        <v>14</v>
      </c>
      <c r="B20" s="1374">
        <v>-1</v>
      </c>
      <c r="D20" s="1377" t="s">
        <v>2855</v>
      </c>
      <c r="F20" s="1299"/>
      <c r="G20" s="1350"/>
      <c r="H20" s="1354"/>
      <c r="J20" s="1376"/>
    </row>
    <row r="21" spans="1:18">
      <c r="A21" s="584">
        <f t="shared" si="0"/>
        <v>15</v>
      </c>
      <c r="B21" s="1374">
        <v>-2</v>
      </c>
      <c r="D21" s="1820" t="s">
        <v>3380</v>
      </c>
      <c r="F21" s="1299"/>
      <c r="H21" s="1354"/>
      <c r="J21" s="1376"/>
    </row>
    <row r="22" spans="1:18">
      <c r="A22" s="584">
        <f t="shared" si="0"/>
        <v>16</v>
      </c>
      <c r="B22" s="1374">
        <v>-3</v>
      </c>
      <c r="D22" s="1375" t="s">
        <v>2863</v>
      </c>
      <c r="F22" s="1299"/>
      <c r="H22" s="1354"/>
      <c r="J22" s="1376"/>
    </row>
    <row r="23" spans="1:18">
      <c r="A23" s="584">
        <f t="shared" si="0"/>
        <v>17</v>
      </c>
      <c r="B23" s="1374">
        <v>-4</v>
      </c>
      <c r="D23" s="1820" t="s">
        <v>3379</v>
      </c>
      <c r="F23" s="1299"/>
      <c r="H23" s="1354"/>
      <c r="J23" s="1376"/>
    </row>
    <row r="24" spans="1:18" ht="15" thickBot="1">
      <c r="A24" s="584">
        <f t="shared" si="0"/>
        <v>18</v>
      </c>
      <c r="B24" s="1378"/>
      <c r="C24" s="1365"/>
      <c r="D24" s="1379"/>
      <c r="E24" s="1365"/>
      <c r="F24" s="1367"/>
      <c r="G24" s="1365"/>
      <c r="H24" s="1369"/>
      <c r="I24" s="1365"/>
      <c r="J24" s="1380"/>
    </row>
    <row r="25" spans="1:18" ht="15" thickBot="1">
      <c r="A25" s="584">
        <f t="shared" si="0"/>
        <v>19</v>
      </c>
      <c r="D25" s="1375"/>
      <c r="F25" s="1299"/>
    </row>
    <row r="26" spans="1:18">
      <c r="A26" s="584">
        <f t="shared" si="0"/>
        <v>20</v>
      </c>
      <c r="B26" s="1852" t="s">
        <v>2864</v>
      </c>
      <c r="C26" s="1853"/>
      <c r="D26" s="1853"/>
      <c r="E26" s="1853"/>
      <c r="F26" s="1853"/>
      <c r="G26" s="1853"/>
      <c r="H26" s="1854"/>
    </row>
    <row r="27" spans="1:18" ht="15" customHeight="1">
      <c r="A27" s="584">
        <f t="shared" si="0"/>
        <v>21</v>
      </c>
      <c r="B27" s="1855" t="s">
        <v>3377</v>
      </c>
      <c r="C27" s="1856"/>
      <c r="D27" s="1856"/>
      <c r="E27" s="1856"/>
      <c r="F27" s="1856"/>
      <c r="G27" s="1856"/>
      <c r="H27" s="1857"/>
      <c r="I27" s="1381"/>
      <c r="J27" s="1381"/>
      <c r="K27" s="1381"/>
      <c r="L27" s="1381"/>
      <c r="M27" s="1381"/>
      <c r="N27" s="1381"/>
      <c r="O27" s="1299"/>
      <c r="P27" s="1299"/>
      <c r="Q27" s="1299"/>
      <c r="R27" s="1299"/>
    </row>
    <row r="28" spans="1:18">
      <c r="A28" s="584">
        <f t="shared" si="0"/>
        <v>22</v>
      </c>
      <c r="B28" s="1346" t="s">
        <v>778</v>
      </c>
      <c r="C28" s="584" t="s">
        <v>776</v>
      </c>
      <c r="D28" s="584" t="s">
        <v>777</v>
      </c>
      <c r="E28" s="584" t="s">
        <v>780</v>
      </c>
      <c r="F28" s="584" t="s">
        <v>781</v>
      </c>
      <c r="G28" s="584" t="s">
        <v>782</v>
      </c>
      <c r="H28" s="1347" t="s">
        <v>783</v>
      </c>
      <c r="I28" s="584"/>
      <c r="J28" s="584"/>
      <c r="K28" s="584"/>
      <c r="L28" s="584"/>
      <c r="M28" s="584"/>
      <c r="N28" s="584"/>
      <c r="O28" s="1299"/>
      <c r="P28" s="1299"/>
      <c r="Q28" s="1299"/>
      <c r="R28" s="1299"/>
    </row>
    <row r="29" spans="1:18" s="584" customFormat="1" ht="15.75" customHeight="1">
      <c r="A29" s="584">
        <f t="shared" si="0"/>
        <v>23</v>
      </c>
      <c r="B29" s="1346" t="s">
        <v>2857</v>
      </c>
      <c r="D29" s="584">
        <v>503</v>
      </c>
      <c r="E29" s="584">
        <v>504</v>
      </c>
      <c r="F29" s="584">
        <v>505</v>
      </c>
      <c r="G29" s="584">
        <v>511</v>
      </c>
      <c r="H29" s="1347">
        <v>570</v>
      </c>
      <c r="O29" s="1299"/>
      <c r="P29" s="1299"/>
      <c r="Q29" s="1299"/>
      <c r="R29" s="1299"/>
    </row>
    <row r="30" spans="1:18">
      <c r="A30" s="584">
        <f t="shared" si="0"/>
        <v>24</v>
      </c>
      <c r="B30" s="1382" t="s">
        <v>2312</v>
      </c>
      <c r="C30" s="1383"/>
      <c r="D30" s="1357">
        <f>'End of Period Calculations'!D99</f>
        <v>21481403.558054745</v>
      </c>
      <c r="E30" s="1357">
        <f>'End of Period Calculations'!D100</f>
        <v>14962920.09105991</v>
      </c>
      <c r="F30" s="1357">
        <f>'End of Period Calculations'!D105</f>
        <v>1454905.6217057914</v>
      </c>
      <c r="G30" s="1357">
        <f>'End of Period Calculations'!D110</f>
        <v>1849700.1416352973</v>
      </c>
      <c r="H30" s="1384">
        <f>'End of Period Calculations'!D114</f>
        <v>260481.77103171294</v>
      </c>
      <c r="I30" s="1357"/>
      <c r="J30" s="677"/>
      <c r="O30" s="1299"/>
      <c r="P30" s="1299"/>
      <c r="Q30" s="1299"/>
      <c r="R30" s="1299"/>
    </row>
    <row r="31" spans="1:18">
      <c r="A31" s="584">
        <f t="shared" si="0"/>
        <v>25</v>
      </c>
      <c r="B31" s="1382" t="s">
        <v>2517</v>
      </c>
      <c r="C31" s="1383"/>
      <c r="D31" s="1357">
        <f>'End of Period Calculations'!F99</f>
        <v>17282496.365299165</v>
      </c>
      <c r="E31" s="1357">
        <f>'End of Period Calculations'!F100</f>
        <v>11941476.853740096</v>
      </c>
      <c r="F31" s="1357">
        <f>'End of Period Calculations'!F105</f>
        <v>1646557.222742741</v>
      </c>
      <c r="G31" s="1357">
        <f>'End of Period Calculations'!F110</f>
        <v>1895585.1905493443</v>
      </c>
      <c r="H31" s="1384">
        <f>'End of Period Calculations'!F114</f>
        <v>258810.83358312727</v>
      </c>
      <c r="I31" s="1357"/>
      <c r="J31" s="677"/>
      <c r="O31" s="1299"/>
      <c r="P31" s="1299"/>
      <c r="Q31" s="1299"/>
      <c r="R31" s="1385"/>
    </row>
    <row r="32" spans="1:18">
      <c r="A32" s="584">
        <f t="shared" si="0"/>
        <v>26</v>
      </c>
      <c r="B32" s="1382" t="s">
        <v>2518</v>
      </c>
      <c r="C32" s="1383"/>
      <c r="D32" s="1357">
        <f>'End of Period Calculations'!H99</f>
        <v>14550887.329602273</v>
      </c>
      <c r="E32" s="1357">
        <f>'End of Period Calculations'!H100</f>
        <v>9514310.0195858628</v>
      </c>
      <c r="F32" s="1357">
        <f>'End of Period Calculations'!H105</f>
        <v>1791073.6272830481</v>
      </c>
      <c r="G32" s="1357">
        <f>'End of Period Calculations'!H110</f>
        <v>1994554.8082126912</v>
      </c>
      <c r="H32" s="1384">
        <f>'End of Period Calculations'!H114</f>
        <v>270183.90406559402</v>
      </c>
      <c r="I32" s="1357"/>
      <c r="J32" s="677"/>
      <c r="O32" s="1386"/>
      <c r="Q32" s="1299"/>
      <c r="R32" s="1299"/>
    </row>
    <row r="33" spans="1:18">
      <c r="A33" s="584">
        <f t="shared" si="0"/>
        <v>27</v>
      </c>
      <c r="B33" s="1382" t="s">
        <v>2865</v>
      </c>
      <c r="C33" s="1383"/>
      <c r="D33" s="1357">
        <f>'End of Period Calculations'!J99</f>
        <v>9553553.7802296188</v>
      </c>
      <c r="E33" s="1357">
        <f>'End of Period Calculations'!J100</f>
        <v>6184290.0073053576</v>
      </c>
      <c r="F33" s="1357">
        <f>'End of Period Calculations'!J105</f>
        <v>1350687.7934915924</v>
      </c>
      <c r="G33" s="1357">
        <f>'End of Period Calculations'!J110</f>
        <v>1448353.0417596346</v>
      </c>
      <c r="H33" s="1384">
        <f>'End of Period Calculations'!J114</f>
        <v>248144.66102019613</v>
      </c>
      <c r="I33" s="1357"/>
      <c r="J33" s="677"/>
      <c r="O33" s="1386"/>
      <c r="Q33" s="1299"/>
      <c r="R33" s="1387"/>
    </row>
    <row r="34" spans="1:18">
      <c r="A34" s="584">
        <f t="shared" si="0"/>
        <v>28</v>
      </c>
      <c r="B34" s="1382" t="s">
        <v>2866</v>
      </c>
      <c r="C34" s="1383"/>
      <c r="D34" s="1357">
        <f>'End of Period Calculations'!L99</f>
        <v>6059718.5388262738</v>
      </c>
      <c r="E34" s="1357">
        <f>'End of Period Calculations'!L100</f>
        <v>4507576.2480000183</v>
      </c>
      <c r="F34" s="1357">
        <f>'End of Period Calculations'!L105</f>
        <v>812016.46854641067</v>
      </c>
      <c r="G34" s="1357">
        <f>'End of Period Calculations'!L110</f>
        <v>1028426.7247027312</v>
      </c>
      <c r="H34" s="1384">
        <f>'End of Period Calculations'!L114</f>
        <v>218819.2747142287</v>
      </c>
      <c r="I34" s="1357"/>
      <c r="J34" s="677"/>
      <c r="O34" s="1386"/>
      <c r="P34" s="1299"/>
      <c r="Q34" s="1299"/>
      <c r="R34" s="1299"/>
    </row>
    <row r="35" spans="1:18">
      <c r="A35" s="584">
        <f t="shared" si="0"/>
        <v>29</v>
      </c>
      <c r="B35" s="1382" t="s">
        <v>2867</v>
      </c>
      <c r="C35" s="1383"/>
      <c r="D35" s="1357">
        <f>'End of Period Calculations'!N99</f>
        <v>3709463.2561856038</v>
      </c>
      <c r="E35" s="1357">
        <f>'End of Period Calculations'!N100</f>
        <v>3185951.0085212658</v>
      </c>
      <c r="F35" s="1357">
        <f>'End of Period Calculations'!N105</f>
        <v>585190.56726985425</v>
      </c>
      <c r="G35" s="1357">
        <f>'End of Period Calculations'!N110</f>
        <v>808913.50927286583</v>
      </c>
      <c r="H35" s="1384">
        <f>'End of Period Calculations'!N114</f>
        <v>162578.45701703182</v>
      </c>
      <c r="I35" s="1357"/>
      <c r="J35" s="677"/>
      <c r="O35" s="1386"/>
      <c r="P35" s="1387"/>
      <c r="Q35" s="1299"/>
      <c r="R35" s="1299"/>
    </row>
    <row r="36" spans="1:18">
      <c r="A36" s="584">
        <f t="shared" si="0"/>
        <v>30</v>
      </c>
      <c r="B36" s="1382" t="s">
        <v>2868</v>
      </c>
      <c r="C36" s="1383"/>
      <c r="D36" s="1357">
        <f>'End of Period Calculations'!P99</f>
        <v>3106265.7935826126</v>
      </c>
      <c r="E36" s="1357">
        <f>'End of Period Calculations'!P100</f>
        <v>3154644.5544320531</v>
      </c>
      <c r="F36" s="1357">
        <f>'End of Period Calculations'!P105</f>
        <v>548411.62202967121</v>
      </c>
      <c r="G36" s="1357">
        <f>'End of Period Calculations'!P110</f>
        <v>763750.32345110737</v>
      </c>
      <c r="H36" s="1384">
        <f>'End of Period Calculations'!P114</f>
        <v>126842.53842614668</v>
      </c>
      <c r="I36" s="1357"/>
      <c r="J36" s="677"/>
      <c r="O36" s="1386"/>
      <c r="P36" s="1299"/>
      <c r="Q36" s="1299"/>
      <c r="R36" s="1387"/>
    </row>
    <row r="37" spans="1:18">
      <c r="A37" s="584">
        <f t="shared" si="0"/>
        <v>31</v>
      </c>
      <c r="B37" s="1382" t="s">
        <v>2869</v>
      </c>
      <c r="C37" s="1383"/>
      <c r="D37" s="1357">
        <f>'End of Period Calculations'!R99</f>
        <v>3112645.5987847848</v>
      </c>
      <c r="E37" s="1357">
        <f>'End of Period Calculations'!R100</f>
        <v>3172920.6924638362</v>
      </c>
      <c r="F37" s="1357">
        <f>'End of Period Calculations'!R105</f>
        <v>563417.79357178521</v>
      </c>
      <c r="G37" s="1357">
        <f>'End of Period Calculations'!R110</f>
        <v>761037.12822032208</v>
      </c>
      <c r="H37" s="1384">
        <f>'End of Period Calculations'!R114</f>
        <v>120028.18273198721</v>
      </c>
      <c r="I37" s="1357"/>
      <c r="J37" s="677"/>
      <c r="O37" s="1386"/>
      <c r="P37" s="1299"/>
      <c r="Q37" s="1299"/>
      <c r="R37" s="1299"/>
    </row>
    <row r="38" spans="1:18">
      <c r="A38" s="584">
        <f t="shared" si="0"/>
        <v>32</v>
      </c>
      <c r="B38" s="1382" t="s">
        <v>2870</v>
      </c>
      <c r="C38" s="1383"/>
      <c r="D38" s="1357">
        <f>'End of Period Calculations'!T99</f>
        <v>3972281.2075161906</v>
      </c>
      <c r="E38" s="1357">
        <f>'End of Period Calculations'!T100</f>
        <v>3848957.8058954026</v>
      </c>
      <c r="F38" s="1357">
        <f>'End of Period Calculations'!T105</f>
        <v>662856.91864585644</v>
      </c>
      <c r="G38" s="1357">
        <f>'End of Period Calculations'!T110</f>
        <v>675188.24429985625</v>
      </c>
      <c r="H38" s="1384">
        <f>'End of Period Calculations'!T114</f>
        <v>93626.127904277455</v>
      </c>
      <c r="I38" s="1357"/>
      <c r="J38" s="677"/>
      <c r="O38" s="1388"/>
      <c r="P38" s="1299"/>
      <c r="Q38" s="1299"/>
      <c r="R38" s="1388"/>
    </row>
    <row r="39" spans="1:18">
      <c r="A39" s="584">
        <f t="shared" si="0"/>
        <v>33</v>
      </c>
      <c r="B39" s="1382" t="s">
        <v>2525</v>
      </c>
      <c r="C39" s="1383"/>
      <c r="D39" s="1357">
        <f>'End of Period Calculations'!V99</f>
        <v>9102021.7976925541</v>
      </c>
      <c r="E39" s="1357">
        <f>'End of Period Calculations'!V100</f>
        <v>7254098.4631915251</v>
      </c>
      <c r="F39" s="1357">
        <f>'End of Period Calculations'!V105</f>
        <v>1304170.6602785545</v>
      </c>
      <c r="G39" s="1357">
        <f>'End of Period Calculations'!V110</f>
        <v>1127067.6379157584</v>
      </c>
      <c r="H39" s="1384">
        <f>'End of Period Calculations'!V114</f>
        <v>111442.15583086733</v>
      </c>
      <c r="I39" s="1357"/>
      <c r="J39" s="677"/>
      <c r="O39" s="1386"/>
      <c r="P39" s="1299"/>
      <c r="Q39" s="1299"/>
    </row>
    <row r="40" spans="1:18">
      <c r="A40" s="584">
        <f t="shared" si="0"/>
        <v>34</v>
      </c>
      <c r="B40" s="1382" t="s">
        <v>2871</v>
      </c>
      <c r="C40" s="1383"/>
      <c r="D40" s="1357">
        <f>'End of Period Calculations'!X99</f>
        <v>17003957.468034908</v>
      </c>
      <c r="E40" s="1357">
        <f>'End of Period Calculations'!X100</f>
        <v>11095081.839790983</v>
      </c>
      <c r="F40" s="1357">
        <f>'End of Period Calculations'!X105</f>
        <v>1170948.9431001469</v>
      </c>
      <c r="G40" s="1357">
        <f>'End of Period Calculations'!X110</f>
        <v>1507358.7101978862</v>
      </c>
      <c r="H40" s="1384">
        <f>'End of Period Calculations'!X114</f>
        <v>232820.34030953416</v>
      </c>
      <c r="I40" s="1357"/>
      <c r="J40" s="677"/>
      <c r="O40" s="1386"/>
      <c r="P40" s="1299"/>
      <c r="Q40" s="1299"/>
      <c r="R40" s="1299"/>
    </row>
    <row r="41" spans="1:18">
      <c r="A41" s="584">
        <f t="shared" si="0"/>
        <v>35</v>
      </c>
      <c r="B41" s="1382" t="s">
        <v>2527</v>
      </c>
      <c r="C41" s="1383"/>
      <c r="D41" s="1357">
        <f>'End of Period Calculations'!Z99</f>
        <v>22806992.536832273</v>
      </c>
      <c r="E41" s="1357">
        <f>'End of Period Calculations'!Z100</f>
        <v>14473775.727049282</v>
      </c>
      <c r="F41" s="1357">
        <f>'End of Period Calculations'!Z105</f>
        <v>1423140.1440947051</v>
      </c>
      <c r="G41" s="1357">
        <f>'End of Period Calculations'!Z110</f>
        <v>1645023.624128381</v>
      </c>
      <c r="H41" s="1384">
        <f>'End of Period Calculations'!Z114</f>
        <v>230233.00322966697</v>
      </c>
      <c r="I41" s="1357"/>
      <c r="J41" s="677"/>
      <c r="O41" s="1388"/>
      <c r="P41" s="1299"/>
      <c r="Q41" s="1299"/>
    </row>
    <row r="42" spans="1:18" ht="15" thickBot="1">
      <c r="A42" s="584">
        <f t="shared" si="0"/>
        <v>36</v>
      </c>
      <c r="B42" s="1389" t="s">
        <v>51</v>
      </c>
      <c r="C42" s="1365"/>
      <c r="D42" s="1390">
        <f>SUM(D30:D41)</f>
        <v>131741687.23064102</v>
      </c>
      <c r="E42" s="1390">
        <f>SUM(E30:E41)</f>
        <v>93296003.311035588</v>
      </c>
      <c r="F42" s="1390">
        <f>SUM(F30:F41)</f>
        <v>13313377.38276016</v>
      </c>
      <c r="G42" s="1390">
        <f>SUM(G30:G41)</f>
        <v>15504959.084345875</v>
      </c>
      <c r="H42" s="1391">
        <f>SUM(H30:H41)</f>
        <v>2334011.2498643706</v>
      </c>
      <c r="I42" s="677"/>
      <c r="J42" s="677"/>
      <c r="O42" s="1388"/>
      <c r="P42" s="1299"/>
      <c r="Q42" s="1299"/>
    </row>
    <row r="43" spans="1:18">
      <c r="A43" s="584">
        <f t="shared" si="0"/>
        <v>37</v>
      </c>
      <c r="B43" s="1343" t="s">
        <v>2872</v>
      </c>
      <c r="C43" s="1392"/>
      <c r="D43" s="1393"/>
      <c r="E43" s="1393"/>
      <c r="F43" s="1393"/>
      <c r="G43" s="1393"/>
      <c r="H43" s="1394"/>
      <c r="I43" s="1388"/>
      <c r="J43" s="1388"/>
      <c r="K43" s="1388"/>
      <c r="L43" s="1388"/>
      <c r="M43" s="1388"/>
      <c r="N43" s="1388"/>
      <c r="O43" s="1388"/>
      <c r="P43" s="1299"/>
      <c r="Q43" s="1299"/>
    </row>
    <row r="44" spans="1:18" ht="15" thickBot="1">
      <c r="A44" s="584">
        <f t="shared" si="0"/>
        <v>38</v>
      </c>
      <c r="B44" s="1378">
        <v>-5</v>
      </c>
      <c r="C44" s="1395"/>
      <c r="D44" s="906" t="s">
        <v>3378</v>
      </c>
      <c r="E44" s="1365"/>
      <c r="F44" s="1380"/>
      <c r="G44" s="1365"/>
      <c r="H44" s="1380"/>
    </row>
    <row r="45" spans="1:18" ht="15" thickBot="1">
      <c r="A45" s="584">
        <f t="shared" si="0"/>
        <v>39</v>
      </c>
      <c r="B45" s="1350"/>
      <c r="C45" s="1396"/>
    </row>
    <row r="46" spans="1:18">
      <c r="A46" s="584">
        <f t="shared" si="0"/>
        <v>40</v>
      </c>
      <c r="B46" s="1852" t="s">
        <v>2873</v>
      </c>
      <c r="C46" s="1853"/>
      <c r="D46" s="1853"/>
      <c r="E46" s="1853"/>
      <c r="F46" s="1853"/>
      <c r="G46" s="1853"/>
      <c r="H46" s="1853"/>
      <c r="I46" s="1853"/>
      <c r="J46" s="1853"/>
      <c r="K46" s="1853"/>
      <c r="L46" s="1853"/>
      <c r="M46" s="1853"/>
      <c r="N46" s="1853"/>
      <c r="O46" s="1854"/>
    </row>
    <row r="47" spans="1:18">
      <c r="A47" s="584">
        <f t="shared" si="0"/>
        <v>41</v>
      </c>
      <c r="B47" s="1346" t="s">
        <v>778</v>
      </c>
      <c r="C47" s="584" t="s">
        <v>776</v>
      </c>
      <c r="D47" s="584" t="s">
        <v>777</v>
      </c>
      <c r="E47" s="584" t="s">
        <v>780</v>
      </c>
      <c r="F47" s="584" t="s">
        <v>781</v>
      </c>
      <c r="G47" s="584" t="s">
        <v>782</v>
      </c>
      <c r="H47" s="584" t="s">
        <v>783</v>
      </c>
      <c r="I47" s="584" t="s">
        <v>784</v>
      </c>
      <c r="J47" s="584" t="s">
        <v>785</v>
      </c>
      <c r="K47" s="584" t="s">
        <v>786</v>
      </c>
      <c r="L47" s="584" t="s">
        <v>787</v>
      </c>
      <c r="M47" s="584" t="s">
        <v>788</v>
      </c>
      <c r="N47" s="584" t="s">
        <v>789</v>
      </c>
      <c r="O47" s="1347" t="s">
        <v>790</v>
      </c>
    </row>
    <row r="48" spans="1:18">
      <c r="A48" s="584">
        <f t="shared" si="0"/>
        <v>42</v>
      </c>
      <c r="B48" s="1858" t="s">
        <v>2874</v>
      </c>
      <c r="C48" s="1859"/>
      <c r="D48" s="1859"/>
      <c r="E48" s="1859"/>
      <c r="F48" s="1859"/>
      <c r="G48" s="1859"/>
      <c r="H48" s="1859"/>
      <c r="I48" s="1859"/>
      <c r="J48" s="1859"/>
      <c r="K48" s="1859"/>
      <c r="L48" s="1859"/>
      <c r="M48" s="1859"/>
      <c r="N48" s="1859"/>
      <c r="O48" s="1860"/>
    </row>
    <row r="49" spans="1:20">
      <c r="A49" s="584">
        <f t="shared" si="0"/>
        <v>43</v>
      </c>
      <c r="B49" s="1348"/>
      <c r="C49" s="1381"/>
      <c r="D49" s="1349" t="s">
        <v>2312</v>
      </c>
      <c r="E49" s="1349" t="s">
        <v>2517</v>
      </c>
      <c r="F49" s="1349" t="s">
        <v>2875</v>
      </c>
      <c r="G49" s="1349" t="s">
        <v>2865</v>
      </c>
      <c r="H49" s="1349" t="s">
        <v>2866</v>
      </c>
      <c r="I49" s="1349" t="s">
        <v>2867</v>
      </c>
      <c r="J49" s="1349" t="s">
        <v>2522</v>
      </c>
      <c r="K49" s="1349" t="s">
        <v>2523</v>
      </c>
      <c r="L49" s="1349" t="s">
        <v>2524</v>
      </c>
      <c r="M49" s="1349" t="s">
        <v>2525</v>
      </c>
      <c r="N49" s="1349" t="s">
        <v>2871</v>
      </c>
      <c r="O49" s="1351" t="s">
        <v>2527</v>
      </c>
    </row>
    <row r="50" spans="1:20">
      <c r="A50" s="584">
        <f t="shared" si="0"/>
        <v>44</v>
      </c>
      <c r="B50" s="1346">
        <v>503</v>
      </c>
      <c r="D50" s="1397">
        <f>(D30*H8)/J8</f>
        <v>34.006885605021616</v>
      </c>
      <c r="E50" s="1397">
        <f>(D31*H8)/J8</f>
        <v>27.359659031383707</v>
      </c>
      <c r="F50" s="1397">
        <f>(D32*H8)/J8</f>
        <v>23.035290014082882</v>
      </c>
      <c r="G50" s="1397">
        <f>(D33*H8)/J8</f>
        <v>15.124086731468243</v>
      </c>
      <c r="H50" s="1397">
        <f>(D34*H8)/J8</f>
        <v>9.5930489174774749</v>
      </c>
      <c r="I50" s="1397">
        <f>(D35*H8)/J8</f>
        <v>5.8723952682241833</v>
      </c>
      <c r="J50" s="1397">
        <f>(D36*H8)/J8</f>
        <v>4.9174824734181088</v>
      </c>
      <c r="K50" s="1397">
        <f>(D37*H8)/J8</f>
        <v>4.9275822466990418</v>
      </c>
      <c r="L50" s="1397">
        <f>(D38*H8)/J8</f>
        <v>6.2884583984424198</v>
      </c>
      <c r="M50" s="1397">
        <f>(D39*H8)/J8</f>
        <v>14.409273268016088</v>
      </c>
      <c r="N50" s="1397">
        <f>(D40*H8)/J8</f>
        <v>26.918708309043094</v>
      </c>
      <c r="O50" s="1398">
        <f>(D41*H8)/J8</f>
        <v>36.105405501020769</v>
      </c>
      <c r="P50" s="1375"/>
      <c r="Q50" s="1375"/>
      <c r="R50" s="1375"/>
    </row>
    <row r="51" spans="1:20">
      <c r="A51" s="584">
        <f t="shared" si="0"/>
        <v>45</v>
      </c>
      <c r="B51" s="1346"/>
      <c r="D51" s="1397"/>
      <c r="E51" s="1397"/>
      <c r="F51" s="1397"/>
      <c r="G51" s="1397"/>
      <c r="H51" s="1397"/>
      <c r="I51" s="1397"/>
      <c r="J51" s="1397"/>
      <c r="K51" s="1397"/>
      <c r="L51" s="1397"/>
      <c r="M51" s="1397"/>
      <c r="N51" s="1397"/>
      <c r="O51" s="1398"/>
    </row>
    <row r="52" spans="1:20">
      <c r="A52" s="584">
        <f t="shared" si="0"/>
        <v>46</v>
      </c>
      <c r="B52" s="1346"/>
      <c r="D52" s="584"/>
      <c r="E52" s="584"/>
      <c r="F52" s="584"/>
      <c r="G52" s="584"/>
      <c r="H52" s="584"/>
      <c r="I52" s="584"/>
      <c r="J52" s="584"/>
      <c r="K52" s="584"/>
      <c r="L52" s="584"/>
      <c r="M52" s="584"/>
      <c r="N52" s="584"/>
      <c r="O52" s="1347"/>
    </row>
    <row r="53" spans="1:20">
      <c r="A53" s="584">
        <f t="shared" si="0"/>
        <v>47</v>
      </c>
      <c r="B53" s="1346">
        <v>504</v>
      </c>
      <c r="D53" s="1397">
        <f>(E30*H10)/J10</f>
        <v>145.24774293501247</v>
      </c>
      <c r="E53" s="1397">
        <f>(E31*H10)/J10</f>
        <v>115.91805274377965</v>
      </c>
      <c r="F53" s="1397">
        <f>(E32*H10)/J10</f>
        <v>92.357109943700209</v>
      </c>
      <c r="G53" s="1397">
        <f>(E33*H10)/J10</f>
        <v>60.032009778181369</v>
      </c>
      <c r="H53" s="1397">
        <f>(E34*H10)/J10</f>
        <v>43.75584926906452</v>
      </c>
      <c r="I53" s="1397">
        <f>(E35*H10)/J10</f>
        <v>30.926596564912959</v>
      </c>
      <c r="J53" s="1397">
        <f>(E36*H10)/J10</f>
        <v>30.622699212786245</v>
      </c>
      <c r="K53" s="1397">
        <f>(E37*H10)/J10</f>
        <v>30.800108955171442</v>
      </c>
      <c r="L53" s="1397">
        <f>(E38*H10)/J10</f>
        <v>37.362522191936939</v>
      </c>
      <c r="M53" s="1397">
        <f>(E39*H10)/J10</f>
        <v>70.416831901444453</v>
      </c>
      <c r="N53" s="1397">
        <f>(E40*H10)/J10</f>
        <v>107.70194488118338</v>
      </c>
      <c r="O53" s="1398">
        <f>(E41*H10)/J10</f>
        <v>140.49953106129036</v>
      </c>
    </row>
    <row r="54" spans="1:20">
      <c r="A54" s="584">
        <f t="shared" si="0"/>
        <v>48</v>
      </c>
      <c r="B54" s="1346"/>
      <c r="D54" s="1397"/>
      <c r="E54" s="1397"/>
      <c r="F54" s="1397"/>
      <c r="G54" s="1397"/>
      <c r="H54" s="1397"/>
      <c r="I54" s="1397"/>
      <c r="J54" s="1397"/>
      <c r="K54" s="1397"/>
      <c r="L54" s="1397"/>
      <c r="M54" s="1397"/>
      <c r="N54" s="1397"/>
      <c r="O54" s="1398"/>
    </row>
    <row r="55" spans="1:20">
      <c r="A55" s="584">
        <f t="shared" si="0"/>
        <v>49</v>
      </c>
      <c r="B55" s="1346"/>
      <c r="D55" s="584"/>
      <c r="E55" s="584"/>
      <c r="F55" s="584"/>
      <c r="G55" s="584"/>
      <c r="H55" s="584"/>
      <c r="I55" s="584"/>
      <c r="J55" s="584"/>
      <c r="K55" s="584"/>
      <c r="L55" s="584"/>
      <c r="M55" s="584"/>
      <c r="N55" s="584"/>
      <c r="O55" s="1347"/>
    </row>
    <row r="56" spans="1:20">
      <c r="A56" s="584">
        <f t="shared" si="0"/>
        <v>50</v>
      </c>
      <c r="B56" s="1346">
        <v>505</v>
      </c>
      <c r="D56" s="1397">
        <f>(F30*H12)/J12</f>
        <v>496.92418107742731</v>
      </c>
      <c r="E56" s="1397">
        <f>(F31*H12)/J12</f>
        <v>562.3829390041476</v>
      </c>
      <c r="F56" s="1397">
        <f>(F32*H12)/J12</f>
        <v>611.74263279256604</v>
      </c>
      <c r="G56" s="1397">
        <f>(F33*H12)/J12</f>
        <v>461.32849832909199</v>
      </c>
      <c r="H56" s="1397">
        <f>(F34*H12)/J12</f>
        <v>277.34487559455374</v>
      </c>
      <c r="I56" s="1397">
        <f>(F35*H12)/J12</f>
        <v>199.87230723176873</v>
      </c>
      <c r="J56" s="1397">
        <f>(F36*H12)/J12</f>
        <v>187.31042900977002</v>
      </c>
      <c r="K56" s="1397">
        <f>(F37*H12)/J12</f>
        <v>192.43579892615648</v>
      </c>
      <c r="L56" s="1397">
        <f>(F38*H12)/J12</f>
        <v>226.39931178725467</v>
      </c>
      <c r="M56" s="1397">
        <f>(F39*H12)/J12</f>
        <v>445.44053420063062</v>
      </c>
      <c r="N56" s="1397">
        <f>(F40*H12)/J12</f>
        <v>399.93854993240575</v>
      </c>
      <c r="O56" s="1398">
        <f>(F41*H12)/J12</f>
        <v>486.07465674201688</v>
      </c>
    </row>
    <row r="57" spans="1:20">
      <c r="A57" s="584">
        <f t="shared" si="0"/>
        <v>51</v>
      </c>
      <c r="B57" s="1346"/>
      <c r="D57" s="1397"/>
      <c r="E57" s="1397"/>
      <c r="F57" s="1397"/>
      <c r="G57" s="1397"/>
      <c r="H57" s="1397"/>
      <c r="I57" s="1397"/>
      <c r="J57" s="1397"/>
      <c r="K57" s="1397"/>
      <c r="L57" s="1397"/>
      <c r="M57" s="1397"/>
      <c r="N57" s="1397"/>
      <c r="O57" s="1398"/>
    </row>
    <row r="58" spans="1:20">
      <c r="A58" s="584">
        <f t="shared" si="0"/>
        <v>52</v>
      </c>
      <c r="B58" s="1346"/>
      <c r="D58" s="1397"/>
      <c r="E58" s="1397"/>
      <c r="F58" s="1397"/>
      <c r="G58" s="1397"/>
      <c r="H58" s="1397"/>
      <c r="I58" s="1397"/>
      <c r="J58" s="1397"/>
      <c r="K58" s="1397"/>
      <c r="L58" s="1397"/>
      <c r="M58" s="1397"/>
      <c r="N58" s="1397"/>
      <c r="O58" s="1398"/>
      <c r="P58" s="1375"/>
      <c r="Q58" s="1375"/>
      <c r="R58" s="1375"/>
      <c r="S58" s="1375"/>
    </row>
    <row r="59" spans="1:20">
      <c r="A59" s="584">
        <f t="shared" si="0"/>
        <v>53</v>
      </c>
      <c r="B59" s="1346">
        <v>511</v>
      </c>
      <c r="D59" s="1397">
        <f>(G30*H14)/J14</f>
        <v>3189.0539720278207</v>
      </c>
      <c r="E59" s="1397">
        <f>(G31*H14)/J14</f>
        <v>3268.1640365200383</v>
      </c>
      <c r="F59" s="1397">
        <f>(G32*H14)/J14</f>
        <v>3438.7968029966287</v>
      </c>
      <c r="G59" s="1397">
        <f>(G33*H14)/J14</f>
        <v>2497.0944839949289</v>
      </c>
      <c r="H59" s="1397">
        <f>(G34*H14)/J14</f>
        <v>1773.1027086656634</v>
      </c>
      <c r="I59" s="1397">
        <f>(G35*H14)/J14</f>
        <v>1394.6416403974226</v>
      </c>
      <c r="J59" s="1397">
        <f>(G36*H14)/J14</f>
        <v>1316.7761345825311</v>
      </c>
      <c r="K59" s="1397">
        <f>(G37*H14)/J14</f>
        <v>1312.0983352826006</v>
      </c>
      <c r="L59" s="1397">
        <f>(G38*H14)/J14</f>
        <v>1164.0869262448773</v>
      </c>
      <c r="M59" s="1397">
        <f>(G39*H14)/J14</f>
        <v>1943.1687582948468</v>
      </c>
      <c r="N59" s="1397">
        <f>(G40*H14)/J14</f>
        <v>2598.8257090024599</v>
      </c>
      <c r="O59" s="1398">
        <f>(G41*H14)/J14</f>
        <v>2836.1727420144048</v>
      </c>
      <c r="P59" s="1375"/>
      <c r="Q59" s="1375"/>
      <c r="R59" s="1375"/>
      <c r="S59" s="1375"/>
    </row>
    <row r="60" spans="1:20">
      <c r="A60" s="584">
        <f t="shared" si="0"/>
        <v>54</v>
      </c>
      <c r="B60" s="1346"/>
      <c r="D60" s="1397"/>
      <c r="E60" s="1397"/>
      <c r="F60" s="1397"/>
      <c r="G60" s="1397"/>
      <c r="H60" s="1397"/>
      <c r="I60" s="1397"/>
      <c r="J60" s="1397"/>
      <c r="K60" s="1397"/>
      <c r="L60" s="1397"/>
      <c r="M60" s="1397"/>
      <c r="N60" s="1397"/>
      <c r="O60" s="1398"/>
    </row>
    <row r="61" spans="1:20">
      <c r="A61" s="584">
        <f t="shared" si="0"/>
        <v>55</v>
      </c>
      <c r="B61" s="1346"/>
      <c r="D61" s="584"/>
      <c r="E61" s="584"/>
      <c r="F61" s="584"/>
      <c r="G61" s="584"/>
      <c r="H61" s="584"/>
      <c r="I61" s="584"/>
      <c r="J61" s="584"/>
      <c r="K61" s="584"/>
      <c r="L61" s="584"/>
      <c r="M61" s="584"/>
      <c r="N61" s="584"/>
      <c r="O61" s="1347"/>
    </row>
    <row r="62" spans="1:20">
      <c r="A62" s="584">
        <f t="shared" si="0"/>
        <v>56</v>
      </c>
      <c r="B62" s="1346">
        <v>570</v>
      </c>
      <c r="D62" s="1397">
        <f>(H30*H16)/J16</f>
        <v>2023.7487787316193</v>
      </c>
      <c r="E62" s="1397">
        <f>(H31*H16)/J16</f>
        <v>2010.7668429611485</v>
      </c>
      <c r="F62" s="1397">
        <f>(H32*H16)/J16</f>
        <v>2099.1271048257631</v>
      </c>
      <c r="G62" s="1397">
        <f>(H33*H16)/J16</f>
        <v>1927.898649872333</v>
      </c>
      <c r="H62" s="1397">
        <f>(H34*H16)/J16</f>
        <v>1700.0623045976797</v>
      </c>
      <c r="I62" s="1397">
        <f>(H35*H16)/J16</f>
        <v>1263.1131634782696</v>
      </c>
      <c r="J62" s="1397">
        <f>(H36*H16)/J16</f>
        <v>985.47177107407117</v>
      </c>
      <c r="K62" s="1397">
        <f>(H37*H16)/J16</f>
        <v>932.52931771437284</v>
      </c>
      <c r="L62" s="1397">
        <f>(H38*H16)/J16</f>
        <v>727.40507427133446</v>
      </c>
      <c r="M62" s="1397">
        <f>(H39*H16)/J16</f>
        <v>865.8223025306396</v>
      </c>
      <c r="N62" s="1397">
        <f>(H40*H16)/J16</f>
        <v>1808.8401253534787</v>
      </c>
      <c r="O62" s="1398">
        <f>(H41*H16)/J16</f>
        <v>1788.7384490065731</v>
      </c>
      <c r="P62" s="1375"/>
      <c r="Q62" s="1375"/>
      <c r="R62" s="1375"/>
      <c r="S62" s="1375"/>
      <c r="T62" s="1375"/>
    </row>
    <row r="63" spans="1:20" ht="15" thickBot="1">
      <c r="A63" s="584">
        <f t="shared" si="0"/>
        <v>57</v>
      </c>
      <c r="B63" s="1364"/>
      <c r="C63" s="1365"/>
      <c r="D63" s="1379"/>
      <c r="E63" s="1379"/>
      <c r="F63" s="1379"/>
      <c r="G63" s="1379"/>
      <c r="H63" s="1379"/>
      <c r="I63" s="1379"/>
      <c r="J63" s="1379"/>
      <c r="K63" s="1379"/>
      <c r="L63" s="1379"/>
      <c r="M63" s="1379"/>
      <c r="N63" s="1379"/>
      <c r="O63" s="1399"/>
    </row>
    <row r="64" spans="1:20">
      <c r="A64" s="584">
        <f t="shared" si="0"/>
        <v>58</v>
      </c>
      <c r="B64" s="1346" t="s">
        <v>2876</v>
      </c>
      <c r="J64" s="1376"/>
    </row>
    <row r="65" spans="1:10">
      <c r="A65" s="584">
        <f t="shared" si="0"/>
        <v>59</v>
      </c>
      <c r="B65" s="1374">
        <v>-6</v>
      </c>
      <c r="D65" s="613" t="s">
        <v>3381</v>
      </c>
      <c r="J65" s="1376"/>
    </row>
    <row r="66" spans="1:10" ht="15" thickBot="1">
      <c r="B66" s="1364"/>
      <c r="C66" s="1365"/>
      <c r="D66" s="1365"/>
      <c r="E66" s="1365"/>
      <c r="F66" s="1365"/>
      <c r="G66" s="1365"/>
      <c r="H66" s="1365"/>
      <c r="I66" s="1365"/>
      <c r="J66" s="1380"/>
    </row>
  </sheetData>
  <mergeCells count="5">
    <mergeCell ref="B6:J6"/>
    <mergeCell ref="B26:H26"/>
    <mergeCell ref="B27:H27"/>
    <mergeCell ref="B46:O46"/>
    <mergeCell ref="B48:O48"/>
  </mergeCells>
  <pageMargins left="0.7" right="0.7" top="0.75" bottom="0.75" header="0.3" footer="0.3"/>
  <pageSetup scale="48" orientation="landscape" r:id="rId1"/>
  <headerFooter scaleWithDoc="0">
    <oddHeader xml:space="preserve">&amp;C&amp;"-,Bold"      Cascade Natural Gas Corporation             
Decoupling Mechanism, Authorized Revenue Per Customer    
&amp;RDocket No. UG-200568
Exhibit No. ___ (IDM-10)
Page 1 of 1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31853-5963-438E-B660-1AF03E40FEF1}">
  <sheetPr codeName="Sheet50">
    <tabColor theme="8" tint="0.79998168889431442"/>
    <pageSetUpPr fitToPage="1"/>
  </sheetPr>
  <dimension ref="A1:M18"/>
  <sheetViews>
    <sheetView showGridLines="0" zoomScale="80" zoomScaleNormal="80" workbookViewId="0">
      <selection activeCell="F27" sqref="F27"/>
    </sheetView>
  </sheetViews>
  <sheetFormatPr defaultColWidth="8.88671875" defaultRowHeight="14.4"/>
  <cols>
    <col min="1" max="16384" width="8.88671875" style="613"/>
  </cols>
  <sheetData>
    <row r="1" spans="1:13">
      <c r="A1" s="873" t="str">
        <f ca="1">MID(CELL("filename",A1),FIND("]",CELL("filename",A1))+1,255)</f>
        <v>Proof WPs ---&gt;</v>
      </c>
    </row>
    <row r="2" spans="1:13">
      <c r="B2" s="1834" t="s">
        <v>2595</v>
      </c>
      <c r="C2" s="1834"/>
      <c r="D2" s="1834"/>
      <c r="E2" s="1834"/>
      <c r="F2" s="1834"/>
      <c r="G2" s="1834"/>
      <c r="H2" s="1834"/>
      <c r="I2" s="1834"/>
      <c r="J2" s="1834"/>
      <c r="K2" s="1834"/>
      <c r="L2" s="1834"/>
      <c r="M2" s="1834"/>
    </row>
    <row r="3" spans="1:13">
      <c r="B3" s="1834"/>
      <c r="C3" s="1834"/>
      <c r="D3" s="1834"/>
      <c r="E3" s="1834"/>
      <c r="F3" s="1834"/>
      <c r="G3" s="1834"/>
      <c r="H3" s="1834"/>
      <c r="I3" s="1834"/>
      <c r="J3" s="1834"/>
      <c r="K3" s="1834"/>
      <c r="L3" s="1834"/>
      <c r="M3" s="1834"/>
    </row>
    <row r="4" spans="1:13">
      <c r="B4" s="1834"/>
      <c r="C4" s="1834"/>
      <c r="D4" s="1834"/>
      <c r="E4" s="1834"/>
      <c r="F4" s="1834"/>
      <c r="G4" s="1834"/>
      <c r="H4" s="1834"/>
      <c r="I4" s="1834"/>
      <c r="J4" s="1834"/>
      <c r="K4" s="1834"/>
      <c r="L4" s="1834"/>
      <c r="M4" s="1834"/>
    </row>
    <row r="5" spans="1:13">
      <c r="B5" s="1834"/>
      <c r="C5" s="1834"/>
      <c r="D5" s="1834"/>
      <c r="E5" s="1834"/>
      <c r="F5" s="1834"/>
      <c r="G5" s="1834"/>
      <c r="H5" s="1834"/>
      <c r="I5" s="1834"/>
      <c r="J5" s="1834"/>
      <c r="K5" s="1834"/>
      <c r="L5" s="1834"/>
      <c r="M5" s="1834"/>
    </row>
    <row r="6" spans="1:13">
      <c r="B6" s="1834"/>
      <c r="C6" s="1834"/>
      <c r="D6" s="1834"/>
      <c r="E6" s="1834"/>
      <c r="F6" s="1834"/>
      <c r="G6" s="1834"/>
      <c r="H6" s="1834"/>
      <c r="I6" s="1834"/>
      <c r="J6" s="1834"/>
      <c r="K6" s="1834"/>
      <c r="L6" s="1834"/>
      <c r="M6" s="1834"/>
    </row>
    <row r="7" spans="1:13">
      <c r="B7" s="1834"/>
      <c r="C7" s="1834"/>
      <c r="D7" s="1834"/>
      <c r="E7" s="1834"/>
      <c r="F7" s="1834"/>
      <c r="G7" s="1834"/>
      <c r="H7" s="1834"/>
      <c r="I7" s="1834"/>
      <c r="J7" s="1834"/>
      <c r="K7" s="1834"/>
      <c r="L7" s="1834"/>
      <c r="M7" s="1834"/>
    </row>
    <row r="8" spans="1:13">
      <c r="B8" s="1834"/>
      <c r="C8" s="1834"/>
      <c r="D8" s="1834"/>
      <c r="E8" s="1834"/>
      <c r="F8" s="1834"/>
      <c r="G8" s="1834"/>
      <c r="H8" s="1834"/>
      <c r="I8" s="1834"/>
      <c r="J8" s="1834"/>
      <c r="K8" s="1834"/>
      <c r="L8" s="1834"/>
      <c r="M8" s="1834"/>
    </row>
    <row r="9" spans="1:13">
      <c r="B9" s="1834"/>
      <c r="C9" s="1834"/>
      <c r="D9" s="1834"/>
      <c r="E9" s="1834"/>
      <c r="F9" s="1834"/>
      <c r="G9" s="1834"/>
      <c r="H9" s="1834"/>
      <c r="I9" s="1834"/>
      <c r="J9" s="1834"/>
      <c r="K9" s="1834"/>
      <c r="L9" s="1834"/>
      <c r="M9" s="1834"/>
    </row>
    <row r="10" spans="1:13">
      <c r="B10" s="1834"/>
      <c r="C10" s="1834"/>
      <c r="D10" s="1834"/>
      <c r="E10" s="1834"/>
      <c r="F10" s="1834"/>
      <c r="G10" s="1834"/>
      <c r="H10" s="1834"/>
      <c r="I10" s="1834"/>
      <c r="J10" s="1834"/>
      <c r="K10" s="1834"/>
      <c r="L10" s="1834"/>
      <c r="M10" s="1834"/>
    </row>
    <row r="11" spans="1:13">
      <c r="B11" s="1834"/>
      <c r="C11" s="1834"/>
      <c r="D11" s="1834"/>
      <c r="E11" s="1834"/>
      <c r="F11" s="1834"/>
      <c r="G11" s="1834"/>
      <c r="H11" s="1834"/>
      <c r="I11" s="1834"/>
      <c r="J11" s="1834"/>
      <c r="K11" s="1834"/>
      <c r="L11" s="1834"/>
      <c r="M11" s="1834"/>
    </row>
    <row r="12" spans="1:13">
      <c r="B12" s="1834"/>
      <c r="C12" s="1834"/>
      <c r="D12" s="1834"/>
      <c r="E12" s="1834"/>
      <c r="F12" s="1834"/>
      <c r="G12" s="1834"/>
      <c r="H12" s="1834"/>
      <c r="I12" s="1834"/>
      <c r="J12" s="1834"/>
      <c r="K12" s="1834"/>
      <c r="L12" s="1834"/>
      <c r="M12" s="1834"/>
    </row>
    <row r="13" spans="1:13">
      <c r="B13" s="1834"/>
      <c r="C13" s="1834"/>
      <c r="D13" s="1834"/>
      <c r="E13" s="1834"/>
      <c r="F13" s="1834"/>
      <c r="G13" s="1834"/>
      <c r="H13" s="1834"/>
      <c r="I13" s="1834"/>
      <c r="J13" s="1834"/>
      <c r="K13" s="1834"/>
      <c r="L13" s="1834"/>
      <c r="M13" s="1834"/>
    </row>
    <row r="14" spans="1:13">
      <c r="B14" s="1834"/>
      <c r="C14" s="1834"/>
      <c r="D14" s="1834"/>
      <c r="E14" s="1834"/>
      <c r="F14" s="1834"/>
      <c r="G14" s="1834"/>
      <c r="H14" s="1834"/>
      <c r="I14" s="1834"/>
      <c r="J14" s="1834"/>
      <c r="K14" s="1834"/>
      <c r="L14" s="1834"/>
      <c r="M14" s="1834"/>
    </row>
    <row r="15" spans="1:13">
      <c r="B15" s="1834"/>
      <c r="C15" s="1834"/>
      <c r="D15" s="1834"/>
      <c r="E15" s="1834"/>
      <c r="F15" s="1834"/>
      <c r="G15" s="1834"/>
      <c r="H15" s="1834"/>
      <c r="I15" s="1834"/>
      <c r="J15" s="1834"/>
      <c r="K15" s="1834"/>
      <c r="L15" s="1834"/>
      <c r="M15" s="1834"/>
    </row>
    <row r="16" spans="1:13">
      <c r="B16" s="1834"/>
      <c r="C16" s="1834"/>
      <c r="D16" s="1834"/>
      <c r="E16" s="1834"/>
      <c r="F16" s="1834"/>
      <c r="G16" s="1834"/>
      <c r="H16" s="1834"/>
      <c r="I16" s="1834"/>
      <c r="J16" s="1834"/>
      <c r="K16" s="1834"/>
      <c r="L16" s="1834"/>
      <c r="M16" s="1834"/>
    </row>
    <row r="17" spans="2:13">
      <c r="B17" s="1834"/>
      <c r="C17" s="1834"/>
      <c r="D17" s="1834"/>
      <c r="E17" s="1834"/>
      <c r="F17" s="1834"/>
      <c r="G17" s="1834"/>
      <c r="H17" s="1834"/>
      <c r="I17" s="1834"/>
      <c r="J17" s="1834"/>
      <c r="K17" s="1834"/>
      <c r="L17" s="1834"/>
      <c r="M17" s="1834"/>
    </row>
    <row r="18" spans="2:13">
      <c r="B18" s="1834"/>
      <c r="C18" s="1834"/>
      <c r="D18" s="1834"/>
      <c r="E18" s="1834"/>
      <c r="F18" s="1834"/>
      <c r="G18" s="1834"/>
      <c r="H18" s="1834"/>
      <c r="I18" s="1834"/>
      <c r="J18" s="1834"/>
      <c r="K18" s="1834"/>
      <c r="L18" s="1834"/>
      <c r="M18" s="1834"/>
    </row>
  </sheetData>
  <mergeCells count="1">
    <mergeCell ref="B2:M18"/>
  </mergeCells>
  <printOptions horizontalCentered="1"/>
  <pageMargins left="0.5" right="0.5" top="0.75" bottom="0.75" header="0.5" footer="0.3"/>
  <pageSetup fitToHeight="0" orientation="landscape" horizontalDpi="1200" verticalDpi="1200" r:id="rId1"/>
  <headerFooter scaleWithDoc="0">
    <oddHeader>&amp;C&amp;10Cascade Natural Gas Corporation
Revenue Proof&amp;R&amp;9CNGC/401
Myhrum/Page &amp;P of &amp;N</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Formal</CaseStatus>
    <OpenedDate xmlns="dc463f71-b30c-4ab2-9473-d307f9d35888">2020-06-19T07:00:00+00:00</OpenedDate>
    <SignificantOrder xmlns="dc463f71-b30c-4ab2-9473-d307f9d35888">false</SignificantOrder>
    <Date1 xmlns="dc463f71-b30c-4ab2-9473-d307f9d35888">2021-05-21T07:00:00+00:00</Date1>
    <IsDocumentOrder xmlns="dc463f71-b30c-4ab2-9473-d307f9d35888">false</IsDocumentOrder>
    <IsHighlyConfidential xmlns="dc463f71-b30c-4ab2-9473-d307f9d35888">false</IsHighlyConfidential>
    <CaseCompanyNames xmlns="dc463f71-b30c-4ab2-9473-d307f9d35888">Cascade Natural Gas Corporation</CaseCompanyNames>
    <Nickname xmlns="http://schemas.microsoft.com/sharepoint/v3" xsi:nil="true"/>
    <DocketNumber xmlns="dc463f71-b30c-4ab2-9473-d307f9d35888">200568</DocketNumber>
    <DelegatedOrder xmlns="dc463f71-b30c-4ab2-9473-d307f9d35888">false</DelegatedOrder>
  </documentManagement>
</p:properties>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9B141868A9DE943AC0520515758323A" ma:contentTypeVersion="52" ma:contentTypeDescription="" ma:contentTypeScope="" ma:versionID="a01e1694838e990fd531486eedd7e1d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987DD2-ECD2-4DC5-B6E5-06311F197FF6}">
  <ds:schemaRefs>
    <ds:schemaRef ds:uri="http://schemas.microsoft.com/sharepoint/v3/contenttype/forms"/>
  </ds:schemaRefs>
</ds:datastoreItem>
</file>

<file path=customXml/itemProps2.xml><?xml version="1.0" encoding="utf-8"?>
<ds:datastoreItem xmlns:ds="http://schemas.openxmlformats.org/officeDocument/2006/customXml" ds:itemID="{B49482A7-848A-47BC-87B9-85411ECE13E3}">
  <ds:schemaRefs>
    <ds:schemaRef ds:uri="http://purl.org/dc/elements/1.1/"/>
    <ds:schemaRef ds:uri="http://schemas.microsoft.com/office/2006/metadata/properties"/>
    <ds:schemaRef ds:uri="b5df3ae9-f00c-4e6e-8773-083cef44cac8"/>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0bb9782-60b2-4bdd-8cf4-24cfb4846487"/>
    <ds:schemaRef ds:uri="http://www.w3.org/XML/1998/namespace"/>
    <ds:schemaRef ds:uri="http://purl.org/dc/dcmitype/"/>
  </ds:schemaRefs>
</ds:datastoreItem>
</file>

<file path=customXml/itemProps3.xml><?xml version="1.0" encoding="utf-8"?>
<ds:datastoreItem xmlns:ds="http://schemas.openxmlformats.org/officeDocument/2006/customXml" ds:itemID="{2E8815D3-FA09-4421-9CC0-746846B526DC}"/>
</file>

<file path=customXml/itemProps4.xml><?xml version="1.0" encoding="utf-8"?>
<ds:datastoreItem xmlns:ds="http://schemas.openxmlformats.org/officeDocument/2006/customXml" ds:itemID="{318FF32D-AB5B-4281-9130-67493D26C86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44</vt:i4>
      </vt:variant>
    </vt:vector>
  </HeadingPairs>
  <TitlesOfParts>
    <vt:vector size="96" baseType="lpstr">
      <vt:lpstr>Cover</vt:lpstr>
      <vt:lpstr>TOC</vt:lpstr>
      <vt:lpstr>Title</vt:lpstr>
      <vt:lpstr>Proof ---&gt;</vt:lpstr>
      <vt:lpstr>Exh 2, Proof of Revenue</vt:lpstr>
      <vt:lpstr>Exh 3, Revenue Adjustments</vt:lpstr>
      <vt:lpstr>Exh 4, Revenue Distribution</vt:lpstr>
      <vt:lpstr>Exh 5, Decoupling</vt:lpstr>
      <vt:lpstr>Proof WPs ---&gt;</vt:lpstr>
      <vt:lpstr>1501 Summary</vt:lpstr>
      <vt:lpstr>Revenue Reconcilliation</vt:lpstr>
      <vt:lpstr>End of Period Calculations</vt:lpstr>
      <vt:lpstr>Allocation Report Summary 2019</vt:lpstr>
      <vt:lpstr>Weather Normalization</vt:lpstr>
      <vt:lpstr>WACAP 2019</vt:lpstr>
      <vt:lpstr>2020 New Customers</vt:lpstr>
      <vt:lpstr>Billing Correction</vt:lpstr>
      <vt:lpstr>Rev Req ---&gt;</vt:lpstr>
      <vt:lpstr>Exh 6, ROO Summary</vt:lpstr>
      <vt:lpstr>Exh 7, Rev Req Calc</vt:lpstr>
      <vt:lpstr>Exh 8, Conversion Factor</vt:lpstr>
      <vt:lpstr>Exh 9, Summary of Adj</vt:lpstr>
      <vt:lpstr>Exh 10, Plant Additions</vt:lpstr>
      <vt:lpstr>Exh 11, Supporting Explanations</vt:lpstr>
      <vt:lpstr>RR WPs ---&gt;</vt:lpstr>
      <vt:lpstr>Plant Summary</vt:lpstr>
      <vt:lpstr>Exhibit PCD-4</vt:lpstr>
      <vt:lpstr>R&amp;R Adjustment</vt:lpstr>
      <vt:lpstr>Operating Report</vt:lpstr>
      <vt:lpstr>Rate Base</vt:lpstr>
      <vt:lpstr>Plant in Serv &amp; Accum Depr</vt:lpstr>
      <vt:lpstr>Adv for Const. &amp; Def Tax</vt:lpstr>
      <vt:lpstr>Capital Structure Calculation</vt:lpstr>
      <vt:lpstr>Long-Term Debt</vt:lpstr>
      <vt:lpstr>State Allocation Formulas</vt:lpstr>
      <vt:lpstr>Annualize CRM Adjustment</vt:lpstr>
      <vt:lpstr>Advertising Adj</vt:lpstr>
      <vt:lpstr>Restate Revenues Adjustment</vt:lpstr>
      <vt:lpstr>EOP Revenue Adjustment</vt:lpstr>
      <vt:lpstr>EOP Depreciation Expense Adj</vt:lpstr>
      <vt:lpstr>Restate &amp; Pro Forma Wage Adjust</vt:lpstr>
      <vt:lpstr>Executive Incentives</vt:lpstr>
      <vt:lpstr>Interest Coord. Adj.</vt:lpstr>
      <vt:lpstr>Pro Forma Plant Additions</vt:lpstr>
      <vt:lpstr>MAOP UG-160787 Deferral</vt:lpstr>
      <vt:lpstr> Working Capital (AMA)</vt:lpstr>
      <vt:lpstr>Rate Design ---&gt;</vt:lpstr>
      <vt:lpstr>Exh 17, Class Revenue</vt:lpstr>
      <vt:lpstr>Exh 18, Class Rates</vt:lpstr>
      <vt:lpstr>Exh 19, RES Monthly Impact</vt:lpstr>
      <vt:lpstr>Exh 20, Bill Impacts</vt:lpstr>
      <vt:lpstr>RD WPs ---&gt;</vt:lpstr>
      <vt:lpstr>CompanyD</vt:lpstr>
      <vt:lpstr>'1501 Summary'!Print_Area</vt:lpstr>
      <vt:lpstr>'2020 New Customers'!Print_Area</vt:lpstr>
      <vt:lpstr>'Allocation Report Summary 2019'!Print_Area</vt:lpstr>
      <vt:lpstr>'Annualize CRM Adjustment'!Print_Area</vt:lpstr>
      <vt:lpstr>'Billing Correction'!Print_Area</vt:lpstr>
      <vt:lpstr>'Capital Structure Calculation'!Print_Area</vt:lpstr>
      <vt:lpstr>'EOP Revenue Adjustment'!Print_Area</vt:lpstr>
      <vt:lpstr>'Executive Incentives'!Print_Area</vt:lpstr>
      <vt:lpstr>'Exh 11, Supporting Explanations'!Print_Area</vt:lpstr>
      <vt:lpstr>'Exh 17, Class Revenue'!Print_Area</vt:lpstr>
      <vt:lpstr>'Exh 18, Class Rates'!Print_Area</vt:lpstr>
      <vt:lpstr>'Exh 19, RES Monthly Impact'!Print_Area</vt:lpstr>
      <vt:lpstr>'Exh 2, Proof of Revenue'!Print_Area</vt:lpstr>
      <vt:lpstr>'Exh 20, Bill Impacts'!Print_Area</vt:lpstr>
      <vt:lpstr>'Exh 5, Decoupling'!Print_Area</vt:lpstr>
      <vt:lpstr>'Exh 6, ROO Summary'!Print_Area</vt:lpstr>
      <vt:lpstr>'Exh 9, Summary of Adj'!Print_Area</vt:lpstr>
      <vt:lpstr>'Exhibit PCD-4'!Print_Area</vt:lpstr>
      <vt:lpstr>'Long-Term Debt'!Print_Area</vt:lpstr>
      <vt:lpstr>'Operating Report'!Print_Area</vt:lpstr>
      <vt:lpstr>'Plant Summary'!Print_Area</vt:lpstr>
      <vt:lpstr>'Pro Forma Plant Additions'!Print_Area</vt:lpstr>
      <vt:lpstr>'R&amp;R Adjustment'!Print_Area</vt:lpstr>
      <vt:lpstr>'Restate &amp; Pro Forma Wage Adjust'!Print_Area</vt:lpstr>
      <vt:lpstr>'Restate Revenues Adjustment'!Print_Area</vt:lpstr>
      <vt:lpstr>'State Allocation Formulas'!Print_Area</vt:lpstr>
      <vt:lpstr>Title!Print_Area</vt:lpstr>
      <vt:lpstr>'WACAP 2019'!Print_Area</vt:lpstr>
      <vt:lpstr>' Working Capital (AMA)'!Print_Titles</vt:lpstr>
      <vt:lpstr>'Adv for Const. &amp; Def Tax'!Print_Titles</vt:lpstr>
      <vt:lpstr>'Advertising Adj'!Print_Titles</vt:lpstr>
      <vt:lpstr>'Exh 10, Plant Additions'!Print_Titles</vt:lpstr>
      <vt:lpstr>'Exh 11, Supporting Explanations'!Print_Titles</vt:lpstr>
      <vt:lpstr>'Exh 2, Proof of Revenue'!Print_Titles</vt:lpstr>
      <vt:lpstr>'Exhibit PCD-4'!Print_Titles</vt:lpstr>
      <vt:lpstr>'Operating Report'!Print_Titles</vt:lpstr>
      <vt:lpstr>'Plant in Serv &amp; Accum Depr'!Print_Titles</vt:lpstr>
      <vt:lpstr>'Restate &amp; Pro Forma Wage Adjust'!Print_Titles</vt:lpstr>
      <vt:lpstr>Title3</vt:lpstr>
      <vt:lpstr>Title4</vt:lpstr>
      <vt:lpstr>Title5</vt:lpstr>
      <vt:lpstr>Title6</vt:lpstr>
      <vt:lpstr>Title7</vt:lpstr>
    </vt:vector>
  </TitlesOfParts>
  <Company>MDU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Cascade Natural Gas</dc:creator>
  <cp:lastModifiedBy>Mickelson, Christopher</cp:lastModifiedBy>
  <cp:lastPrinted>2021-01-08T21:46:53Z</cp:lastPrinted>
  <dcterms:created xsi:type="dcterms:W3CDTF">2014-12-11T21:48:04Z</dcterms:created>
  <dcterms:modified xsi:type="dcterms:W3CDTF">2021-05-21T22:08:09Z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923661e7-28df-46f7-80b4-5413277bd1e2</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0x0101006E56B4D1795A2E4DB2F0B01679ED314A00A9B141868A9DE943AC0520515758323A</vt:lpwstr>
  </property>
  <property fmtid="{D5CDD505-2E9C-101B-9397-08002B2CF9AE}" pid="6" name="_docset_NoMedatataSyncRequired">
    <vt:lpwstr>False</vt:lpwstr>
  </property>
  <property fmtid="{D5CDD505-2E9C-101B-9397-08002B2CF9AE}" pid="7" name="IsEFSEC">
    <vt:bool>false</vt:bool>
  </property>
</Properties>
</file>